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autoCompressPictures="0" defaultThemeVersion="124226"/>
  <mc:AlternateContent xmlns:mc="http://schemas.openxmlformats.org/markup-compatibility/2006">
    <mc:Choice Requires="x15">
      <x15ac:absPath xmlns:x15ac="http://schemas.microsoft.com/office/spreadsheetml/2010/11/ac" url="e:\Users\rgil_ccoc\Desktop\"/>
    </mc:Choice>
  </mc:AlternateContent>
  <xr:revisionPtr revIDLastSave="0" documentId="13_ncr:1_{D2D0BEAB-F8B7-4390-B653-70F799B7339D}" xr6:coauthVersionLast="47" xr6:coauthVersionMax="47" xr10:uidLastSave="{00000000-0000-0000-0000-000000000000}"/>
  <bookViews>
    <workbookView xWindow="390" yWindow="390" windowWidth="13260" windowHeight="14100" tabRatio="900" activeTab="2" xr2:uid="{00000000-000D-0000-FFFF-FFFF00000000}"/>
  </bookViews>
  <sheets>
    <sheet name="Total" sheetId="1" r:id="rId1"/>
    <sheet name="Nº Anuncis Mensual" sheetId="21" r:id="rId2"/>
    <sheet name="Nº Adjudicacions Definitives" sheetId="4" r:id="rId3"/>
    <sheet name="Nº Anuncis Sumatori" sheetId="12" r:id="rId4"/>
    <sheet name="Juny 23" sheetId="168" r:id="rId5"/>
    <sheet name="Maig 23" sheetId="167" r:id="rId6"/>
    <sheet name="Abril 23" sheetId="166" r:id="rId7"/>
    <sheet name="Març 23" sheetId="165" r:id="rId8"/>
    <sheet name="Febrer 23" sheetId="164" r:id="rId9"/>
    <sheet name="Gener 23" sheetId="163" r:id="rId10"/>
    <sheet name="Desembre 22" sheetId="162" r:id="rId11"/>
    <sheet name="Novembre 22" sheetId="161" r:id="rId12"/>
    <sheet name="Octubre 22" sheetId="160" r:id="rId13"/>
    <sheet name="Setembre 22" sheetId="159" r:id="rId14"/>
    <sheet name="Agost 22" sheetId="158" r:id="rId15"/>
    <sheet name="Juliol 22" sheetId="157" r:id="rId16"/>
    <sheet name="Juny 22" sheetId="156" r:id="rId17"/>
    <sheet name="Maig 22" sheetId="155" r:id="rId18"/>
    <sheet name="Abril 22" sheetId="154" r:id="rId19"/>
    <sheet name="Març 22" sheetId="153" r:id="rId20"/>
    <sheet name="Febrer 22" sheetId="152" r:id="rId21"/>
    <sheet name="Gener 22" sheetId="151" r:id="rId22"/>
    <sheet name="Desembre 21" sheetId="150" r:id="rId23"/>
    <sheet name="Novembre 21" sheetId="149" r:id="rId24"/>
    <sheet name="Octubre 21" sheetId="148" r:id="rId25"/>
    <sheet name="Setembre 21" sheetId="147" r:id="rId26"/>
    <sheet name="Agost 21" sheetId="146" r:id="rId27"/>
    <sheet name="Juliol 21" sheetId="145" r:id="rId28"/>
    <sheet name="Juny 2021" sheetId="144" r:id="rId29"/>
    <sheet name="Maig 2021" sheetId="143" r:id="rId30"/>
    <sheet name="Abril 2021" sheetId="142" r:id="rId31"/>
    <sheet name="Març 2021" sheetId="141" r:id="rId32"/>
    <sheet name="Febrer 2021" sheetId="140" r:id="rId33"/>
    <sheet name="Gener 2021" sheetId="139" r:id="rId34"/>
    <sheet name="Desembre 2020" sheetId="138" r:id="rId35"/>
    <sheet name="Novembre 2020" sheetId="137" r:id="rId36"/>
    <sheet name="Octubre 2020" sheetId="136" r:id="rId37"/>
    <sheet name="Setembre 2020" sheetId="135" r:id="rId38"/>
    <sheet name="Agost 2020" sheetId="134" r:id="rId39"/>
    <sheet name="Juliol 2020" sheetId="133" r:id="rId40"/>
    <sheet name="Juny 2020" sheetId="132" r:id="rId41"/>
    <sheet name="Maig 2020" sheetId="131" r:id="rId42"/>
    <sheet name="Abril 2020" sheetId="130" r:id="rId43"/>
    <sheet name="Març 2020" sheetId="129" r:id="rId44"/>
    <sheet name="Febrer 2020" sheetId="128" r:id="rId45"/>
    <sheet name="Gener 2020" sheetId="127" r:id="rId46"/>
    <sheet name="Desembre 19" sheetId="126" r:id="rId47"/>
    <sheet name="Novembre 19" sheetId="125" r:id="rId48"/>
    <sheet name="Octubre 19" sheetId="124" r:id="rId49"/>
    <sheet name="Setembre 19" sheetId="123" r:id="rId50"/>
    <sheet name="Agost 19" sheetId="122" r:id="rId51"/>
    <sheet name="Juliol 19" sheetId="121" r:id="rId52"/>
    <sheet name="Juny 19" sheetId="120" r:id="rId53"/>
    <sheet name="Maig 19" sheetId="119" r:id="rId54"/>
    <sheet name="Abril 19" sheetId="118" r:id="rId55"/>
    <sheet name="Març 19" sheetId="117" r:id="rId56"/>
    <sheet name="Febrer 19" sheetId="116" r:id="rId57"/>
    <sheet name="Gener 19" sheetId="115" r:id="rId58"/>
    <sheet name="Desembre 18" sheetId="114" r:id="rId59"/>
    <sheet name="Novembre 18" sheetId="113" r:id="rId60"/>
    <sheet name="Octubre 18" sheetId="112" r:id="rId61"/>
    <sheet name="Setembre 18" sheetId="111" r:id="rId62"/>
    <sheet name="Agost 18" sheetId="110" r:id="rId63"/>
    <sheet name="Juliol 18" sheetId="109" r:id="rId64"/>
    <sheet name="Juny 18" sheetId="108" r:id="rId65"/>
    <sheet name="Març 18" sheetId="107" r:id="rId66"/>
    <sheet name="Febrer 18" sheetId="106" r:id="rId67"/>
    <sheet name="Gener 18" sheetId="105" r:id="rId68"/>
    <sheet name="Desembre 17" sheetId="104" r:id="rId69"/>
    <sheet name="Novembre 17" sheetId="103" r:id="rId70"/>
    <sheet name="Octubre 17" sheetId="102" r:id="rId71"/>
    <sheet name="Setembre 17" sheetId="101" r:id="rId72"/>
    <sheet name="Agost 17" sheetId="100" r:id="rId73"/>
    <sheet name="Juliol 17" sheetId="99" r:id="rId74"/>
    <sheet name="Juny 17" sheetId="98" r:id="rId75"/>
    <sheet name="Maig 17" sheetId="97" r:id="rId76"/>
    <sheet name="Abril 17" sheetId="96" r:id="rId77"/>
    <sheet name="Març 17" sheetId="95" r:id="rId78"/>
    <sheet name="Febrer 17" sheetId="94" r:id="rId79"/>
    <sheet name="Gener 17" sheetId="93" r:id="rId80"/>
    <sheet name="Desembre 16" sheetId="92" r:id="rId81"/>
    <sheet name="Novembre 16" sheetId="91" r:id="rId82"/>
    <sheet name="Octubre 16" sheetId="90" r:id="rId83"/>
    <sheet name="Setembre 16" sheetId="89" r:id="rId84"/>
    <sheet name="Agost 16" sheetId="88" r:id="rId85"/>
    <sheet name="Juliol 16" sheetId="87" r:id="rId86"/>
    <sheet name="Juny 16" sheetId="86" r:id="rId87"/>
    <sheet name="Maig 16" sheetId="85" r:id="rId88"/>
    <sheet name="Abril 16" sheetId="84" r:id="rId89"/>
    <sheet name="Març 16" sheetId="83" r:id="rId90"/>
    <sheet name="Febrer 16" sheetId="82" r:id="rId91"/>
    <sheet name="Gener 16" sheetId="81" r:id="rId92"/>
    <sheet name="Desembre 15" sheetId="80" r:id="rId93"/>
    <sheet name="Novembre 15" sheetId="79" r:id="rId94"/>
    <sheet name="Octubre 15" sheetId="78" r:id="rId95"/>
    <sheet name="Setembre 15" sheetId="77" r:id="rId96"/>
    <sheet name="Agost 15" sheetId="76" r:id="rId97"/>
    <sheet name="Juliol 15" sheetId="75" r:id="rId98"/>
    <sheet name="Juny 15" sheetId="74" r:id="rId99"/>
    <sheet name="Maig 15" sheetId="73" r:id="rId100"/>
    <sheet name="Abril 15" sheetId="72" r:id="rId101"/>
    <sheet name="Març 15" sheetId="71" r:id="rId102"/>
    <sheet name="Febrer 15" sheetId="70" r:id="rId103"/>
    <sheet name="Gener 15" sheetId="69" r:id="rId104"/>
    <sheet name="Desembre 14" sheetId="68" r:id="rId105"/>
    <sheet name="Novembre 14" sheetId="67" r:id="rId106"/>
    <sheet name="Octubre 14" sheetId="66" r:id="rId107"/>
    <sheet name="Setembre 14" sheetId="65" r:id="rId108"/>
    <sheet name="Agost 14" sheetId="64" r:id="rId109"/>
    <sheet name="Juliol 14" sheetId="63" r:id="rId110"/>
    <sheet name="Juny 14" sheetId="62" r:id="rId111"/>
    <sheet name="Maig 14" sheetId="61" r:id="rId112"/>
    <sheet name="Abril 14" sheetId="60" r:id="rId113"/>
    <sheet name="Març 14" sheetId="59" r:id="rId114"/>
    <sheet name="Febrer 14" sheetId="58" r:id="rId115"/>
    <sheet name="Gener 14" sheetId="57" r:id="rId116"/>
    <sheet name="Des13" sheetId="56" r:id="rId117"/>
    <sheet name="Nov13" sheetId="55" r:id="rId118"/>
    <sheet name="Oct13" sheetId="54" r:id="rId119"/>
    <sheet name="Set13" sheetId="53" r:id="rId120"/>
    <sheet name="Agost13" sheetId="50" r:id="rId121"/>
    <sheet name="Juliol13" sheetId="49" r:id="rId122"/>
    <sheet name="Juny13" sheetId="48" r:id="rId123"/>
    <sheet name="Maig13" sheetId="47" r:id="rId124"/>
    <sheet name="Abril13" sheetId="46" r:id="rId125"/>
    <sheet name="Febrer13" sheetId="45" r:id="rId126"/>
    <sheet name="Gener13" sheetId="44" r:id="rId127"/>
    <sheet name="Desembre12" sheetId="43" r:id="rId128"/>
    <sheet name="Novembre12" sheetId="42" r:id="rId129"/>
    <sheet name="Octubre12" sheetId="41" r:id="rId130"/>
    <sheet name="Setembre12" sheetId="40" r:id="rId131"/>
    <sheet name="Agost12" sheetId="39" r:id="rId132"/>
    <sheet name="Juliol12" sheetId="38" r:id="rId133"/>
    <sheet name="Juny12" sheetId="37" r:id="rId134"/>
    <sheet name="Maig12" sheetId="36" r:id="rId135"/>
    <sheet name="Abril12" sheetId="35" r:id="rId136"/>
    <sheet name="Març12" sheetId="34" r:id="rId137"/>
    <sheet name="Febrer12" sheetId="33" r:id="rId138"/>
    <sheet name="Gener12" sheetId="32" r:id="rId139"/>
    <sheet name="Desembre11" sheetId="31" r:id="rId140"/>
    <sheet name="Novembre11" sheetId="30" r:id="rId141"/>
    <sheet name="Octubre11" sheetId="29" r:id="rId142"/>
    <sheet name="Setembre11" sheetId="28" r:id="rId143"/>
    <sheet name="Agost11" sheetId="27" r:id="rId144"/>
    <sheet name="Juliol11" sheetId="26" r:id="rId145"/>
    <sheet name="Juny11" sheetId="25" r:id="rId146"/>
    <sheet name="Maig11" sheetId="24" r:id="rId147"/>
    <sheet name="Abril11" sheetId="23" r:id="rId148"/>
    <sheet name="Març11" sheetId="22" r:id="rId149"/>
    <sheet name="Febrer11" sheetId="20" r:id="rId150"/>
    <sheet name="Gener11" sheetId="19" r:id="rId151"/>
    <sheet name="Desembre10" sheetId="17" r:id="rId152"/>
    <sheet name="Novembre10" sheetId="16" r:id="rId153"/>
    <sheet name="Octubre10" sheetId="15" r:id="rId154"/>
    <sheet name="Setembre10" sheetId="14" r:id="rId155"/>
    <sheet name="Agost10" sheetId="13" r:id="rId156"/>
    <sheet name="Juliol10" sheetId="11" r:id="rId157"/>
    <sheet name="Juny10" sheetId="10" r:id="rId158"/>
    <sheet name="Maig10" sheetId="9" r:id="rId159"/>
    <sheet name="Abril10" sheetId="8" r:id="rId160"/>
    <sheet name="Març10" sheetId="7" r:id="rId161"/>
    <sheet name="Febrer10" sheetId="6" r:id="rId162"/>
    <sheet name="Gener10" sheetId="5" r:id="rId163"/>
    <sheet name="Desembre09" sheetId="2" r:id="rId164"/>
    <sheet name="Novembre09" sheetId="3" r:id="rId165"/>
  </sheets>
  <definedNames>
    <definedName name="_xlnm._FilterDatabase" localSheetId="159" hidden="1">Abril10!$B$2:$H$32</definedName>
    <definedName name="_xlnm._FilterDatabase" localSheetId="151" hidden="1">Desembre10!$A$1:$I$12</definedName>
    <definedName name="_xlnm._FilterDatabase" localSheetId="161" hidden="1">Febrer10!$A$2:$H$36</definedName>
    <definedName name="_xlnm._FilterDatabase" localSheetId="162" hidden="1">Gener10!$B$2:$H$33</definedName>
    <definedName name="_xlnm._FilterDatabase" localSheetId="156" hidden="1">Juliol10!$A$1:$H$27</definedName>
    <definedName name="_xlnm._FilterDatabase" localSheetId="144" hidden="1">Juliol11!$A$1:$I$24</definedName>
    <definedName name="_xlnm._FilterDatabase" localSheetId="157" hidden="1">Juny10!$A$1:$H$28</definedName>
    <definedName name="_xlnm._FilterDatabase" localSheetId="145" hidden="1">Juny11!$A$1:$I$14</definedName>
    <definedName name="_xlnm._FilterDatabase" localSheetId="160" hidden="1">Març10!$A$1:$H$63</definedName>
    <definedName name="_xlnm._FilterDatabase" localSheetId="152" hidden="1">Novembre10!$A$1:$I$30</definedName>
    <definedName name="_xlnm._FilterDatabase" localSheetId="153" hidden="1">Octubre10!$A$1:$I$35</definedName>
    <definedName name="_xlnm._FilterDatabase" localSheetId="154" hidden="1">Setembre10!$A$1:$I$56</definedName>
    <definedName name="_xlnm._FilterDatabase" localSheetId="0" hidden="1">Total!$A$1:$I$422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24" i="4" l="1"/>
  <c r="G124" i="4"/>
  <c r="I3724" i="1"/>
  <c r="B3" i="168"/>
  <c r="C3" i="168"/>
  <c r="E3" i="168"/>
  <c r="F3" i="168"/>
  <c r="G3" i="168"/>
  <c r="H3" i="168"/>
  <c r="I3" i="168"/>
  <c r="I2" i="168"/>
  <c r="I4" i="168" s="1"/>
  <c r="H2" i="168"/>
  <c r="G2" i="168"/>
  <c r="F2" i="168"/>
  <c r="E2" i="168"/>
  <c r="C2" i="168"/>
  <c r="B2" i="168"/>
  <c r="M245" i="21"/>
  <c r="B75" i="167"/>
  <c r="C75" i="167"/>
  <c r="E75" i="167"/>
  <c r="F75" i="167"/>
  <c r="G75" i="167"/>
  <c r="H75" i="167"/>
  <c r="I75" i="167"/>
  <c r="B61" i="167"/>
  <c r="C61" i="167"/>
  <c r="E61" i="167"/>
  <c r="F61" i="167"/>
  <c r="G61" i="167"/>
  <c r="H61" i="167"/>
  <c r="I61" i="167"/>
  <c r="B62" i="167"/>
  <c r="C62" i="167"/>
  <c r="E62" i="167"/>
  <c r="F62" i="167"/>
  <c r="G62" i="167"/>
  <c r="H62" i="167"/>
  <c r="I62" i="167"/>
  <c r="B63" i="167"/>
  <c r="C63" i="167"/>
  <c r="E63" i="167"/>
  <c r="F63" i="167"/>
  <c r="G63" i="167"/>
  <c r="H63" i="167"/>
  <c r="I63" i="167"/>
  <c r="B64" i="167"/>
  <c r="C64" i="167"/>
  <c r="E64" i="167"/>
  <c r="F64" i="167"/>
  <c r="G64" i="167"/>
  <c r="H64" i="167"/>
  <c r="I64" i="167"/>
  <c r="B65" i="167"/>
  <c r="C65" i="167"/>
  <c r="E65" i="167"/>
  <c r="F65" i="167"/>
  <c r="G65" i="167"/>
  <c r="H65" i="167"/>
  <c r="I65" i="167"/>
  <c r="B66" i="167"/>
  <c r="C66" i="167"/>
  <c r="E66" i="167"/>
  <c r="F66" i="167"/>
  <c r="G66" i="167"/>
  <c r="H66" i="167"/>
  <c r="I66" i="167"/>
  <c r="B67" i="167"/>
  <c r="C67" i="167"/>
  <c r="E67" i="167"/>
  <c r="F67" i="167"/>
  <c r="G67" i="167"/>
  <c r="H67" i="167"/>
  <c r="I67" i="167"/>
  <c r="B68" i="167"/>
  <c r="C68" i="167"/>
  <c r="E68" i="167"/>
  <c r="F68" i="167"/>
  <c r="G68" i="167"/>
  <c r="H68" i="167"/>
  <c r="I68" i="167"/>
  <c r="B69" i="167"/>
  <c r="C69" i="167"/>
  <c r="E69" i="167"/>
  <c r="F69" i="167"/>
  <c r="G69" i="167"/>
  <c r="H69" i="167"/>
  <c r="I69" i="167"/>
  <c r="B70" i="167"/>
  <c r="C70" i="167"/>
  <c r="E70" i="167"/>
  <c r="F70" i="167"/>
  <c r="G70" i="167"/>
  <c r="H70" i="167"/>
  <c r="I70" i="167"/>
  <c r="B71" i="167"/>
  <c r="C71" i="167"/>
  <c r="E71" i="167"/>
  <c r="F71" i="167"/>
  <c r="G71" i="167"/>
  <c r="H71" i="167"/>
  <c r="I71" i="167"/>
  <c r="B72" i="167"/>
  <c r="C72" i="167"/>
  <c r="E72" i="167"/>
  <c r="F72" i="167"/>
  <c r="G72" i="167"/>
  <c r="H72" i="167"/>
  <c r="I72" i="167"/>
  <c r="B73" i="167"/>
  <c r="C73" i="167"/>
  <c r="E73" i="167"/>
  <c r="F73" i="167"/>
  <c r="G73" i="167"/>
  <c r="H73" i="167"/>
  <c r="I73" i="167"/>
  <c r="B74" i="167"/>
  <c r="C74" i="167"/>
  <c r="E74" i="167"/>
  <c r="F74" i="167"/>
  <c r="G74" i="167"/>
  <c r="H74" i="167"/>
  <c r="I74" i="167"/>
  <c r="M251" i="21"/>
  <c r="M254" i="21"/>
  <c r="M244" i="21"/>
  <c r="B60" i="167"/>
  <c r="C60" i="167"/>
  <c r="E60" i="167"/>
  <c r="F60" i="167"/>
  <c r="G60" i="167"/>
  <c r="H60" i="167"/>
  <c r="I60" i="167"/>
  <c r="B58" i="167"/>
  <c r="C58" i="167"/>
  <c r="E58" i="167"/>
  <c r="F58" i="167"/>
  <c r="G58" i="167"/>
  <c r="H58" i="167"/>
  <c r="I58" i="167"/>
  <c r="B59" i="167"/>
  <c r="C59" i="167"/>
  <c r="E59" i="167"/>
  <c r="F59" i="167"/>
  <c r="G59" i="167"/>
  <c r="H59" i="167"/>
  <c r="I59" i="167"/>
  <c r="AC254" i="21"/>
  <c r="G111" i="12" s="1"/>
  <c r="M246" i="21"/>
  <c r="B49" i="167"/>
  <c r="C49" i="167"/>
  <c r="E49" i="167"/>
  <c r="F49" i="167"/>
  <c r="G49" i="167"/>
  <c r="H49" i="167"/>
  <c r="I49" i="167"/>
  <c r="B50" i="167"/>
  <c r="C50" i="167"/>
  <c r="E50" i="167"/>
  <c r="F50" i="167"/>
  <c r="G50" i="167"/>
  <c r="H50" i="167"/>
  <c r="I50" i="167"/>
  <c r="B51" i="167"/>
  <c r="C51" i="167"/>
  <c r="E51" i="167"/>
  <c r="F51" i="167"/>
  <c r="G51" i="167"/>
  <c r="H51" i="167"/>
  <c r="I51" i="167"/>
  <c r="B52" i="167"/>
  <c r="C52" i="167"/>
  <c r="E52" i="167"/>
  <c r="F52" i="167"/>
  <c r="G52" i="167"/>
  <c r="H52" i="167"/>
  <c r="I52" i="167"/>
  <c r="B53" i="167"/>
  <c r="C53" i="167"/>
  <c r="E53" i="167"/>
  <c r="F53" i="167"/>
  <c r="G53" i="167"/>
  <c r="H53" i="167"/>
  <c r="I53" i="167"/>
  <c r="B54" i="167"/>
  <c r="C54" i="167"/>
  <c r="E54" i="167"/>
  <c r="F54" i="167"/>
  <c r="G54" i="167"/>
  <c r="H54" i="167"/>
  <c r="I54" i="167"/>
  <c r="B55" i="167"/>
  <c r="C55" i="167"/>
  <c r="E55" i="167"/>
  <c r="F55" i="167"/>
  <c r="G55" i="167"/>
  <c r="H55" i="167"/>
  <c r="I55" i="167"/>
  <c r="B56" i="167"/>
  <c r="C56" i="167"/>
  <c r="E56" i="167"/>
  <c r="F56" i="167"/>
  <c r="G56" i="167"/>
  <c r="H56" i="167"/>
  <c r="I56" i="167"/>
  <c r="B57" i="167"/>
  <c r="C57" i="167"/>
  <c r="E57" i="167"/>
  <c r="F57" i="167"/>
  <c r="G57" i="167"/>
  <c r="H57" i="167"/>
  <c r="I57" i="167"/>
  <c r="B45" i="167"/>
  <c r="C45" i="167"/>
  <c r="E45" i="167"/>
  <c r="F45" i="167"/>
  <c r="G45" i="167"/>
  <c r="H45" i="167"/>
  <c r="I45" i="167"/>
  <c r="B46" i="167"/>
  <c r="C46" i="167"/>
  <c r="E46" i="167"/>
  <c r="F46" i="167"/>
  <c r="G46" i="167"/>
  <c r="H46" i="167"/>
  <c r="I46" i="167"/>
  <c r="B47" i="167"/>
  <c r="C47" i="167"/>
  <c r="E47" i="167"/>
  <c r="F47" i="167"/>
  <c r="G47" i="167"/>
  <c r="H47" i="167"/>
  <c r="I47" i="167"/>
  <c r="B48" i="167"/>
  <c r="C48" i="167"/>
  <c r="E48" i="167"/>
  <c r="F48" i="167"/>
  <c r="G48" i="167"/>
  <c r="H48" i="167"/>
  <c r="I48" i="167"/>
  <c r="B43" i="167"/>
  <c r="C43" i="167"/>
  <c r="E43" i="167"/>
  <c r="F43" i="167"/>
  <c r="G43" i="167"/>
  <c r="H43" i="167"/>
  <c r="I43" i="167"/>
  <c r="B44" i="167"/>
  <c r="C44" i="167"/>
  <c r="E44" i="167"/>
  <c r="F44" i="167"/>
  <c r="G44" i="167"/>
  <c r="H44" i="167"/>
  <c r="I44" i="167"/>
  <c r="B42" i="167"/>
  <c r="C42" i="167"/>
  <c r="E42" i="167"/>
  <c r="F42" i="167"/>
  <c r="G42" i="167"/>
  <c r="H42" i="167"/>
  <c r="I42" i="167"/>
  <c r="B35" i="167"/>
  <c r="C35" i="167"/>
  <c r="E35" i="167"/>
  <c r="F35" i="167"/>
  <c r="G35" i="167"/>
  <c r="H35" i="167"/>
  <c r="I35" i="167"/>
  <c r="B36" i="167"/>
  <c r="C36" i="167"/>
  <c r="E36" i="167"/>
  <c r="F36" i="167"/>
  <c r="G36" i="167"/>
  <c r="H36" i="167"/>
  <c r="I36" i="167"/>
  <c r="B37" i="167"/>
  <c r="C37" i="167"/>
  <c r="E37" i="167"/>
  <c r="F37" i="167"/>
  <c r="G37" i="167"/>
  <c r="H37" i="167"/>
  <c r="I37" i="167"/>
  <c r="B38" i="167"/>
  <c r="C38" i="167"/>
  <c r="E38" i="167"/>
  <c r="F38" i="167"/>
  <c r="G38" i="167"/>
  <c r="H38" i="167"/>
  <c r="I38" i="167"/>
  <c r="B39" i="167"/>
  <c r="C39" i="167"/>
  <c r="E39" i="167"/>
  <c r="F39" i="167"/>
  <c r="G39" i="167"/>
  <c r="H39" i="167"/>
  <c r="I39" i="167"/>
  <c r="B40" i="167"/>
  <c r="C40" i="167"/>
  <c r="E40" i="167"/>
  <c r="F40" i="167"/>
  <c r="G40" i="167"/>
  <c r="H40" i="167"/>
  <c r="I40" i="167"/>
  <c r="B41" i="167"/>
  <c r="C41" i="167"/>
  <c r="E41" i="167"/>
  <c r="F41" i="167"/>
  <c r="G41" i="167"/>
  <c r="H41" i="167"/>
  <c r="I41" i="167"/>
  <c r="M250" i="21"/>
  <c r="B22" i="167"/>
  <c r="C22" i="167"/>
  <c r="E22" i="167"/>
  <c r="F22" i="167"/>
  <c r="G22" i="167"/>
  <c r="H22" i="167"/>
  <c r="I22" i="167"/>
  <c r="B23" i="167"/>
  <c r="C23" i="167"/>
  <c r="E23" i="167"/>
  <c r="F23" i="167"/>
  <c r="G23" i="167"/>
  <c r="H23" i="167"/>
  <c r="I23" i="167"/>
  <c r="B24" i="167"/>
  <c r="C24" i="167"/>
  <c r="E24" i="167"/>
  <c r="F24" i="167"/>
  <c r="G24" i="167"/>
  <c r="H24" i="167"/>
  <c r="I24" i="167"/>
  <c r="B25" i="167"/>
  <c r="C25" i="167"/>
  <c r="E25" i="167"/>
  <c r="F25" i="167"/>
  <c r="G25" i="167"/>
  <c r="H25" i="167"/>
  <c r="I25" i="167"/>
  <c r="B26" i="167"/>
  <c r="C26" i="167"/>
  <c r="E26" i="167"/>
  <c r="F26" i="167"/>
  <c r="G26" i="167"/>
  <c r="H26" i="167"/>
  <c r="I26" i="167"/>
  <c r="B27" i="167"/>
  <c r="C27" i="167"/>
  <c r="E27" i="167"/>
  <c r="F27" i="167"/>
  <c r="G27" i="167"/>
  <c r="H27" i="167"/>
  <c r="I27" i="167"/>
  <c r="B28" i="167"/>
  <c r="C28" i="167"/>
  <c r="E28" i="167"/>
  <c r="F28" i="167"/>
  <c r="G28" i="167"/>
  <c r="H28" i="167"/>
  <c r="I28" i="167"/>
  <c r="B29" i="167"/>
  <c r="C29" i="167"/>
  <c r="E29" i="167"/>
  <c r="F29" i="167"/>
  <c r="G29" i="167"/>
  <c r="H29" i="167"/>
  <c r="I29" i="167"/>
  <c r="B30" i="167"/>
  <c r="C30" i="167"/>
  <c r="E30" i="167"/>
  <c r="F30" i="167"/>
  <c r="G30" i="167"/>
  <c r="H30" i="167"/>
  <c r="I30" i="167"/>
  <c r="B31" i="167"/>
  <c r="C31" i="167"/>
  <c r="E31" i="167"/>
  <c r="F31" i="167"/>
  <c r="G31" i="167"/>
  <c r="H31" i="167"/>
  <c r="I31" i="167"/>
  <c r="B32" i="167"/>
  <c r="C32" i="167"/>
  <c r="E32" i="167"/>
  <c r="F32" i="167"/>
  <c r="G32" i="167"/>
  <c r="H32" i="167"/>
  <c r="I32" i="167"/>
  <c r="B33" i="167"/>
  <c r="C33" i="167"/>
  <c r="E33" i="167"/>
  <c r="F33" i="167"/>
  <c r="G33" i="167"/>
  <c r="H33" i="167"/>
  <c r="I33" i="167"/>
  <c r="B34" i="167"/>
  <c r="C34" i="167"/>
  <c r="E34" i="167"/>
  <c r="F34" i="167"/>
  <c r="G34" i="167"/>
  <c r="H34" i="167"/>
  <c r="I34" i="167"/>
  <c r="B21" i="167"/>
  <c r="C21" i="167"/>
  <c r="E21" i="167"/>
  <c r="F21" i="167"/>
  <c r="G21" i="167"/>
  <c r="H21" i="167"/>
  <c r="I21" i="167"/>
  <c r="B20" i="167"/>
  <c r="C20" i="167"/>
  <c r="E20" i="167"/>
  <c r="F20" i="167"/>
  <c r="G20" i="167"/>
  <c r="H20" i="167"/>
  <c r="I20" i="167"/>
  <c r="B13" i="167"/>
  <c r="C13" i="167"/>
  <c r="E13" i="167"/>
  <c r="F13" i="167"/>
  <c r="G13" i="167"/>
  <c r="H13" i="167"/>
  <c r="I13" i="167"/>
  <c r="B14" i="167"/>
  <c r="C14" i="167"/>
  <c r="E14" i="167"/>
  <c r="F14" i="167"/>
  <c r="G14" i="167"/>
  <c r="H14" i="167"/>
  <c r="I14" i="167"/>
  <c r="B15" i="167"/>
  <c r="C15" i="167"/>
  <c r="E15" i="167"/>
  <c r="F15" i="167"/>
  <c r="G15" i="167"/>
  <c r="H15" i="167"/>
  <c r="I15" i="167"/>
  <c r="B16" i="167"/>
  <c r="C16" i="167"/>
  <c r="E16" i="167"/>
  <c r="F16" i="167"/>
  <c r="G16" i="167"/>
  <c r="H16" i="167"/>
  <c r="I16" i="167"/>
  <c r="B17" i="167"/>
  <c r="C17" i="167"/>
  <c r="E17" i="167"/>
  <c r="F17" i="167"/>
  <c r="G17" i="167"/>
  <c r="H17" i="167"/>
  <c r="I17" i="167"/>
  <c r="B18" i="167"/>
  <c r="C18" i="167"/>
  <c r="E18" i="167"/>
  <c r="F18" i="167"/>
  <c r="G18" i="167"/>
  <c r="H18" i="167"/>
  <c r="I18" i="167"/>
  <c r="B19" i="167"/>
  <c r="C19" i="167"/>
  <c r="E19" i="167"/>
  <c r="F19" i="167"/>
  <c r="G19" i="167"/>
  <c r="H19" i="167"/>
  <c r="I19" i="167"/>
  <c r="B11" i="167"/>
  <c r="C11" i="167"/>
  <c r="E11" i="167"/>
  <c r="F11" i="167"/>
  <c r="G11" i="167"/>
  <c r="H11" i="167"/>
  <c r="I11" i="167"/>
  <c r="B12" i="167"/>
  <c r="C12" i="167"/>
  <c r="E12" i="167"/>
  <c r="F12" i="167"/>
  <c r="G12" i="167"/>
  <c r="H12" i="167"/>
  <c r="I12" i="167"/>
  <c r="B7" i="167"/>
  <c r="C7" i="167"/>
  <c r="E7" i="167"/>
  <c r="F7" i="167"/>
  <c r="G7" i="167"/>
  <c r="H7" i="167"/>
  <c r="I7" i="167"/>
  <c r="B8" i="167"/>
  <c r="C8" i="167"/>
  <c r="E8" i="167"/>
  <c r="F8" i="167"/>
  <c r="G8" i="167"/>
  <c r="H8" i="167"/>
  <c r="I8" i="167"/>
  <c r="B9" i="167"/>
  <c r="C9" i="167"/>
  <c r="E9" i="167"/>
  <c r="F9" i="167"/>
  <c r="G9" i="167"/>
  <c r="H9" i="167"/>
  <c r="I9" i="167"/>
  <c r="B10" i="167"/>
  <c r="C10" i="167"/>
  <c r="E10" i="167"/>
  <c r="F10" i="167"/>
  <c r="G10" i="167"/>
  <c r="H10" i="167"/>
  <c r="I10" i="167"/>
  <c r="B6" i="167"/>
  <c r="C6" i="167"/>
  <c r="E6" i="167"/>
  <c r="F6" i="167"/>
  <c r="G6" i="167"/>
  <c r="H6" i="167"/>
  <c r="I6" i="167"/>
  <c r="H124" i="4"/>
  <c r="I123" i="4"/>
  <c r="H123" i="4"/>
  <c r="I122" i="4"/>
  <c r="H122" i="4"/>
  <c r="I121" i="4"/>
  <c r="H121" i="4"/>
  <c r="I120" i="4"/>
  <c r="H120" i="4"/>
  <c r="I119" i="4"/>
  <c r="H119" i="4"/>
  <c r="I118" i="4"/>
  <c r="H118" i="4"/>
  <c r="I117" i="4"/>
  <c r="H117" i="4"/>
  <c r="I116" i="4"/>
  <c r="H116" i="4"/>
  <c r="I115" i="4"/>
  <c r="H115" i="4"/>
  <c r="I114" i="4"/>
  <c r="H114" i="4"/>
  <c r="I113" i="4"/>
  <c r="H113" i="4"/>
  <c r="I112" i="4"/>
  <c r="H112" i="4"/>
  <c r="I111" i="4"/>
  <c r="H111" i="4"/>
  <c r="K245" i="21"/>
  <c r="K244" i="21"/>
  <c r="K246" i="21"/>
  <c r="K248" i="21"/>
  <c r="K251" i="21"/>
  <c r="K250" i="21"/>
  <c r="K254" i="21"/>
  <c r="B28" i="166"/>
  <c r="C28" i="166"/>
  <c r="E28" i="166"/>
  <c r="F28" i="166"/>
  <c r="G28" i="166"/>
  <c r="H28" i="166"/>
  <c r="I28" i="166"/>
  <c r="B29" i="166"/>
  <c r="C29" i="166"/>
  <c r="E29" i="166"/>
  <c r="F29" i="166"/>
  <c r="G29" i="166"/>
  <c r="H29" i="166"/>
  <c r="I29" i="166"/>
  <c r="B30" i="166"/>
  <c r="C30" i="166"/>
  <c r="E30" i="166"/>
  <c r="F30" i="166"/>
  <c r="G30" i="166"/>
  <c r="H30" i="166"/>
  <c r="I30" i="166"/>
  <c r="B31" i="166"/>
  <c r="C31" i="166"/>
  <c r="E31" i="166"/>
  <c r="F31" i="166"/>
  <c r="G31" i="166"/>
  <c r="H31" i="166"/>
  <c r="I31" i="166"/>
  <c r="B32" i="166"/>
  <c r="C32" i="166"/>
  <c r="E32" i="166"/>
  <c r="F32" i="166"/>
  <c r="G32" i="166"/>
  <c r="H32" i="166"/>
  <c r="I32" i="166"/>
  <c r="B33" i="166"/>
  <c r="C33" i="166"/>
  <c r="E33" i="166"/>
  <c r="F33" i="166"/>
  <c r="G33" i="166"/>
  <c r="H33" i="166"/>
  <c r="I33" i="166"/>
  <c r="B34" i="166"/>
  <c r="C34" i="166"/>
  <c r="E34" i="166"/>
  <c r="F34" i="166"/>
  <c r="G34" i="166"/>
  <c r="H34" i="166"/>
  <c r="I34" i="166"/>
  <c r="B35" i="166"/>
  <c r="C35" i="166"/>
  <c r="E35" i="166"/>
  <c r="F35" i="166"/>
  <c r="G35" i="166"/>
  <c r="H35" i="166"/>
  <c r="I35" i="166"/>
  <c r="B36" i="166"/>
  <c r="C36" i="166"/>
  <c r="E36" i="166"/>
  <c r="F36" i="166"/>
  <c r="G36" i="166"/>
  <c r="H36" i="166"/>
  <c r="I36" i="166"/>
  <c r="B37" i="166"/>
  <c r="C37" i="166"/>
  <c r="E37" i="166"/>
  <c r="F37" i="166"/>
  <c r="G37" i="166"/>
  <c r="H37" i="166"/>
  <c r="I37" i="166"/>
  <c r="B38" i="166"/>
  <c r="C38" i="166"/>
  <c r="E38" i="166"/>
  <c r="F38" i="166"/>
  <c r="G38" i="166"/>
  <c r="H38" i="166"/>
  <c r="I38" i="166"/>
  <c r="B39" i="166"/>
  <c r="C39" i="166"/>
  <c r="E39" i="166"/>
  <c r="F39" i="166"/>
  <c r="G39" i="166"/>
  <c r="H39" i="166"/>
  <c r="I39" i="166"/>
  <c r="B40" i="166"/>
  <c r="C40" i="166"/>
  <c r="E40" i="166"/>
  <c r="F40" i="166"/>
  <c r="G40" i="166"/>
  <c r="H40" i="166"/>
  <c r="I40" i="166"/>
  <c r="B41" i="166"/>
  <c r="C41" i="166"/>
  <c r="E41" i="166"/>
  <c r="F41" i="166"/>
  <c r="G41" i="166"/>
  <c r="H41" i="166"/>
  <c r="I41" i="166"/>
  <c r="B42" i="166"/>
  <c r="C42" i="166"/>
  <c r="E42" i="166"/>
  <c r="F42" i="166"/>
  <c r="G42" i="166"/>
  <c r="H42" i="166"/>
  <c r="I42" i="166"/>
  <c r="B3" i="167"/>
  <c r="C3" i="167"/>
  <c r="E3" i="167"/>
  <c r="F3" i="167"/>
  <c r="G3" i="167"/>
  <c r="H3" i="167"/>
  <c r="I3" i="167"/>
  <c r="B4" i="167"/>
  <c r="C4" i="167"/>
  <c r="E4" i="167"/>
  <c r="F4" i="167"/>
  <c r="G4" i="167"/>
  <c r="H4" i="167"/>
  <c r="I4" i="167"/>
  <c r="B5" i="167"/>
  <c r="C5" i="167"/>
  <c r="E5" i="167"/>
  <c r="F5" i="167"/>
  <c r="G5" i="167"/>
  <c r="H5" i="167"/>
  <c r="I5" i="167"/>
  <c r="I2" i="167"/>
  <c r="I76" i="167" s="1"/>
  <c r="H2" i="167"/>
  <c r="G2" i="167"/>
  <c r="F2" i="167"/>
  <c r="E2" i="167"/>
  <c r="C2" i="167"/>
  <c r="B2" i="167"/>
  <c r="B25" i="166"/>
  <c r="C25" i="166"/>
  <c r="E25" i="166"/>
  <c r="F25" i="166"/>
  <c r="G25" i="166"/>
  <c r="H25" i="166"/>
  <c r="I25" i="166"/>
  <c r="B26" i="166"/>
  <c r="C26" i="166"/>
  <c r="E26" i="166"/>
  <c r="F26" i="166"/>
  <c r="G26" i="166"/>
  <c r="H26" i="166"/>
  <c r="I26" i="166"/>
  <c r="B27" i="166"/>
  <c r="C27" i="166"/>
  <c r="E27" i="166"/>
  <c r="F27" i="166"/>
  <c r="G27" i="166"/>
  <c r="H27" i="166"/>
  <c r="I27" i="166"/>
  <c r="B24" i="166"/>
  <c r="C24" i="166"/>
  <c r="E24" i="166"/>
  <c r="F24" i="166"/>
  <c r="G24" i="166"/>
  <c r="H24" i="166"/>
  <c r="I24" i="166"/>
  <c r="B21" i="166"/>
  <c r="C21" i="166"/>
  <c r="E21" i="166"/>
  <c r="F21" i="166"/>
  <c r="G21" i="166"/>
  <c r="H21" i="166"/>
  <c r="I21" i="166"/>
  <c r="B22" i="166"/>
  <c r="C22" i="166"/>
  <c r="E22" i="166"/>
  <c r="F22" i="166"/>
  <c r="G22" i="166"/>
  <c r="H22" i="166"/>
  <c r="I22" i="166"/>
  <c r="B23" i="166"/>
  <c r="C23" i="166"/>
  <c r="E23" i="166"/>
  <c r="F23" i="166"/>
  <c r="G23" i="166"/>
  <c r="H23" i="166"/>
  <c r="I23" i="166"/>
  <c r="B14" i="166"/>
  <c r="C14" i="166"/>
  <c r="E14" i="166"/>
  <c r="F14" i="166"/>
  <c r="G14" i="166"/>
  <c r="H14" i="166"/>
  <c r="I14" i="166"/>
  <c r="B15" i="166"/>
  <c r="C15" i="166"/>
  <c r="E15" i="166"/>
  <c r="F15" i="166"/>
  <c r="G15" i="166"/>
  <c r="H15" i="166"/>
  <c r="I15" i="166"/>
  <c r="B16" i="166"/>
  <c r="C16" i="166"/>
  <c r="E16" i="166"/>
  <c r="F16" i="166"/>
  <c r="G16" i="166"/>
  <c r="H16" i="166"/>
  <c r="I16" i="166"/>
  <c r="B17" i="166"/>
  <c r="C17" i="166"/>
  <c r="E17" i="166"/>
  <c r="F17" i="166"/>
  <c r="G17" i="166"/>
  <c r="H17" i="166"/>
  <c r="I17" i="166"/>
  <c r="B18" i="166"/>
  <c r="C18" i="166"/>
  <c r="E18" i="166"/>
  <c r="F18" i="166"/>
  <c r="G18" i="166"/>
  <c r="H18" i="166"/>
  <c r="I18" i="166"/>
  <c r="B19" i="166"/>
  <c r="C19" i="166"/>
  <c r="E19" i="166"/>
  <c r="F19" i="166"/>
  <c r="G19" i="166"/>
  <c r="H19" i="166"/>
  <c r="I19" i="166"/>
  <c r="B20" i="166"/>
  <c r="C20" i="166"/>
  <c r="E20" i="166"/>
  <c r="F20" i="166"/>
  <c r="G20" i="166"/>
  <c r="H20" i="166"/>
  <c r="I20" i="166"/>
  <c r="B11" i="166"/>
  <c r="C11" i="166"/>
  <c r="E11" i="166"/>
  <c r="F11" i="166"/>
  <c r="G11" i="166"/>
  <c r="H11" i="166"/>
  <c r="I11" i="166"/>
  <c r="B12" i="166"/>
  <c r="C12" i="166"/>
  <c r="E12" i="166"/>
  <c r="F12" i="166"/>
  <c r="G12" i="166"/>
  <c r="H12" i="166"/>
  <c r="I12" i="166"/>
  <c r="B13" i="166"/>
  <c r="C13" i="166"/>
  <c r="E13" i="166"/>
  <c r="F13" i="166"/>
  <c r="G13" i="166"/>
  <c r="H13" i="166"/>
  <c r="I13" i="166"/>
  <c r="AC246" i="21"/>
  <c r="G103" i="12" s="1"/>
  <c r="B9" i="166"/>
  <c r="C9" i="166"/>
  <c r="E9" i="166"/>
  <c r="F9" i="166"/>
  <c r="G9" i="166"/>
  <c r="H9" i="166"/>
  <c r="I9" i="166"/>
  <c r="B10" i="166"/>
  <c r="C10" i="166"/>
  <c r="E10" i="166"/>
  <c r="F10" i="166"/>
  <c r="G10" i="166"/>
  <c r="H10" i="166"/>
  <c r="I10" i="166"/>
  <c r="B7" i="166"/>
  <c r="C7" i="166"/>
  <c r="E7" i="166"/>
  <c r="F7" i="166"/>
  <c r="G7" i="166"/>
  <c r="H7" i="166"/>
  <c r="I7" i="166"/>
  <c r="B8" i="166"/>
  <c r="C8" i="166"/>
  <c r="E8" i="166"/>
  <c r="F8" i="166"/>
  <c r="G8" i="166"/>
  <c r="H8" i="166"/>
  <c r="I8" i="166"/>
  <c r="B3" i="166"/>
  <c r="C3" i="166"/>
  <c r="E3" i="166"/>
  <c r="F3" i="166"/>
  <c r="G3" i="166"/>
  <c r="H3" i="166"/>
  <c r="I3" i="166"/>
  <c r="B4" i="166"/>
  <c r="C4" i="166"/>
  <c r="E4" i="166"/>
  <c r="F4" i="166"/>
  <c r="G4" i="166"/>
  <c r="H4" i="166"/>
  <c r="I4" i="166"/>
  <c r="B5" i="166"/>
  <c r="C5" i="166"/>
  <c r="E5" i="166"/>
  <c r="F5" i="166"/>
  <c r="G5" i="166"/>
  <c r="H5" i="166"/>
  <c r="I5" i="166"/>
  <c r="B6" i="166"/>
  <c r="C6" i="166"/>
  <c r="E6" i="166"/>
  <c r="F6" i="166"/>
  <c r="G6" i="166"/>
  <c r="H6" i="166"/>
  <c r="I6" i="166"/>
  <c r="I2" i="166"/>
  <c r="H2" i="166"/>
  <c r="G2" i="166"/>
  <c r="F2" i="166"/>
  <c r="E2" i="166"/>
  <c r="C2" i="166"/>
  <c r="B2" i="166"/>
  <c r="B15" i="165"/>
  <c r="C15" i="165"/>
  <c r="E15" i="165"/>
  <c r="F15" i="165"/>
  <c r="G15" i="165"/>
  <c r="H15" i="165"/>
  <c r="I15" i="165"/>
  <c r="B16" i="165"/>
  <c r="C16" i="165"/>
  <c r="E16" i="165"/>
  <c r="F16" i="165"/>
  <c r="G16" i="165"/>
  <c r="H16" i="165"/>
  <c r="I16" i="165"/>
  <c r="I251" i="21"/>
  <c r="B14" i="165"/>
  <c r="C14" i="165"/>
  <c r="E14" i="165"/>
  <c r="F14" i="165"/>
  <c r="G14" i="165"/>
  <c r="H14" i="165"/>
  <c r="I14" i="165"/>
  <c r="AC251" i="21"/>
  <c r="G108" i="12" s="1"/>
  <c r="B13" i="165"/>
  <c r="C13" i="165"/>
  <c r="E13" i="165"/>
  <c r="F13" i="165"/>
  <c r="G13" i="165"/>
  <c r="H13" i="165"/>
  <c r="I13" i="165"/>
  <c r="I246" i="21"/>
  <c r="B12" i="165"/>
  <c r="C12" i="165"/>
  <c r="E12" i="165"/>
  <c r="F12" i="165"/>
  <c r="G12" i="165"/>
  <c r="H12" i="165"/>
  <c r="I12" i="165"/>
  <c r="B11" i="165"/>
  <c r="C11" i="165"/>
  <c r="E11" i="165"/>
  <c r="F11" i="165"/>
  <c r="G11" i="165"/>
  <c r="H11" i="165"/>
  <c r="I11" i="165"/>
  <c r="I244" i="21"/>
  <c r="B9" i="165"/>
  <c r="C9" i="165"/>
  <c r="E9" i="165"/>
  <c r="F9" i="165"/>
  <c r="G9" i="165"/>
  <c r="H9" i="165"/>
  <c r="I9" i="165"/>
  <c r="B10" i="165"/>
  <c r="C10" i="165"/>
  <c r="E10" i="165"/>
  <c r="F10" i="165"/>
  <c r="G10" i="165"/>
  <c r="H10" i="165"/>
  <c r="I10" i="165"/>
  <c r="I256" i="21"/>
  <c r="B8" i="165"/>
  <c r="C8" i="165"/>
  <c r="E8" i="165"/>
  <c r="F8" i="165"/>
  <c r="G8" i="165"/>
  <c r="H8" i="165"/>
  <c r="I8" i="165"/>
  <c r="B5" i="165"/>
  <c r="C5" i="165"/>
  <c r="E5" i="165"/>
  <c r="F5" i="165"/>
  <c r="G5" i="165"/>
  <c r="H5" i="165"/>
  <c r="I5" i="165"/>
  <c r="B6" i="165"/>
  <c r="C6" i="165"/>
  <c r="E6" i="165"/>
  <c r="F6" i="165"/>
  <c r="G6" i="165"/>
  <c r="H6" i="165"/>
  <c r="I6" i="165"/>
  <c r="B7" i="165"/>
  <c r="C7" i="165"/>
  <c r="E7" i="165"/>
  <c r="F7" i="165"/>
  <c r="G7" i="165"/>
  <c r="H7" i="165"/>
  <c r="I7" i="165"/>
  <c r="I245" i="21"/>
  <c r="B3" i="165"/>
  <c r="C3" i="165"/>
  <c r="E3" i="165"/>
  <c r="F3" i="165"/>
  <c r="G3" i="165"/>
  <c r="H3" i="165"/>
  <c r="I3" i="165"/>
  <c r="B4" i="165"/>
  <c r="C4" i="165"/>
  <c r="E4" i="165"/>
  <c r="F4" i="165"/>
  <c r="G4" i="165"/>
  <c r="H4" i="165"/>
  <c r="I4" i="165"/>
  <c r="I2" i="165"/>
  <c r="H2" i="165"/>
  <c r="G2" i="165"/>
  <c r="F2" i="165"/>
  <c r="E2" i="165"/>
  <c r="C2" i="165"/>
  <c r="B2" i="165"/>
  <c r="B33" i="164"/>
  <c r="C33" i="164"/>
  <c r="E33" i="164"/>
  <c r="F33" i="164"/>
  <c r="G33" i="164"/>
  <c r="H33" i="164"/>
  <c r="I33" i="164"/>
  <c r="B31" i="164"/>
  <c r="C31" i="164"/>
  <c r="E31" i="164"/>
  <c r="F31" i="164"/>
  <c r="G31" i="164"/>
  <c r="H31" i="164"/>
  <c r="I31" i="164"/>
  <c r="B32" i="164"/>
  <c r="C32" i="164"/>
  <c r="E32" i="164"/>
  <c r="F32" i="164"/>
  <c r="G32" i="164"/>
  <c r="H32" i="164"/>
  <c r="I32" i="164"/>
  <c r="G254" i="21"/>
  <c r="B30" i="164"/>
  <c r="C30" i="164"/>
  <c r="E30" i="164"/>
  <c r="F30" i="164"/>
  <c r="G30" i="164"/>
  <c r="H30" i="164"/>
  <c r="I30" i="164"/>
  <c r="G244" i="21"/>
  <c r="B29" i="164"/>
  <c r="C29" i="164"/>
  <c r="E29" i="164"/>
  <c r="F29" i="164"/>
  <c r="G29" i="164"/>
  <c r="H29" i="164"/>
  <c r="I29" i="164"/>
  <c r="G245" i="21"/>
  <c r="G246" i="21"/>
  <c r="B25" i="164"/>
  <c r="C25" i="164"/>
  <c r="E25" i="164"/>
  <c r="F25" i="164"/>
  <c r="G25" i="164"/>
  <c r="H25" i="164"/>
  <c r="I25" i="164"/>
  <c r="B26" i="164"/>
  <c r="C26" i="164"/>
  <c r="E26" i="164"/>
  <c r="F26" i="164"/>
  <c r="G26" i="164"/>
  <c r="H26" i="164"/>
  <c r="I26" i="164"/>
  <c r="B27" i="164"/>
  <c r="C27" i="164"/>
  <c r="E27" i="164"/>
  <c r="F27" i="164"/>
  <c r="G27" i="164"/>
  <c r="H27" i="164"/>
  <c r="I27" i="164"/>
  <c r="B28" i="164"/>
  <c r="C28" i="164"/>
  <c r="E28" i="164"/>
  <c r="F28" i="164"/>
  <c r="G28" i="164"/>
  <c r="H28" i="164"/>
  <c r="I28" i="164"/>
  <c r="B22" i="164"/>
  <c r="C22" i="164"/>
  <c r="E22" i="164"/>
  <c r="F22" i="164"/>
  <c r="G22" i="164"/>
  <c r="H22" i="164"/>
  <c r="I22" i="164"/>
  <c r="B23" i="164"/>
  <c r="C23" i="164"/>
  <c r="E23" i="164"/>
  <c r="F23" i="164"/>
  <c r="G23" i="164"/>
  <c r="H23" i="164"/>
  <c r="I23" i="164"/>
  <c r="B24" i="164"/>
  <c r="C24" i="164"/>
  <c r="E24" i="164"/>
  <c r="F24" i="164"/>
  <c r="G24" i="164"/>
  <c r="H24" i="164"/>
  <c r="I24" i="164"/>
  <c r="G248" i="21"/>
  <c r="B19" i="164"/>
  <c r="C19" i="164"/>
  <c r="E19" i="164"/>
  <c r="F19" i="164"/>
  <c r="G19" i="164"/>
  <c r="H19" i="164"/>
  <c r="I19" i="164"/>
  <c r="B20" i="164"/>
  <c r="C20" i="164"/>
  <c r="E20" i="164"/>
  <c r="F20" i="164"/>
  <c r="G20" i="164"/>
  <c r="H20" i="164"/>
  <c r="I20" i="164"/>
  <c r="B21" i="164"/>
  <c r="C21" i="164"/>
  <c r="E21" i="164"/>
  <c r="F21" i="164"/>
  <c r="G21" i="164"/>
  <c r="H21" i="164"/>
  <c r="I21" i="164"/>
  <c r="B12" i="164"/>
  <c r="C12" i="164"/>
  <c r="E12" i="164"/>
  <c r="F12" i="164"/>
  <c r="G12" i="164"/>
  <c r="H12" i="164"/>
  <c r="I12" i="164"/>
  <c r="B13" i="164"/>
  <c r="C13" i="164"/>
  <c r="E13" i="164"/>
  <c r="F13" i="164"/>
  <c r="G13" i="164"/>
  <c r="H13" i="164"/>
  <c r="I13" i="164"/>
  <c r="B14" i="164"/>
  <c r="C14" i="164"/>
  <c r="E14" i="164"/>
  <c r="F14" i="164"/>
  <c r="G14" i="164"/>
  <c r="H14" i="164"/>
  <c r="I14" i="164"/>
  <c r="B15" i="164"/>
  <c r="C15" i="164"/>
  <c r="E15" i="164"/>
  <c r="F15" i="164"/>
  <c r="G15" i="164"/>
  <c r="H15" i="164"/>
  <c r="I15" i="164"/>
  <c r="B16" i="164"/>
  <c r="C16" i="164"/>
  <c r="E16" i="164"/>
  <c r="F16" i="164"/>
  <c r="G16" i="164"/>
  <c r="H16" i="164"/>
  <c r="I16" i="164"/>
  <c r="B17" i="164"/>
  <c r="C17" i="164"/>
  <c r="E17" i="164"/>
  <c r="F17" i="164"/>
  <c r="G17" i="164"/>
  <c r="H17" i="164"/>
  <c r="I17" i="164"/>
  <c r="B18" i="164"/>
  <c r="C18" i="164"/>
  <c r="E18" i="164"/>
  <c r="F18" i="164"/>
  <c r="G18" i="164"/>
  <c r="H18" i="164"/>
  <c r="I18" i="164"/>
  <c r="B10" i="164"/>
  <c r="C10" i="164"/>
  <c r="E10" i="164"/>
  <c r="F10" i="164"/>
  <c r="G10" i="164"/>
  <c r="H10" i="164"/>
  <c r="I10" i="164"/>
  <c r="B11" i="164"/>
  <c r="C11" i="164"/>
  <c r="E11" i="164"/>
  <c r="F11" i="164"/>
  <c r="G11" i="164"/>
  <c r="H11" i="164"/>
  <c r="I11" i="164"/>
  <c r="B9" i="164"/>
  <c r="C9" i="164"/>
  <c r="E9" i="164"/>
  <c r="F9" i="164"/>
  <c r="G9" i="164"/>
  <c r="H9" i="164"/>
  <c r="I9" i="164"/>
  <c r="B7" i="164"/>
  <c r="C7" i="164"/>
  <c r="E7" i="164"/>
  <c r="F7" i="164"/>
  <c r="G7" i="164"/>
  <c r="H7" i="164"/>
  <c r="I7" i="164"/>
  <c r="B8" i="164"/>
  <c r="C8" i="164"/>
  <c r="E8" i="164"/>
  <c r="F8" i="164"/>
  <c r="G8" i="164"/>
  <c r="H8" i="164"/>
  <c r="I8" i="164"/>
  <c r="B5" i="164"/>
  <c r="C5" i="164"/>
  <c r="E5" i="164"/>
  <c r="F5" i="164"/>
  <c r="G5" i="164"/>
  <c r="H5" i="164"/>
  <c r="I5" i="164"/>
  <c r="B6" i="164"/>
  <c r="C6" i="164"/>
  <c r="E6" i="164"/>
  <c r="F6" i="164"/>
  <c r="G6" i="164"/>
  <c r="H6" i="164"/>
  <c r="I6" i="164"/>
  <c r="B3" i="164"/>
  <c r="C3" i="164"/>
  <c r="E3" i="164"/>
  <c r="F3" i="164"/>
  <c r="G3" i="164"/>
  <c r="H3" i="164"/>
  <c r="I3" i="164"/>
  <c r="B4" i="164"/>
  <c r="C4" i="164"/>
  <c r="E4" i="164"/>
  <c r="F4" i="164"/>
  <c r="G4" i="164"/>
  <c r="H4" i="164"/>
  <c r="I4" i="164"/>
  <c r="I2" i="164"/>
  <c r="H2" i="164"/>
  <c r="G2" i="164"/>
  <c r="F2" i="164"/>
  <c r="E2" i="164"/>
  <c r="C2" i="164"/>
  <c r="B2" i="164"/>
  <c r="E244" i="21"/>
  <c r="B28" i="163"/>
  <c r="C28" i="163"/>
  <c r="E28" i="163"/>
  <c r="F28" i="163"/>
  <c r="G28" i="163"/>
  <c r="H28" i="163"/>
  <c r="I28" i="163"/>
  <c r="B29" i="163"/>
  <c r="C29" i="163"/>
  <c r="E29" i="163"/>
  <c r="F29" i="163"/>
  <c r="G29" i="163"/>
  <c r="H29" i="163"/>
  <c r="I29" i="163"/>
  <c r="E245" i="21"/>
  <c r="E248" i="21"/>
  <c r="E246" i="21"/>
  <c r="B23" i="163"/>
  <c r="C23" i="163"/>
  <c r="E23" i="163"/>
  <c r="F23" i="163"/>
  <c r="G23" i="163"/>
  <c r="H23" i="163"/>
  <c r="I23" i="163"/>
  <c r="B24" i="163"/>
  <c r="C24" i="163"/>
  <c r="E24" i="163"/>
  <c r="F24" i="163"/>
  <c r="G24" i="163"/>
  <c r="H24" i="163"/>
  <c r="I24" i="163"/>
  <c r="B25" i="163"/>
  <c r="C25" i="163"/>
  <c r="E25" i="163"/>
  <c r="F25" i="163"/>
  <c r="G25" i="163"/>
  <c r="H25" i="163"/>
  <c r="I25" i="163"/>
  <c r="B26" i="163"/>
  <c r="C26" i="163"/>
  <c r="E26" i="163"/>
  <c r="F26" i="163"/>
  <c r="G26" i="163"/>
  <c r="H26" i="163"/>
  <c r="I26" i="163"/>
  <c r="B27" i="163"/>
  <c r="C27" i="163"/>
  <c r="E27" i="163"/>
  <c r="F27" i="163"/>
  <c r="G27" i="163"/>
  <c r="H27" i="163"/>
  <c r="I27" i="163"/>
  <c r="B13" i="163"/>
  <c r="C13" i="163"/>
  <c r="E13" i="163"/>
  <c r="F13" i="163"/>
  <c r="G13" i="163"/>
  <c r="H13" i="163"/>
  <c r="I13" i="163"/>
  <c r="B14" i="163"/>
  <c r="C14" i="163"/>
  <c r="E14" i="163"/>
  <c r="F14" i="163"/>
  <c r="G14" i="163"/>
  <c r="H14" i="163"/>
  <c r="I14" i="163"/>
  <c r="B15" i="163"/>
  <c r="C15" i="163"/>
  <c r="E15" i="163"/>
  <c r="F15" i="163"/>
  <c r="G15" i="163"/>
  <c r="H15" i="163"/>
  <c r="I15" i="163"/>
  <c r="B16" i="163"/>
  <c r="C16" i="163"/>
  <c r="E16" i="163"/>
  <c r="F16" i="163"/>
  <c r="G16" i="163"/>
  <c r="H16" i="163"/>
  <c r="I16" i="163"/>
  <c r="B17" i="163"/>
  <c r="C17" i="163"/>
  <c r="E17" i="163"/>
  <c r="F17" i="163"/>
  <c r="G17" i="163"/>
  <c r="H17" i="163"/>
  <c r="I17" i="163"/>
  <c r="B18" i="163"/>
  <c r="C18" i="163"/>
  <c r="E18" i="163"/>
  <c r="F18" i="163"/>
  <c r="G18" i="163"/>
  <c r="H18" i="163"/>
  <c r="I18" i="163"/>
  <c r="B19" i="163"/>
  <c r="C19" i="163"/>
  <c r="E19" i="163"/>
  <c r="F19" i="163"/>
  <c r="G19" i="163"/>
  <c r="H19" i="163"/>
  <c r="I19" i="163"/>
  <c r="B20" i="163"/>
  <c r="C20" i="163"/>
  <c r="E20" i="163"/>
  <c r="F20" i="163"/>
  <c r="G20" i="163"/>
  <c r="H20" i="163"/>
  <c r="I20" i="163"/>
  <c r="B21" i="163"/>
  <c r="C21" i="163"/>
  <c r="E21" i="163"/>
  <c r="F21" i="163"/>
  <c r="G21" i="163"/>
  <c r="H21" i="163"/>
  <c r="I21" i="163"/>
  <c r="B22" i="163"/>
  <c r="C22" i="163"/>
  <c r="E22" i="163"/>
  <c r="F22" i="163"/>
  <c r="G22" i="163"/>
  <c r="H22" i="163"/>
  <c r="I22" i="163"/>
  <c r="W232" i="21"/>
  <c r="S226" i="21"/>
  <c r="B11" i="163"/>
  <c r="C11" i="163"/>
  <c r="E11" i="163"/>
  <c r="F11" i="163"/>
  <c r="G11" i="163"/>
  <c r="H11" i="163"/>
  <c r="I11" i="163"/>
  <c r="B12" i="163"/>
  <c r="C12" i="163"/>
  <c r="E12" i="163"/>
  <c r="F12" i="163"/>
  <c r="G12" i="163"/>
  <c r="H12" i="163"/>
  <c r="I12" i="163"/>
  <c r="B9" i="163"/>
  <c r="C9" i="163"/>
  <c r="E9" i="163"/>
  <c r="F9" i="163"/>
  <c r="G9" i="163"/>
  <c r="H9" i="163"/>
  <c r="I9" i="163"/>
  <c r="B10" i="163"/>
  <c r="C10" i="163"/>
  <c r="E10" i="163"/>
  <c r="F10" i="163"/>
  <c r="G10" i="163"/>
  <c r="H10" i="163"/>
  <c r="I10" i="163"/>
  <c r="B6" i="163"/>
  <c r="C6" i="163"/>
  <c r="E6" i="163"/>
  <c r="F6" i="163"/>
  <c r="G6" i="163"/>
  <c r="H6" i="163"/>
  <c r="I6" i="163"/>
  <c r="B7" i="163"/>
  <c r="C7" i="163"/>
  <c r="E7" i="163"/>
  <c r="F7" i="163"/>
  <c r="G7" i="163"/>
  <c r="H7" i="163"/>
  <c r="I7" i="163"/>
  <c r="B8" i="163"/>
  <c r="C8" i="163"/>
  <c r="E8" i="163"/>
  <c r="F8" i="163"/>
  <c r="G8" i="163"/>
  <c r="H8" i="163"/>
  <c r="I8" i="163"/>
  <c r="B4" i="163"/>
  <c r="C4" i="163"/>
  <c r="E4" i="163"/>
  <c r="F4" i="163"/>
  <c r="G4" i="163"/>
  <c r="H4" i="163"/>
  <c r="I4" i="163"/>
  <c r="B5" i="163"/>
  <c r="C5" i="163"/>
  <c r="E5" i="163"/>
  <c r="F5" i="163"/>
  <c r="G5" i="163"/>
  <c r="H5" i="163"/>
  <c r="I5" i="163"/>
  <c r="B3" i="163"/>
  <c r="C3" i="163"/>
  <c r="E3" i="163"/>
  <c r="F3" i="163"/>
  <c r="G3" i="163"/>
  <c r="H3" i="163"/>
  <c r="I3" i="163"/>
  <c r="I2" i="163"/>
  <c r="H2" i="163"/>
  <c r="G2" i="163"/>
  <c r="F2" i="163"/>
  <c r="E2" i="163"/>
  <c r="C2" i="163"/>
  <c r="B2" i="163"/>
  <c r="G109" i="12"/>
  <c r="G110" i="12"/>
  <c r="G112" i="12"/>
  <c r="F106" i="12"/>
  <c r="F109" i="12"/>
  <c r="F110" i="12"/>
  <c r="F112" i="12"/>
  <c r="E103" i="12"/>
  <c r="E104" i="12"/>
  <c r="E105" i="12"/>
  <c r="E106" i="12"/>
  <c r="E107" i="12"/>
  <c r="E109" i="12"/>
  <c r="E110" i="12"/>
  <c r="E111" i="12"/>
  <c r="E112" i="12"/>
  <c r="E101" i="12"/>
  <c r="D103" i="12"/>
  <c r="D104" i="12"/>
  <c r="D105" i="12"/>
  <c r="D106" i="12"/>
  <c r="D107" i="12"/>
  <c r="D109" i="12"/>
  <c r="D110" i="12"/>
  <c r="D111" i="12"/>
  <c r="D112" i="12"/>
  <c r="D101" i="12"/>
  <c r="K110" i="12"/>
  <c r="K112" i="12"/>
  <c r="M110" i="12"/>
  <c r="L106" i="12"/>
  <c r="Z256" i="21"/>
  <c r="X256" i="21"/>
  <c r="V256" i="21"/>
  <c r="T256" i="21"/>
  <c r="R256" i="21"/>
  <c r="P256" i="21"/>
  <c r="N256" i="21"/>
  <c r="L256" i="21"/>
  <c r="J256" i="21"/>
  <c r="H256" i="21"/>
  <c r="F256" i="21"/>
  <c r="D256" i="21"/>
  <c r="AC255" i="21"/>
  <c r="AB255" i="21"/>
  <c r="AB254" i="21"/>
  <c r="F111" i="12" s="1"/>
  <c r="AC253" i="21"/>
  <c r="AB253" i="21"/>
  <c r="AC252" i="21"/>
  <c r="AB252" i="21"/>
  <c r="AB251" i="21"/>
  <c r="F108" i="12" s="1"/>
  <c r="AB250" i="21"/>
  <c r="F107" i="12" s="1"/>
  <c r="L107" i="12" s="1"/>
  <c r="AC250" i="21"/>
  <c r="G107" i="12" s="1"/>
  <c r="M107" i="12" s="1"/>
  <c r="AC249" i="21"/>
  <c r="G106" i="12" s="1"/>
  <c r="M106" i="12" s="1"/>
  <c r="AB249" i="21"/>
  <c r="AB248" i="21"/>
  <c r="F105" i="12" s="1"/>
  <c r="AB247" i="21"/>
  <c r="F104" i="12" s="1"/>
  <c r="AC247" i="21"/>
  <c r="G104" i="12" s="1"/>
  <c r="AB246" i="21"/>
  <c r="F103" i="12" s="1"/>
  <c r="J103" i="12" s="1"/>
  <c r="AB245" i="21"/>
  <c r="F102" i="12" s="1"/>
  <c r="AB244" i="21"/>
  <c r="F101" i="12" s="1"/>
  <c r="L101" i="12" s="1"/>
  <c r="AA256" i="21"/>
  <c r="Y256" i="21"/>
  <c r="W256" i="21"/>
  <c r="U256" i="21"/>
  <c r="Q256" i="21"/>
  <c r="O256" i="21"/>
  <c r="AA229" i="21"/>
  <c r="AA226" i="21"/>
  <c r="AA227" i="21"/>
  <c r="AA225" i="21"/>
  <c r="B59" i="162"/>
  <c r="C59" i="162"/>
  <c r="E59" i="162"/>
  <c r="F59" i="162"/>
  <c r="G59" i="162"/>
  <c r="H59" i="162"/>
  <c r="I59" i="162"/>
  <c r="B52" i="162"/>
  <c r="C52" i="162"/>
  <c r="E52" i="162"/>
  <c r="F52" i="162"/>
  <c r="G52" i="162"/>
  <c r="H52" i="162"/>
  <c r="I52" i="162"/>
  <c r="B53" i="162"/>
  <c r="C53" i="162"/>
  <c r="E53" i="162"/>
  <c r="F53" i="162"/>
  <c r="G53" i="162"/>
  <c r="H53" i="162"/>
  <c r="I53" i="162"/>
  <c r="B54" i="162"/>
  <c r="C54" i="162"/>
  <c r="E54" i="162"/>
  <c r="F54" i="162"/>
  <c r="G54" i="162"/>
  <c r="H54" i="162"/>
  <c r="I54" i="162"/>
  <c r="B55" i="162"/>
  <c r="C55" i="162"/>
  <c r="E55" i="162"/>
  <c r="F55" i="162"/>
  <c r="G55" i="162"/>
  <c r="H55" i="162"/>
  <c r="I55" i="162"/>
  <c r="B56" i="162"/>
  <c r="C56" i="162"/>
  <c r="E56" i="162"/>
  <c r="F56" i="162"/>
  <c r="G56" i="162"/>
  <c r="H56" i="162"/>
  <c r="I56" i="162"/>
  <c r="B57" i="162"/>
  <c r="C57" i="162"/>
  <c r="E57" i="162"/>
  <c r="F57" i="162"/>
  <c r="G57" i="162"/>
  <c r="H57" i="162"/>
  <c r="I57" i="162"/>
  <c r="B58" i="162"/>
  <c r="C58" i="162"/>
  <c r="E58" i="162"/>
  <c r="F58" i="162"/>
  <c r="G58" i="162"/>
  <c r="H58" i="162"/>
  <c r="I58" i="162"/>
  <c r="AA228" i="21"/>
  <c r="B46" i="162"/>
  <c r="C46" i="162"/>
  <c r="E46" i="162"/>
  <c r="F46" i="162"/>
  <c r="G46" i="162"/>
  <c r="H46" i="162"/>
  <c r="I46" i="162"/>
  <c r="B47" i="162"/>
  <c r="C47" i="162"/>
  <c r="E47" i="162"/>
  <c r="F47" i="162"/>
  <c r="G47" i="162"/>
  <c r="H47" i="162"/>
  <c r="I47" i="162"/>
  <c r="B48" i="162"/>
  <c r="C48" i="162"/>
  <c r="E48" i="162"/>
  <c r="F48" i="162"/>
  <c r="G48" i="162"/>
  <c r="H48" i="162"/>
  <c r="I48" i="162"/>
  <c r="B49" i="162"/>
  <c r="C49" i="162"/>
  <c r="E49" i="162"/>
  <c r="F49" i="162"/>
  <c r="G49" i="162"/>
  <c r="H49" i="162"/>
  <c r="I49" i="162"/>
  <c r="B50" i="162"/>
  <c r="C50" i="162"/>
  <c r="E50" i="162"/>
  <c r="F50" i="162"/>
  <c r="G50" i="162"/>
  <c r="H50" i="162"/>
  <c r="I50" i="162"/>
  <c r="B51" i="162"/>
  <c r="C51" i="162"/>
  <c r="E51" i="162"/>
  <c r="F51" i="162"/>
  <c r="G51" i="162"/>
  <c r="H51" i="162"/>
  <c r="I51" i="162"/>
  <c r="B39" i="162"/>
  <c r="C39" i="162"/>
  <c r="E39" i="162"/>
  <c r="F39" i="162"/>
  <c r="G39" i="162"/>
  <c r="H39" i="162"/>
  <c r="I39" i="162"/>
  <c r="B40" i="162"/>
  <c r="C40" i="162"/>
  <c r="E40" i="162"/>
  <c r="F40" i="162"/>
  <c r="G40" i="162"/>
  <c r="H40" i="162"/>
  <c r="I40" i="162"/>
  <c r="B41" i="162"/>
  <c r="C41" i="162"/>
  <c r="E41" i="162"/>
  <c r="F41" i="162"/>
  <c r="G41" i="162"/>
  <c r="H41" i="162"/>
  <c r="I41" i="162"/>
  <c r="B42" i="162"/>
  <c r="C42" i="162"/>
  <c r="E42" i="162"/>
  <c r="F42" i="162"/>
  <c r="G42" i="162"/>
  <c r="H42" i="162"/>
  <c r="I42" i="162"/>
  <c r="B43" i="162"/>
  <c r="C43" i="162"/>
  <c r="E43" i="162"/>
  <c r="F43" i="162"/>
  <c r="G43" i="162"/>
  <c r="H43" i="162"/>
  <c r="I43" i="162"/>
  <c r="B44" i="162"/>
  <c r="C44" i="162"/>
  <c r="E44" i="162"/>
  <c r="F44" i="162"/>
  <c r="G44" i="162"/>
  <c r="H44" i="162"/>
  <c r="I44" i="162"/>
  <c r="B45" i="162"/>
  <c r="C45" i="162"/>
  <c r="E45" i="162"/>
  <c r="F45" i="162"/>
  <c r="G45" i="162"/>
  <c r="H45" i="162"/>
  <c r="I45" i="162"/>
  <c r="B36" i="162"/>
  <c r="C36" i="162"/>
  <c r="E36" i="162"/>
  <c r="F36" i="162"/>
  <c r="G36" i="162"/>
  <c r="H36" i="162"/>
  <c r="I36" i="162"/>
  <c r="B37" i="162"/>
  <c r="C37" i="162"/>
  <c r="E37" i="162"/>
  <c r="F37" i="162"/>
  <c r="G37" i="162"/>
  <c r="H37" i="162"/>
  <c r="I37" i="162"/>
  <c r="B38" i="162"/>
  <c r="C38" i="162"/>
  <c r="E38" i="162"/>
  <c r="F38" i="162"/>
  <c r="G38" i="162"/>
  <c r="H38" i="162"/>
  <c r="I38" i="162"/>
  <c r="AA231" i="21"/>
  <c r="AA235" i="21"/>
  <c r="AA232" i="21"/>
  <c r="B25" i="162"/>
  <c r="C25" i="162"/>
  <c r="E25" i="162"/>
  <c r="F25" i="162"/>
  <c r="G25" i="162"/>
  <c r="H25" i="162"/>
  <c r="I25" i="162"/>
  <c r="B26" i="162"/>
  <c r="C26" i="162"/>
  <c r="E26" i="162"/>
  <c r="F26" i="162"/>
  <c r="G26" i="162"/>
  <c r="H26" i="162"/>
  <c r="I26" i="162"/>
  <c r="B27" i="162"/>
  <c r="C27" i="162"/>
  <c r="E27" i="162"/>
  <c r="F27" i="162"/>
  <c r="G27" i="162"/>
  <c r="H27" i="162"/>
  <c r="I27" i="162"/>
  <c r="B28" i="162"/>
  <c r="C28" i="162"/>
  <c r="E28" i="162"/>
  <c r="F28" i="162"/>
  <c r="G28" i="162"/>
  <c r="H28" i="162"/>
  <c r="I28" i="162"/>
  <c r="B29" i="162"/>
  <c r="C29" i="162"/>
  <c r="E29" i="162"/>
  <c r="F29" i="162"/>
  <c r="G29" i="162"/>
  <c r="H29" i="162"/>
  <c r="I29" i="162"/>
  <c r="B30" i="162"/>
  <c r="C30" i="162"/>
  <c r="E30" i="162"/>
  <c r="F30" i="162"/>
  <c r="G30" i="162"/>
  <c r="H30" i="162"/>
  <c r="I30" i="162"/>
  <c r="B31" i="162"/>
  <c r="C31" i="162"/>
  <c r="E31" i="162"/>
  <c r="F31" i="162"/>
  <c r="G31" i="162"/>
  <c r="H31" i="162"/>
  <c r="I31" i="162"/>
  <c r="B32" i="162"/>
  <c r="C32" i="162"/>
  <c r="E32" i="162"/>
  <c r="F32" i="162"/>
  <c r="G32" i="162"/>
  <c r="H32" i="162"/>
  <c r="I32" i="162"/>
  <c r="B33" i="162"/>
  <c r="C33" i="162"/>
  <c r="E33" i="162"/>
  <c r="F33" i="162"/>
  <c r="G33" i="162"/>
  <c r="H33" i="162"/>
  <c r="I33" i="162"/>
  <c r="B34" i="162"/>
  <c r="C34" i="162"/>
  <c r="E34" i="162"/>
  <c r="F34" i="162"/>
  <c r="G34" i="162"/>
  <c r="H34" i="162"/>
  <c r="I34" i="162"/>
  <c r="B35" i="162"/>
  <c r="C35" i="162"/>
  <c r="E35" i="162"/>
  <c r="F35" i="162"/>
  <c r="G35" i="162"/>
  <c r="H35" i="162"/>
  <c r="I35" i="162"/>
  <c r="B24" i="162"/>
  <c r="C24" i="162"/>
  <c r="E24" i="162"/>
  <c r="F24" i="162"/>
  <c r="G24" i="162"/>
  <c r="H24" i="162"/>
  <c r="I24" i="162"/>
  <c r="B3" i="162"/>
  <c r="C3" i="162"/>
  <c r="E3" i="162"/>
  <c r="F3" i="162"/>
  <c r="G3" i="162"/>
  <c r="H3" i="162"/>
  <c r="I3" i="162"/>
  <c r="B4" i="162"/>
  <c r="C4" i="162"/>
  <c r="E4" i="162"/>
  <c r="F4" i="162"/>
  <c r="G4" i="162"/>
  <c r="H4" i="162"/>
  <c r="I4" i="162"/>
  <c r="B5" i="162"/>
  <c r="C5" i="162"/>
  <c r="E5" i="162"/>
  <c r="F5" i="162"/>
  <c r="G5" i="162"/>
  <c r="H5" i="162"/>
  <c r="I5" i="162"/>
  <c r="B6" i="162"/>
  <c r="C6" i="162"/>
  <c r="E6" i="162"/>
  <c r="F6" i="162"/>
  <c r="G6" i="162"/>
  <c r="H6" i="162"/>
  <c r="I6" i="162"/>
  <c r="B7" i="162"/>
  <c r="C7" i="162"/>
  <c r="E7" i="162"/>
  <c r="F7" i="162"/>
  <c r="G7" i="162"/>
  <c r="H7" i="162"/>
  <c r="I7" i="162"/>
  <c r="B8" i="162"/>
  <c r="C8" i="162"/>
  <c r="E8" i="162"/>
  <c r="F8" i="162"/>
  <c r="G8" i="162"/>
  <c r="H8" i="162"/>
  <c r="I8" i="162"/>
  <c r="B9" i="162"/>
  <c r="C9" i="162"/>
  <c r="E9" i="162"/>
  <c r="F9" i="162"/>
  <c r="G9" i="162"/>
  <c r="H9" i="162"/>
  <c r="I9" i="162"/>
  <c r="B10" i="162"/>
  <c r="C10" i="162"/>
  <c r="E10" i="162"/>
  <c r="F10" i="162"/>
  <c r="G10" i="162"/>
  <c r="H10" i="162"/>
  <c r="I10" i="162"/>
  <c r="B11" i="162"/>
  <c r="C11" i="162"/>
  <c r="E11" i="162"/>
  <c r="F11" i="162"/>
  <c r="G11" i="162"/>
  <c r="H11" i="162"/>
  <c r="I11" i="162"/>
  <c r="B12" i="162"/>
  <c r="C12" i="162"/>
  <c r="E12" i="162"/>
  <c r="F12" i="162"/>
  <c r="G12" i="162"/>
  <c r="H12" i="162"/>
  <c r="I12" i="162"/>
  <c r="B13" i="162"/>
  <c r="C13" i="162"/>
  <c r="E13" i="162"/>
  <c r="F13" i="162"/>
  <c r="G13" i="162"/>
  <c r="H13" i="162"/>
  <c r="I13" i="162"/>
  <c r="B14" i="162"/>
  <c r="C14" i="162"/>
  <c r="E14" i="162"/>
  <c r="F14" i="162"/>
  <c r="G14" i="162"/>
  <c r="H14" i="162"/>
  <c r="I14" i="162"/>
  <c r="B15" i="162"/>
  <c r="C15" i="162"/>
  <c r="E15" i="162"/>
  <c r="F15" i="162"/>
  <c r="G15" i="162"/>
  <c r="H15" i="162"/>
  <c r="I15" i="162"/>
  <c r="B16" i="162"/>
  <c r="C16" i="162"/>
  <c r="E16" i="162"/>
  <c r="F16" i="162"/>
  <c r="G16" i="162"/>
  <c r="H16" i="162"/>
  <c r="I16" i="162"/>
  <c r="B17" i="162"/>
  <c r="C17" i="162"/>
  <c r="E17" i="162"/>
  <c r="F17" i="162"/>
  <c r="G17" i="162"/>
  <c r="H17" i="162"/>
  <c r="I17" i="162"/>
  <c r="B18" i="162"/>
  <c r="C18" i="162"/>
  <c r="E18" i="162"/>
  <c r="F18" i="162"/>
  <c r="G18" i="162"/>
  <c r="H18" i="162"/>
  <c r="I18" i="162"/>
  <c r="B19" i="162"/>
  <c r="C19" i="162"/>
  <c r="E19" i="162"/>
  <c r="F19" i="162"/>
  <c r="G19" i="162"/>
  <c r="H19" i="162"/>
  <c r="I19" i="162"/>
  <c r="B20" i="162"/>
  <c r="C20" i="162"/>
  <c r="E20" i="162"/>
  <c r="F20" i="162"/>
  <c r="G20" i="162"/>
  <c r="H20" i="162"/>
  <c r="I20" i="162"/>
  <c r="B21" i="162"/>
  <c r="C21" i="162"/>
  <c r="E21" i="162"/>
  <c r="F21" i="162"/>
  <c r="G21" i="162"/>
  <c r="H21" i="162"/>
  <c r="I21" i="162"/>
  <c r="B22" i="162"/>
  <c r="C22" i="162"/>
  <c r="E22" i="162"/>
  <c r="F22" i="162"/>
  <c r="G22" i="162"/>
  <c r="H22" i="162"/>
  <c r="I22" i="162"/>
  <c r="B23" i="162"/>
  <c r="C23" i="162"/>
  <c r="E23" i="162"/>
  <c r="F23" i="162"/>
  <c r="G23" i="162"/>
  <c r="H23" i="162"/>
  <c r="I23" i="162"/>
  <c r="I2" i="162"/>
  <c r="H2" i="162"/>
  <c r="G2" i="162"/>
  <c r="F2" i="162"/>
  <c r="E2" i="162"/>
  <c r="C2" i="162"/>
  <c r="B2" i="162"/>
  <c r="B41" i="161"/>
  <c r="C41" i="161"/>
  <c r="E41" i="161"/>
  <c r="F41" i="161"/>
  <c r="G41" i="161"/>
  <c r="H41" i="161"/>
  <c r="I41" i="161"/>
  <c r="Y225" i="21"/>
  <c r="Y232" i="21"/>
  <c r="Y231" i="21"/>
  <c r="Y235" i="21"/>
  <c r="B34" i="161"/>
  <c r="C34" i="161"/>
  <c r="E34" i="161"/>
  <c r="F34" i="161"/>
  <c r="G34" i="161"/>
  <c r="H34" i="161"/>
  <c r="I34" i="161"/>
  <c r="B35" i="161"/>
  <c r="C35" i="161"/>
  <c r="E35" i="161"/>
  <c r="F35" i="161"/>
  <c r="G35" i="161"/>
  <c r="H35" i="161"/>
  <c r="I35" i="161"/>
  <c r="B36" i="161"/>
  <c r="C36" i="161"/>
  <c r="E36" i="161"/>
  <c r="F36" i="161"/>
  <c r="G36" i="161"/>
  <c r="H36" i="161"/>
  <c r="I36" i="161"/>
  <c r="B37" i="161"/>
  <c r="C37" i="161"/>
  <c r="E37" i="161"/>
  <c r="F37" i="161"/>
  <c r="G37" i="161"/>
  <c r="H37" i="161"/>
  <c r="I37" i="161"/>
  <c r="B38" i="161"/>
  <c r="C38" i="161"/>
  <c r="E38" i="161"/>
  <c r="F38" i="161"/>
  <c r="G38" i="161"/>
  <c r="H38" i="161"/>
  <c r="I38" i="161"/>
  <c r="B39" i="161"/>
  <c r="C39" i="161"/>
  <c r="E39" i="161"/>
  <c r="F39" i="161"/>
  <c r="G39" i="161"/>
  <c r="H39" i="161"/>
  <c r="I39" i="161"/>
  <c r="B40" i="161"/>
  <c r="C40" i="161"/>
  <c r="E40" i="161"/>
  <c r="F40" i="161"/>
  <c r="G40" i="161"/>
  <c r="H40" i="161"/>
  <c r="I40" i="161"/>
  <c r="B32" i="161"/>
  <c r="C32" i="161"/>
  <c r="E32" i="161"/>
  <c r="F32" i="161"/>
  <c r="G32" i="161"/>
  <c r="H32" i="161"/>
  <c r="I32" i="161"/>
  <c r="B33" i="161"/>
  <c r="C33" i="161"/>
  <c r="E33" i="161"/>
  <c r="F33" i="161"/>
  <c r="G33" i="161"/>
  <c r="H33" i="161"/>
  <c r="I33" i="161"/>
  <c r="Y226" i="21"/>
  <c r="B30" i="161"/>
  <c r="C30" i="161"/>
  <c r="E30" i="161"/>
  <c r="F30" i="161"/>
  <c r="G30" i="161"/>
  <c r="H30" i="161"/>
  <c r="I30" i="161"/>
  <c r="B31" i="161"/>
  <c r="C31" i="161"/>
  <c r="E31" i="161"/>
  <c r="F31" i="161"/>
  <c r="G31" i="161"/>
  <c r="H31" i="161"/>
  <c r="I31" i="161"/>
  <c r="Y227" i="21"/>
  <c r="Y229" i="21"/>
  <c r="B26" i="161"/>
  <c r="C26" i="161"/>
  <c r="E26" i="161"/>
  <c r="F26" i="161"/>
  <c r="G26" i="161"/>
  <c r="H26" i="161"/>
  <c r="I26" i="161"/>
  <c r="B27" i="161"/>
  <c r="C27" i="161"/>
  <c r="E27" i="161"/>
  <c r="F27" i="161"/>
  <c r="G27" i="161"/>
  <c r="H27" i="161"/>
  <c r="I27" i="161"/>
  <c r="B28" i="161"/>
  <c r="C28" i="161"/>
  <c r="E28" i="161"/>
  <c r="F28" i="161"/>
  <c r="G28" i="161"/>
  <c r="H28" i="161"/>
  <c r="I28" i="161"/>
  <c r="B29" i="161"/>
  <c r="C29" i="161"/>
  <c r="E29" i="161"/>
  <c r="F29" i="161"/>
  <c r="G29" i="161"/>
  <c r="H29" i="161"/>
  <c r="I29" i="161"/>
  <c r="B18" i="161"/>
  <c r="C18" i="161"/>
  <c r="E18" i="161"/>
  <c r="F18" i="161"/>
  <c r="G18" i="161"/>
  <c r="H18" i="161"/>
  <c r="I18" i="161"/>
  <c r="B19" i="161"/>
  <c r="C19" i="161"/>
  <c r="E19" i="161"/>
  <c r="F19" i="161"/>
  <c r="G19" i="161"/>
  <c r="H19" i="161"/>
  <c r="I19" i="161"/>
  <c r="B20" i="161"/>
  <c r="C20" i="161"/>
  <c r="E20" i="161"/>
  <c r="F20" i="161"/>
  <c r="G20" i="161"/>
  <c r="H20" i="161"/>
  <c r="I20" i="161"/>
  <c r="B21" i="161"/>
  <c r="C21" i="161"/>
  <c r="E21" i="161"/>
  <c r="F21" i="161"/>
  <c r="G21" i="161"/>
  <c r="H21" i="161"/>
  <c r="I21" i="161"/>
  <c r="B22" i="161"/>
  <c r="C22" i="161"/>
  <c r="E22" i="161"/>
  <c r="F22" i="161"/>
  <c r="G22" i="161"/>
  <c r="H22" i="161"/>
  <c r="I22" i="161"/>
  <c r="B23" i="161"/>
  <c r="C23" i="161"/>
  <c r="E23" i="161"/>
  <c r="F23" i="161"/>
  <c r="G23" i="161"/>
  <c r="H23" i="161"/>
  <c r="I23" i="161"/>
  <c r="B24" i="161"/>
  <c r="C24" i="161"/>
  <c r="E24" i="161"/>
  <c r="F24" i="161"/>
  <c r="G24" i="161"/>
  <c r="H24" i="161"/>
  <c r="I24" i="161"/>
  <c r="B25" i="161"/>
  <c r="C25" i="161"/>
  <c r="E25" i="161"/>
  <c r="F25" i="161"/>
  <c r="G25" i="161"/>
  <c r="H25" i="161"/>
  <c r="I25" i="161"/>
  <c r="B14" i="161"/>
  <c r="C14" i="161"/>
  <c r="E14" i="161"/>
  <c r="F14" i="161"/>
  <c r="G14" i="161"/>
  <c r="H14" i="161"/>
  <c r="I14" i="161"/>
  <c r="B15" i="161"/>
  <c r="C15" i="161"/>
  <c r="E15" i="161"/>
  <c r="F15" i="161"/>
  <c r="G15" i="161"/>
  <c r="H15" i="161"/>
  <c r="I15" i="161"/>
  <c r="B16" i="161"/>
  <c r="C16" i="161"/>
  <c r="E16" i="161"/>
  <c r="F16" i="161"/>
  <c r="G16" i="161"/>
  <c r="H16" i="161"/>
  <c r="I16" i="161"/>
  <c r="B17" i="161"/>
  <c r="C17" i="161"/>
  <c r="E17" i="161"/>
  <c r="F17" i="161"/>
  <c r="G17" i="161"/>
  <c r="H17" i="161"/>
  <c r="I17" i="161"/>
  <c r="B12" i="161"/>
  <c r="C12" i="161"/>
  <c r="E12" i="161"/>
  <c r="F12" i="161"/>
  <c r="G12" i="161"/>
  <c r="H12" i="161"/>
  <c r="I12" i="161"/>
  <c r="B13" i="161"/>
  <c r="C13" i="161"/>
  <c r="E13" i="161"/>
  <c r="F13" i="161"/>
  <c r="G13" i="161"/>
  <c r="H13" i="161"/>
  <c r="I13" i="161"/>
  <c r="U229" i="21"/>
  <c r="B8" i="161"/>
  <c r="C8" i="161"/>
  <c r="E8" i="161"/>
  <c r="F8" i="161"/>
  <c r="G8" i="161"/>
  <c r="H8" i="161"/>
  <c r="I8" i="161"/>
  <c r="B9" i="161"/>
  <c r="C9" i="161"/>
  <c r="E9" i="161"/>
  <c r="F9" i="161"/>
  <c r="G9" i="161"/>
  <c r="H9" i="161"/>
  <c r="I9" i="161"/>
  <c r="B10" i="161"/>
  <c r="C10" i="161"/>
  <c r="E10" i="161"/>
  <c r="F10" i="161"/>
  <c r="G10" i="161"/>
  <c r="H10" i="161"/>
  <c r="I10" i="161"/>
  <c r="B11" i="161"/>
  <c r="C11" i="161"/>
  <c r="E11" i="161"/>
  <c r="F11" i="161"/>
  <c r="G11" i="161"/>
  <c r="H11" i="161"/>
  <c r="I11" i="161"/>
  <c r="B6" i="161"/>
  <c r="C6" i="161"/>
  <c r="E6" i="161"/>
  <c r="F6" i="161"/>
  <c r="G6" i="161"/>
  <c r="H6" i="161"/>
  <c r="I6" i="161"/>
  <c r="B7" i="161"/>
  <c r="C7" i="161"/>
  <c r="E7" i="161"/>
  <c r="F7" i="161"/>
  <c r="G7" i="161"/>
  <c r="H7" i="161"/>
  <c r="I7" i="161"/>
  <c r="B5" i="161"/>
  <c r="C5" i="161"/>
  <c r="E5" i="161"/>
  <c r="F5" i="161"/>
  <c r="G5" i="161"/>
  <c r="H5" i="161"/>
  <c r="I5" i="161"/>
  <c r="B3" i="161"/>
  <c r="C3" i="161"/>
  <c r="E3" i="161"/>
  <c r="F3" i="161"/>
  <c r="G3" i="161"/>
  <c r="H3" i="161"/>
  <c r="I3" i="161"/>
  <c r="B4" i="161"/>
  <c r="C4" i="161"/>
  <c r="E4" i="161"/>
  <c r="F4" i="161"/>
  <c r="G4" i="161"/>
  <c r="H4" i="161"/>
  <c r="I4" i="161"/>
  <c r="I2" i="161"/>
  <c r="H2" i="161"/>
  <c r="G2" i="161"/>
  <c r="F2" i="161"/>
  <c r="E2" i="161"/>
  <c r="C2" i="161"/>
  <c r="B2" i="161"/>
  <c r="M256" i="21" l="1"/>
  <c r="I43" i="166"/>
  <c r="I124" i="4"/>
  <c r="K256" i="21"/>
  <c r="I17" i="165"/>
  <c r="K106" i="12"/>
  <c r="AC244" i="21"/>
  <c r="G101" i="12" s="1"/>
  <c r="M101" i="12" s="1"/>
  <c r="J107" i="12"/>
  <c r="I34" i="164"/>
  <c r="M111" i="12"/>
  <c r="K111" i="12"/>
  <c r="J111" i="12"/>
  <c r="L111" i="12"/>
  <c r="G256" i="21"/>
  <c r="AC248" i="21"/>
  <c r="G105" i="12" s="1"/>
  <c r="M105" i="12" s="1"/>
  <c r="AC245" i="21"/>
  <c r="G102" i="12" s="1"/>
  <c r="M102" i="12" s="1"/>
  <c r="I30" i="163"/>
  <c r="E256" i="21"/>
  <c r="S256" i="21"/>
  <c r="J105" i="12"/>
  <c r="L105" i="12"/>
  <c r="K103" i="12"/>
  <c r="M103" i="12"/>
  <c r="L103" i="12"/>
  <c r="J101" i="12"/>
  <c r="L102" i="12"/>
  <c r="K104" i="12"/>
  <c r="I60" i="162"/>
  <c r="J106" i="12"/>
  <c r="K109" i="12"/>
  <c r="M109" i="12"/>
  <c r="J109" i="12"/>
  <c r="K107" i="12"/>
  <c r="J110" i="12"/>
  <c r="J104" i="12"/>
  <c r="J112" i="12"/>
  <c r="M104" i="12"/>
  <c r="L109" i="12"/>
  <c r="M112" i="12"/>
  <c r="L108" i="12"/>
  <c r="M108" i="12"/>
  <c r="L110" i="12"/>
  <c r="L104" i="12"/>
  <c r="L112" i="12"/>
  <c r="AB256" i="21"/>
  <c r="F113" i="12" s="1"/>
  <c r="L113" i="12" s="1"/>
  <c r="I42" i="161"/>
  <c r="B72" i="160"/>
  <c r="C72" i="160"/>
  <c r="E72" i="160"/>
  <c r="F72" i="160"/>
  <c r="G72" i="160"/>
  <c r="H72" i="160"/>
  <c r="I72" i="160"/>
  <c r="W235" i="21"/>
  <c r="B67" i="160"/>
  <c r="C67" i="160"/>
  <c r="E67" i="160"/>
  <c r="F67" i="160"/>
  <c r="G67" i="160"/>
  <c r="H67" i="160"/>
  <c r="I67" i="160"/>
  <c r="B68" i="160"/>
  <c r="C68" i="160"/>
  <c r="E68" i="160"/>
  <c r="F68" i="160"/>
  <c r="G68" i="160"/>
  <c r="H68" i="160"/>
  <c r="I68" i="160"/>
  <c r="B69" i="160"/>
  <c r="C69" i="160"/>
  <c r="E69" i="160"/>
  <c r="F69" i="160"/>
  <c r="G69" i="160"/>
  <c r="H69" i="160"/>
  <c r="I69" i="160"/>
  <c r="B70" i="160"/>
  <c r="C70" i="160"/>
  <c r="E70" i="160"/>
  <c r="F70" i="160"/>
  <c r="G70" i="160"/>
  <c r="H70" i="160"/>
  <c r="I70" i="160"/>
  <c r="B71" i="160"/>
  <c r="C71" i="160"/>
  <c r="E71" i="160"/>
  <c r="F71" i="160"/>
  <c r="G71" i="160"/>
  <c r="H71" i="160"/>
  <c r="I71" i="160"/>
  <c r="W229" i="21"/>
  <c r="W226" i="21"/>
  <c r="I64" i="160"/>
  <c r="W227" i="21"/>
  <c r="B64" i="160"/>
  <c r="C64" i="160"/>
  <c r="E64" i="160"/>
  <c r="F64" i="160"/>
  <c r="G64" i="160"/>
  <c r="H64" i="160"/>
  <c r="B65" i="160"/>
  <c r="C65" i="160"/>
  <c r="E65" i="160"/>
  <c r="F65" i="160"/>
  <c r="G65" i="160"/>
  <c r="H65" i="160"/>
  <c r="I65" i="160"/>
  <c r="B66" i="160"/>
  <c r="C66" i="160"/>
  <c r="E66" i="160"/>
  <c r="F66" i="160"/>
  <c r="G66" i="160"/>
  <c r="H66" i="160"/>
  <c r="I66" i="160"/>
  <c r="B63" i="160"/>
  <c r="C63" i="160"/>
  <c r="E63" i="160"/>
  <c r="F63" i="160"/>
  <c r="G63" i="160"/>
  <c r="H63" i="160"/>
  <c r="I63" i="160"/>
  <c r="B60" i="160"/>
  <c r="C60" i="160"/>
  <c r="E60" i="160"/>
  <c r="F60" i="160"/>
  <c r="G60" i="160"/>
  <c r="H60" i="160"/>
  <c r="I60" i="160"/>
  <c r="B61" i="160"/>
  <c r="C61" i="160"/>
  <c r="E61" i="160"/>
  <c r="F61" i="160"/>
  <c r="G61" i="160"/>
  <c r="H61" i="160"/>
  <c r="I61" i="160"/>
  <c r="B62" i="160"/>
  <c r="C62" i="160"/>
  <c r="E62" i="160"/>
  <c r="F62" i="160"/>
  <c r="G62" i="160"/>
  <c r="H62" i="160"/>
  <c r="I62" i="160"/>
  <c r="B59" i="160"/>
  <c r="C59" i="160"/>
  <c r="E59" i="160"/>
  <c r="F59" i="160"/>
  <c r="G59" i="160"/>
  <c r="H59" i="160"/>
  <c r="I59" i="160"/>
  <c r="B57" i="160"/>
  <c r="C57" i="160"/>
  <c r="E57" i="160"/>
  <c r="F57" i="160"/>
  <c r="G57" i="160"/>
  <c r="H57" i="160"/>
  <c r="I57" i="160"/>
  <c r="B58" i="160"/>
  <c r="C58" i="160"/>
  <c r="E58" i="160"/>
  <c r="F58" i="160"/>
  <c r="G58" i="160"/>
  <c r="H58" i="160"/>
  <c r="I58" i="160"/>
  <c r="B56" i="160"/>
  <c r="C56" i="160"/>
  <c r="E56" i="160"/>
  <c r="F56" i="160"/>
  <c r="G56" i="160"/>
  <c r="H56" i="160"/>
  <c r="I56" i="160"/>
  <c r="W231" i="21"/>
  <c r="W228" i="21"/>
  <c r="B27" i="160"/>
  <c r="C27" i="160"/>
  <c r="E27" i="160"/>
  <c r="F27" i="160"/>
  <c r="G27" i="160"/>
  <c r="H27" i="160"/>
  <c r="I27" i="160"/>
  <c r="B28" i="160"/>
  <c r="C28" i="160"/>
  <c r="E28" i="160"/>
  <c r="F28" i="160"/>
  <c r="G28" i="160"/>
  <c r="H28" i="160"/>
  <c r="I28" i="160"/>
  <c r="B29" i="160"/>
  <c r="C29" i="160"/>
  <c r="E29" i="160"/>
  <c r="F29" i="160"/>
  <c r="G29" i="160"/>
  <c r="H29" i="160"/>
  <c r="I29" i="160"/>
  <c r="B30" i="160"/>
  <c r="C30" i="160"/>
  <c r="E30" i="160"/>
  <c r="F30" i="160"/>
  <c r="G30" i="160"/>
  <c r="H30" i="160"/>
  <c r="I30" i="160"/>
  <c r="B31" i="160"/>
  <c r="C31" i="160"/>
  <c r="E31" i="160"/>
  <c r="F31" i="160"/>
  <c r="G31" i="160"/>
  <c r="H31" i="160"/>
  <c r="I31" i="160"/>
  <c r="B32" i="160"/>
  <c r="C32" i="160"/>
  <c r="E32" i="160"/>
  <c r="F32" i="160"/>
  <c r="G32" i="160"/>
  <c r="H32" i="160"/>
  <c r="I32" i="160"/>
  <c r="B33" i="160"/>
  <c r="C33" i="160"/>
  <c r="E33" i="160"/>
  <c r="F33" i="160"/>
  <c r="G33" i="160"/>
  <c r="H33" i="160"/>
  <c r="I33" i="160"/>
  <c r="B34" i="160"/>
  <c r="C34" i="160"/>
  <c r="E34" i="160"/>
  <c r="F34" i="160"/>
  <c r="G34" i="160"/>
  <c r="H34" i="160"/>
  <c r="I34" i="160"/>
  <c r="B35" i="160"/>
  <c r="C35" i="160"/>
  <c r="E35" i="160"/>
  <c r="F35" i="160"/>
  <c r="G35" i="160"/>
  <c r="H35" i="160"/>
  <c r="I35" i="160"/>
  <c r="B36" i="160"/>
  <c r="C36" i="160"/>
  <c r="E36" i="160"/>
  <c r="F36" i="160"/>
  <c r="G36" i="160"/>
  <c r="H36" i="160"/>
  <c r="I36" i="160"/>
  <c r="B37" i="160"/>
  <c r="C37" i="160"/>
  <c r="E37" i="160"/>
  <c r="F37" i="160"/>
  <c r="G37" i="160"/>
  <c r="H37" i="160"/>
  <c r="I37" i="160"/>
  <c r="B38" i="160"/>
  <c r="C38" i="160"/>
  <c r="E38" i="160"/>
  <c r="F38" i="160"/>
  <c r="G38" i="160"/>
  <c r="H38" i="160"/>
  <c r="I38" i="160"/>
  <c r="B39" i="160"/>
  <c r="C39" i="160"/>
  <c r="E39" i="160"/>
  <c r="F39" i="160"/>
  <c r="G39" i="160"/>
  <c r="H39" i="160"/>
  <c r="I39" i="160"/>
  <c r="B40" i="160"/>
  <c r="C40" i="160"/>
  <c r="E40" i="160"/>
  <c r="F40" i="160"/>
  <c r="G40" i="160"/>
  <c r="H40" i="160"/>
  <c r="I40" i="160"/>
  <c r="B41" i="160"/>
  <c r="C41" i="160"/>
  <c r="E41" i="160"/>
  <c r="F41" i="160"/>
  <c r="G41" i="160"/>
  <c r="H41" i="160"/>
  <c r="I41" i="160"/>
  <c r="B42" i="160"/>
  <c r="C42" i="160"/>
  <c r="E42" i="160"/>
  <c r="F42" i="160"/>
  <c r="G42" i="160"/>
  <c r="H42" i="160"/>
  <c r="I42" i="160"/>
  <c r="B43" i="160"/>
  <c r="C43" i="160"/>
  <c r="E43" i="160"/>
  <c r="F43" i="160"/>
  <c r="G43" i="160"/>
  <c r="H43" i="160"/>
  <c r="I43" i="160"/>
  <c r="B44" i="160"/>
  <c r="C44" i="160"/>
  <c r="E44" i="160"/>
  <c r="F44" i="160"/>
  <c r="G44" i="160"/>
  <c r="H44" i="160"/>
  <c r="I44" i="160"/>
  <c r="B45" i="160"/>
  <c r="C45" i="160"/>
  <c r="E45" i="160"/>
  <c r="F45" i="160"/>
  <c r="G45" i="160"/>
  <c r="H45" i="160"/>
  <c r="I45" i="160"/>
  <c r="B46" i="160"/>
  <c r="C46" i="160"/>
  <c r="E46" i="160"/>
  <c r="F46" i="160"/>
  <c r="G46" i="160"/>
  <c r="H46" i="160"/>
  <c r="I46" i="160"/>
  <c r="B47" i="160"/>
  <c r="C47" i="160"/>
  <c r="E47" i="160"/>
  <c r="F47" i="160"/>
  <c r="G47" i="160"/>
  <c r="H47" i="160"/>
  <c r="I47" i="160"/>
  <c r="B48" i="160"/>
  <c r="C48" i="160"/>
  <c r="E48" i="160"/>
  <c r="F48" i="160"/>
  <c r="G48" i="160"/>
  <c r="H48" i="160"/>
  <c r="I48" i="160"/>
  <c r="B49" i="160"/>
  <c r="C49" i="160"/>
  <c r="E49" i="160"/>
  <c r="F49" i="160"/>
  <c r="G49" i="160"/>
  <c r="H49" i="160"/>
  <c r="I49" i="160"/>
  <c r="B50" i="160"/>
  <c r="C50" i="160"/>
  <c r="E50" i="160"/>
  <c r="F50" i="160"/>
  <c r="G50" i="160"/>
  <c r="H50" i="160"/>
  <c r="I50" i="160"/>
  <c r="B51" i="160"/>
  <c r="C51" i="160"/>
  <c r="E51" i="160"/>
  <c r="F51" i="160"/>
  <c r="G51" i="160"/>
  <c r="H51" i="160"/>
  <c r="I51" i="160"/>
  <c r="B52" i="160"/>
  <c r="C52" i="160"/>
  <c r="E52" i="160"/>
  <c r="F52" i="160"/>
  <c r="G52" i="160"/>
  <c r="H52" i="160"/>
  <c r="I52" i="160"/>
  <c r="B53" i="160"/>
  <c r="C53" i="160"/>
  <c r="E53" i="160"/>
  <c r="F53" i="160"/>
  <c r="G53" i="160"/>
  <c r="H53" i="160"/>
  <c r="I53" i="160"/>
  <c r="B54" i="160"/>
  <c r="C54" i="160"/>
  <c r="E54" i="160"/>
  <c r="F54" i="160"/>
  <c r="G54" i="160"/>
  <c r="H54" i="160"/>
  <c r="I54" i="160"/>
  <c r="B55" i="160"/>
  <c r="C55" i="160"/>
  <c r="E55" i="160"/>
  <c r="F55" i="160"/>
  <c r="G55" i="160"/>
  <c r="H55" i="160"/>
  <c r="I55" i="160"/>
  <c r="B18" i="160"/>
  <c r="C18" i="160"/>
  <c r="E18" i="160"/>
  <c r="F18" i="160"/>
  <c r="G18" i="160"/>
  <c r="H18" i="160"/>
  <c r="I18" i="160"/>
  <c r="B19" i="160"/>
  <c r="C19" i="160"/>
  <c r="E19" i="160"/>
  <c r="F19" i="160"/>
  <c r="G19" i="160"/>
  <c r="H19" i="160"/>
  <c r="I19" i="160"/>
  <c r="B20" i="160"/>
  <c r="C20" i="160"/>
  <c r="E20" i="160"/>
  <c r="F20" i="160"/>
  <c r="G20" i="160"/>
  <c r="H20" i="160"/>
  <c r="I20" i="160"/>
  <c r="B21" i="160"/>
  <c r="C21" i="160"/>
  <c r="E21" i="160"/>
  <c r="F21" i="160"/>
  <c r="G21" i="160"/>
  <c r="H21" i="160"/>
  <c r="I21" i="160"/>
  <c r="B22" i="160"/>
  <c r="C22" i="160"/>
  <c r="E22" i="160"/>
  <c r="F22" i="160"/>
  <c r="G22" i="160"/>
  <c r="H22" i="160"/>
  <c r="I22" i="160"/>
  <c r="B23" i="160"/>
  <c r="C23" i="160"/>
  <c r="E23" i="160"/>
  <c r="F23" i="160"/>
  <c r="G23" i="160"/>
  <c r="H23" i="160"/>
  <c r="I23" i="160"/>
  <c r="B24" i="160"/>
  <c r="C24" i="160"/>
  <c r="E24" i="160"/>
  <c r="F24" i="160"/>
  <c r="G24" i="160"/>
  <c r="H24" i="160"/>
  <c r="I24" i="160"/>
  <c r="B25" i="160"/>
  <c r="C25" i="160"/>
  <c r="E25" i="160"/>
  <c r="F25" i="160"/>
  <c r="G25" i="160"/>
  <c r="H25" i="160"/>
  <c r="I25" i="160"/>
  <c r="B26" i="160"/>
  <c r="C26" i="160"/>
  <c r="E26" i="160"/>
  <c r="F26" i="160"/>
  <c r="G26" i="160"/>
  <c r="H26" i="160"/>
  <c r="I26" i="160"/>
  <c r="B4" i="160"/>
  <c r="C4" i="160"/>
  <c r="E4" i="160"/>
  <c r="F4" i="160"/>
  <c r="G4" i="160"/>
  <c r="H4" i="160"/>
  <c r="I4" i="160"/>
  <c r="B5" i="160"/>
  <c r="C5" i="160"/>
  <c r="E5" i="160"/>
  <c r="F5" i="160"/>
  <c r="G5" i="160"/>
  <c r="H5" i="160"/>
  <c r="I5" i="160"/>
  <c r="B6" i="160"/>
  <c r="C6" i="160"/>
  <c r="E6" i="160"/>
  <c r="F6" i="160"/>
  <c r="G6" i="160"/>
  <c r="H6" i="160"/>
  <c r="I6" i="160"/>
  <c r="B7" i="160"/>
  <c r="C7" i="160"/>
  <c r="E7" i="160"/>
  <c r="F7" i="160"/>
  <c r="G7" i="160"/>
  <c r="H7" i="160"/>
  <c r="I7" i="160"/>
  <c r="B8" i="160"/>
  <c r="C8" i="160"/>
  <c r="E8" i="160"/>
  <c r="F8" i="160"/>
  <c r="G8" i="160"/>
  <c r="H8" i="160"/>
  <c r="I8" i="160"/>
  <c r="B9" i="160"/>
  <c r="C9" i="160"/>
  <c r="E9" i="160"/>
  <c r="F9" i="160"/>
  <c r="G9" i="160"/>
  <c r="H9" i="160"/>
  <c r="I9" i="160"/>
  <c r="B10" i="160"/>
  <c r="C10" i="160"/>
  <c r="E10" i="160"/>
  <c r="F10" i="160"/>
  <c r="G10" i="160"/>
  <c r="H10" i="160"/>
  <c r="I10" i="160"/>
  <c r="B11" i="160"/>
  <c r="C11" i="160"/>
  <c r="E11" i="160"/>
  <c r="F11" i="160"/>
  <c r="G11" i="160"/>
  <c r="H11" i="160"/>
  <c r="I11" i="160"/>
  <c r="B12" i="160"/>
  <c r="C12" i="160"/>
  <c r="E12" i="160"/>
  <c r="F12" i="160"/>
  <c r="G12" i="160"/>
  <c r="H12" i="160"/>
  <c r="I12" i="160"/>
  <c r="B13" i="160"/>
  <c r="C13" i="160"/>
  <c r="E13" i="160"/>
  <c r="F13" i="160"/>
  <c r="G13" i="160"/>
  <c r="H13" i="160"/>
  <c r="I13" i="160"/>
  <c r="B14" i="160"/>
  <c r="C14" i="160"/>
  <c r="E14" i="160"/>
  <c r="F14" i="160"/>
  <c r="G14" i="160"/>
  <c r="H14" i="160"/>
  <c r="I14" i="160"/>
  <c r="B15" i="160"/>
  <c r="C15" i="160"/>
  <c r="E15" i="160"/>
  <c r="F15" i="160"/>
  <c r="G15" i="160"/>
  <c r="H15" i="160"/>
  <c r="I15" i="160"/>
  <c r="B16" i="160"/>
  <c r="C16" i="160"/>
  <c r="E16" i="160"/>
  <c r="F16" i="160"/>
  <c r="G16" i="160"/>
  <c r="H16" i="160"/>
  <c r="I16" i="160"/>
  <c r="B17" i="160"/>
  <c r="C17" i="160"/>
  <c r="E17" i="160"/>
  <c r="F17" i="160"/>
  <c r="G17" i="160"/>
  <c r="H17" i="160"/>
  <c r="I17" i="160"/>
  <c r="B3" i="160"/>
  <c r="C3" i="160"/>
  <c r="E3" i="160"/>
  <c r="F3" i="160"/>
  <c r="G3" i="160"/>
  <c r="H3" i="160"/>
  <c r="I3" i="160"/>
  <c r="I2" i="160"/>
  <c r="H2" i="160"/>
  <c r="G2" i="160"/>
  <c r="F2" i="160"/>
  <c r="E2" i="160"/>
  <c r="C2" i="160"/>
  <c r="B2" i="160"/>
  <c r="W225" i="21"/>
  <c r="U227" i="21"/>
  <c r="U226" i="21"/>
  <c r="U232" i="21"/>
  <c r="U231" i="21"/>
  <c r="U225" i="21"/>
  <c r="U235" i="21"/>
  <c r="B51" i="159"/>
  <c r="C51" i="159"/>
  <c r="E51" i="159"/>
  <c r="F51" i="159"/>
  <c r="G51" i="159"/>
  <c r="H51" i="159"/>
  <c r="I51" i="159"/>
  <c r="B52" i="159"/>
  <c r="C52" i="159"/>
  <c r="E52" i="159"/>
  <c r="F52" i="159"/>
  <c r="G52" i="159"/>
  <c r="H52" i="159"/>
  <c r="I52" i="159"/>
  <c r="B53" i="159"/>
  <c r="C53" i="159"/>
  <c r="E53" i="159"/>
  <c r="F53" i="159"/>
  <c r="G53" i="159"/>
  <c r="H53" i="159"/>
  <c r="I53" i="159"/>
  <c r="B54" i="159"/>
  <c r="C54" i="159"/>
  <c r="E54" i="159"/>
  <c r="F54" i="159"/>
  <c r="G54" i="159"/>
  <c r="H54" i="159"/>
  <c r="I54" i="159"/>
  <c r="B55" i="159"/>
  <c r="C55" i="159"/>
  <c r="E55" i="159"/>
  <c r="F55" i="159"/>
  <c r="G55" i="159"/>
  <c r="H55" i="159"/>
  <c r="I55" i="159"/>
  <c r="B56" i="159"/>
  <c r="C56" i="159"/>
  <c r="E56" i="159"/>
  <c r="F56" i="159"/>
  <c r="G56" i="159"/>
  <c r="H56" i="159"/>
  <c r="I56" i="159"/>
  <c r="B57" i="159"/>
  <c r="C57" i="159"/>
  <c r="E57" i="159"/>
  <c r="F57" i="159"/>
  <c r="G57" i="159"/>
  <c r="H57" i="159"/>
  <c r="I57" i="159"/>
  <c r="B58" i="159"/>
  <c r="C58" i="159"/>
  <c r="E58" i="159"/>
  <c r="F58" i="159"/>
  <c r="G58" i="159"/>
  <c r="H58" i="159"/>
  <c r="I58" i="159"/>
  <c r="B59" i="159"/>
  <c r="C59" i="159"/>
  <c r="E59" i="159"/>
  <c r="F59" i="159"/>
  <c r="G59" i="159"/>
  <c r="H59" i="159"/>
  <c r="I59" i="159"/>
  <c r="B60" i="159"/>
  <c r="C60" i="159"/>
  <c r="E60" i="159"/>
  <c r="F60" i="159"/>
  <c r="G60" i="159"/>
  <c r="H60" i="159"/>
  <c r="I60" i="159"/>
  <c r="B47" i="159"/>
  <c r="C47" i="159"/>
  <c r="E47" i="159"/>
  <c r="F47" i="159"/>
  <c r="G47" i="159"/>
  <c r="H47" i="159"/>
  <c r="I47" i="159"/>
  <c r="B48" i="159"/>
  <c r="C48" i="159"/>
  <c r="E48" i="159"/>
  <c r="F48" i="159"/>
  <c r="G48" i="159"/>
  <c r="H48" i="159"/>
  <c r="I48" i="159"/>
  <c r="B49" i="159"/>
  <c r="C49" i="159"/>
  <c r="E49" i="159"/>
  <c r="F49" i="159"/>
  <c r="G49" i="159"/>
  <c r="H49" i="159"/>
  <c r="I49" i="159"/>
  <c r="B50" i="159"/>
  <c r="C50" i="159"/>
  <c r="E50" i="159"/>
  <c r="F50" i="159"/>
  <c r="G50" i="159"/>
  <c r="H50" i="159"/>
  <c r="I50" i="159"/>
  <c r="B36" i="159"/>
  <c r="C36" i="159"/>
  <c r="E36" i="159"/>
  <c r="F36" i="159"/>
  <c r="G36" i="159"/>
  <c r="H36" i="159"/>
  <c r="I36" i="159"/>
  <c r="B37" i="159"/>
  <c r="C37" i="159"/>
  <c r="E37" i="159"/>
  <c r="F37" i="159"/>
  <c r="G37" i="159"/>
  <c r="H37" i="159"/>
  <c r="I37" i="159"/>
  <c r="B38" i="159"/>
  <c r="C38" i="159"/>
  <c r="E38" i="159"/>
  <c r="F38" i="159"/>
  <c r="G38" i="159"/>
  <c r="H38" i="159"/>
  <c r="I38" i="159"/>
  <c r="B39" i="159"/>
  <c r="C39" i="159"/>
  <c r="E39" i="159"/>
  <c r="F39" i="159"/>
  <c r="G39" i="159"/>
  <c r="H39" i="159"/>
  <c r="I39" i="159"/>
  <c r="B40" i="159"/>
  <c r="C40" i="159"/>
  <c r="E40" i="159"/>
  <c r="F40" i="159"/>
  <c r="G40" i="159"/>
  <c r="H40" i="159"/>
  <c r="I40" i="159"/>
  <c r="B41" i="159"/>
  <c r="C41" i="159"/>
  <c r="E41" i="159"/>
  <c r="F41" i="159"/>
  <c r="G41" i="159"/>
  <c r="H41" i="159"/>
  <c r="I41" i="159"/>
  <c r="B42" i="159"/>
  <c r="C42" i="159"/>
  <c r="E42" i="159"/>
  <c r="F42" i="159"/>
  <c r="G42" i="159"/>
  <c r="H42" i="159"/>
  <c r="I42" i="159"/>
  <c r="B43" i="159"/>
  <c r="C43" i="159"/>
  <c r="E43" i="159"/>
  <c r="F43" i="159"/>
  <c r="G43" i="159"/>
  <c r="H43" i="159"/>
  <c r="I43" i="159"/>
  <c r="B44" i="159"/>
  <c r="C44" i="159"/>
  <c r="E44" i="159"/>
  <c r="F44" i="159"/>
  <c r="G44" i="159"/>
  <c r="H44" i="159"/>
  <c r="I44" i="159"/>
  <c r="B45" i="159"/>
  <c r="C45" i="159"/>
  <c r="E45" i="159"/>
  <c r="F45" i="159"/>
  <c r="G45" i="159"/>
  <c r="H45" i="159"/>
  <c r="I45" i="159"/>
  <c r="B46" i="159"/>
  <c r="C46" i="159"/>
  <c r="E46" i="159"/>
  <c r="F46" i="159"/>
  <c r="G46" i="159"/>
  <c r="H46" i="159"/>
  <c r="I46" i="159"/>
  <c r="B29" i="159"/>
  <c r="C29" i="159"/>
  <c r="E29" i="159"/>
  <c r="F29" i="159"/>
  <c r="G29" i="159"/>
  <c r="H29" i="159"/>
  <c r="I29" i="159"/>
  <c r="B30" i="159"/>
  <c r="C30" i="159"/>
  <c r="E30" i="159"/>
  <c r="F30" i="159"/>
  <c r="G30" i="159"/>
  <c r="H30" i="159"/>
  <c r="I30" i="159"/>
  <c r="B31" i="159"/>
  <c r="C31" i="159"/>
  <c r="E31" i="159"/>
  <c r="F31" i="159"/>
  <c r="G31" i="159"/>
  <c r="H31" i="159"/>
  <c r="I31" i="159"/>
  <c r="B32" i="159"/>
  <c r="C32" i="159"/>
  <c r="E32" i="159"/>
  <c r="F32" i="159"/>
  <c r="G32" i="159"/>
  <c r="H32" i="159"/>
  <c r="I32" i="159"/>
  <c r="B33" i="159"/>
  <c r="C33" i="159"/>
  <c r="E33" i="159"/>
  <c r="F33" i="159"/>
  <c r="G33" i="159"/>
  <c r="H33" i="159"/>
  <c r="I33" i="159"/>
  <c r="B34" i="159"/>
  <c r="C34" i="159"/>
  <c r="E34" i="159"/>
  <c r="F34" i="159"/>
  <c r="G34" i="159"/>
  <c r="H34" i="159"/>
  <c r="I34" i="159"/>
  <c r="B35" i="159"/>
  <c r="C35" i="159"/>
  <c r="E35" i="159"/>
  <c r="F35" i="159"/>
  <c r="G35" i="159"/>
  <c r="H35" i="159"/>
  <c r="I35" i="159"/>
  <c r="I225" i="21"/>
  <c r="B23" i="159"/>
  <c r="C23" i="159"/>
  <c r="E23" i="159"/>
  <c r="F23" i="159"/>
  <c r="G23" i="159"/>
  <c r="H23" i="159"/>
  <c r="I23" i="159"/>
  <c r="B24" i="159"/>
  <c r="C24" i="159"/>
  <c r="E24" i="159"/>
  <c r="F24" i="159"/>
  <c r="G24" i="159"/>
  <c r="H24" i="159"/>
  <c r="I24" i="159"/>
  <c r="B25" i="159"/>
  <c r="C25" i="159"/>
  <c r="E25" i="159"/>
  <c r="F25" i="159"/>
  <c r="G25" i="159"/>
  <c r="H25" i="159"/>
  <c r="I25" i="159"/>
  <c r="B26" i="159"/>
  <c r="C26" i="159"/>
  <c r="E26" i="159"/>
  <c r="F26" i="159"/>
  <c r="G26" i="159"/>
  <c r="H26" i="159"/>
  <c r="I26" i="159"/>
  <c r="B27" i="159"/>
  <c r="C27" i="159"/>
  <c r="E27" i="159"/>
  <c r="F27" i="159"/>
  <c r="G27" i="159"/>
  <c r="H27" i="159"/>
  <c r="I27" i="159"/>
  <c r="B28" i="159"/>
  <c r="C28" i="159"/>
  <c r="E28" i="159"/>
  <c r="F28" i="159"/>
  <c r="G28" i="159"/>
  <c r="H28" i="159"/>
  <c r="I28" i="159"/>
  <c r="B9" i="159"/>
  <c r="C9" i="159"/>
  <c r="E9" i="159"/>
  <c r="F9" i="159"/>
  <c r="G9" i="159"/>
  <c r="H9" i="159"/>
  <c r="I9" i="159"/>
  <c r="B10" i="159"/>
  <c r="C10" i="159"/>
  <c r="E10" i="159"/>
  <c r="F10" i="159"/>
  <c r="G10" i="159"/>
  <c r="H10" i="159"/>
  <c r="I10" i="159"/>
  <c r="B11" i="159"/>
  <c r="C11" i="159"/>
  <c r="E11" i="159"/>
  <c r="F11" i="159"/>
  <c r="G11" i="159"/>
  <c r="H11" i="159"/>
  <c r="I11" i="159"/>
  <c r="B12" i="159"/>
  <c r="C12" i="159"/>
  <c r="E12" i="159"/>
  <c r="F12" i="159"/>
  <c r="G12" i="159"/>
  <c r="H12" i="159"/>
  <c r="I12" i="159"/>
  <c r="B13" i="159"/>
  <c r="C13" i="159"/>
  <c r="E13" i="159"/>
  <c r="F13" i="159"/>
  <c r="G13" i="159"/>
  <c r="H13" i="159"/>
  <c r="I13" i="159"/>
  <c r="B14" i="159"/>
  <c r="C14" i="159"/>
  <c r="E14" i="159"/>
  <c r="F14" i="159"/>
  <c r="G14" i="159"/>
  <c r="H14" i="159"/>
  <c r="I14" i="159"/>
  <c r="B15" i="159"/>
  <c r="C15" i="159"/>
  <c r="E15" i="159"/>
  <c r="F15" i="159"/>
  <c r="G15" i="159"/>
  <c r="H15" i="159"/>
  <c r="I15" i="159"/>
  <c r="B16" i="159"/>
  <c r="C16" i="159"/>
  <c r="E16" i="159"/>
  <c r="F16" i="159"/>
  <c r="G16" i="159"/>
  <c r="H16" i="159"/>
  <c r="I16" i="159"/>
  <c r="B17" i="159"/>
  <c r="C17" i="159"/>
  <c r="E17" i="159"/>
  <c r="F17" i="159"/>
  <c r="G17" i="159"/>
  <c r="H17" i="159"/>
  <c r="I17" i="159"/>
  <c r="B18" i="159"/>
  <c r="C18" i="159"/>
  <c r="E18" i="159"/>
  <c r="F18" i="159"/>
  <c r="G18" i="159"/>
  <c r="H18" i="159"/>
  <c r="I18" i="159"/>
  <c r="B19" i="159"/>
  <c r="C19" i="159"/>
  <c r="E19" i="159"/>
  <c r="F19" i="159"/>
  <c r="G19" i="159"/>
  <c r="H19" i="159"/>
  <c r="I19" i="159"/>
  <c r="B20" i="159"/>
  <c r="C20" i="159"/>
  <c r="E20" i="159"/>
  <c r="F20" i="159"/>
  <c r="G20" i="159"/>
  <c r="H20" i="159"/>
  <c r="I20" i="159"/>
  <c r="B21" i="159"/>
  <c r="C21" i="159"/>
  <c r="E21" i="159"/>
  <c r="F21" i="159"/>
  <c r="G21" i="159"/>
  <c r="H21" i="159"/>
  <c r="I21" i="159"/>
  <c r="B22" i="159"/>
  <c r="C22" i="159"/>
  <c r="E22" i="159"/>
  <c r="F22" i="159"/>
  <c r="G22" i="159"/>
  <c r="H22" i="159"/>
  <c r="I22" i="159"/>
  <c r="B6" i="159"/>
  <c r="C6" i="159"/>
  <c r="E6" i="159"/>
  <c r="F6" i="159"/>
  <c r="G6" i="159"/>
  <c r="H6" i="159"/>
  <c r="I6" i="159"/>
  <c r="B7" i="159"/>
  <c r="C7" i="159"/>
  <c r="E7" i="159"/>
  <c r="F7" i="159"/>
  <c r="G7" i="159"/>
  <c r="H7" i="159"/>
  <c r="I7" i="159"/>
  <c r="B8" i="159"/>
  <c r="C8" i="159"/>
  <c r="E8" i="159"/>
  <c r="F8" i="159"/>
  <c r="G8" i="159"/>
  <c r="H8" i="159"/>
  <c r="I8" i="159"/>
  <c r="B3" i="159"/>
  <c r="C3" i="159"/>
  <c r="E3" i="159"/>
  <c r="F3" i="159"/>
  <c r="G3" i="159"/>
  <c r="H3" i="159"/>
  <c r="I3" i="159"/>
  <c r="B4" i="159"/>
  <c r="C4" i="159"/>
  <c r="E4" i="159"/>
  <c r="F4" i="159"/>
  <c r="G4" i="159"/>
  <c r="H4" i="159"/>
  <c r="I4" i="159"/>
  <c r="B5" i="159"/>
  <c r="C5" i="159"/>
  <c r="E5" i="159"/>
  <c r="F5" i="159"/>
  <c r="G5" i="159"/>
  <c r="H5" i="159"/>
  <c r="I5" i="159"/>
  <c r="K101" i="12" l="1"/>
  <c r="AC256" i="21"/>
  <c r="G113" i="12" s="1"/>
  <c r="M113" i="12" s="1"/>
  <c r="K105" i="12"/>
  <c r="I73" i="160"/>
  <c r="I2" i="159"/>
  <c r="I61" i="159" s="1"/>
  <c r="H2" i="159"/>
  <c r="G2" i="159"/>
  <c r="F2" i="159"/>
  <c r="E2" i="159"/>
  <c r="C2" i="159"/>
  <c r="B2" i="159"/>
  <c r="S227" i="21" l="1"/>
  <c r="B3" i="158"/>
  <c r="C3" i="158"/>
  <c r="E3" i="158"/>
  <c r="F3" i="158"/>
  <c r="G3" i="158"/>
  <c r="H3" i="158"/>
  <c r="I3" i="158"/>
  <c r="B4" i="158"/>
  <c r="C4" i="158"/>
  <c r="E4" i="158"/>
  <c r="F4" i="158"/>
  <c r="G4" i="158"/>
  <c r="H4" i="158"/>
  <c r="I4" i="158"/>
  <c r="B5" i="158"/>
  <c r="C5" i="158"/>
  <c r="E5" i="158"/>
  <c r="F5" i="158"/>
  <c r="G5" i="158"/>
  <c r="H5" i="158"/>
  <c r="I5" i="158"/>
  <c r="B6" i="158"/>
  <c r="C6" i="158"/>
  <c r="E6" i="158"/>
  <c r="F6" i="158"/>
  <c r="G6" i="158"/>
  <c r="H6" i="158"/>
  <c r="I6" i="158"/>
  <c r="B7" i="158"/>
  <c r="C7" i="158"/>
  <c r="E7" i="158"/>
  <c r="F7" i="158"/>
  <c r="G7" i="158"/>
  <c r="H7" i="158"/>
  <c r="I7" i="158"/>
  <c r="B8" i="158"/>
  <c r="C8" i="158"/>
  <c r="E8" i="158"/>
  <c r="F8" i="158"/>
  <c r="G8" i="158"/>
  <c r="H8" i="158"/>
  <c r="I8" i="158"/>
  <c r="B9" i="158"/>
  <c r="C9" i="158"/>
  <c r="E9" i="158"/>
  <c r="F9" i="158"/>
  <c r="G9" i="158"/>
  <c r="H9" i="158"/>
  <c r="I9" i="158"/>
  <c r="B10" i="158"/>
  <c r="C10" i="158"/>
  <c r="E10" i="158"/>
  <c r="F10" i="158"/>
  <c r="G10" i="158"/>
  <c r="H10" i="158"/>
  <c r="I10" i="158"/>
  <c r="B11" i="158"/>
  <c r="C11" i="158"/>
  <c r="E11" i="158"/>
  <c r="F11" i="158"/>
  <c r="G11" i="158"/>
  <c r="H11" i="158"/>
  <c r="I11" i="158"/>
  <c r="B12" i="158"/>
  <c r="C12" i="158"/>
  <c r="E12" i="158"/>
  <c r="F12" i="158"/>
  <c r="G12" i="158"/>
  <c r="H12" i="158"/>
  <c r="I12" i="158"/>
  <c r="B13" i="158"/>
  <c r="C13" i="158"/>
  <c r="E13" i="158"/>
  <c r="F13" i="158"/>
  <c r="G13" i="158"/>
  <c r="H13" i="158"/>
  <c r="I13" i="158"/>
  <c r="B14" i="158"/>
  <c r="C14" i="158"/>
  <c r="E14" i="158"/>
  <c r="F14" i="158"/>
  <c r="G14" i="158"/>
  <c r="H14" i="158"/>
  <c r="I14" i="158"/>
  <c r="I2" i="158" l="1"/>
  <c r="I15" i="158" s="1"/>
  <c r="H2" i="158"/>
  <c r="G2" i="158"/>
  <c r="F2" i="158"/>
  <c r="E2" i="158"/>
  <c r="C2" i="158"/>
  <c r="B2" i="158"/>
  <c r="B35" i="157"/>
  <c r="C35" i="157"/>
  <c r="E35" i="157"/>
  <c r="F35" i="157"/>
  <c r="G35" i="157"/>
  <c r="H35" i="157"/>
  <c r="I35" i="157"/>
  <c r="B36" i="157"/>
  <c r="C36" i="157"/>
  <c r="E36" i="157"/>
  <c r="F36" i="157"/>
  <c r="G36" i="157"/>
  <c r="H36" i="157"/>
  <c r="I36" i="157"/>
  <c r="B37" i="157"/>
  <c r="C37" i="157"/>
  <c r="E37" i="157"/>
  <c r="F37" i="157"/>
  <c r="G37" i="157"/>
  <c r="H37" i="157"/>
  <c r="I37" i="157"/>
  <c r="B38" i="157"/>
  <c r="C38" i="157"/>
  <c r="E38" i="157"/>
  <c r="F38" i="157"/>
  <c r="G38" i="157"/>
  <c r="H38" i="157"/>
  <c r="I38" i="157"/>
  <c r="B39" i="157"/>
  <c r="C39" i="157"/>
  <c r="E39" i="157"/>
  <c r="F39" i="157"/>
  <c r="G39" i="157"/>
  <c r="H39" i="157"/>
  <c r="I39" i="157"/>
  <c r="B40" i="157"/>
  <c r="C40" i="157"/>
  <c r="E40" i="157"/>
  <c r="F40" i="157"/>
  <c r="G40" i="157"/>
  <c r="H40" i="157"/>
  <c r="I40" i="157"/>
  <c r="B41" i="157"/>
  <c r="C41" i="157"/>
  <c r="E41" i="157"/>
  <c r="F41" i="157"/>
  <c r="G41" i="157"/>
  <c r="H41" i="157"/>
  <c r="I41" i="157"/>
  <c r="B42" i="157"/>
  <c r="C42" i="157"/>
  <c r="E42" i="157"/>
  <c r="F42" i="157"/>
  <c r="G42" i="157"/>
  <c r="H42" i="157"/>
  <c r="I42" i="157"/>
  <c r="B43" i="157"/>
  <c r="C43" i="157"/>
  <c r="E43" i="157"/>
  <c r="F43" i="157"/>
  <c r="G43" i="157"/>
  <c r="H43" i="157"/>
  <c r="I43" i="157"/>
  <c r="B44" i="157"/>
  <c r="C44" i="157"/>
  <c r="E44" i="157"/>
  <c r="F44" i="157"/>
  <c r="G44" i="157"/>
  <c r="H44" i="157"/>
  <c r="I44" i="157"/>
  <c r="B45" i="157"/>
  <c r="C45" i="157"/>
  <c r="E45" i="157"/>
  <c r="F45" i="157"/>
  <c r="G45" i="157"/>
  <c r="H45" i="157"/>
  <c r="I45" i="157"/>
  <c r="Q229" i="21"/>
  <c r="B23" i="157" l="1"/>
  <c r="C23" i="157"/>
  <c r="E23" i="157"/>
  <c r="F23" i="157"/>
  <c r="G23" i="157"/>
  <c r="H23" i="157"/>
  <c r="I23" i="157"/>
  <c r="B24" i="157"/>
  <c r="C24" i="157"/>
  <c r="E24" i="157"/>
  <c r="F24" i="157"/>
  <c r="G24" i="157"/>
  <c r="H24" i="157"/>
  <c r="I24" i="157"/>
  <c r="B25" i="157"/>
  <c r="C25" i="157"/>
  <c r="E25" i="157"/>
  <c r="F25" i="157"/>
  <c r="G25" i="157"/>
  <c r="H25" i="157"/>
  <c r="I25" i="157"/>
  <c r="B26" i="157"/>
  <c r="C26" i="157"/>
  <c r="E26" i="157"/>
  <c r="F26" i="157"/>
  <c r="G26" i="157"/>
  <c r="H26" i="157"/>
  <c r="I26" i="157"/>
  <c r="B27" i="157"/>
  <c r="C27" i="157"/>
  <c r="E27" i="157"/>
  <c r="F27" i="157"/>
  <c r="G27" i="157"/>
  <c r="H27" i="157"/>
  <c r="I27" i="157"/>
  <c r="B28" i="157"/>
  <c r="C28" i="157"/>
  <c r="E28" i="157"/>
  <c r="F28" i="157"/>
  <c r="G28" i="157"/>
  <c r="H28" i="157"/>
  <c r="I28" i="157"/>
  <c r="B29" i="157"/>
  <c r="C29" i="157"/>
  <c r="E29" i="157"/>
  <c r="F29" i="157"/>
  <c r="G29" i="157"/>
  <c r="H29" i="157"/>
  <c r="I29" i="157"/>
  <c r="B30" i="157"/>
  <c r="C30" i="157"/>
  <c r="E30" i="157"/>
  <c r="F30" i="157"/>
  <c r="G30" i="157"/>
  <c r="H30" i="157"/>
  <c r="I30" i="157"/>
  <c r="B31" i="157"/>
  <c r="C31" i="157"/>
  <c r="E31" i="157"/>
  <c r="F31" i="157"/>
  <c r="G31" i="157"/>
  <c r="H31" i="157"/>
  <c r="I31" i="157"/>
  <c r="B32" i="157"/>
  <c r="C32" i="157"/>
  <c r="E32" i="157"/>
  <c r="F32" i="157"/>
  <c r="G32" i="157"/>
  <c r="H32" i="157"/>
  <c r="I32" i="157"/>
  <c r="B33" i="157"/>
  <c r="C33" i="157"/>
  <c r="E33" i="157"/>
  <c r="F33" i="157"/>
  <c r="G33" i="157"/>
  <c r="H33" i="157"/>
  <c r="I33" i="157"/>
  <c r="B34" i="157"/>
  <c r="C34" i="157"/>
  <c r="E34" i="157"/>
  <c r="F34" i="157"/>
  <c r="G34" i="157"/>
  <c r="H34" i="157"/>
  <c r="I34" i="157"/>
  <c r="B21" i="157" l="1"/>
  <c r="C21" i="157"/>
  <c r="E21" i="157"/>
  <c r="F21" i="157"/>
  <c r="G21" i="157"/>
  <c r="H21" i="157"/>
  <c r="I21" i="157"/>
  <c r="B22" i="157"/>
  <c r="C22" i="157"/>
  <c r="E22" i="157"/>
  <c r="F22" i="157"/>
  <c r="G22" i="157"/>
  <c r="H22" i="157"/>
  <c r="I22" i="157"/>
  <c r="Q225" i="21"/>
  <c r="B8" i="157" l="1"/>
  <c r="C8" i="157"/>
  <c r="E8" i="157"/>
  <c r="F8" i="157"/>
  <c r="G8" i="157"/>
  <c r="H8" i="157"/>
  <c r="I8" i="157"/>
  <c r="B9" i="157"/>
  <c r="C9" i="157"/>
  <c r="E9" i="157"/>
  <c r="F9" i="157"/>
  <c r="G9" i="157"/>
  <c r="H9" i="157"/>
  <c r="I9" i="157"/>
  <c r="B10" i="157"/>
  <c r="C10" i="157"/>
  <c r="E10" i="157"/>
  <c r="F10" i="157"/>
  <c r="G10" i="157"/>
  <c r="H10" i="157"/>
  <c r="I10" i="157"/>
  <c r="B11" i="157"/>
  <c r="C11" i="157"/>
  <c r="E11" i="157"/>
  <c r="F11" i="157"/>
  <c r="G11" i="157"/>
  <c r="H11" i="157"/>
  <c r="I11" i="157"/>
  <c r="B12" i="157"/>
  <c r="C12" i="157"/>
  <c r="E12" i="157"/>
  <c r="F12" i="157"/>
  <c r="G12" i="157"/>
  <c r="H12" i="157"/>
  <c r="I12" i="157"/>
  <c r="B13" i="157"/>
  <c r="C13" i="157"/>
  <c r="E13" i="157"/>
  <c r="F13" i="157"/>
  <c r="G13" i="157"/>
  <c r="H13" i="157"/>
  <c r="I13" i="157"/>
  <c r="B14" i="157"/>
  <c r="C14" i="157"/>
  <c r="E14" i="157"/>
  <c r="F14" i="157"/>
  <c r="G14" i="157"/>
  <c r="H14" i="157"/>
  <c r="I14" i="157"/>
  <c r="B15" i="157"/>
  <c r="C15" i="157"/>
  <c r="E15" i="157"/>
  <c r="F15" i="157"/>
  <c r="G15" i="157"/>
  <c r="H15" i="157"/>
  <c r="I15" i="157"/>
  <c r="B16" i="157"/>
  <c r="C16" i="157"/>
  <c r="E16" i="157"/>
  <c r="F16" i="157"/>
  <c r="G16" i="157"/>
  <c r="H16" i="157"/>
  <c r="I16" i="157"/>
  <c r="B17" i="157"/>
  <c r="C17" i="157"/>
  <c r="E17" i="157"/>
  <c r="F17" i="157"/>
  <c r="G17" i="157"/>
  <c r="H17" i="157"/>
  <c r="I17" i="157"/>
  <c r="B18" i="157"/>
  <c r="C18" i="157"/>
  <c r="E18" i="157"/>
  <c r="F18" i="157"/>
  <c r="G18" i="157"/>
  <c r="H18" i="157"/>
  <c r="I18" i="157"/>
  <c r="B19" i="157"/>
  <c r="C19" i="157"/>
  <c r="E19" i="157"/>
  <c r="F19" i="157"/>
  <c r="G19" i="157"/>
  <c r="H19" i="157"/>
  <c r="I19" i="157"/>
  <c r="B20" i="157"/>
  <c r="C20" i="157"/>
  <c r="E20" i="157"/>
  <c r="F20" i="157"/>
  <c r="G20" i="157"/>
  <c r="H20" i="157"/>
  <c r="I20" i="157"/>
  <c r="Q235" i="21"/>
  <c r="Q232" i="21"/>
  <c r="B5" i="157" l="1"/>
  <c r="C5" i="157"/>
  <c r="E5" i="157"/>
  <c r="F5" i="157"/>
  <c r="G5" i="157"/>
  <c r="H5" i="157"/>
  <c r="I5" i="157"/>
  <c r="B6" i="157"/>
  <c r="C6" i="157"/>
  <c r="E6" i="157"/>
  <c r="F6" i="157"/>
  <c r="G6" i="157"/>
  <c r="H6" i="157"/>
  <c r="I6" i="157"/>
  <c r="B7" i="157"/>
  <c r="C7" i="157"/>
  <c r="E7" i="157"/>
  <c r="F7" i="157"/>
  <c r="G7" i="157"/>
  <c r="H7" i="157"/>
  <c r="I7" i="157"/>
  <c r="B3" i="157" l="1"/>
  <c r="C3" i="157"/>
  <c r="E3" i="157"/>
  <c r="F3" i="157"/>
  <c r="G3" i="157"/>
  <c r="H3" i="157"/>
  <c r="I3" i="157"/>
  <c r="B4" i="157"/>
  <c r="C4" i="157"/>
  <c r="E4" i="157"/>
  <c r="F4" i="157"/>
  <c r="G4" i="157"/>
  <c r="H4" i="157"/>
  <c r="I4" i="157"/>
  <c r="I2" i="157"/>
  <c r="H2" i="157"/>
  <c r="G2" i="157"/>
  <c r="F2" i="157"/>
  <c r="E2" i="157"/>
  <c r="C2" i="157"/>
  <c r="B2" i="157"/>
  <c r="I46" i="157" l="1"/>
  <c r="B36" i="156"/>
  <c r="C36" i="156"/>
  <c r="E36" i="156"/>
  <c r="F36" i="156"/>
  <c r="G36" i="156"/>
  <c r="H36" i="156"/>
  <c r="I36" i="156"/>
  <c r="O229" i="21"/>
  <c r="B32" i="156" l="1"/>
  <c r="C32" i="156"/>
  <c r="E32" i="156"/>
  <c r="F32" i="156"/>
  <c r="G32" i="156"/>
  <c r="H32" i="156"/>
  <c r="I32" i="156"/>
  <c r="B33" i="156"/>
  <c r="C33" i="156"/>
  <c r="E33" i="156"/>
  <c r="F33" i="156"/>
  <c r="G33" i="156"/>
  <c r="H33" i="156"/>
  <c r="I33" i="156"/>
  <c r="B34" i="156"/>
  <c r="C34" i="156"/>
  <c r="E34" i="156"/>
  <c r="F34" i="156"/>
  <c r="G34" i="156"/>
  <c r="H34" i="156"/>
  <c r="I34" i="156"/>
  <c r="B35" i="156"/>
  <c r="C35" i="156"/>
  <c r="E35" i="156"/>
  <c r="F35" i="156"/>
  <c r="G35" i="156"/>
  <c r="H35" i="156"/>
  <c r="I35" i="156"/>
  <c r="O232" i="21"/>
  <c r="O235" i="21"/>
  <c r="B29" i="156" l="1"/>
  <c r="C29" i="156"/>
  <c r="E29" i="156"/>
  <c r="F29" i="156"/>
  <c r="G29" i="156"/>
  <c r="H29" i="156"/>
  <c r="I29" i="156"/>
  <c r="B30" i="156"/>
  <c r="C30" i="156"/>
  <c r="E30" i="156"/>
  <c r="F30" i="156"/>
  <c r="G30" i="156"/>
  <c r="H30" i="156"/>
  <c r="I30" i="156"/>
  <c r="B31" i="156"/>
  <c r="C31" i="156"/>
  <c r="E31" i="156"/>
  <c r="F31" i="156"/>
  <c r="G31" i="156"/>
  <c r="H31" i="156"/>
  <c r="I31" i="156"/>
  <c r="O227" i="21"/>
  <c r="O226" i="21"/>
  <c r="B13" i="156" l="1"/>
  <c r="C13" i="156"/>
  <c r="E13" i="156"/>
  <c r="F13" i="156"/>
  <c r="G13" i="156"/>
  <c r="H13" i="156"/>
  <c r="I13" i="156"/>
  <c r="B14" i="156"/>
  <c r="C14" i="156"/>
  <c r="E14" i="156"/>
  <c r="F14" i="156"/>
  <c r="G14" i="156"/>
  <c r="H14" i="156"/>
  <c r="I14" i="156"/>
  <c r="B15" i="156"/>
  <c r="C15" i="156"/>
  <c r="E15" i="156"/>
  <c r="F15" i="156"/>
  <c r="G15" i="156"/>
  <c r="H15" i="156"/>
  <c r="I15" i="156"/>
  <c r="B16" i="156"/>
  <c r="C16" i="156"/>
  <c r="E16" i="156"/>
  <c r="F16" i="156"/>
  <c r="G16" i="156"/>
  <c r="H16" i="156"/>
  <c r="I16" i="156"/>
  <c r="B17" i="156"/>
  <c r="C17" i="156"/>
  <c r="E17" i="156"/>
  <c r="F17" i="156"/>
  <c r="G17" i="156"/>
  <c r="H17" i="156"/>
  <c r="I17" i="156"/>
  <c r="B18" i="156"/>
  <c r="C18" i="156"/>
  <c r="E18" i="156"/>
  <c r="F18" i="156"/>
  <c r="G18" i="156"/>
  <c r="H18" i="156"/>
  <c r="I18" i="156"/>
  <c r="B19" i="156"/>
  <c r="C19" i="156"/>
  <c r="E19" i="156"/>
  <c r="F19" i="156"/>
  <c r="G19" i="156"/>
  <c r="H19" i="156"/>
  <c r="I19" i="156"/>
  <c r="B20" i="156"/>
  <c r="C20" i="156"/>
  <c r="E20" i="156"/>
  <c r="F20" i="156"/>
  <c r="G20" i="156"/>
  <c r="H20" i="156"/>
  <c r="I20" i="156"/>
  <c r="B21" i="156"/>
  <c r="C21" i="156"/>
  <c r="E21" i="156"/>
  <c r="F21" i="156"/>
  <c r="G21" i="156"/>
  <c r="H21" i="156"/>
  <c r="I21" i="156"/>
  <c r="B22" i="156"/>
  <c r="C22" i="156"/>
  <c r="E22" i="156"/>
  <c r="F22" i="156"/>
  <c r="G22" i="156"/>
  <c r="H22" i="156"/>
  <c r="I22" i="156"/>
  <c r="B23" i="156"/>
  <c r="C23" i="156"/>
  <c r="E23" i="156"/>
  <c r="F23" i="156"/>
  <c r="G23" i="156"/>
  <c r="H23" i="156"/>
  <c r="I23" i="156"/>
  <c r="B24" i="156"/>
  <c r="C24" i="156"/>
  <c r="E24" i="156"/>
  <c r="F24" i="156"/>
  <c r="G24" i="156"/>
  <c r="H24" i="156"/>
  <c r="I24" i="156"/>
  <c r="B25" i="156"/>
  <c r="C25" i="156"/>
  <c r="E25" i="156"/>
  <c r="F25" i="156"/>
  <c r="G25" i="156"/>
  <c r="H25" i="156"/>
  <c r="I25" i="156"/>
  <c r="B26" i="156"/>
  <c r="C26" i="156"/>
  <c r="E26" i="156"/>
  <c r="F26" i="156"/>
  <c r="G26" i="156"/>
  <c r="H26" i="156"/>
  <c r="I26" i="156"/>
  <c r="B27" i="156"/>
  <c r="C27" i="156"/>
  <c r="E27" i="156"/>
  <c r="F27" i="156"/>
  <c r="G27" i="156"/>
  <c r="H27" i="156"/>
  <c r="I27" i="156"/>
  <c r="B28" i="156"/>
  <c r="C28" i="156"/>
  <c r="E28" i="156"/>
  <c r="F28" i="156"/>
  <c r="G28" i="156"/>
  <c r="H28" i="156"/>
  <c r="I28" i="156"/>
  <c r="O231" i="21"/>
  <c r="O225" i="21"/>
  <c r="B7" i="156" l="1"/>
  <c r="C7" i="156"/>
  <c r="E7" i="156"/>
  <c r="F7" i="156"/>
  <c r="G7" i="156"/>
  <c r="H7" i="156"/>
  <c r="I7" i="156"/>
  <c r="B8" i="156"/>
  <c r="C8" i="156"/>
  <c r="E8" i="156"/>
  <c r="F8" i="156"/>
  <c r="G8" i="156"/>
  <c r="H8" i="156"/>
  <c r="I8" i="156"/>
  <c r="B9" i="156"/>
  <c r="C9" i="156"/>
  <c r="E9" i="156"/>
  <c r="F9" i="156"/>
  <c r="G9" i="156"/>
  <c r="H9" i="156"/>
  <c r="I9" i="156"/>
  <c r="B10" i="156"/>
  <c r="C10" i="156"/>
  <c r="E10" i="156"/>
  <c r="F10" i="156"/>
  <c r="G10" i="156"/>
  <c r="H10" i="156"/>
  <c r="I10" i="156"/>
  <c r="B11" i="156"/>
  <c r="C11" i="156"/>
  <c r="E11" i="156"/>
  <c r="F11" i="156"/>
  <c r="G11" i="156"/>
  <c r="H11" i="156"/>
  <c r="I11" i="156"/>
  <c r="B12" i="156"/>
  <c r="C12" i="156"/>
  <c r="E12" i="156"/>
  <c r="F12" i="156"/>
  <c r="G12" i="156"/>
  <c r="H12" i="156"/>
  <c r="I12" i="156"/>
  <c r="B3" i="156" l="1"/>
  <c r="C3" i="156"/>
  <c r="E3" i="156"/>
  <c r="F3" i="156"/>
  <c r="G3" i="156"/>
  <c r="H3" i="156"/>
  <c r="I3" i="156"/>
  <c r="B4" i="156"/>
  <c r="C4" i="156"/>
  <c r="E4" i="156"/>
  <c r="F4" i="156"/>
  <c r="G4" i="156"/>
  <c r="H4" i="156"/>
  <c r="I4" i="156"/>
  <c r="B5" i="156"/>
  <c r="C5" i="156"/>
  <c r="E5" i="156"/>
  <c r="F5" i="156"/>
  <c r="G5" i="156"/>
  <c r="H5" i="156"/>
  <c r="I5" i="156"/>
  <c r="B6" i="156"/>
  <c r="C6" i="156"/>
  <c r="E6" i="156"/>
  <c r="F6" i="156"/>
  <c r="G6" i="156"/>
  <c r="H6" i="156"/>
  <c r="I6" i="156"/>
  <c r="I2" i="156"/>
  <c r="H2" i="156"/>
  <c r="G2" i="156"/>
  <c r="F2" i="156"/>
  <c r="E2" i="156"/>
  <c r="C2" i="156"/>
  <c r="B2" i="156"/>
  <c r="I37" i="156" l="1"/>
  <c r="B29" i="155"/>
  <c r="C29" i="155"/>
  <c r="E29" i="155"/>
  <c r="F29" i="155"/>
  <c r="G29" i="155"/>
  <c r="H29" i="155"/>
  <c r="I29" i="155"/>
  <c r="B30" i="155"/>
  <c r="C30" i="155"/>
  <c r="E30" i="155"/>
  <c r="F30" i="155"/>
  <c r="G30" i="155"/>
  <c r="H30" i="155"/>
  <c r="I30" i="155"/>
  <c r="B31" i="155"/>
  <c r="C31" i="155"/>
  <c r="E31" i="155"/>
  <c r="F31" i="155"/>
  <c r="G31" i="155"/>
  <c r="H31" i="155"/>
  <c r="I31" i="155"/>
  <c r="M227" i="21"/>
  <c r="M226" i="21"/>
  <c r="B28" i="155" l="1"/>
  <c r="C28" i="155"/>
  <c r="E28" i="155"/>
  <c r="F28" i="155"/>
  <c r="G28" i="155"/>
  <c r="H28" i="155"/>
  <c r="I28" i="155"/>
  <c r="M229" i="21"/>
  <c r="B27" i="155" l="1"/>
  <c r="C27" i="155"/>
  <c r="E27" i="155"/>
  <c r="F27" i="155"/>
  <c r="G27" i="155"/>
  <c r="H27" i="155"/>
  <c r="I27" i="155"/>
  <c r="M235" i="21"/>
  <c r="B25" i="155" l="1"/>
  <c r="C25" i="155"/>
  <c r="E25" i="155"/>
  <c r="F25" i="155"/>
  <c r="G25" i="155"/>
  <c r="H25" i="155"/>
  <c r="I25" i="155"/>
  <c r="B26" i="155"/>
  <c r="C26" i="155"/>
  <c r="E26" i="155"/>
  <c r="F26" i="155"/>
  <c r="G26" i="155"/>
  <c r="H26" i="155"/>
  <c r="I26" i="155"/>
  <c r="B24" i="155" l="1"/>
  <c r="C24" i="155"/>
  <c r="E24" i="155"/>
  <c r="F24" i="155"/>
  <c r="G24" i="155"/>
  <c r="H24" i="155"/>
  <c r="I24" i="155"/>
  <c r="M232" i="21"/>
  <c r="B23" i="155" l="1"/>
  <c r="C23" i="155"/>
  <c r="E23" i="155"/>
  <c r="F23" i="155"/>
  <c r="G23" i="155"/>
  <c r="H23" i="155"/>
  <c r="I23" i="155"/>
  <c r="B20" i="155" l="1"/>
  <c r="C20" i="155"/>
  <c r="E20" i="155"/>
  <c r="F20" i="155"/>
  <c r="G20" i="155"/>
  <c r="H20" i="155"/>
  <c r="I20" i="155"/>
  <c r="B21" i="155"/>
  <c r="C21" i="155"/>
  <c r="E21" i="155"/>
  <c r="F21" i="155"/>
  <c r="G21" i="155"/>
  <c r="H21" i="155"/>
  <c r="I21" i="155"/>
  <c r="B22" i="155"/>
  <c r="C22" i="155"/>
  <c r="E22" i="155"/>
  <c r="F22" i="155"/>
  <c r="G22" i="155"/>
  <c r="H22" i="155"/>
  <c r="I22" i="155"/>
  <c r="B19" i="155" l="1"/>
  <c r="C19" i="155"/>
  <c r="E19" i="155"/>
  <c r="F19" i="155"/>
  <c r="G19" i="155"/>
  <c r="H19" i="155"/>
  <c r="I19" i="155"/>
  <c r="J108" i="4" l="1"/>
  <c r="M96" i="4"/>
  <c r="M97" i="4"/>
  <c r="M98" i="4"/>
  <c r="M99" i="4"/>
  <c r="M100" i="4"/>
  <c r="M101" i="4"/>
  <c r="M102" i="4"/>
  <c r="M103" i="4"/>
  <c r="M104" i="4"/>
  <c r="M105" i="4"/>
  <c r="M106" i="4"/>
  <c r="M107" i="4"/>
  <c r="L96" i="4"/>
  <c r="L97" i="4"/>
  <c r="L98" i="4"/>
  <c r="L99" i="4"/>
  <c r="L100" i="4"/>
  <c r="L101" i="4"/>
  <c r="L102" i="4"/>
  <c r="L103" i="4"/>
  <c r="L104" i="4"/>
  <c r="L105" i="4"/>
  <c r="L106" i="4"/>
  <c r="L107" i="4"/>
  <c r="L95" i="4"/>
  <c r="M95" i="4"/>
  <c r="K108" i="4"/>
  <c r="B17" i="155" l="1"/>
  <c r="C17" i="155"/>
  <c r="E17" i="155"/>
  <c r="F17" i="155"/>
  <c r="G17" i="155"/>
  <c r="H17" i="155"/>
  <c r="I17" i="155"/>
  <c r="B18" i="155"/>
  <c r="C18" i="155"/>
  <c r="E18" i="155"/>
  <c r="F18" i="155"/>
  <c r="G18" i="155"/>
  <c r="H18" i="155"/>
  <c r="I18" i="155"/>
  <c r="M225" i="21"/>
  <c r="B8" i="155" l="1"/>
  <c r="C8" i="155"/>
  <c r="E8" i="155"/>
  <c r="F8" i="155"/>
  <c r="G8" i="155"/>
  <c r="H8" i="155"/>
  <c r="I8" i="155"/>
  <c r="B9" i="155"/>
  <c r="C9" i="155"/>
  <c r="E9" i="155"/>
  <c r="F9" i="155"/>
  <c r="G9" i="155"/>
  <c r="H9" i="155"/>
  <c r="I9" i="155"/>
  <c r="B10" i="155"/>
  <c r="C10" i="155"/>
  <c r="E10" i="155"/>
  <c r="F10" i="155"/>
  <c r="G10" i="155"/>
  <c r="H10" i="155"/>
  <c r="I10" i="155"/>
  <c r="B11" i="155"/>
  <c r="C11" i="155"/>
  <c r="E11" i="155"/>
  <c r="F11" i="155"/>
  <c r="G11" i="155"/>
  <c r="H11" i="155"/>
  <c r="I11" i="155"/>
  <c r="B12" i="155"/>
  <c r="C12" i="155"/>
  <c r="E12" i="155"/>
  <c r="F12" i="155"/>
  <c r="G12" i="155"/>
  <c r="H12" i="155"/>
  <c r="I12" i="155"/>
  <c r="B13" i="155"/>
  <c r="C13" i="155"/>
  <c r="E13" i="155"/>
  <c r="F13" i="155"/>
  <c r="G13" i="155"/>
  <c r="H13" i="155"/>
  <c r="I13" i="155"/>
  <c r="B14" i="155"/>
  <c r="C14" i="155"/>
  <c r="E14" i="155"/>
  <c r="F14" i="155"/>
  <c r="G14" i="155"/>
  <c r="H14" i="155"/>
  <c r="I14" i="155"/>
  <c r="B15" i="155"/>
  <c r="C15" i="155"/>
  <c r="E15" i="155"/>
  <c r="F15" i="155"/>
  <c r="G15" i="155"/>
  <c r="H15" i="155"/>
  <c r="I15" i="155"/>
  <c r="B16" i="155"/>
  <c r="C16" i="155"/>
  <c r="E16" i="155"/>
  <c r="F16" i="155"/>
  <c r="G16" i="155"/>
  <c r="H16" i="155"/>
  <c r="I16" i="155"/>
  <c r="B3" i="155" l="1"/>
  <c r="C3" i="155"/>
  <c r="E3" i="155"/>
  <c r="F3" i="155"/>
  <c r="G3" i="155"/>
  <c r="H3" i="155"/>
  <c r="I3" i="155"/>
  <c r="B4" i="155"/>
  <c r="C4" i="155"/>
  <c r="E4" i="155"/>
  <c r="F4" i="155"/>
  <c r="G4" i="155"/>
  <c r="H4" i="155"/>
  <c r="I4" i="155"/>
  <c r="B5" i="155"/>
  <c r="C5" i="155"/>
  <c r="E5" i="155"/>
  <c r="F5" i="155"/>
  <c r="G5" i="155"/>
  <c r="H5" i="155"/>
  <c r="I5" i="155"/>
  <c r="B6" i="155"/>
  <c r="C6" i="155"/>
  <c r="E6" i="155"/>
  <c r="F6" i="155"/>
  <c r="G6" i="155"/>
  <c r="H6" i="155"/>
  <c r="I6" i="155"/>
  <c r="B7" i="155"/>
  <c r="C7" i="155"/>
  <c r="E7" i="155"/>
  <c r="F7" i="155"/>
  <c r="G7" i="155"/>
  <c r="H7" i="155"/>
  <c r="I7" i="155"/>
  <c r="I2" i="155" l="1"/>
  <c r="I32" i="155" s="1"/>
  <c r="H2" i="155"/>
  <c r="G2" i="155"/>
  <c r="F2" i="155"/>
  <c r="E2" i="155"/>
  <c r="C2" i="155"/>
  <c r="B2" i="155"/>
  <c r="B19" i="154" l="1"/>
  <c r="C19" i="154"/>
  <c r="E19" i="154"/>
  <c r="F19" i="154"/>
  <c r="G19" i="154"/>
  <c r="H19" i="154"/>
  <c r="I19" i="154"/>
  <c r="B20" i="154"/>
  <c r="C20" i="154"/>
  <c r="E20" i="154"/>
  <c r="F20" i="154"/>
  <c r="G20" i="154"/>
  <c r="H20" i="154"/>
  <c r="I20" i="154"/>
  <c r="K225" i="21"/>
  <c r="B18" i="154" l="1"/>
  <c r="C18" i="154"/>
  <c r="E18" i="154"/>
  <c r="F18" i="154"/>
  <c r="G18" i="154"/>
  <c r="H18" i="154"/>
  <c r="I18" i="154"/>
  <c r="B17" i="154" l="1"/>
  <c r="C17" i="154"/>
  <c r="E17" i="154"/>
  <c r="F17" i="154"/>
  <c r="G17" i="154"/>
  <c r="H17" i="154"/>
  <c r="I17" i="154"/>
  <c r="K235" i="21"/>
  <c r="B16" i="154" l="1"/>
  <c r="C16" i="154"/>
  <c r="E16" i="154"/>
  <c r="F16" i="154"/>
  <c r="G16" i="154"/>
  <c r="H16" i="154"/>
  <c r="I16" i="154"/>
  <c r="B15" i="154" l="1"/>
  <c r="C15" i="154"/>
  <c r="E15" i="154"/>
  <c r="F15" i="154"/>
  <c r="G15" i="154"/>
  <c r="H15" i="154"/>
  <c r="I15" i="154"/>
  <c r="B12" i="154" l="1"/>
  <c r="C12" i="154"/>
  <c r="E12" i="154"/>
  <c r="F12" i="154"/>
  <c r="G12" i="154"/>
  <c r="H12" i="154"/>
  <c r="I12" i="154"/>
  <c r="B13" i="154"/>
  <c r="C13" i="154"/>
  <c r="E13" i="154"/>
  <c r="F13" i="154"/>
  <c r="G13" i="154"/>
  <c r="H13" i="154"/>
  <c r="I13" i="154"/>
  <c r="B14" i="154"/>
  <c r="C14" i="154"/>
  <c r="E14" i="154"/>
  <c r="F14" i="154"/>
  <c r="G14" i="154"/>
  <c r="H14" i="154"/>
  <c r="I14" i="154"/>
  <c r="K227" i="21"/>
  <c r="K226" i="21"/>
  <c r="B5" i="154" l="1"/>
  <c r="C5" i="154"/>
  <c r="E5" i="154"/>
  <c r="F5" i="154"/>
  <c r="G5" i="154"/>
  <c r="H5" i="154"/>
  <c r="I5" i="154"/>
  <c r="B6" i="154"/>
  <c r="C6" i="154"/>
  <c r="E6" i="154"/>
  <c r="F6" i="154"/>
  <c r="G6" i="154"/>
  <c r="H6" i="154"/>
  <c r="I6" i="154"/>
  <c r="B7" i="154"/>
  <c r="C7" i="154"/>
  <c r="E7" i="154"/>
  <c r="F7" i="154"/>
  <c r="G7" i="154"/>
  <c r="H7" i="154"/>
  <c r="I7" i="154"/>
  <c r="B8" i="154"/>
  <c r="C8" i="154"/>
  <c r="E8" i="154"/>
  <c r="F8" i="154"/>
  <c r="G8" i="154"/>
  <c r="H8" i="154"/>
  <c r="I8" i="154"/>
  <c r="B9" i="154"/>
  <c r="C9" i="154"/>
  <c r="E9" i="154"/>
  <c r="F9" i="154"/>
  <c r="G9" i="154"/>
  <c r="H9" i="154"/>
  <c r="I9" i="154"/>
  <c r="B10" i="154"/>
  <c r="C10" i="154"/>
  <c r="E10" i="154"/>
  <c r="F10" i="154"/>
  <c r="G10" i="154"/>
  <c r="H10" i="154"/>
  <c r="I10" i="154"/>
  <c r="B11" i="154"/>
  <c r="C11" i="154"/>
  <c r="E11" i="154"/>
  <c r="F11" i="154"/>
  <c r="G11" i="154"/>
  <c r="H11" i="154"/>
  <c r="I11" i="154"/>
  <c r="K232" i="21"/>
  <c r="B3" i="154" l="1"/>
  <c r="C3" i="154"/>
  <c r="E3" i="154"/>
  <c r="F3" i="154"/>
  <c r="G3" i="154"/>
  <c r="H3" i="154"/>
  <c r="I3" i="154"/>
  <c r="B4" i="154"/>
  <c r="C4" i="154"/>
  <c r="E4" i="154"/>
  <c r="F4" i="154"/>
  <c r="G4" i="154"/>
  <c r="H4" i="154"/>
  <c r="I4" i="154"/>
  <c r="I2" i="154"/>
  <c r="H2" i="154"/>
  <c r="G2" i="154"/>
  <c r="F2" i="154"/>
  <c r="E2" i="154"/>
  <c r="C2" i="154"/>
  <c r="B2" i="154"/>
  <c r="I21" i="154" l="1"/>
  <c r="B41" i="153"/>
  <c r="C41" i="153"/>
  <c r="E41" i="153"/>
  <c r="F41" i="153"/>
  <c r="G41" i="153"/>
  <c r="H41" i="153"/>
  <c r="I41" i="153"/>
  <c r="B42" i="153"/>
  <c r="C42" i="153"/>
  <c r="E42" i="153"/>
  <c r="F42" i="153"/>
  <c r="G42" i="153"/>
  <c r="H42" i="153"/>
  <c r="I42" i="153"/>
  <c r="B43" i="153"/>
  <c r="C43" i="153"/>
  <c r="E43" i="153"/>
  <c r="F43" i="153"/>
  <c r="G43" i="153"/>
  <c r="H43" i="153"/>
  <c r="I43" i="153"/>
  <c r="B44" i="153"/>
  <c r="C44" i="153"/>
  <c r="E44" i="153"/>
  <c r="F44" i="153"/>
  <c r="G44" i="153"/>
  <c r="H44" i="153"/>
  <c r="I44" i="153"/>
  <c r="B45" i="153"/>
  <c r="C45" i="153"/>
  <c r="E45" i="153"/>
  <c r="F45" i="153"/>
  <c r="G45" i="153"/>
  <c r="H45" i="153"/>
  <c r="I45" i="153"/>
  <c r="B39" i="153" l="1"/>
  <c r="C39" i="153"/>
  <c r="E39" i="153"/>
  <c r="F39" i="153"/>
  <c r="G39" i="153"/>
  <c r="H39" i="153"/>
  <c r="I39" i="153"/>
  <c r="B40" i="153"/>
  <c r="C40" i="153"/>
  <c r="E40" i="153"/>
  <c r="F40" i="153"/>
  <c r="G40" i="153"/>
  <c r="H40" i="153"/>
  <c r="I40" i="153"/>
  <c r="I229" i="21"/>
  <c r="B31" i="153" l="1"/>
  <c r="C31" i="153"/>
  <c r="E31" i="153"/>
  <c r="F31" i="153"/>
  <c r="G31" i="153"/>
  <c r="H31" i="153"/>
  <c r="I31" i="153"/>
  <c r="B32" i="153"/>
  <c r="C32" i="153"/>
  <c r="E32" i="153"/>
  <c r="F32" i="153"/>
  <c r="G32" i="153"/>
  <c r="H32" i="153"/>
  <c r="I32" i="153"/>
  <c r="B33" i="153"/>
  <c r="C33" i="153"/>
  <c r="E33" i="153"/>
  <c r="F33" i="153"/>
  <c r="G33" i="153"/>
  <c r="H33" i="153"/>
  <c r="I33" i="153"/>
  <c r="B34" i="153"/>
  <c r="C34" i="153"/>
  <c r="E34" i="153"/>
  <c r="F34" i="153"/>
  <c r="G34" i="153"/>
  <c r="H34" i="153"/>
  <c r="I34" i="153"/>
  <c r="B35" i="153"/>
  <c r="C35" i="153"/>
  <c r="E35" i="153"/>
  <c r="F35" i="153"/>
  <c r="G35" i="153"/>
  <c r="H35" i="153"/>
  <c r="I35" i="153"/>
  <c r="B36" i="153"/>
  <c r="C36" i="153"/>
  <c r="E36" i="153"/>
  <c r="F36" i="153"/>
  <c r="G36" i="153"/>
  <c r="H36" i="153"/>
  <c r="I36" i="153"/>
  <c r="B37" i="153"/>
  <c r="C37" i="153"/>
  <c r="E37" i="153"/>
  <c r="F37" i="153"/>
  <c r="G37" i="153"/>
  <c r="H37" i="153"/>
  <c r="I37" i="153"/>
  <c r="B38" i="153"/>
  <c r="C38" i="153"/>
  <c r="E38" i="153"/>
  <c r="F38" i="153"/>
  <c r="G38" i="153"/>
  <c r="H38" i="153"/>
  <c r="I38" i="153"/>
  <c r="I235" i="21"/>
  <c r="I232" i="21"/>
  <c r="B24" i="153" l="1"/>
  <c r="C24" i="153"/>
  <c r="E24" i="153"/>
  <c r="F24" i="153"/>
  <c r="G24" i="153"/>
  <c r="H24" i="153"/>
  <c r="I24" i="153"/>
  <c r="B25" i="153"/>
  <c r="C25" i="153"/>
  <c r="E25" i="153"/>
  <c r="F25" i="153"/>
  <c r="G25" i="153"/>
  <c r="H25" i="153"/>
  <c r="I25" i="153"/>
  <c r="B26" i="153"/>
  <c r="C26" i="153"/>
  <c r="E26" i="153"/>
  <c r="F26" i="153"/>
  <c r="G26" i="153"/>
  <c r="H26" i="153"/>
  <c r="I26" i="153"/>
  <c r="B27" i="153"/>
  <c r="C27" i="153"/>
  <c r="E27" i="153"/>
  <c r="F27" i="153"/>
  <c r="G27" i="153"/>
  <c r="H27" i="153"/>
  <c r="I27" i="153"/>
  <c r="B28" i="153"/>
  <c r="C28" i="153"/>
  <c r="E28" i="153"/>
  <c r="F28" i="153"/>
  <c r="G28" i="153"/>
  <c r="H28" i="153"/>
  <c r="I28" i="153"/>
  <c r="B29" i="153"/>
  <c r="C29" i="153"/>
  <c r="E29" i="153"/>
  <c r="F29" i="153"/>
  <c r="G29" i="153"/>
  <c r="H29" i="153"/>
  <c r="I29" i="153"/>
  <c r="B30" i="153"/>
  <c r="C30" i="153"/>
  <c r="E30" i="153"/>
  <c r="F30" i="153"/>
  <c r="G30" i="153"/>
  <c r="H30" i="153"/>
  <c r="I30" i="153"/>
  <c r="B23" i="153" l="1"/>
  <c r="C23" i="153"/>
  <c r="E23" i="153"/>
  <c r="F23" i="153"/>
  <c r="G23" i="153"/>
  <c r="H23" i="153"/>
  <c r="I23" i="153"/>
  <c r="B20" i="153" l="1"/>
  <c r="C20" i="153"/>
  <c r="E20" i="153"/>
  <c r="F20" i="153"/>
  <c r="G20" i="153"/>
  <c r="H20" i="153"/>
  <c r="I20" i="153"/>
  <c r="B21" i="153"/>
  <c r="C21" i="153"/>
  <c r="E21" i="153"/>
  <c r="F21" i="153"/>
  <c r="G21" i="153"/>
  <c r="H21" i="153"/>
  <c r="I21" i="153"/>
  <c r="B22" i="153"/>
  <c r="C22" i="153"/>
  <c r="E22" i="153"/>
  <c r="F22" i="153"/>
  <c r="G22" i="153"/>
  <c r="H22" i="153"/>
  <c r="I22" i="153"/>
  <c r="I227" i="21"/>
  <c r="I226" i="21"/>
  <c r="B19" i="153" l="1"/>
  <c r="C19" i="153"/>
  <c r="E19" i="153"/>
  <c r="F19" i="153"/>
  <c r="G19" i="153"/>
  <c r="H19" i="153"/>
  <c r="I19" i="153"/>
  <c r="B18" i="153" l="1"/>
  <c r="C18" i="153"/>
  <c r="E18" i="153"/>
  <c r="F18" i="153"/>
  <c r="G18" i="153"/>
  <c r="H18" i="153"/>
  <c r="I18" i="153"/>
  <c r="B17" i="153" l="1"/>
  <c r="C17" i="153"/>
  <c r="E17" i="153"/>
  <c r="F17" i="153"/>
  <c r="G17" i="153"/>
  <c r="H17" i="153"/>
  <c r="I17" i="153"/>
  <c r="B15" i="153" l="1"/>
  <c r="C15" i="153"/>
  <c r="E15" i="153"/>
  <c r="F15" i="153"/>
  <c r="G15" i="153"/>
  <c r="H15" i="153"/>
  <c r="I15" i="153"/>
  <c r="B16" i="153"/>
  <c r="C16" i="153"/>
  <c r="E16" i="153"/>
  <c r="F16" i="153"/>
  <c r="G16" i="153"/>
  <c r="H16" i="153"/>
  <c r="I16" i="153"/>
  <c r="B12" i="153" l="1"/>
  <c r="C12" i="153"/>
  <c r="E12" i="153"/>
  <c r="F12" i="153"/>
  <c r="G12" i="153"/>
  <c r="H12" i="153"/>
  <c r="I12" i="153"/>
  <c r="B13" i="153"/>
  <c r="C13" i="153"/>
  <c r="E13" i="153"/>
  <c r="F13" i="153"/>
  <c r="G13" i="153"/>
  <c r="H13" i="153"/>
  <c r="I13" i="153"/>
  <c r="B14" i="153"/>
  <c r="C14" i="153"/>
  <c r="E14" i="153"/>
  <c r="F14" i="153"/>
  <c r="G14" i="153"/>
  <c r="H14" i="153"/>
  <c r="I14" i="153"/>
  <c r="B8" i="153" l="1"/>
  <c r="C8" i="153"/>
  <c r="E8" i="153"/>
  <c r="F8" i="153"/>
  <c r="G8" i="153"/>
  <c r="H8" i="153"/>
  <c r="I8" i="153"/>
  <c r="B9" i="153"/>
  <c r="C9" i="153"/>
  <c r="E9" i="153"/>
  <c r="F9" i="153"/>
  <c r="G9" i="153"/>
  <c r="H9" i="153"/>
  <c r="I9" i="153"/>
  <c r="B10" i="153"/>
  <c r="C10" i="153"/>
  <c r="E10" i="153"/>
  <c r="F10" i="153"/>
  <c r="G10" i="153"/>
  <c r="H10" i="153"/>
  <c r="I10" i="153"/>
  <c r="B11" i="153"/>
  <c r="C11" i="153"/>
  <c r="E11" i="153"/>
  <c r="F11" i="153"/>
  <c r="G11" i="153"/>
  <c r="H11" i="153"/>
  <c r="I11" i="153"/>
  <c r="B6" i="153" l="1"/>
  <c r="C6" i="153"/>
  <c r="E6" i="153"/>
  <c r="F6" i="153"/>
  <c r="G6" i="153"/>
  <c r="H6" i="153"/>
  <c r="I6" i="153"/>
  <c r="B7" i="153"/>
  <c r="C7" i="153"/>
  <c r="E7" i="153"/>
  <c r="F7" i="153"/>
  <c r="G7" i="153"/>
  <c r="H7" i="153"/>
  <c r="I7" i="153"/>
  <c r="B3" i="153" l="1"/>
  <c r="C3" i="153"/>
  <c r="E3" i="153"/>
  <c r="F3" i="153"/>
  <c r="G3" i="153"/>
  <c r="H3" i="153"/>
  <c r="I3" i="153"/>
  <c r="B4" i="153"/>
  <c r="C4" i="153"/>
  <c r="E4" i="153"/>
  <c r="F4" i="153"/>
  <c r="G4" i="153"/>
  <c r="H4" i="153"/>
  <c r="I4" i="153"/>
  <c r="B5" i="153"/>
  <c r="C5" i="153"/>
  <c r="E5" i="153"/>
  <c r="F5" i="153"/>
  <c r="G5" i="153"/>
  <c r="H5" i="153"/>
  <c r="I5" i="153"/>
  <c r="I2" i="153" l="1"/>
  <c r="I46" i="153" s="1"/>
  <c r="H2" i="153"/>
  <c r="G2" i="153"/>
  <c r="F2" i="153"/>
  <c r="E2" i="153"/>
  <c r="C2" i="153"/>
  <c r="B2" i="153"/>
  <c r="B20" i="152" l="1"/>
  <c r="C20" i="152"/>
  <c r="E20" i="152"/>
  <c r="F20" i="152"/>
  <c r="G20" i="152"/>
  <c r="H20" i="152"/>
  <c r="I20" i="152"/>
  <c r="G229" i="21"/>
  <c r="B19" i="152" l="1"/>
  <c r="C19" i="152"/>
  <c r="E19" i="152"/>
  <c r="F19" i="152"/>
  <c r="G19" i="152"/>
  <c r="H19" i="152"/>
  <c r="I19" i="152"/>
  <c r="G225" i="21"/>
  <c r="B18" i="152" l="1"/>
  <c r="C18" i="152"/>
  <c r="E18" i="152"/>
  <c r="F18" i="152"/>
  <c r="G18" i="152"/>
  <c r="H18" i="152"/>
  <c r="I18" i="152"/>
  <c r="B12" i="152" l="1"/>
  <c r="C12" i="152"/>
  <c r="E12" i="152"/>
  <c r="F12" i="152"/>
  <c r="G12" i="152"/>
  <c r="H12" i="152"/>
  <c r="I12" i="152"/>
  <c r="B13" i="152"/>
  <c r="C13" i="152"/>
  <c r="E13" i="152"/>
  <c r="F13" i="152"/>
  <c r="G13" i="152"/>
  <c r="H13" i="152"/>
  <c r="I13" i="152"/>
  <c r="B14" i="152"/>
  <c r="C14" i="152"/>
  <c r="E14" i="152"/>
  <c r="F14" i="152"/>
  <c r="G14" i="152"/>
  <c r="H14" i="152"/>
  <c r="I14" i="152"/>
  <c r="B15" i="152"/>
  <c r="C15" i="152"/>
  <c r="E15" i="152"/>
  <c r="F15" i="152"/>
  <c r="G15" i="152"/>
  <c r="H15" i="152"/>
  <c r="I15" i="152"/>
  <c r="B16" i="152"/>
  <c r="C16" i="152"/>
  <c r="E16" i="152"/>
  <c r="F16" i="152"/>
  <c r="G16" i="152"/>
  <c r="H16" i="152"/>
  <c r="I16" i="152"/>
  <c r="B17" i="152"/>
  <c r="C17" i="152"/>
  <c r="E17" i="152"/>
  <c r="F17" i="152"/>
  <c r="G17" i="152"/>
  <c r="H17" i="152"/>
  <c r="I17" i="152"/>
  <c r="B10" i="152" l="1"/>
  <c r="C10" i="152"/>
  <c r="E10" i="152"/>
  <c r="F10" i="152"/>
  <c r="G10" i="152"/>
  <c r="H10" i="152"/>
  <c r="I10" i="152"/>
  <c r="B11" i="152"/>
  <c r="C11" i="152"/>
  <c r="E11" i="152"/>
  <c r="F11" i="152"/>
  <c r="G11" i="152"/>
  <c r="H11" i="152"/>
  <c r="I11" i="152"/>
  <c r="B9" i="152" l="1"/>
  <c r="C9" i="152"/>
  <c r="E9" i="152"/>
  <c r="F9" i="152"/>
  <c r="G9" i="152"/>
  <c r="H9" i="152"/>
  <c r="I9" i="152"/>
  <c r="B7" i="152" l="1"/>
  <c r="C7" i="152"/>
  <c r="E7" i="152"/>
  <c r="F7" i="152"/>
  <c r="G7" i="152"/>
  <c r="H7" i="152"/>
  <c r="I7" i="152"/>
  <c r="B8" i="152"/>
  <c r="C8" i="152"/>
  <c r="E8" i="152"/>
  <c r="F8" i="152"/>
  <c r="G8" i="152"/>
  <c r="H8" i="152"/>
  <c r="I8" i="152"/>
  <c r="B6" i="152" l="1"/>
  <c r="C6" i="152"/>
  <c r="E6" i="152"/>
  <c r="F6" i="152"/>
  <c r="G6" i="152"/>
  <c r="H6" i="152"/>
  <c r="I6" i="152"/>
  <c r="G226" i="21"/>
  <c r="H98" i="4" l="1"/>
  <c r="I98" i="4"/>
  <c r="I97" i="4" l="1"/>
  <c r="H97" i="4"/>
  <c r="B5" i="152" l="1"/>
  <c r="C5" i="152"/>
  <c r="E5" i="152"/>
  <c r="F5" i="152"/>
  <c r="G5" i="152"/>
  <c r="H5" i="152"/>
  <c r="I5" i="152"/>
  <c r="B3" i="152" l="1"/>
  <c r="C3" i="152"/>
  <c r="E3" i="152"/>
  <c r="F3" i="152"/>
  <c r="G3" i="152"/>
  <c r="H3" i="152"/>
  <c r="I3" i="152"/>
  <c r="B4" i="152"/>
  <c r="C4" i="152"/>
  <c r="E4" i="152"/>
  <c r="F4" i="152"/>
  <c r="G4" i="152"/>
  <c r="H4" i="152"/>
  <c r="I4" i="152"/>
  <c r="H2" i="152"/>
  <c r="I2" i="152"/>
  <c r="G2" i="152"/>
  <c r="F2" i="152"/>
  <c r="E2" i="152"/>
  <c r="C2" i="152"/>
  <c r="B2" i="152"/>
  <c r="I21" i="152" l="1"/>
  <c r="B11" i="151"/>
  <c r="C11" i="151"/>
  <c r="E11" i="151"/>
  <c r="F11" i="151"/>
  <c r="G11" i="151"/>
  <c r="H11" i="151"/>
  <c r="I11" i="151"/>
  <c r="B12" i="151"/>
  <c r="C12" i="151"/>
  <c r="E12" i="151"/>
  <c r="F12" i="151"/>
  <c r="G12" i="151"/>
  <c r="H12" i="151"/>
  <c r="I12" i="151"/>
  <c r="B13" i="151"/>
  <c r="C13" i="151"/>
  <c r="E13" i="151"/>
  <c r="F13" i="151"/>
  <c r="G13" i="151"/>
  <c r="H13" i="151"/>
  <c r="I13" i="151"/>
  <c r="E227" i="21"/>
  <c r="E226" i="21"/>
  <c r="B10" i="151" l="1"/>
  <c r="C10" i="151"/>
  <c r="E10" i="151"/>
  <c r="F10" i="151"/>
  <c r="G10" i="151"/>
  <c r="H10" i="151"/>
  <c r="I10" i="151"/>
  <c r="B7" i="151" l="1"/>
  <c r="C7" i="151"/>
  <c r="E7" i="151"/>
  <c r="F7" i="151"/>
  <c r="G7" i="151"/>
  <c r="H7" i="151"/>
  <c r="I7" i="151"/>
  <c r="B8" i="151"/>
  <c r="C8" i="151"/>
  <c r="E8" i="151"/>
  <c r="F8" i="151"/>
  <c r="G8" i="151"/>
  <c r="H8" i="151"/>
  <c r="I8" i="151"/>
  <c r="B9" i="151"/>
  <c r="C9" i="151"/>
  <c r="E9" i="151"/>
  <c r="F9" i="151"/>
  <c r="G9" i="151"/>
  <c r="H9" i="151"/>
  <c r="I9" i="151"/>
  <c r="B4" i="151" l="1"/>
  <c r="C4" i="151"/>
  <c r="E4" i="151"/>
  <c r="F4" i="151"/>
  <c r="G4" i="151"/>
  <c r="H4" i="151"/>
  <c r="I4" i="151"/>
  <c r="B5" i="151"/>
  <c r="C5" i="151"/>
  <c r="E5" i="151"/>
  <c r="F5" i="151"/>
  <c r="G5" i="151"/>
  <c r="H5" i="151"/>
  <c r="I5" i="151"/>
  <c r="B6" i="151"/>
  <c r="C6" i="151"/>
  <c r="E6" i="151"/>
  <c r="F6" i="151"/>
  <c r="G6" i="151"/>
  <c r="H6" i="151"/>
  <c r="I6" i="151"/>
  <c r="E228" i="21"/>
  <c r="B3" i="151" l="1"/>
  <c r="C3" i="151"/>
  <c r="E3" i="151"/>
  <c r="F3" i="151"/>
  <c r="G3" i="151"/>
  <c r="H3" i="151"/>
  <c r="I3" i="151"/>
  <c r="I93" i="12" l="1"/>
  <c r="I94" i="12"/>
  <c r="Z237" i="21"/>
  <c r="X237" i="21"/>
  <c r="V237" i="21"/>
  <c r="T237" i="21"/>
  <c r="R237" i="21"/>
  <c r="P237" i="21"/>
  <c r="N237" i="21"/>
  <c r="L237" i="21"/>
  <c r="J237" i="21"/>
  <c r="H237" i="21"/>
  <c r="F237" i="21"/>
  <c r="D237" i="21"/>
  <c r="AC236" i="21"/>
  <c r="I96" i="12" s="1"/>
  <c r="AB236" i="21"/>
  <c r="H96" i="12" s="1"/>
  <c r="AB235" i="21"/>
  <c r="H95" i="12" s="1"/>
  <c r="AC235" i="21"/>
  <c r="I95" i="12" s="1"/>
  <c r="AC234" i="21"/>
  <c r="AB234" i="21"/>
  <c r="H94" i="12" s="1"/>
  <c r="AC233" i="21"/>
  <c r="AB233" i="21"/>
  <c r="H93" i="12" s="1"/>
  <c r="AB232" i="21"/>
  <c r="AC232" i="21"/>
  <c r="AB231" i="21"/>
  <c r="H91" i="12" s="1"/>
  <c r="AC231" i="21"/>
  <c r="I91" i="12" s="1"/>
  <c r="AB230" i="21"/>
  <c r="H90" i="12" s="1"/>
  <c r="AC230" i="21"/>
  <c r="I90" i="12" s="1"/>
  <c r="AB229" i="21"/>
  <c r="H89" i="12" s="1"/>
  <c r="AC229" i="21"/>
  <c r="I89" i="12" s="1"/>
  <c r="AB228" i="21"/>
  <c r="H88" i="12" s="1"/>
  <c r="AC228" i="21"/>
  <c r="I88" i="12" s="1"/>
  <c r="AC227" i="21"/>
  <c r="I87" i="12" s="1"/>
  <c r="AB227" i="21"/>
  <c r="H87" i="12" s="1"/>
  <c r="O237" i="21"/>
  <c r="AB226" i="21"/>
  <c r="AC226" i="21"/>
  <c r="AB225" i="21"/>
  <c r="H85" i="12" s="1"/>
  <c r="AA237" i="21"/>
  <c r="Y237" i="21"/>
  <c r="W237" i="21"/>
  <c r="U237" i="21"/>
  <c r="S237" i="21"/>
  <c r="Q237" i="21"/>
  <c r="M237" i="21"/>
  <c r="K237" i="21"/>
  <c r="I237" i="21"/>
  <c r="G237" i="21"/>
  <c r="E237" i="21"/>
  <c r="I2" i="151"/>
  <c r="I14" i="151" s="1"/>
  <c r="H2" i="151"/>
  <c r="G2" i="151"/>
  <c r="F2" i="151"/>
  <c r="E2" i="151"/>
  <c r="C2" i="151"/>
  <c r="B2" i="151"/>
  <c r="B26" i="150"/>
  <c r="C26" i="150"/>
  <c r="E26" i="150"/>
  <c r="F26" i="150"/>
  <c r="G26" i="150"/>
  <c r="H26" i="150"/>
  <c r="I26" i="150"/>
  <c r="B27" i="150"/>
  <c r="C27" i="150"/>
  <c r="E27" i="150"/>
  <c r="F27" i="150"/>
  <c r="G27" i="150"/>
  <c r="H27" i="150"/>
  <c r="I27" i="150"/>
  <c r="B28" i="150"/>
  <c r="C28" i="150"/>
  <c r="E28" i="150"/>
  <c r="F28" i="150"/>
  <c r="G28" i="150"/>
  <c r="H28" i="150"/>
  <c r="I28" i="150"/>
  <c r="B29" i="150"/>
  <c r="C29" i="150"/>
  <c r="E29" i="150"/>
  <c r="F29" i="150"/>
  <c r="G29" i="150"/>
  <c r="H29" i="150"/>
  <c r="I29" i="150"/>
  <c r="B30" i="150"/>
  <c r="C30" i="150"/>
  <c r="E30" i="150"/>
  <c r="F30" i="150"/>
  <c r="G30" i="150"/>
  <c r="H30" i="150"/>
  <c r="I30" i="150"/>
  <c r="B31" i="150"/>
  <c r="C31" i="150"/>
  <c r="E31" i="150"/>
  <c r="F31" i="150"/>
  <c r="G31" i="150"/>
  <c r="H31" i="150"/>
  <c r="I31" i="150"/>
  <c r="B32" i="150"/>
  <c r="C32" i="150"/>
  <c r="E32" i="150"/>
  <c r="F32" i="150"/>
  <c r="G32" i="150"/>
  <c r="H32" i="150"/>
  <c r="I32" i="150"/>
  <c r="B33" i="150"/>
  <c r="C33" i="150"/>
  <c r="E33" i="150"/>
  <c r="F33" i="150"/>
  <c r="G33" i="150"/>
  <c r="H33" i="150"/>
  <c r="I33" i="150"/>
  <c r="B34" i="150"/>
  <c r="C34" i="150"/>
  <c r="E34" i="150"/>
  <c r="F34" i="150"/>
  <c r="G34" i="150"/>
  <c r="H34" i="150"/>
  <c r="I34" i="150"/>
  <c r="B35" i="150"/>
  <c r="C35" i="150"/>
  <c r="E35" i="150"/>
  <c r="F35" i="150"/>
  <c r="G35" i="150"/>
  <c r="H35" i="150"/>
  <c r="I35" i="150"/>
  <c r="B36" i="150"/>
  <c r="C36" i="150"/>
  <c r="E36" i="150"/>
  <c r="F36" i="150"/>
  <c r="G36" i="150"/>
  <c r="H36" i="150"/>
  <c r="I36" i="150"/>
  <c r="B37" i="150"/>
  <c r="C37" i="150"/>
  <c r="E37" i="150"/>
  <c r="F37" i="150"/>
  <c r="G37" i="150"/>
  <c r="H37" i="150"/>
  <c r="I37" i="150"/>
  <c r="AA207" i="21"/>
  <c r="AA208" i="21"/>
  <c r="AA206" i="21"/>
  <c r="AA211" i="21"/>
  <c r="I92" i="12" l="1"/>
  <c r="E108" i="12"/>
  <c r="K108" i="12" s="1"/>
  <c r="H92" i="12"/>
  <c r="D108" i="12"/>
  <c r="J108" i="12" s="1"/>
  <c r="I86" i="12"/>
  <c r="E102" i="12"/>
  <c r="K102" i="12" s="1"/>
  <c r="H86" i="12"/>
  <c r="D102" i="12"/>
  <c r="J102" i="12" s="1"/>
  <c r="AB237" i="21"/>
  <c r="AC237" i="21"/>
  <c r="AC225" i="21"/>
  <c r="I85" i="12" s="1"/>
  <c r="B23" i="150"/>
  <c r="C23" i="150"/>
  <c r="E23" i="150"/>
  <c r="F23" i="150"/>
  <c r="G23" i="150"/>
  <c r="H23" i="150"/>
  <c r="I23" i="150"/>
  <c r="B24" i="150"/>
  <c r="C24" i="150"/>
  <c r="E24" i="150"/>
  <c r="F24" i="150"/>
  <c r="G24" i="150"/>
  <c r="H24" i="150"/>
  <c r="I24" i="150"/>
  <c r="B25" i="150"/>
  <c r="C25" i="150"/>
  <c r="E25" i="150"/>
  <c r="F25" i="150"/>
  <c r="G25" i="150"/>
  <c r="H25" i="150"/>
  <c r="I25" i="150"/>
  <c r="K113" i="12" l="1"/>
  <c r="J113" i="12"/>
  <c r="I97" i="12"/>
  <c r="E113" i="12"/>
  <c r="H97" i="12"/>
  <c r="D113" i="12"/>
  <c r="B17" i="150"/>
  <c r="C17" i="150"/>
  <c r="E17" i="150"/>
  <c r="F17" i="150"/>
  <c r="G17" i="150"/>
  <c r="H17" i="150"/>
  <c r="I17" i="150"/>
  <c r="B18" i="150"/>
  <c r="C18" i="150"/>
  <c r="E18" i="150"/>
  <c r="F18" i="150"/>
  <c r="G18" i="150"/>
  <c r="H18" i="150"/>
  <c r="I18" i="150"/>
  <c r="B19" i="150"/>
  <c r="C19" i="150"/>
  <c r="E19" i="150"/>
  <c r="F19" i="150"/>
  <c r="G19" i="150"/>
  <c r="H19" i="150"/>
  <c r="I19" i="150"/>
  <c r="B20" i="150"/>
  <c r="C20" i="150"/>
  <c r="E20" i="150"/>
  <c r="F20" i="150"/>
  <c r="G20" i="150"/>
  <c r="H20" i="150"/>
  <c r="I20" i="150"/>
  <c r="B21" i="150"/>
  <c r="C21" i="150"/>
  <c r="E21" i="150"/>
  <c r="F21" i="150"/>
  <c r="G21" i="150"/>
  <c r="H21" i="150"/>
  <c r="I21" i="150"/>
  <c r="B22" i="150"/>
  <c r="C22" i="150"/>
  <c r="E22" i="150"/>
  <c r="F22" i="150"/>
  <c r="G22" i="150"/>
  <c r="H22" i="150"/>
  <c r="I22" i="150"/>
  <c r="AA213" i="21"/>
  <c r="B14" i="150" l="1"/>
  <c r="C14" i="150"/>
  <c r="E14" i="150"/>
  <c r="F14" i="150"/>
  <c r="G14" i="150"/>
  <c r="H14" i="150"/>
  <c r="I14" i="150"/>
  <c r="B15" i="150"/>
  <c r="C15" i="150"/>
  <c r="E15" i="150"/>
  <c r="F15" i="150"/>
  <c r="G15" i="150"/>
  <c r="H15" i="150"/>
  <c r="I15" i="150"/>
  <c r="B16" i="150"/>
  <c r="C16" i="150"/>
  <c r="E16" i="150"/>
  <c r="F16" i="150"/>
  <c r="G16" i="150"/>
  <c r="H16" i="150"/>
  <c r="I16" i="150"/>
  <c r="B10" i="150" l="1"/>
  <c r="C10" i="150"/>
  <c r="E10" i="150"/>
  <c r="F10" i="150"/>
  <c r="G10" i="150"/>
  <c r="H10" i="150"/>
  <c r="I10" i="150"/>
  <c r="B11" i="150"/>
  <c r="C11" i="150"/>
  <c r="E11" i="150"/>
  <c r="F11" i="150"/>
  <c r="G11" i="150"/>
  <c r="H11" i="150"/>
  <c r="I11" i="150"/>
  <c r="B12" i="150"/>
  <c r="C12" i="150"/>
  <c r="E12" i="150"/>
  <c r="F12" i="150"/>
  <c r="G12" i="150"/>
  <c r="H12" i="150"/>
  <c r="I12" i="150"/>
  <c r="B13" i="150"/>
  <c r="C13" i="150"/>
  <c r="E13" i="150"/>
  <c r="F13" i="150"/>
  <c r="G13" i="150"/>
  <c r="H13" i="150"/>
  <c r="I13" i="150"/>
  <c r="B9" i="150" l="1"/>
  <c r="C9" i="150"/>
  <c r="E9" i="150"/>
  <c r="F9" i="150"/>
  <c r="G9" i="150"/>
  <c r="H9" i="150"/>
  <c r="I9" i="150"/>
  <c r="W212" i="21"/>
  <c r="U206" i="21" l="1"/>
  <c r="B3" i="150"/>
  <c r="C3" i="150"/>
  <c r="E3" i="150"/>
  <c r="F3" i="150"/>
  <c r="G3" i="150"/>
  <c r="H3" i="150"/>
  <c r="I3" i="150"/>
  <c r="B4" i="150"/>
  <c r="C4" i="150"/>
  <c r="E4" i="150"/>
  <c r="F4" i="150"/>
  <c r="G4" i="150"/>
  <c r="H4" i="150"/>
  <c r="I4" i="150"/>
  <c r="B5" i="150"/>
  <c r="C5" i="150"/>
  <c r="E5" i="150"/>
  <c r="F5" i="150"/>
  <c r="G5" i="150"/>
  <c r="H5" i="150"/>
  <c r="I5" i="150"/>
  <c r="B6" i="150"/>
  <c r="C6" i="150"/>
  <c r="E6" i="150"/>
  <c r="F6" i="150"/>
  <c r="G6" i="150"/>
  <c r="H6" i="150"/>
  <c r="I6" i="150"/>
  <c r="B7" i="150"/>
  <c r="C7" i="150"/>
  <c r="E7" i="150"/>
  <c r="F7" i="150"/>
  <c r="G7" i="150"/>
  <c r="H7" i="150"/>
  <c r="I7" i="150"/>
  <c r="B8" i="150"/>
  <c r="C8" i="150"/>
  <c r="E8" i="150"/>
  <c r="F8" i="150"/>
  <c r="G8" i="150"/>
  <c r="H8" i="150"/>
  <c r="I8" i="150"/>
  <c r="I2" i="150"/>
  <c r="H2" i="150"/>
  <c r="G2" i="150"/>
  <c r="F2" i="150"/>
  <c r="E2" i="150"/>
  <c r="C2" i="150"/>
  <c r="B2" i="150"/>
  <c r="I38" i="150" l="1"/>
  <c r="B35" i="149"/>
  <c r="C35" i="149"/>
  <c r="E35" i="149"/>
  <c r="F35" i="149"/>
  <c r="G35" i="149"/>
  <c r="H35" i="149"/>
  <c r="I35" i="149"/>
  <c r="B36" i="149"/>
  <c r="C36" i="149"/>
  <c r="E36" i="149"/>
  <c r="F36" i="149"/>
  <c r="G36" i="149"/>
  <c r="H36" i="149"/>
  <c r="I36" i="149"/>
  <c r="B37" i="149"/>
  <c r="C37" i="149"/>
  <c r="E37" i="149"/>
  <c r="F37" i="149"/>
  <c r="G37" i="149"/>
  <c r="H37" i="149"/>
  <c r="I37" i="149"/>
  <c r="Y213" i="21"/>
  <c r="Y206" i="21"/>
  <c r="B32" i="149" l="1"/>
  <c r="C32" i="149"/>
  <c r="E32" i="149"/>
  <c r="F32" i="149"/>
  <c r="G32" i="149"/>
  <c r="H32" i="149"/>
  <c r="I32" i="149"/>
  <c r="B33" i="149"/>
  <c r="C33" i="149"/>
  <c r="E33" i="149"/>
  <c r="F33" i="149"/>
  <c r="G33" i="149"/>
  <c r="H33" i="149"/>
  <c r="I33" i="149"/>
  <c r="B34" i="149"/>
  <c r="C34" i="149"/>
  <c r="E34" i="149"/>
  <c r="F34" i="149"/>
  <c r="G34" i="149"/>
  <c r="H34" i="149"/>
  <c r="I34" i="149"/>
  <c r="Y216" i="21"/>
  <c r="B31" i="149" l="1"/>
  <c r="C31" i="149"/>
  <c r="E31" i="149"/>
  <c r="F31" i="149"/>
  <c r="G31" i="149"/>
  <c r="H31" i="149"/>
  <c r="I31" i="149"/>
  <c r="Y207" i="21"/>
  <c r="Y208" i="21" l="1"/>
  <c r="B26" i="149"/>
  <c r="C26" i="149"/>
  <c r="E26" i="149"/>
  <c r="F26" i="149"/>
  <c r="G26" i="149"/>
  <c r="H26" i="149"/>
  <c r="I26" i="149"/>
  <c r="B27" i="149"/>
  <c r="C27" i="149"/>
  <c r="E27" i="149"/>
  <c r="F27" i="149"/>
  <c r="G27" i="149"/>
  <c r="H27" i="149"/>
  <c r="I27" i="149"/>
  <c r="B28" i="149"/>
  <c r="C28" i="149"/>
  <c r="E28" i="149"/>
  <c r="F28" i="149"/>
  <c r="G28" i="149"/>
  <c r="H28" i="149"/>
  <c r="I28" i="149"/>
  <c r="B29" i="149"/>
  <c r="C29" i="149"/>
  <c r="E29" i="149"/>
  <c r="F29" i="149"/>
  <c r="G29" i="149"/>
  <c r="H29" i="149"/>
  <c r="I29" i="149"/>
  <c r="B30" i="149"/>
  <c r="C30" i="149"/>
  <c r="E30" i="149"/>
  <c r="F30" i="149"/>
  <c r="G30" i="149"/>
  <c r="H30" i="149"/>
  <c r="I30" i="149"/>
  <c r="B23" i="149" l="1"/>
  <c r="C23" i="149"/>
  <c r="E23" i="149"/>
  <c r="F23" i="149"/>
  <c r="G23" i="149"/>
  <c r="H23" i="149"/>
  <c r="I23" i="149"/>
  <c r="B24" i="149"/>
  <c r="C24" i="149"/>
  <c r="E24" i="149"/>
  <c r="F24" i="149"/>
  <c r="G24" i="149"/>
  <c r="H24" i="149"/>
  <c r="I24" i="149"/>
  <c r="B25" i="149"/>
  <c r="C25" i="149"/>
  <c r="E25" i="149"/>
  <c r="F25" i="149"/>
  <c r="G25" i="149"/>
  <c r="H25" i="149"/>
  <c r="I25" i="149"/>
  <c r="B18" i="149" l="1"/>
  <c r="C18" i="149"/>
  <c r="E18" i="149"/>
  <c r="F18" i="149"/>
  <c r="G18" i="149"/>
  <c r="H18" i="149"/>
  <c r="I18" i="149"/>
  <c r="B19" i="149"/>
  <c r="C19" i="149"/>
  <c r="E19" i="149"/>
  <c r="F19" i="149"/>
  <c r="G19" i="149"/>
  <c r="H19" i="149"/>
  <c r="I19" i="149"/>
  <c r="B20" i="149"/>
  <c r="C20" i="149"/>
  <c r="E20" i="149"/>
  <c r="F20" i="149"/>
  <c r="G20" i="149"/>
  <c r="H20" i="149"/>
  <c r="I20" i="149"/>
  <c r="B21" i="149"/>
  <c r="C21" i="149"/>
  <c r="E21" i="149"/>
  <c r="F21" i="149"/>
  <c r="G21" i="149"/>
  <c r="H21" i="149"/>
  <c r="I21" i="149"/>
  <c r="B22" i="149"/>
  <c r="C22" i="149"/>
  <c r="E22" i="149"/>
  <c r="F22" i="149"/>
  <c r="G22" i="149"/>
  <c r="H22" i="149"/>
  <c r="I22" i="149"/>
  <c r="B15" i="149" l="1"/>
  <c r="C15" i="149"/>
  <c r="E15" i="149"/>
  <c r="F15" i="149"/>
  <c r="G15" i="149"/>
  <c r="H15" i="149"/>
  <c r="I15" i="149"/>
  <c r="B16" i="149"/>
  <c r="C16" i="149"/>
  <c r="E16" i="149"/>
  <c r="F16" i="149"/>
  <c r="G16" i="149"/>
  <c r="H16" i="149"/>
  <c r="I16" i="149"/>
  <c r="B17" i="149"/>
  <c r="C17" i="149"/>
  <c r="E17" i="149"/>
  <c r="F17" i="149"/>
  <c r="G17" i="149"/>
  <c r="H17" i="149"/>
  <c r="I17" i="149"/>
  <c r="B12" i="149" l="1"/>
  <c r="C12" i="149"/>
  <c r="E12" i="149"/>
  <c r="F12" i="149"/>
  <c r="G12" i="149"/>
  <c r="H12" i="149"/>
  <c r="I12" i="149"/>
  <c r="B13" i="149"/>
  <c r="C13" i="149"/>
  <c r="E13" i="149"/>
  <c r="F13" i="149"/>
  <c r="G13" i="149"/>
  <c r="H13" i="149"/>
  <c r="I13" i="149"/>
  <c r="B14" i="149"/>
  <c r="C14" i="149"/>
  <c r="E14" i="149"/>
  <c r="F14" i="149"/>
  <c r="G14" i="149"/>
  <c r="H14" i="149"/>
  <c r="I14" i="149"/>
  <c r="W207" i="21" l="1"/>
  <c r="B6" i="149" l="1"/>
  <c r="C6" i="149"/>
  <c r="E6" i="149"/>
  <c r="F6" i="149"/>
  <c r="G6" i="149"/>
  <c r="H6" i="149"/>
  <c r="I6" i="149"/>
  <c r="B7" i="149"/>
  <c r="C7" i="149"/>
  <c r="E7" i="149"/>
  <c r="F7" i="149"/>
  <c r="G7" i="149"/>
  <c r="H7" i="149"/>
  <c r="I7" i="149"/>
  <c r="B8" i="149"/>
  <c r="C8" i="149"/>
  <c r="E8" i="149"/>
  <c r="F8" i="149"/>
  <c r="G8" i="149"/>
  <c r="H8" i="149"/>
  <c r="I8" i="149"/>
  <c r="B9" i="149"/>
  <c r="C9" i="149"/>
  <c r="E9" i="149"/>
  <c r="F9" i="149"/>
  <c r="G9" i="149"/>
  <c r="H9" i="149"/>
  <c r="I9" i="149"/>
  <c r="B10" i="149"/>
  <c r="C10" i="149"/>
  <c r="E10" i="149"/>
  <c r="F10" i="149"/>
  <c r="G10" i="149"/>
  <c r="H10" i="149"/>
  <c r="I10" i="149"/>
  <c r="B11" i="149"/>
  <c r="C11" i="149"/>
  <c r="E11" i="149"/>
  <c r="F11" i="149"/>
  <c r="G11" i="149"/>
  <c r="H11" i="149"/>
  <c r="I11" i="149"/>
  <c r="B3" i="149" l="1"/>
  <c r="C3" i="149"/>
  <c r="E3" i="149"/>
  <c r="F3" i="149"/>
  <c r="G3" i="149"/>
  <c r="H3" i="149"/>
  <c r="I3" i="149"/>
  <c r="B4" i="149"/>
  <c r="C4" i="149"/>
  <c r="E4" i="149"/>
  <c r="F4" i="149"/>
  <c r="G4" i="149"/>
  <c r="H4" i="149"/>
  <c r="I4" i="149"/>
  <c r="B5" i="149"/>
  <c r="C5" i="149"/>
  <c r="E5" i="149"/>
  <c r="F5" i="149"/>
  <c r="G5" i="149"/>
  <c r="H5" i="149"/>
  <c r="I5" i="149"/>
  <c r="I2" i="149" l="1"/>
  <c r="I38" i="149" s="1"/>
  <c r="H2" i="149"/>
  <c r="G2" i="149"/>
  <c r="F2" i="149"/>
  <c r="E2" i="149"/>
  <c r="C2" i="149"/>
  <c r="B2" i="149"/>
  <c r="B46" i="148" l="1"/>
  <c r="C46" i="148"/>
  <c r="E46" i="148"/>
  <c r="F46" i="148"/>
  <c r="G46" i="148"/>
  <c r="H46" i="148"/>
  <c r="I46" i="148"/>
  <c r="W206" i="21"/>
  <c r="B44" i="148" l="1"/>
  <c r="C44" i="148"/>
  <c r="E44" i="148"/>
  <c r="F44" i="148"/>
  <c r="G44" i="148"/>
  <c r="H44" i="148"/>
  <c r="I44" i="148"/>
  <c r="B45" i="148"/>
  <c r="C45" i="148"/>
  <c r="E45" i="148"/>
  <c r="F45" i="148"/>
  <c r="G45" i="148"/>
  <c r="H45" i="148"/>
  <c r="I45" i="148"/>
  <c r="B42" i="148" l="1"/>
  <c r="C42" i="148"/>
  <c r="E42" i="148"/>
  <c r="F42" i="148"/>
  <c r="G42" i="148"/>
  <c r="H42" i="148"/>
  <c r="I42" i="148"/>
  <c r="B43" i="148"/>
  <c r="C43" i="148"/>
  <c r="E43" i="148"/>
  <c r="F43" i="148"/>
  <c r="G43" i="148"/>
  <c r="H43" i="148"/>
  <c r="I43" i="148"/>
  <c r="B40" i="148" l="1"/>
  <c r="C40" i="148"/>
  <c r="E40" i="148"/>
  <c r="F40" i="148"/>
  <c r="G40" i="148"/>
  <c r="H40" i="148"/>
  <c r="I40" i="148"/>
  <c r="B41" i="148"/>
  <c r="C41" i="148"/>
  <c r="E41" i="148"/>
  <c r="F41" i="148"/>
  <c r="G41" i="148"/>
  <c r="H41" i="148"/>
  <c r="I41" i="148"/>
  <c r="W208" i="21" l="1"/>
  <c r="B31" i="148"/>
  <c r="C31" i="148"/>
  <c r="E31" i="148"/>
  <c r="F31" i="148"/>
  <c r="G31" i="148"/>
  <c r="H31" i="148"/>
  <c r="I31" i="148"/>
  <c r="B32" i="148"/>
  <c r="C32" i="148"/>
  <c r="E32" i="148"/>
  <c r="F32" i="148"/>
  <c r="G32" i="148"/>
  <c r="H32" i="148"/>
  <c r="I32" i="148"/>
  <c r="B33" i="148"/>
  <c r="C33" i="148"/>
  <c r="E33" i="148"/>
  <c r="F33" i="148"/>
  <c r="G33" i="148"/>
  <c r="H33" i="148"/>
  <c r="I33" i="148"/>
  <c r="B34" i="148"/>
  <c r="C34" i="148"/>
  <c r="E34" i="148"/>
  <c r="F34" i="148"/>
  <c r="G34" i="148"/>
  <c r="H34" i="148"/>
  <c r="I34" i="148"/>
  <c r="B35" i="148"/>
  <c r="C35" i="148"/>
  <c r="E35" i="148"/>
  <c r="F35" i="148"/>
  <c r="G35" i="148"/>
  <c r="H35" i="148"/>
  <c r="I35" i="148"/>
  <c r="B36" i="148"/>
  <c r="C36" i="148"/>
  <c r="E36" i="148"/>
  <c r="F36" i="148"/>
  <c r="G36" i="148"/>
  <c r="H36" i="148"/>
  <c r="I36" i="148"/>
  <c r="B37" i="148"/>
  <c r="C37" i="148"/>
  <c r="E37" i="148"/>
  <c r="F37" i="148"/>
  <c r="G37" i="148"/>
  <c r="H37" i="148"/>
  <c r="I37" i="148"/>
  <c r="B38" i="148"/>
  <c r="C38" i="148"/>
  <c r="E38" i="148"/>
  <c r="F38" i="148"/>
  <c r="G38" i="148"/>
  <c r="H38" i="148"/>
  <c r="I38" i="148"/>
  <c r="B39" i="148"/>
  <c r="C39" i="148"/>
  <c r="E39" i="148"/>
  <c r="F39" i="148"/>
  <c r="G39" i="148"/>
  <c r="H39" i="148"/>
  <c r="I39" i="148"/>
  <c r="B29" i="148" l="1"/>
  <c r="C29" i="148"/>
  <c r="E29" i="148"/>
  <c r="F29" i="148"/>
  <c r="G29" i="148"/>
  <c r="H29" i="148"/>
  <c r="I29" i="148"/>
  <c r="B30" i="148"/>
  <c r="C30" i="148"/>
  <c r="E30" i="148"/>
  <c r="F30" i="148"/>
  <c r="G30" i="148"/>
  <c r="H30" i="148"/>
  <c r="I30" i="148"/>
  <c r="B27" i="148" l="1"/>
  <c r="C27" i="148"/>
  <c r="E27" i="148"/>
  <c r="F27" i="148"/>
  <c r="G27" i="148"/>
  <c r="H27" i="148"/>
  <c r="I27" i="148"/>
  <c r="B28" i="148"/>
  <c r="C28" i="148"/>
  <c r="E28" i="148"/>
  <c r="F28" i="148"/>
  <c r="G28" i="148"/>
  <c r="H28" i="148"/>
  <c r="I28" i="148"/>
  <c r="W213" i="21" l="1"/>
  <c r="W216" i="21"/>
  <c r="B23" i="148"/>
  <c r="C23" i="148"/>
  <c r="E23" i="148"/>
  <c r="F23" i="148"/>
  <c r="G23" i="148"/>
  <c r="H23" i="148"/>
  <c r="I23" i="148"/>
  <c r="B24" i="148"/>
  <c r="C24" i="148"/>
  <c r="E24" i="148"/>
  <c r="F24" i="148"/>
  <c r="G24" i="148"/>
  <c r="H24" i="148"/>
  <c r="I24" i="148"/>
  <c r="B25" i="148"/>
  <c r="C25" i="148"/>
  <c r="E25" i="148"/>
  <c r="F25" i="148"/>
  <c r="G25" i="148"/>
  <c r="H25" i="148"/>
  <c r="I25" i="148"/>
  <c r="B26" i="148"/>
  <c r="C26" i="148"/>
  <c r="E26" i="148"/>
  <c r="F26" i="148"/>
  <c r="G26" i="148"/>
  <c r="H26" i="148"/>
  <c r="I26" i="148"/>
  <c r="B18" i="148" l="1"/>
  <c r="C18" i="148"/>
  <c r="E18" i="148"/>
  <c r="F18" i="148"/>
  <c r="G18" i="148"/>
  <c r="H18" i="148"/>
  <c r="I18" i="148"/>
  <c r="B19" i="148"/>
  <c r="C19" i="148"/>
  <c r="E19" i="148"/>
  <c r="F19" i="148"/>
  <c r="G19" i="148"/>
  <c r="H19" i="148"/>
  <c r="I19" i="148"/>
  <c r="B20" i="148"/>
  <c r="C20" i="148"/>
  <c r="E20" i="148"/>
  <c r="F20" i="148"/>
  <c r="G20" i="148"/>
  <c r="H20" i="148"/>
  <c r="I20" i="148"/>
  <c r="B21" i="148"/>
  <c r="C21" i="148"/>
  <c r="E21" i="148"/>
  <c r="F21" i="148"/>
  <c r="G21" i="148"/>
  <c r="H21" i="148"/>
  <c r="I21" i="148"/>
  <c r="B22" i="148"/>
  <c r="C22" i="148"/>
  <c r="E22" i="148"/>
  <c r="F22" i="148"/>
  <c r="G22" i="148"/>
  <c r="H22" i="148"/>
  <c r="I22" i="148"/>
  <c r="B16" i="148" l="1"/>
  <c r="C16" i="148"/>
  <c r="E16" i="148"/>
  <c r="F16" i="148"/>
  <c r="G16" i="148"/>
  <c r="H16" i="148"/>
  <c r="I16" i="148"/>
  <c r="B17" i="148"/>
  <c r="C17" i="148"/>
  <c r="E17" i="148"/>
  <c r="F17" i="148"/>
  <c r="G17" i="148"/>
  <c r="H17" i="148"/>
  <c r="I17" i="148"/>
  <c r="B11" i="148" l="1"/>
  <c r="C11" i="148"/>
  <c r="E11" i="148"/>
  <c r="F11" i="148"/>
  <c r="G11" i="148"/>
  <c r="H11" i="148"/>
  <c r="I11" i="148"/>
  <c r="B12" i="148"/>
  <c r="C12" i="148"/>
  <c r="E12" i="148"/>
  <c r="F12" i="148"/>
  <c r="G12" i="148"/>
  <c r="H12" i="148"/>
  <c r="I12" i="148"/>
  <c r="B13" i="148"/>
  <c r="C13" i="148"/>
  <c r="E13" i="148"/>
  <c r="F13" i="148"/>
  <c r="G13" i="148"/>
  <c r="H13" i="148"/>
  <c r="I13" i="148"/>
  <c r="B14" i="148"/>
  <c r="C14" i="148"/>
  <c r="E14" i="148"/>
  <c r="F14" i="148"/>
  <c r="G14" i="148"/>
  <c r="H14" i="148"/>
  <c r="I14" i="148"/>
  <c r="B15" i="148"/>
  <c r="C15" i="148"/>
  <c r="E15" i="148"/>
  <c r="F15" i="148"/>
  <c r="G15" i="148"/>
  <c r="H15" i="148"/>
  <c r="I15" i="148"/>
  <c r="B9" i="148" l="1"/>
  <c r="C9" i="148"/>
  <c r="E9" i="148"/>
  <c r="F9" i="148"/>
  <c r="G9" i="148"/>
  <c r="H9" i="148"/>
  <c r="I9" i="148"/>
  <c r="B10" i="148"/>
  <c r="C10" i="148"/>
  <c r="E10" i="148"/>
  <c r="F10" i="148"/>
  <c r="G10" i="148"/>
  <c r="H10" i="148"/>
  <c r="I10" i="148"/>
  <c r="B8" i="148" l="1"/>
  <c r="C8" i="148"/>
  <c r="E8" i="148"/>
  <c r="F8" i="148"/>
  <c r="G8" i="148"/>
  <c r="H8" i="148"/>
  <c r="I8" i="148"/>
  <c r="U207" i="21" l="1"/>
  <c r="U208" i="21"/>
  <c r="B3" i="148"/>
  <c r="C3" i="148"/>
  <c r="E3" i="148"/>
  <c r="F3" i="148"/>
  <c r="G3" i="148"/>
  <c r="H3" i="148"/>
  <c r="I3" i="148"/>
  <c r="B4" i="148"/>
  <c r="C4" i="148"/>
  <c r="E4" i="148"/>
  <c r="F4" i="148"/>
  <c r="G4" i="148"/>
  <c r="H4" i="148"/>
  <c r="I4" i="148"/>
  <c r="B5" i="148"/>
  <c r="C5" i="148"/>
  <c r="E5" i="148"/>
  <c r="F5" i="148"/>
  <c r="G5" i="148"/>
  <c r="H5" i="148"/>
  <c r="I5" i="148"/>
  <c r="B6" i="148"/>
  <c r="C6" i="148"/>
  <c r="E6" i="148"/>
  <c r="F6" i="148"/>
  <c r="G6" i="148"/>
  <c r="H6" i="148"/>
  <c r="I6" i="148"/>
  <c r="B7" i="148"/>
  <c r="C7" i="148"/>
  <c r="E7" i="148"/>
  <c r="F7" i="148"/>
  <c r="G7" i="148"/>
  <c r="H7" i="148"/>
  <c r="I7" i="148"/>
  <c r="B25" i="147"/>
  <c r="C25" i="147"/>
  <c r="E25" i="147"/>
  <c r="F25" i="147"/>
  <c r="G25" i="147"/>
  <c r="H25" i="147"/>
  <c r="I25" i="147"/>
  <c r="B26" i="147"/>
  <c r="C26" i="147"/>
  <c r="E26" i="147"/>
  <c r="F26" i="147"/>
  <c r="G26" i="147"/>
  <c r="H26" i="147"/>
  <c r="I26" i="147"/>
  <c r="B27" i="147"/>
  <c r="C27" i="147"/>
  <c r="E27" i="147"/>
  <c r="F27" i="147"/>
  <c r="G27" i="147"/>
  <c r="H27" i="147"/>
  <c r="I27" i="147"/>
  <c r="B28" i="147"/>
  <c r="C28" i="147"/>
  <c r="E28" i="147"/>
  <c r="F28" i="147"/>
  <c r="G28" i="147"/>
  <c r="H28" i="147"/>
  <c r="I28" i="147"/>
  <c r="I2" i="148"/>
  <c r="H2" i="148"/>
  <c r="G2" i="148"/>
  <c r="F2" i="148"/>
  <c r="E2" i="148"/>
  <c r="C2" i="148"/>
  <c r="B2" i="148"/>
  <c r="G206" i="21"/>
  <c r="I47" i="148" l="1"/>
  <c r="B23" i="147"/>
  <c r="C23" i="147"/>
  <c r="E23" i="147"/>
  <c r="F23" i="147"/>
  <c r="G23" i="147"/>
  <c r="H23" i="147"/>
  <c r="I23" i="147"/>
  <c r="B24" i="147"/>
  <c r="C24" i="147"/>
  <c r="E24" i="147"/>
  <c r="F24" i="147"/>
  <c r="G24" i="147"/>
  <c r="H24" i="147"/>
  <c r="I24" i="147"/>
  <c r="I209" i="21"/>
  <c r="B14" i="147" l="1"/>
  <c r="C14" i="147"/>
  <c r="E14" i="147"/>
  <c r="F14" i="147"/>
  <c r="G14" i="147"/>
  <c r="H14" i="147"/>
  <c r="I14" i="147"/>
  <c r="B15" i="147"/>
  <c r="C15" i="147"/>
  <c r="E15" i="147"/>
  <c r="F15" i="147"/>
  <c r="G15" i="147"/>
  <c r="H15" i="147"/>
  <c r="I15" i="147"/>
  <c r="B16" i="147"/>
  <c r="C16" i="147"/>
  <c r="E16" i="147"/>
  <c r="F16" i="147"/>
  <c r="G16" i="147"/>
  <c r="H16" i="147"/>
  <c r="I16" i="147"/>
  <c r="B17" i="147"/>
  <c r="C17" i="147"/>
  <c r="E17" i="147"/>
  <c r="F17" i="147"/>
  <c r="G17" i="147"/>
  <c r="H17" i="147"/>
  <c r="I17" i="147"/>
  <c r="B18" i="147"/>
  <c r="C18" i="147"/>
  <c r="E18" i="147"/>
  <c r="F18" i="147"/>
  <c r="G18" i="147"/>
  <c r="H18" i="147"/>
  <c r="I18" i="147"/>
  <c r="B19" i="147"/>
  <c r="C19" i="147"/>
  <c r="E19" i="147"/>
  <c r="F19" i="147"/>
  <c r="G19" i="147"/>
  <c r="H19" i="147"/>
  <c r="I19" i="147"/>
  <c r="B20" i="147"/>
  <c r="C20" i="147"/>
  <c r="E20" i="147"/>
  <c r="F20" i="147"/>
  <c r="G20" i="147"/>
  <c r="H20" i="147"/>
  <c r="I20" i="147"/>
  <c r="B21" i="147"/>
  <c r="C21" i="147"/>
  <c r="E21" i="147"/>
  <c r="F21" i="147"/>
  <c r="G21" i="147"/>
  <c r="H21" i="147"/>
  <c r="I21" i="147"/>
  <c r="B22" i="147"/>
  <c r="C22" i="147"/>
  <c r="E22" i="147"/>
  <c r="F22" i="147"/>
  <c r="G22" i="147"/>
  <c r="H22" i="147"/>
  <c r="I22" i="147"/>
  <c r="B7" i="147" l="1"/>
  <c r="C7" i="147"/>
  <c r="E7" i="147"/>
  <c r="F7" i="147"/>
  <c r="G7" i="147"/>
  <c r="H7" i="147"/>
  <c r="I7" i="147"/>
  <c r="B8" i="147"/>
  <c r="C8" i="147"/>
  <c r="E8" i="147"/>
  <c r="F8" i="147"/>
  <c r="G8" i="147"/>
  <c r="H8" i="147"/>
  <c r="I8" i="147"/>
  <c r="B9" i="147"/>
  <c r="C9" i="147"/>
  <c r="E9" i="147"/>
  <c r="F9" i="147"/>
  <c r="G9" i="147"/>
  <c r="H9" i="147"/>
  <c r="I9" i="147"/>
  <c r="B10" i="147"/>
  <c r="C10" i="147"/>
  <c r="E10" i="147"/>
  <c r="F10" i="147"/>
  <c r="G10" i="147"/>
  <c r="H10" i="147"/>
  <c r="I10" i="147"/>
  <c r="B11" i="147"/>
  <c r="C11" i="147"/>
  <c r="E11" i="147"/>
  <c r="F11" i="147"/>
  <c r="G11" i="147"/>
  <c r="H11" i="147"/>
  <c r="I11" i="147"/>
  <c r="B12" i="147"/>
  <c r="C12" i="147"/>
  <c r="E12" i="147"/>
  <c r="F12" i="147"/>
  <c r="G12" i="147"/>
  <c r="H12" i="147"/>
  <c r="I12" i="147"/>
  <c r="B13" i="147"/>
  <c r="C13" i="147"/>
  <c r="E13" i="147"/>
  <c r="F13" i="147"/>
  <c r="G13" i="147"/>
  <c r="H13" i="147"/>
  <c r="I13" i="147"/>
  <c r="U213" i="21"/>
  <c r="B6" i="147" l="1"/>
  <c r="C6" i="147"/>
  <c r="E6" i="147"/>
  <c r="F6" i="147"/>
  <c r="G6" i="147"/>
  <c r="H6" i="147"/>
  <c r="I6" i="147"/>
  <c r="G108" i="4" l="1"/>
  <c r="M108" i="4" s="1"/>
  <c r="F108" i="4"/>
  <c r="L108" i="4" s="1"/>
  <c r="E108" i="4"/>
  <c r="D108" i="4"/>
  <c r="I107" i="4"/>
  <c r="H107" i="4"/>
  <c r="I106" i="4"/>
  <c r="H106" i="4"/>
  <c r="I105" i="4"/>
  <c r="H105" i="4"/>
  <c r="I104" i="4"/>
  <c r="H104" i="4"/>
  <c r="I103" i="4"/>
  <c r="H103" i="4"/>
  <c r="I102" i="4"/>
  <c r="H102" i="4"/>
  <c r="I101" i="4"/>
  <c r="H101" i="4"/>
  <c r="I100" i="4"/>
  <c r="H100" i="4"/>
  <c r="I99" i="4"/>
  <c r="H99" i="4"/>
  <c r="I96" i="4"/>
  <c r="H96" i="4"/>
  <c r="I95" i="4"/>
  <c r="H95" i="4"/>
  <c r="B3" i="147"/>
  <c r="C3" i="147"/>
  <c r="E3" i="147"/>
  <c r="F3" i="147"/>
  <c r="G3" i="147"/>
  <c r="H3" i="147"/>
  <c r="I3" i="147"/>
  <c r="B4" i="147"/>
  <c r="C4" i="147"/>
  <c r="E4" i="147"/>
  <c r="F4" i="147"/>
  <c r="G4" i="147"/>
  <c r="H4" i="147"/>
  <c r="I4" i="147"/>
  <c r="B5" i="147"/>
  <c r="C5" i="147"/>
  <c r="E5" i="147"/>
  <c r="F5" i="147"/>
  <c r="G5" i="147"/>
  <c r="H5" i="147"/>
  <c r="I5" i="147"/>
  <c r="H108" i="4" l="1"/>
  <c r="I108" i="4"/>
  <c r="B2" i="147" l="1"/>
  <c r="C2" i="147"/>
  <c r="E2" i="147"/>
  <c r="F2" i="147"/>
  <c r="G2" i="147"/>
  <c r="H2" i="147"/>
  <c r="I2" i="147"/>
  <c r="I29" i="147" l="1"/>
  <c r="B18" i="146"/>
  <c r="C18" i="146"/>
  <c r="E18" i="146"/>
  <c r="F18" i="146"/>
  <c r="G18" i="146"/>
  <c r="H18" i="146"/>
  <c r="I18" i="146"/>
  <c r="B19" i="146"/>
  <c r="C19" i="146"/>
  <c r="E19" i="146"/>
  <c r="F19" i="146"/>
  <c r="G19" i="146"/>
  <c r="H19" i="146"/>
  <c r="I19" i="146"/>
  <c r="S206" i="21"/>
  <c r="B5" i="146" l="1"/>
  <c r="C5" i="146"/>
  <c r="E5" i="146"/>
  <c r="F5" i="146"/>
  <c r="G5" i="146"/>
  <c r="H5" i="146"/>
  <c r="I5" i="146"/>
  <c r="B6" i="146"/>
  <c r="C6" i="146"/>
  <c r="E6" i="146"/>
  <c r="F6" i="146"/>
  <c r="G6" i="146"/>
  <c r="H6" i="146"/>
  <c r="I6" i="146"/>
  <c r="B7" i="146"/>
  <c r="C7" i="146"/>
  <c r="E7" i="146"/>
  <c r="F7" i="146"/>
  <c r="G7" i="146"/>
  <c r="H7" i="146"/>
  <c r="I7" i="146"/>
  <c r="B8" i="146"/>
  <c r="C8" i="146"/>
  <c r="E8" i="146"/>
  <c r="F8" i="146"/>
  <c r="G8" i="146"/>
  <c r="H8" i="146"/>
  <c r="I8" i="146"/>
  <c r="B9" i="146"/>
  <c r="C9" i="146"/>
  <c r="E9" i="146"/>
  <c r="F9" i="146"/>
  <c r="G9" i="146"/>
  <c r="H9" i="146"/>
  <c r="I9" i="146"/>
  <c r="B10" i="146"/>
  <c r="C10" i="146"/>
  <c r="E10" i="146"/>
  <c r="F10" i="146"/>
  <c r="G10" i="146"/>
  <c r="H10" i="146"/>
  <c r="I10" i="146"/>
  <c r="B11" i="146"/>
  <c r="C11" i="146"/>
  <c r="E11" i="146"/>
  <c r="F11" i="146"/>
  <c r="G11" i="146"/>
  <c r="H11" i="146"/>
  <c r="I11" i="146"/>
  <c r="B12" i="146"/>
  <c r="C12" i="146"/>
  <c r="E12" i="146"/>
  <c r="F12" i="146"/>
  <c r="G12" i="146"/>
  <c r="H12" i="146"/>
  <c r="I12" i="146"/>
  <c r="B13" i="146"/>
  <c r="C13" i="146"/>
  <c r="E13" i="146"/>
  <c r="F13" i="146"/>
  <c r="G13" i="146"/>
  <c r="H13" i="146"/>
  <c r="I13" i="146"/>
  <c r="B14" i="146"/>
  <c r="C14" i="146"/>
  <c r="E14" i="146"/>
  <c r="F14" i="146"/>
  <c r="G14" i="146"/>
  <c r="H14" i="146"/>
  <c r="I14" i="146"/>
  <c r="B15" i="146"/>
  <c r="C15" i="146"/>
  <c r="E15" i="146"/>
  <c r="F15" i="146"/>
  <c r="G15" i="146"/>
  <c r="H15" i="146"/>
  <c r="I15" i="146"/>
  <c r="B16" i="146"/>
  <c r="C16" i="146"/>
  <c r="E16" i="146"/>
  <c r="F16" i="146"/>
  <c r="G16" i="146"/>
  <c r="H16" i="146"/>
  <c r="I16" i="146"/>
  <c r="B17" i="146"/>
  <c r="C17" i="146"/>
  <c r="E17" i="146"/>
  <c r="F17" i="146"/>
  <c r="G17" i="146"/>
  <c r="H17" i="146"/>
  <c r="I17" i="146"/>
  <c r="S213" i="21"/>
  <c r="S207" i="21"/>
  <c r="S208" i="21"/>
  <c r="M207" i="21" l="1"/>
  <c r="B3" i="146" l="1"/>
  <c r="C3" i="146"/>
  <c r="E3" i="146"/>
  <c r="F3" i="146"/>
  <c r="G3" i="146"/>
  <c r="H3" i="146"/>
  <c r="I3" i="146"/>
  <c r="B4" i="146"/>
  <c r="C4" i="146"/>
  <c r="E4" i="146"/>
  <c r="F4" i="146"/>
  <c r="G4" i="146"/>
  <c r="H4" i="146"/>
  <c r="I4" i="146"/>
  <c r="I2" i="146" l="1"/>
  <c r="I20" i="146" s="1"/>
  <c r="H2" i="146"/>
  <c r="G2" i="146"/>
  <c r="F2" i="146"/>
  <c r="E2" i="146"/>
  <c r="C2" i="146"/>
  <c r="B2" i="146"/>
  <c r="B37" i="145" l="1"/>
  <c r="C37" i="145"/>
  <c r="E37" i="145"/>
  <c r="F37" i="145"/>
  <c r="G37" i="145"/>
  <c r="H37" i="145"/>
  <c r="I37" i="145"/>
  <c r="Q206" i="21"/>
  <c r="B34" i="145" l="1"/>
  <c r="C34" i="145"/>
  <c r="E34" i="145"/>
  <c r="F34" i="145"/>
  <c r="G34" i="145"/>
  <c r="H34" i="145"/>
  <c r="I34" i="145"/>
  <c r="B35" i="145"/>
  <c r="C35" i="145"/>
  <c r="E35" i="145"/>
  <c r="F35" i="145"/>
  <c r="G35" i="145"/>
  <c r="H35" i="145"/>
  <c r="I35" i="145"/>
  <c r="B36" i="145"/>
  <c r="C36" i="145"/>
  <c r="E36" i="145"/>
  <c r="F36" i="145"/>
  <c r="G36" i="145"/>
  <c r="H36" i="145"/>
  <c r="I36" i="145"/>
  <c r="Q207" i="21"/>
  <c r="Q208" i="21"/>
  <c r="B27" i="145" l="1"/>
  <c r="C27" i="145"/>
  <c r="E27" i="145"/>
  <c r="F27" i="145"/>
  <c r="G27" i="145"/>
  <c r="H27" i="145"/>
  <c r="I27" i="145"/>
  <c r="B28" i="145"/>
  <c r="C28" i="145"/>
  <c r="E28" i="145"/>
  <c r="F28" i="145"/>
  <c r="G28" i="145"/>
  <c r="H28" i="145"/>
  <c r="I28" i="145"/>
  <c r="B29" i="145"/>
  <c r="C29" i="145"/>
  <c r="E29" i="145"/>
  <c r="F29" i="145"/>
  <c r="G29" i="145"/>
  <c r="H29" i="145"/>
  <c r="I29" i="145"/>
  <c r="B30" i="145"/>
  <c r="C30" i="145"/>
  <c r="E30" i="145"/>
  <c r="F30" i="145"/>
  <c r="G30" i="145"/>
  <c r="H30" i="145"/>
  <c r="I30" i="145"/>
  <c r="B31" i="145"/>
  <c r="C31" i="145"/>
  <c r="E31" i="145"/>
  <c r="F31" i="145"/>
  <c r="G31" i="145"/>
  <c r="H31" i="145"/>
  <c r="I31" i="145"/>
  <c r="B32" i="145"/>
  <c r="C32" i="145"/>
  <c r="E32" i="145"/>
  <c r="F32" i="145"/>
  <c r="G32" i="145"/>
  <c r="H32" i="145"/>
  <c r="I32" i="145"/>
  <c r="B33" i="145"/>
  <c r="C33" i="145"/>
  <c r="E33" i="145"/>
  <c r="F33" i="145"/>
  <c r="G33" i="145"/>
  <c r="H33" i="145"/>
  <c r="I33" i="145"/>
  <c r="Q213" i="21"/>
  <c r="Q212" i="21"/>
  <c r="Q216" i="21"/>
  <c r="B26" i="145" l="1"/>
  <c r="C26" i="145"/>
  <c r="E26" i="145"/>
  <c r="F26" i="145"/>
  <c r="G26" i="145"/>
  <c r="H26" i="145"/>
  <c r="I26" i="145"/>
  <c r="B21" i="145" l="1"/>
  <c r="C21" i="145"/>
  <c r="E21" i="145"/>
  <c r="F21" i="145"/>
  <c r="G21" i="145"/>
  <c r="H21" i="145"/>
  <c r="I21" i="145"/>
  <c r="B22" i="145"/>
  <c r="C22" i="145"/>
  <c r="E22" i="145"/>
  <c r="F22" i="145"/>
  <c r="G22" i="145"/>
  <c r="H22" i="145"/>
  <c r="I22" i="145"/>
  <c r="B23" i="145"/>
  <c r="C23" i="145"/>
  <c r="E23" i="145"/>
  <c r="F23" i="145"/>
  <c r="G23" i="145"/>
  <c r="H23" i="145"/>
  <c r="I23" i="145"/>
  <c r="B24" i="145"/>
  <c r="C24" i="145"/>
  <c r="E24" i="145"/>
  <c r="F24" i="145"/>
  <c r="G24" i="145"/>
  <c r="H24" i="145"/>
  <c r="I24" i="145"/>
  <c r="B25" i="145"/>
  <c r="C25" i="145"/>
  <c r="E25" i="145"/>
  <c r="F25" i="145"/>
  <c r="G25" i="145"/>
  <c r="H25" i="145"/>
  <c r="I25" i="145"/>
  <c r="Q210" i="21" l="1"/>
  <c r="B9" i="145"/>
  <c r="C9" i="145"/>
  <c r="E9" i="145"/>
  <c r="F9" i="145"/>
  <c r="G9" i="145"/>
  <c r="H9" i="145"/>
  <c r="I9" i="145"/>
  <c r="B10" i="145"/>
  <c r="C10" i="145"/>
  <c r="E10" i="145"/>
  <c r="F10" i="145"/>
  <c r="G10" i="145"/>
  <c r="H10" i="145"/>
  <c r="I10" i="145"/>
  <c r="B11" i="145"/>
  <c r="C11" i="145"/>
  <c r="E11" i="145"/>
  <c r="F11" i="145"/>
  <c r="G11" i="145"/>
  <c r="H11" i="145"/>
  <c r="I11" i="145"/>
  <c r="B12" i="145"/>
  <c r="C12" i="145"/>
  <c r="E12" i="145"/>
  <c r="F12" i="145"/>
  <c r="G12" i="145"/>
  <c r="H12" i="145"/>
  <c r="I12" i="145"/>
  <c r="B13" i="145"/>
  <c r="C13" i="145"/>
  <c r="E13" i="145"/>
  <c r="F13" i="145"/>
  <c r="G13" i="145"/>
  <c r="H13" i="145"/>
  <c r="I13" i="145"/>
  <c r="B14" i="145"/>
  <c r="C14" i="145"/>
  <c r="E14" i="145"/>
  <c r="F14" i="145"/>
  <c r="G14" i="145"/>
  <c r="H14" i="145"/>
  <c r="I14" i="145"/>
  <c r="B15" i="145"/>
  <c r="C15" i="145"/>
  <c r="E15" i="145"/>
  <c r="F15" i="145"/>
  <c r="G15" i="145"/>
  <c r="H15" i="145"/>
  <c r="I15" i="145"/>
  <c r="B16" i="145"/>
  <c r="C16" i="145"/>
  <c r="E16" i="145"/>
  <c r="F16" i="145"/>
  <c r="G16" i="145"/>
  <c r="H16" i="145"/>
  <c r="I16" i="145"/>
  <c r="B17" i="145"/>
  <c r="C17" i="145"/>
  <c r="E17" i="145"/>
  <c r="F17" i="145"/>
  <c r="G17" i="145"/>
  <c r="H17" i="145"/>
  <c r="I17" i="145"/>
  <c r="B18" i="145"/>
  <c r="C18" i="145"/>
  <c r="E18" i="145"/>
  <c r="F18" i="145"/>
  <c r="G18" i="145"/>
  <c r="H18" i="145"/>
  <c r="I18" i="145"/>
  <c r="B19" i="145"/>
  <c r="C19" i="145"/>
  <c r="E19" i="145"/>
  <c r="F19" i="145"/>
  <c r="G19" i="145"/>
  <c r="H19" i="145"/>
  <c r="I19" i="145"/>
  <c r="B20" i="145"/>
  <c r="C20" i="145"/>
  <c r="E20" i="145"/>
  <c r="F20" i="145"/>
  <c r="G20" i="145"/>
  <c r="H20" i="145"/>
  <c r="I20" i="145"/>
  <c r="L80" i="4" l="1"/>
  <c r="L81" i="4"/>
  <c r="L82" i="4"/>
  <c r="L83" i="4"/>
  <c r="L84" i="4"/>
  <c r="L85" i="4"/>
  <c r="L86" i="4"/>
  <c r="L87" i="4"/>
  <c r="L88" i="4"/>
  <c r="L89" i="4"/>
  <c r="L90" i="4"/>
  <c r="L79" i="4"/>
  <c r="J91" i="4"/>
  <c r="M80" i="4"/>
  <c r="M81" i="4"/>
  <c r="M82" i="4"/>
  <c r="M83" i="4"/>
  <c r="M84" i="4"/>
  <c r="M85" i="4"/>
  <c r="M86" i="4"/>
  <c r="M87" i="4"/>
  <c r="M88" i="4"/>
  <c r="M89" i="4"/>
  <c r="M90" i="4"/>
  <c r="M79" i="4"/>
  <c r="K91" i="4"/>
  <c r="B6" i="145" l="1"/>
  <c r="C6" i="145"/>
  <c r="E6" i="145"/>
  <c r="F6" i="145"/>
  <c r="G6" i="145"/>
  <c r="H6" i="145"/>
  <c r="I6" i="145"/>
  <c r="B7" i="145"/>
  <c r="C7" i="145"/>
  <c r="E7" i="145"/>
  <c r="F7" i="145"/>
  <c r="G7" i="145"/>
  <c r="H7" i="145"/>
  <c r="I7" i="145"/>
  <c r="B8" i="145"/>
  <c r="C8" i="145"/>
  <c r="E8" i="145"/>
  <c r="F8" i="145"/>
  <c r="G8" i="145"/>
  <c r="H8" i="145"/>
  <c r="I8" i="145"/>
  <c r="B3" i="145" l="1"/>
  <c r="C3" i="145"/>
  <c r="E3" i="145"/>
  <c r="F3" i="145"/>
  <c r="G3" i="145"/>
  <c r="H3" i="145"/>
  <c r="I3" i="145"/>
  <c r="B4" i="145"/>
  <c r="C4" i="145"/>
  <c r="E4" i="145"/>
  <c r="F4" i="145"/>
  <c r="G4" i="145"/>
  <c r="H4" i="145"/>
  <c r="I4" i="145"/>
  <c r="B5" i="145"/>
  <c r="C5" i="145"/>
  <c r="E5" i="145"/>
  <c r="F5" i="145"/>
  <c r="G5" i="145"/>
  <c r="H5" i="145"/>
  <c r="I5" i="145"/>
  <c r="I2" i="145"/>
  <c r="H2" i="145"/>
  <c r="G2" i="145"/>
  <c r="F2" i="145"/>
  <c r="E2" i="145"/>
  <c r="C2" i="145"/>
  <c r="B2" i="145"/>
  <c r="I38" i="145" l="1"/>
  <c r="B23" i="144"/>
  <c r="C23" i="144"/>
  <c r="E23" i="144"/>
  <c r="F23" i="144"/>
  <c r="G23" i="144"/>
  <c r="H23" i="144"/>
  <c r="I23" i="144"/>
  <c r="O206" i="21"/>
  <c r="O207" i="21" l="1"/>
  <c r="O211" i="21"/>
  <c r="O210" i="21"/>
  <c r="B10" i="144"/>
  <c r="C10" i="144"/>
  <c r="E10" i="144"/>
  <c r="F10" i="144"/>
  <c r="G10" i="144"/>
  <c r="H10" i="144"/>
  <c r="I10" i="144"/>
  <c r="B11" i="144"/>
  <c r="C11" i="144"/>
  <c r="E11" i="144"/>
  <c r="F11" i="144"/>
  <c r="G11" i="144"/>
  <c r="H11" i="144"/>
  <c r="I11" i="144"/>
  <c r="B12" i="144"/>
  <c r="C12" i="144"/>
  <c r="E12" i="144"/>
  <c r="F12" i="144"/>
  <c r="G12" i="144"/>
  <c r="H12" i="144"/>
  <c r="I12" i="144"/>
  <c r="B13" i="144"/>
  <c r="C13" i="144"/>
  <c r="E13" i="144"/>
  <c r="F13" i="144"/>
  <c r="G13" i="144"/>
  <c r="H13" i="144"/>
  <c r="I13" i="144"/>
  <c r="B14" i="144"/>
  <c r="C14" i="144"/>
  <c r="E14" i="144"/>
  <c r="F14" i="144"/>
  <c r="G14" i="144"/>
  <c r="H14" i="144"/>
  <c r="I14" i="144"/>
  <c r="B15" i="144"/>
  <c r="C15" i="144"/>
  <c r="E15" i="144"/>
  <c r="F15" i="144"/>
  <c r="G15" i="144"/>
  <c r="H15" i="144"/>
  <c r="I15" i="144"/>
  <c r="B16" i="144"/>
  <c r="C16" i="144"/>
  <c r="E16" i="144"/>
  <c r="F16" i="144"/>
  <c r="G16" i="144"/>
  <c r="H16" i="144"/>
  <c r="I16" i="144"/>
  <c r="B17" i="144"/>
  <c r="C17" i="144"/>
  <c r="E17" i="144"/>
  <c r="F17" i="144"/>
  <c r="G17" i="144"/>
  <c r="H17" i="144"/>
  <c r="I17" i="144"/>
  <c r="B18" i="144"/>
  <c r="C18" i="144"/>
  <c r="E18" i="144"/>
  <c r="F18" i="144"/>
  <c r="G18" i="144"/>
  <c r="H18" i="144"/>
  <c r="I18" i="144"/>
  <c r="B19" i="144"/>
  <c r="C19" i="144"/>
  <c r="E19" i="144"/>
  <c r="F19" i="144"/>
  <c r="G19" i="144"/>
  <c r="H19" i="144"/>
  <c r="I19" i="144"/>
  <c r="B20" i="144"/>
  <c r="C20" i="144"/>
  <c r="E20" i="144"/>
  <c r="F20" i="144"/>
  <c r="G20" i="144"/>
  <c r="H20" i="144"/>
  <c r="I20" i="144"/>
  <c r="B21" i="144"/>
  <c r="C21" i="144"/>
  <c r="E21" i="144"/>
  <c r="F21" i="144"/>
  <c r="G21" i="144"/>
  <c r="H21" i="144"/>
  <c r="I21" i="144"/>
  <c r="B22" i="144"/>
  <c r="C22" i="144"/>
  <c r="E22" i="144"/>
  <c r="F22" i="144"/>
  <c r="G22" i="144"/>
  <c r="H22" i="144"/>
  <c r="I22" i="144"/>
  <c r="B7" i="144" l="1"/>
  <c r="C7" i="144"/>
  <c r="E7" i="144"/>
  <c r="F7" i="144"/>
  <c r="G7" i="144"/>
  <c r="H7" i="144"/>
  <c r="I7" i="144"/>
  <c r="B8" i="144"/>
  <c r="C8" i="144"/>
  <c r="E8" i="144"/>
  <c r="F8" i="144"/>
  <c r="G8" i="144"/>
  <c r="H8" i="144"/>
  <c r="I8" i="144"/>
  <c r="B9" i="144"/>
  <c r="C9" i="144"/>
  <c r="E9" i="144"/>
  <c r="F9" i="144"/>
  <c r="G9" i="144"/>
  <c r="H9" i="144"/>
  <c r="I9" i="144"/>
  <c r="O208" i="21"/>
  <c r="B3" i="144" l="1"/>
  <c r="C3" i="144"/>
  <c r="E3" i="144"/>
  <c r="F3" i="144"/>
  <c r="G3" i="144"/>
  <c r="H3" i="144"/>
  <c r="I3" i="144"/>
  <c r="B4" i="144"/>
  <c r="C4" i="144"/>
  <c r="E4" i="144"/>
  <c r="F4" i="144"/>
  <c r="G4" i="144"/>
  <c r="H4" i="144"/>
  <c r="I4" i="144"/>
  <c r="B5" i="144"/>
  <c r="C5" i="144"/>
  <c r="E5" i="144"/>
  <c r="F5" i="144"/>
  <c r="G5" i="144"/>
  <c r="H5" i="144"/>
  <c r="I5" i="144"/>
  <c r="B6" i="144"/>
  <c r="C6" i="144"/>
  <c r="E6" i="144"/>
  <c r="F6" i="144"/>
  <c r="G6" i="144"/>
  <c r="H6" i="144"/>
  <c r="I6" i="144"/>
  <c r="I2" i="144"/>
  <c r="H2" i="144"/>
  <c r="G2" i="144"/>
  <c r="F2" i="144"/>
  <c r="E2" i="144"/>
  <c r="C2" i="144"/>
  <c r="B2" i="144"/>
  <c r="I24" i="144" l="1"/>
  <c r="B44" i="143"/>
  <c r="C44" i="143"/>
  <c r="E44" i="143"/>
  <c r="F44" i="143"/>
  <c r="G44" i="143"/>
  <c r="H44" i="143"/>
  <c r="I44" i="143"/>
  <c r="B45" i="143"/>
  <c r="C45" i="143"/>
  <c r="E45" i="143"/>
  <c r="F45" i="143"/>
  <c r="G45" i="143"/>
  <c r="H45" i="143"/>
  <c r="I45" i="143"/>
  <c r="B46" i="143"/>
  <c r="C46" i="143"/>
  <c r="E46" i="143"/>
  <c r="F46" i="143"/>
  <c r="G46" i="143"/>
  <c r="H46" i="143"/>
  <c r="I46" i="143"/>
  <c r="B47" i="143"/>
  <c r="C47" i="143"/>
  <c r="E47" i="143"/>
  <c r="F47" i="143"/>
  <c r="G47" i="143"/>
  <c r="H47" i="143"/>
  <c r="I47" i="143"/>
  <c r="B48" i="143"/>
  <c r="C48" i="143"/>
  <c r="E48" i="143"/>
  <c r="F48" i="143"/>
  <c r="G48" i="143"/>
  <c r="H48" i="143"/>
  <c r="I48" i="143"/>
  <c r="B49" i="143"/>
  <c r="C49" i="143"/>
  <c r="E49" i="143"/>
  <c r="F49" i="143"/>
  <c r="G49" i="143"/>
  <c r="H49" i="143"/>
  <c r="I49" i="143"/>
  <c r="B50" i="143"/>
  <c r="C50" i="143"/>
  <c r="E50" i="143"/>
  <c r="F50" i="143"/>
  <c r="G50" i="143"/>
  <c r="H50" i="143"/>
  <c r="I50" i="143"/>
  <c r="B51" i="143"/>
  <c r="C51" i="143"/>
  <c r="E51" i="143"/>
  <c r="F51" i="143"/>
  <c r="G51" i="143"/>
  <c r="H51" i="143"/>
  <c r="I51" i="143"/>
  <c r="B52" i="143"/>
  <c r="C52" i="143"/>
  <c r="E52" i="143"/>
  <c r="F52" i="143"/>
  <c r="G52" i="143"/>
  <c r="H52" i="143"/>
  <c r="I52" i="143"/>
  <c r="M206" i="21"/>
  <c r="B42" i="143" l="1"/>
  <c r="C42" i="143"/>
  <c r="E42" i="143"/>
  <c r="F42" i="143"/>
  <c r="G42" i="143"/>
  <c r="H42" i="143"/>
  <c r="I42" i="143"/>
  <c r="B43" i="143"/>
  <c r="C43" i="143"/>
  <c r="E43" i="143"/>
  <c r="F43" i="143"/>
  <c r="G43" i="143"/>
  <c r="H43" i="143"/>
  <c r="I43" i="143"/>
  <c r="B28" i="143" l="1"/>
  <c r="C28" i="143"/>
  <c r="E28" i="143"/>
  <c r="F28" i="143"/>
  <c r="G28" i="143"/>
  <c r="H28" i="143"/>
  <c r="I28" i="143"/>
  <c r="B29" i="143"/>
  <c r="C29" i="143"/>
  <c r="E29" i="143"/>
  <c r="F29" i="143"/>
  <c r="G29" i="143"/>
  <c r="H29" i="143"/>
  <c r="I29" i="143"/>
  <c r="B30" i="143"/>
  <c r="C30" i="143"/>
  <c r="E30" i="143"/>
  <c r="F30" i="143"/>
  <c r="G30" i="143"/>
  <c r="H30" i="143"/>
  <c r="I30" i="143"/>
  <c r="B31" i="143"/>
  <c r="C31" i="143"/>
  <c r="E31" i="143"/>
  <c r="F31" i="143"/>
  <c r="G31" i="143"/>
  <c r="H31" i="143"/>
  <c r="I31" i="143"/>
  <c r="B32" i="143"/>
  <c r="C32" i="143"/>
  <c r="E32" i="143"/>
  <c r="F32" i="143"/>
  <c r="G32" i="143"/>
  <c r="H32" i="143"/>
  <c r="I32" i="143"/>
  <c r="B33" i="143"/>
  <c r="C33" i="143"/>
  <c r="E33" i="143"/>
  <c r="F33" i="143"/>
  <c r="G33" i="143"/>
  <c r="H33" i="143"/>
  <c r="I33" i="143"/>
  <c r="B34" i="143"/>
  <c r="C34" i="143"/>
  <c r="E34" i="143"/>
  <c r="F34" i="143"/>
  <c r="G34" i="143"/>
  <c r="H34" i="143"/>
  <c r="I34" i="143"/>
  <c r="B35" i="143"/>
  <c r="C35" i="143"/>
  <c r="E35" i="143"/>
  <c r="F35" i="143"/>
  <c r="G35" i="143"/>
  <c r="H35" i="143"/>
  <c r="I35" i="143"/>
  <c r="B36" i="143"/>
  <c r="C36" i="143"/>
  <c r="E36" i="143"/>
  <c r="F36" i="143"/>
  <c r="G36" i="143"/>
  <c r="H36" i="143"/>
  <c r="I36" i="143"/>
  <c r="B37" i="143"/>
  <c r="C37" i="143"/>
  <c r="E37" i="143"/>
  <c r="F37" i="143"/>
  <c r="G37" i="143"/>
  <c r="H37" i="143"/>
  <c r="I37" i="143"/>
  <c r="B38" i="143"/>
  <c r="C38" i="143"/>
  <c r="E38" i="143"/>
  <c r="F38" i="143"/>
  <c r="G38" i="143"/>
  <c r="H38" i="143"/>
  <c r="I38" i="143"/>
  <c r="B39" i="143"/>
  <c r="C39" i="143"/>
  <c r="E39" i="143"/>
  <c r="F39" i="143"/>
  <c r="G39" i="143"/>
  <c r="H39" i="143"/>
  <c r="I39" i="143"/>
  <c r="B40" i="143"/>
  <c r="C40" i="143"/>
  <c r="E40" i="143"/>
  <c r="F40" i="143"/>
  <c r="G40" i="143"/>
  <c r="H40" i="143"/>
  <c r="I40" i="143"/>
  <c r="B41" i="143"/>
  <c r="C41" i="143"/>
  <c r="E41" i="143"/>
  <c r="F41" i="143"/>
  <c r="G41" i="143"/>
  <c r="H41" i="143"/>
  <c r="I41" i="143"/>
  <c r="M208" i="21"/>
  <c r="B26" i="143" l="1"/>
  <c r="C26" i="143"/>
  <c r="E26" i="143"/>
  <c r="F26" i="143"/>
  <c r="G26" i="143"/>
  <c r="H26" i="143"/>
  <c r="I26" i="143"/>
  <c r="B27" i="143"/>
  <c r="C27" i="143"/>
  <c r="E27" i="143"/>
  <c r="F27" i="143"/>
  <c r="G27" i="143"/>
  <c r="H27" i="143"/>
  <c r="I27" i="143"/>
  <c r="B16" i="143" l="1"/>
  <c r="C16" i="143"/>
  <c r="E16" i="143"/>
  <c r="F16" i="143"/>
  <c r="G16" i="143"/>
  <c r="H16" i="143"/>
  <c r="I16" i="143"/>
  <c r="B17" i="143"/>
  <c r="C17" i="143"/>
  <c r="E17" i="143"/>
  <c r="F17" i="143"/>
  <c r="G17" i="143"/>
  <c r="H17" i="143"/>
  <c r="I17" i="143"/>
  <c r="B18" i="143"/>
  <c r="C18" i="143"/>
  <c r="E18" i="143"/>
  <c r="F18" i="143"/>
  <c r="G18" i="143"/>
  <c r="H18" i="143"/>
  <c r="I18" i="143"/>
  <c r="B19" i="143"/>
  <c r="C19" i="143"/>
  <c r="E19" i="143"/>
  <c r="F19" i="143"/>
  <c r="G19" i="143"/>
  <c r="H19" i="143"/>
  <c r="I19" i="143"/>
  <c r="B20" i="143"/>
  <c r="C20" i="143"/>
  <c r="E20" i="143"/>
  <c r="F20" i="143"/>
  <c r="G20" i="143"/>
  <c r="H20" i="143"/>
  <c r="I20" i="143"/>
  <c r="B21" i="143"/>
  <c r="C21" i="143"/>
  <c r="E21" i="143"/>
  <c r="F21" i="143"/>
  <c r="G21" i="143"/>
  <c r="H21" i="143"/>
  <c r="I21" i="143"/>
  <c r="B22" i="143"/>
  <c r="C22" i="143"/>
  <c r="E22" i="143"/>
  <c r="F22" i="143"/>
  <c r="G22" i="143"/>
  <c r="H22" i="143"/>
  <c r="I22" i="143"/>
  <c r="B23" i="143"/>
  <c r="C23" i="143"/>
  <c r="E23" i="143"/>
  <c r="F23" i="143"/>
  <c r="G23" i="143"/>
  <c r="H23" i="143"/>
  <c r="I23" i="143"/>
  <c r="B24" i="143"/>
  <c r="C24" i="143"/>
  <c r="E24" i="143"/>
  <c r="F24" i="143"/>
  <c r="G24" i="143"/>
  <c r="H24" i="143"/>
  <c r="I24" i="143"/>
  <c r="B25" i="143"/>
  <c r="C25" i="143"/>
  <c r="E25" i="143"/>
  <c r="F25" i="143"/>
  <c r="G25" i="143"/>
  <c r="H25" i="143"/>
  <c r="I25" i="143"/>
  <c r="B15" i="143" l="1"/>
  <c r="C15" i="143"/>
  <c r="E15" i="143"/>
  <c r="F15" i="143"/>
  <c r="G15" i="143"/>
  <c r="H15" i="143"/>
  <c r="I15" i="143"/>
  <c r="B13" i="143" l="1"/>
  <c r="C13" i="143"/>
  <c r="E13" i="143"/>
  <c r="F13" i="143"/>
  <c r="G13" i="143"/>
  <c r="H13" i="143"/>
  <c r="I13" i="143"/>
  <c r="B14" i="143"/>
  <c r="C14" i="143"/>
  <c r="E14" i="143"/>
  <c r="F14" i="143"/>
  <c r="G14" i="143"/>
  <c r="H14" i="143"/>
  <c r="I14" i="143"/>
  <c r="B10" i="143" l="1"/>
  <c r="C10" i="143"/>
  <c r="E10" i="143"/>
  <c r="F10" i="143"/>
  <c r="G10" i="143"/>
  <c r="H10" i="143"/>
  <c r="I10" i="143"/>
  <c r="B11" i="143"/>
  <c r="C11" i="143"/>
  <c r="E11" i="143"/>
  <c r="F11" i="143"/>
  <c r="G11" i="143"/>
  <c r="H11" i="143"/>
  <c r="I11" i="143"/>
  <c r="B12" i="143"/>
  <c r="C12" i="143"/>
  <c r="E12" i="143"/>
  <c r="F12" i="143"/>
  <c r="G12" i="143"/>
  <c r="H12" i="143"/>
  <c r="I12" i="143"/>
  <c r="M210" i="21" l="1"/>
  <c r="B3" i="143"/>
  <c r="C3" i="143"/>
  <c r="E3" i="143"/>
  <c r="F3" i="143"/>
  <c r="G3" i="143"/>
  <c r="H3" i="143"/>
  <c r="I3" i="143"/>
  <c r="B4" i="143"/>
  <c r="C4" i="143"/>
  <c r="E4" i="143"/>
  <c r="F4" i="143"/>
  <c r="G4" i="143"/>
  <c r="H4" i="143"/>
  <c r="I4" i="143"/>
  <c r="B5" i="143"/>
  <c r="C5" i="143"/>
  <c r="E5" i="143"/>
  <c r="F5" i="143"/>
  <c r="G5" i="143"/>
  <c r="H5" i="143"/>
  <c r="I5" i="143"/>
  <c r="B6" i="143"/>
  <c r="C6" i="143"/>
  <c r="E6" i="143"/>
  <c r="F6" i="143"/>
  <c r="G6" i="143"/>
  <c r="H6" i="143"/>
  <c r="I6" i="143"/>
  <c r="B7" i="143"/>
  <c r="C7" i="143"/>
  <c r="E7" i="143"/>
  <c r="F7" i="143"/>
  <c r="G7" i="143"/>
  <c r="H7" i="143"/>
  <c r="I7" i="143"/>
  <c r="B8" i="143"/>
  <c r="C8" i="143"/>
  <c r="E8" i="143"/>
  <c r="F8" i="143"/>
  <c r="G8" i="143"/>
  <c r="H8" i="143"/>
  <c r="I8" i="143"/>
  <c r="B9" i="143"/>
  <c r="C9" i="143"/>
  <c r="E9" i="143"/>
  <c r="F9" i="143"/>
  <c r="G9" i="143"/>
  <c r="H9" i="143"/>
  <c r="I9" i="143"/>
  <c r="I2" i="143"/>
  <c r="H2" i="143"/>
  <c r="G2" i="143"/>
  <c r="F2" i="143"/>
  <c r="E2" i="143"/>
  <c r="C2" i="143"/>
  <c r="B2" i="143"/>
  <c r="I53" i="143" l="1"/>
  <c r="I210" i="21"/>
  <c r="B40" i="142" l="1"/>
  <c r="C40" i="142"/>
  <c r="E40" i="142"/>
  <c r="F40" i="142"/>
  <c r="G40" i="142"/>
  <c r="H40" i="142"/>
  <c r="I40" i="142"/>
  <c r="B41" i="142"/>
  <c r="C41" i="142"/>
  <c r="E41" i="142"/>
  <c r="F41" i="142"/>
  <c r="G41" i="142"/>
  <c r="H41" i="142"/>
  <c r="I41" i="142"/>
  <c r="B42" i="142"/>
  <c r="C42" i="142"/>
  <c r="E42" i="142"/>
  <c r="F42" i="142"/>
  <c r="G42" i="142"/>
  <c r="H42" i="142"/>
  <c r="I42" i="142"/>
  <c r="B43" i="142"/>
  <c r="C43" i="142"/>
  <c r="E43" i="142"/>
  <c r="F43" i="142"/>
  <c r="G43" i="142"/>
  <c r="H43" i="142"/>
  <c r="I43" i="142"/>
  <c r="B44" i="142"/>
  <c r="C44" i="142"/>
  <c r="E44" i="142"/>
  <c r="F44" i="142"/>
  <c r="G44" i="142"/>
  <c r="H44" i="142"/>
  <c r="I44" i="142"/>
  <c r="B45" i="142"/>
  <c r="C45" i="142"/>
  <c r="E45" i="142"/>
  <c r="F45" i="142"/>
  <c r="G45" i="142"/>
  <c r="H45" i="142"/>
  <c r="I45" i="142"/>
  <c r="K213" i="21"/>
  <c r="K207" i="21"/>
  <c r="K216" i="21"/>
  <c r="K208" i="21"/>
  <c r="B37" i="142" l="1"/>
  <c r="C37" i="142"/>
  <c r="E37" i="142"/>
  <c r="F37" i="142"/>
  <c r="G37" i="142"/>
  <c r="H37" i="142"/>
  <c r="I37" i="142"/>
  <c r="B38" i="142"/>
  <c r="C38" i="142"/>
  <c r="E38" i="142"/>
  <c r="F38" i="142"/>
  <c r="G38" i="142"/>
  <c r="H38" i="142"/>
  <c r="I38" i="142"/>
  <c r="B39" i="142"/>
  <c r="C39" i="142"/>
  <c r="E39" i="142"/>
  <c r="F39" i="142"/>
  <c r="G39" i="142"/>
  <c r="H39" i="142"/>
  <c r="I39" i="142"/>
  <c r="B32" i="142" l="1"/>
  <c r="C32" i="142"/>
  <c r="E32" i="142"/>
  <c r="F32" i="142"/>
  <c r="G32" i="142"/>
  <c r="H32" i="142"/>
  <c r="I32" i="142"/>
  <c r="B33" i="142"/>
  <c r="C33" i="142"/>
  <c r="E33" i="142"/>
  <c r="F33" i="142"/>
  <c r="G33" i="142"/>
  <c r="H33" i="142"/>
  <c r="I33" i="142"/>
  <c r="B34" i="142"/>
  <c r="C34" i="142"/>
  <c r="E34" i="142"/>
  <c r="F34" i="142"/>
  <c r="G34" i="142"/>
  <c r="H34" i="142"/>
  <c r="I34" i="142"/>
  <c r="B35" i="142"/>
  <c r="C35" i="142"/>
  <c r="E35" i="142"/>
  <c r="F35" i="142"/>
  <c r="G35" i="142"/>
  <c r="H35" i="142"/>
  <c r="I35" i="142"/>
  <c r="B36" i="142"/>
  <c r="C36" i="142"/>
  <c r="E36" i="142"/>
  <c r="F36" i="142"/>
  <c r="G36" i="142"/>
  <c r="H36" i="142"/>
  <c r="I36" i="142"/>
  <c r="K206" i="21"/>
  <c r="B27" i="142" l="1"/>
  <c r="C27" i="142"/>
  <c r="E27" i="142"/>
  <c r="F27" i="142"/>
  <c r="G27" i="142"/>
  <c r="H27" i="142"/>
  <c r="I27" i="142"/>
  <c r="B28" i="142"/>
  <c r="C28" i="142"/>
  <c r="E28" i="142"/>
  <c r="F28" i="142"/>
  <c r="G28" i="142"/>
  <c r="H28" i="142"/>
  <c r="I28" i="142"/>
  <c r="B29" i="142"/>
  <c r="C29" i="142"/>
  <c r="E29" i="142"/>
  <c r="F29" i="142"/>
  <c r="G29" i="142"/>
  <c r="H29" i="142"/>
  <c r="I29" i="142"/>
  <c r="B30" i="142"/>
  <c r="C30" i="142"/>
  <c r="E30" i="142"/>
  <c r="F30" i="142"/>
  <c r="G30" i="142"/>
  <c r="H30" i="142"/>
  <c r="I30" i="142"/>
  <c r="B31" i="142"/>
  <c r="C31" i="142"/>
  <c r="E31" i="142"/>
  <c r="F31" i="142"/>
  <c r="G31" i="142"/>
  <c r="H31" i="142"/>
  <c r="I31" i="142"/>
  <c r="K212" i="21" l="1"/>
  <c r="B21" i="142"/>
  <c r="C21" i="142"/>
  <c r="E21" i="142"/>
  <c r="F21" i="142"/>
  <c r="G21" i="142"/>
  <c r="H21" i="142"/>
  <c r="I21" i="142"/>
  <c r="B22" i="142"/>
  <c r="C22" i="142"/>
  <c r="E22" i="142"/>
  <c r="F22" i="142"/>
  <c r="G22" i="142"/>
  <c r="H22" i="142"/>
  <c r="I22" i="142"/>
  <c r="B23" i="142"/>
  <c r="C23" i="142"/>
  <c r="E23" i="142"/>
  <c r="F23" i="142"/>
  <c r="G23" i="142"/>
  <c r="H23" i="142"/>
  <c r="I23" i="142"/>
  <c r="B24" i="142"/>
  <c r="C24" i="142"/>
  <c r="E24" i="142"/>
  <c r="F24" i="142"/>
  <c r="G24" i="142"/>
  <c r="H24" i="142"/>
  <c r="I24" i="142"/>
  <c r="B25" i="142"/>
  <c r="C25" i="142"/>
  <c r="E25" i="142"/>
  <c r="F25" i="142"/>
  <c r="G25" i="142"/>
  <c r="H25" i="142"/>
  <c r="I25" i="142"/>
  <c r="B26" i="142"/>
  <c r="C26" i="142"/>
  <c r="E26" i="142"/>
  <c r="F26" i="142"/>
  <c r="G26" i="142"/>
  <c r="H26" i="142"/>
  <c r="I26" i="142"/>
  <c r="B20" i="142" l="1"/>
  <c r="C20" i="142"/>
  <c r="E20" i="142"/>
  <c r="F20" i="142"/>
  <c r="G20" i="142"/>
  <c r="H20" i="142"/>
  <c r="I20" i="142"/>
  <c r="B8" i="142" l="1"/>
  <c r="C8" i="142"/>
  <c r="E8" i="142"/>
  <c r="F8" i="142"/>
  <c r="G8" i="142"/>
  <c r="H8" i="142"/>
  <c r="I8" i="142"/>
  <c r="B9" i="142"/>
  <c r="C9" i="142"/>
  <c r="E9" i="142"/>
  <c r="F9" i="142"/>
  <c r="G9" i="142"/>
  <c r="H9" i="142"/>
  <c r="I9" i="142"/>
  <c r="B10" i="142"/>
  <c r="C10" i="142"/>
  <c r="E10" i="142"/>
  <c r="F10" i="142"/>
  <c r="G10" i="142"/>
  <c r="H10" i="142"/>
  <c r="I10" i="142"/>
  <c r="B11" i="142"/>
  <c r="C11" i="142"/>
  <c r="E11" i="142"/>
  <c r="F11" i="142"/>
  <c r="G11" i="142"/>
  <c r="H11" i="142"/>
  <c r="I11" i="142"/>
  <c r="B12" i="142"/>
  <c r="C12" i="142"/>
  <c r="E12" i="142"/>
  <c r="F12" i="142"/>
  <c r="G12" i="142"/>
  <c r="H12" i="142"/>
  <c r="I12" i="142"/>
  <c r="B13" i="142"/>
  <c r="C13" i="142"/>
  <c r="E13" i="142"/>
  <c r="F13" i="142"/>
  <c r="G13" i="142"/>
  <c r="H13" i="142"/>
  <c r="I13" i="142"/>
  <c r="B14" i="142"/>
  <c r="C14" i="142"/>
  <c r="E14" i="142"/>
  <c r="F14" i="142"/>
  <c r="G14" i="142"/>
  <c r="H14" i="142"/>
  <c r="I14" i="142"/>
  <c r="B15" i="142"/>
  <c r="C15" i="142"/>
  <c r="E15" i="142"/>
  <c r="F15" i="142"/>
  <c r="G15" i="142"/>
  <c r="H15" i="142"/>
  <c r="I15" i="142"/>
  <c r="B16" i="142"/>
  <c r="C16" i="142"/>
  <c r="E16" i="142"/>
  <c r="F16" i="142"/>
  <c r="G16" i="142"/>
  <c r="H16" i="142"/>
  <c r="I16" i="142"/>
  <c r="B17" i="142"/>
  <c r="C17" i="142"/>
  <c r="E17" i="142"/>
  <c r="F17" i="142"/>
  <c r="G17" i="142"/>
  <c r="H17" i="142"/>
  <c r="I17" i="142"/>
  <c r="B18" i="142"/>
  <c r="C18" i="142"/>
  <c r="E18" i="142"/>
  <c r="F18" i="142"/>
  <c r="G18" i="142"/>
  <c r="H18" i="142"/>
  <c r="I18" i="142"/>
  <c r="B19" i="142"/>
  <c r="C19" i="142"/>
  <c r="E19" i="142"/>
  <c r="F19" i="142"/>
  <c r="G19" i="142"/>
  <c r="H19" i="142"/>
  <c r="I19" i="142"/>
  <c r="B6" i="142" l="1"/>
  <c r="C6" i="142"/>
  <c r="E6" i="142"/>
  <c r="F6" i="142"/>
  <c r="G6" i="142"/>
  <c r="H6" i="142"/>
  <c r="I6" i="142"/>
  <c r="B7" i="142"/>
  <c r="C7" i="142"/>
  <c r="E7" i="142"/>
  <c r="F7" i="142"/>
  <c r="G7" i="142"/>
  <c r="H7" i="142"/>
  <c r="I7" i="142"/>
  <c r="B3" i="142" l="1"/>
  <c r="C3" i="142"/>
  <c r="E3" i="142"/>
  <c r="F3" i="142"/>
  <c r="G3" i="142"/>
  <c r="H3" i="142"/>
  <c r="I3" i="142"/>
  <c r="B4" i="142"/>
  <c r="C4" i="142"/>
  <c r="E4" i="142"/>
  <c r="F4" i="142"/>
  <c r="G4" i="142"/>
  <c r="H4" i="142"/>
  <c r="I4" i="142"/>
  <c r="B5" i="142"/>
  <c r="C5" i="142"/>
  <c r="E5" i="142"/>
  <c r="F5" i="142"/>
  <c r="G5" i="142"/>
  <c r="H5" i="142"/>
  <c r="I5" i="142"/>
  <c r="I2" i="142"/>
  <c r="H2" i="142"/>
  <c r="G2" i="142"/>
  <c r="F2" i="142"/>
  <c r="E2" i="142"/>
  <c r="C2" i="142"/>
  <c r="B2" i="142"/>
  <c r="I207" i="21"/>
  <c r="B29" i="141"/>
  <c r="C29" i="141"/>
  <c r="E29" i="141"/>
  <c r="F29" i="141"/>
  <c r="G29" i="141"/>
  <c r="H29" i="141"/>
  <c r="I29" i="141"/>
  <c r="I46" i="142" l="1"/>
  <c r="B21" i="141"/>
  <c r="C21" i="141"/>
  <c r="E21" i="141"/>
  <c r="F21" i="141"/>
  <c r="G21" i="141"/>
  <c r="H21" i="141"/>
  <c r="I21" i="141"/>
  <c r="B22" i="141"/>
  <c r="C22" i="141"/>
  <c r="E22" i="141"/>
  <c r="F22" i="141"/>
  <c r="G22" i="141"/>
  <c r="H22" i="141"/>
  <c r="I22" i="141"/>
  <c r="B23" i="141"/>
  <c r="C23" i="141"/>
  <c r="E23" i="141"/>
  <c r="F23" i="141"/>
  <c r="G23" i="141"/>
  <c r="H23" i="141"/>
  <c r="I23" i="141"/>
  <c r="B24" i="141"/>
  <c r="C24" i="141"/>
  <c r="E24" i="141"/>
  <c r="F24" i="141"/>
  <c r="G24" i="141"/>
  <c r="H24" i="141"/>
  <c r="I24" i="141"/>
  <c r="B25" i="141"/>
  <c r="C25" i="141"/>
  <c r="E25" i="141"/>
  <c r="F25" i="141"/>
  <c r="G25" i="141"/>
  <c r="H25" i="141"/>
  <c r="I25" i="141"/>
  <c r="B26" i="141"/>
  <c r="C26" i="141"/>
  <c r="E26" i="141"/>
  <c r="F26" i="141"/>
  <c r="G26" i="141"/>
  <c r="H26" i="141"/>
  <c r="I26" i="141"/>
  <c r="B27" i="141"/>
  <c r="C27" i="141"/>
  <c r="E27" i="141"/>
  <c r="F27" i="141"/>
  <c r="G27" i="141"/>
  <c r="H27" i="141"/>
  <c r="I27" i="141"/>
  <c r="B28" i="141"/>
  <c r="C28" i="141"/>
  <c r="E28" i="141"/>
  <c r="F28" i="141"/>
  <c r="G28" i="141"/>
  <c r="H28" i="141"/>
  <c r="I28" i="141"/>
  <c r="I213" i="21"/>
  <c r="I211" i="21"/>
  <c r="I216" i="21"/>
  <c r="I206" i="21"/>
  <c r="I18" i="141" l="1"/>
  <c r="B18" i="141"/>
  <c r="C18" i="141"/>
  <c r="E18" i="141"/>
  <c r="F18" i="141"/>
  <c r="G18" i="141"/>
  <c r="H18" i="141"/>
  <c r="B19" i="141"/>
  <c r="C19" i="141"/>
  <c r="E19" i="141"/>
  <c r="F19" i="141"/>
  <c r="G19" i="141"/>
  <c r="H19" i="141"/>
  <c r="I19" i="141"/>
  <c r="B20" i="141"/>
  <c r="C20" i="141"/>
  <c r="E20" i="141"/>
  <c r="F20" i="141"/>
  <c r="G20" i="141"/>
  <c r="H20" i="141"/>
  <c r="I20" i="141"/>
  <c r="B11" i="141" l="1"/>
  <c r="C11" i="141"/>
  <c r="E11" i="141"/>
  <c r="F11" i="141"/>
  <c r="G11" i="141"/>
  <c r="H11" i="141"/>
  <c r="I11" i="141"/>
  <c r="B12" i="141"/>
  <c r="C12" i="141"/>
  <c r="E12" i="141"/>
  <c r="F12" i="141"/>
  <c r="G12" i="141"/>
  <c r="H12" i="141"/>
  <c r="I12" i="141"/>
  <c r="B13" i="141"/>
  <c r="C13" i="141"/>
  <c r="E13" i="141"/>
  <c r="F13" i="141"/>
  <c r="G13" i="141"/>
  <c r="H13" i="141"/>
  <c r="I13" i="141"/>
  <c r="B14" i="141"/>
  <c r="C14" i="141"/>
  <c r="E14" i="141"/>
  <c r="F14" i="141"/>
  <c r="G14" i="141"/>
  <c r="H14" i="141"/>
  <c r="I14" i="141"/>
  <c r="B15" i="141"/>
  <c r="C15" i="141"/>
  <c r="E15" i="141"/>
  <c r="F15" i="141"/>
  <c r="G15" i="141"/>
  <c r="H15" i="141"/>
  <c r="I15" i="141"/>
  <c r="B16" i="141"/>
  <c r="C16" i="141"/>
  <c r="E16" i="141"/>
  <c r="F16" i="141"/>
  <c r="G16" i="141"/>
  <c r="H16" i="141"/>
  <c r="I16" i="141"/>
  <c r="B17" i="141"/>
  <c r="C17" i="141"/>
  <c r="E17" i="141"/>
  <c r="F17" i="141"/>
  <c r="G17" i="141"/>
  <c r="H17" i="141"/>
  <c r="I17" i="141"/>
  <c r="B10" i="141" l="1"/>
  <c r="C10" i="141"/>
  <c r="E10" i="141"/>
  <c r="F10" i="141"/>
  <c r="G10" i="141"/>
  <c r="H10" i="141"/>
  <c r="I10" i="141"/>
  <c r="B9" i="141" l="1"/>
  <c r="C9" i="141"/>
  <c r="E9" i="141"/>
  <c r="F9" i="141"/>
  <c r="G9" i="141"/>
  <c r="H9" i="141"/>
  <c r="I9" i="141"/>
  <c r="B8" i="141" l="1"/>
  <c r="C8" i="141"/>
  <c r="E8" i="141"/>
  <c r="F8" i="141"/>
  <c r="G8" i="141"/>
  <c r="H8" i="141"/>
  <c r="I8" i="141"/>
  <c r="B5" i="141" l="1"/>
  <c r="C5" i="141"/>
  <c r="E5" i="141"/>
  <c r="F5" i="141"/>
  <c r="G5" i="141"/>
  <c r="H5" i="141"/>
  <c r="I5" i="141"/>
  <c r="B6" i="141"/>
  <c r="C6" i="141"/>
  <c r="E6" i="141"/>
  <c r="F6" i="141"/>
  <c r="G6" i="141"/>
  <c r="H6" i="141"/>
  <c r="I6" i="141"/>
  <c r="B7" i="141"/>
  <c r="C7" i="141"/>
  <c r="E7" i="141"/>
  <c r="F7" i="141"/>
  <c r="G7" i="141"/>
  <c r="H7" i="141"/>
  <c r="I7" i="141"/>
  <c r="B3" i="141" l="1"/>
  <c r="C3" i="141"/>
  <c r="E3" i="141"/>
  <c r="F3" i="141"/>
  <c r="G3" i="141"/>
  <c r="H3" i="141"/>
  <c r="I3" i="141"/>
  <c r="B4" i="141"/>
  <c r="C4" i="141"/>
  <c r="E4" i="141"/>
  <c r="F4" i="141"/>
  <c r="G4" i="141"/>
  <c r="H4" i="141"/>
  <c r="I4" i="141"/>
  <c r="I2" i="141"/>
  <c r="H2" i="141"/>
  <c r="G2" i="141"/>
  <c r="F2" i="141"/>
  <c r="E2" i="141"/>
  <c r="C2" i="141"/>
  <c r="B2" i="141"/>
  <c r="I30" i="141" l="1"/>
  <c r="G208" i="21"/>
  <c r="G207" i="21"/>
  <c r="B34" i="140"/>
  <c r="C34" i="140"/>
  <c r="E34" i="140"/>
  <c r="F34" i="140"/>
  <c r="G34" i="140"/>
  <c r="H34" i="140"/>
  <c r="I34" i="140"/>
  <c r="B35" i="140"/>
  <c r="C35" i="140"/>
  <c r="E35" i="140"/>
  <c r="F35" i="140"/>
  <c r="G35" i="140"/>
  <c r="H35" i="140"/>
  <c r="I35" i="140"/>
  <c r="B36" i="140"/>
  <c r="C36" i="140"/>
  <c r="E36" i="140"/>
  <c r="F36" i="140"/>
  <c r="G36" i="140"/>
  <c r="H36" i="140"/>
  <c r="I36" i="140"/>
  <c r="B37" i="140"/>
  <c r="C37" i="140"/>
  <c r="E37" i="140"/>
  <c r="F37" i="140"/>
  <c r="G37" i="140"/>
  <c r="H37" i="140"/>
  <c r="I37" i="140"/>
  <c r="G209" i="21" l="1"/>
  <c r="B28" i="140"/>
  <c r="C28" i="140"/>
  <c r="E28" i="140"/>
  <c r="F28" i="140"/>
  <c r="G28" i="140"/>
  <c r="H28" i="140"/>
  <c r="I28" i="140"/>
  <c r="B29" i="140"/>
  <c r="C29" i="140"/>
  <c r="E29" i="140"/>
  <c r="F29" i="140"/>
  <c r="G29" i="140"/>
  <c r="H29" i="140"/>
  <c r="I29" i="140"/>
  <c r="B30" i="140"/>
  <c r="C30" i="140"/>
  <c r="E30" i="140"/>
  <c r="F30" i="140"/>
  <c r="G30" i="140"/>
  <c r="H30" i="140"/>
  <c r="I30" i="140"/>
  <c r="B31" i="140"/>
  <c r="C31" i="140"/>
  <c r="E31" i="140"/>
  <c r="F31" i="140"/>
  <c r="G31" i="140"/>
  <c r="H31" i="140"/>
  <c r="I31" i="140"/>
  <c r="B32" i="140"/>
  <c r="C32" i="140"/>
  <c r="E32" i="140"/>
  <c r="F32" i="140"/>
  <c r="G32" i="140"/>
  <c r="H32" i="140"/>
  <c r="I32" i="140"/>
  <c r="B33" i="140"/>
  <c r="C33" i="140"/>
  <c r="E33" i="140"/>
  <c r="F33" i="140"/>
  <c r="G33" i="140"/>
  <c r="H33" i="140"/>
  <c r="I33" i="140"/>
  <c r="B27" i="140" l="1"/>
  <c r="C27" i="140"/>
  <c r="E27" i="140"/>
  <c r="F27" i="140"/>
  <c r="G27" i="140"/>
  <c r="H27" i="140"/>
  <c r="I27" i="140"/>
  <c r="G213" i="21" l="1"/>
  <c r="G216" i="21"/>
  <c r="B21" i="140"/>
  <c r="C21" i="140"/>
  <c r="E21" i="140"/>
  <c r="F21" i="140"/>
  <c r="G21" i="140"/>
  <c r="H21" i="140"/>
  <c r="I21" i="140"/>
  <c r="B22" i="140"/>
  <c r="C22" i="140"/>
  <c r="E22" i="140"/>
  <c r="F22" i="140"/>
  <c r="G22" i="140"/>
  <c r="H22" i="140"/>
  <c r="I22" i="140"/>
  <c r="B23" i="140"/>
  <c r="C23" i="140"/>
  <c r="E23" i="140"/>
  <c r="F23" i="140"/>
  <c r="G23" i="140"/>
  <c r="H23" i="140"/>
  <c r="I23" i="140"/>
  <c r="B24" i="140"/>
  <c r="C24" i="140"/>
  <c r="E24" i="140"/>
  <c r="F24" i="140"/>
  <c r="G24" i="140"/>
  <c r="H24" i="140"/>
  <c r="I24" i="140"/>
  <c r="B25" i="140"/>
  <c r="C25" i="140"/>
  <c r="E25" i="140"/>
  <c r="F25" i="140"/>
  <c r="G25" i="140"/>
  <c r="H25" i="140"/>
  <c r="I25" i="140"/>
  <c r="B26" i="140"/>
  <c r="C26" i="140"/>
  <c r="E26" i="140"/>
  <c r="F26" i="140"/>
  <c r="G26" i="140"/>
  <c r="H26" i="140"/>
  <c r="I26" i="140"/>
  <c r="B20" i="140" l="1"/>
  <c r="C20" i="140"/>
  <c r="E20" i="140"/>
  <c r="F20" i="140"/>
  <c r="G20" i="140"/>
  <c r="H20" i="140"/>
  <c r="I20" i="140"/>
  <c r="B18" i="140" l="1"/>
  <c r="C18" i="140"/>
  <c r="E18" i="140"/>
  <c r="F18" i="140"/>
  <c r="G18" i="140"/>
  <c r="H18" i="140"/>
  <c r="I18" i="140"/>
  <c r="B19" i="140"/>
  <c r="C19" i="140"/>
  <c r="E19" i="140"/>
  <c r="F19" i="140"/>
  <c r="G19" i="140"/>
  <c r="H19" i="140"/>
  <c r="I19" i="140"/>
  <c r="B17" i="140" l="1"/>
  <c r="C17" i="140"/>
  <c r="E17" i="140"/>
  <c r="F17" i="140"/>
  <c r="G17" i="140"/>
  <c r="H17" i="140"/>
  <c r="I17" i="140"/>
  <c r="B16" i="140" l="1"/>
  <c r="C16" i="140"/>
  <c r="E16" i="140"/>
  <c r="F16" i="140"/>
  <c r="G16" i="140"/>
  <c r="H16" i="140"/>
  <c r="I16" i="140"/>
  <c r="B15" i="140" l="1"/>
  <c r="C15" i="140"/>
  <c r="E15" i="140"/>
  <c r="F15" i="140"/>
  <c r="G15" i="140"/>
  <c r="H15" i="140"/>
  <c r="I15" i="140"/>
  <c r="B13" i="140" l="1"/>
  <c r="C13" i="140"/>
  <c r="E13" i="140"/>
  <c r="F13" i="140"/>
  <c r="G13" i="140"/>
  <c r="H13" i="140"/>
  <c r="I13" i="140"/>
  <c r="B14" i="140"/>
  <c r="C14" i="140"/>
  <c r="E14" i="140"/>
  <c r="F14" i="140"/>
  <c r="G14" i="140"/>
  <c r="H14" i="140"/>
  <c r="I14" i="140"/>
  <c r="B12" i="140" l="1"/>
  <c r="C12" i="140"/>
  <c r="E12" i="140"/>
  <c r="F12" i="140"/>
  <c r="G12" i="140"/>
  <c r="H12" i="140"/>
  <c r="I12" i="140"/>
  <c r="I10" i="140" l="1"/>
  <c r="I11" i="140"/>
  <c r="B10" i="140"/>
  <c r="C10" i="140"/>
  <c r="E10" i="140"/>
  <c r="F10" i="140"/>
  <c r="G10" i="140"/>
  <c r="H10" i="140"/>
  <c r="B11" i="140"/>
  <c r="C11" i="140"/>
  <c r="E11" i="140"/>
  <c r="F11" i="140"/>
  <c r="G11" i="140"/>
  <c r="H11" i="140"/>
  <c r="B6" i="140"/>
  <c r="C6" i="140"/>
  <c r="E6" i="140"/>
  <c r="F6" i="140"/>
  <c r="G6" i="140"/>
  <c r="H6" i="140"/>
  <c r="I6" i="140"/>
  <c r="B7" i="140"/>
  <c r="C7" i="140"/>
  <c r="E7" i="140"/>
  <c r="F7" i="140"/>
  <c r="G7" i="140"/>
  <c r="H7" i="140"/>
  <c r="I7" i="140"/>
  <c r="B8" i="140"/>
  <c r="C8" i="140"/>
  <c r="E8" i="140"/>
  <c r="F8" i="140"/>
  <c r="G8" i="140"/>
  <c r="H8" i="140"/>
  <c r="I8" i="140"/>
  <c r="B9" i="140"/>
  <c r="C9" i="140"/>
  <c r="E9" i="140"/>
  <c r="F9" i="140"/>
  <c r="G9" i="140"/>
  <c r="H9" i="140"/>
  <c r="I9" i="140"/>
  <c r="I3" i="140" l="1"/>
  <c r="I4" i="140"/>
  <c r="I5" i="140"/>
  <c r="I2" i="140"/>
  <c r="B3" i="140"/>
  <c r="C3" i="140"/>
  <c r="E3" i="140"/>
  <c r="F3" i="140"/>
  <c r="G3" i="140"/>
  <c r="H3" i="140"/>
  <c r="B4" i="140"/>
  <c r="C4" i="140"/>
  <c r="E4" i="140"/>
  <c r="F4" i="140"/>
  <c r="G4" i="140"/>
  <c r="H4" i="140"/>
  <c r="B5" i="140"/>
  <c r="C5" i="140"/>
  <c r="E5" i="140"/>
  <c r="F5" i="140"/>
  <c r="G5" i="140"/>
  <c r="H5" i="140"/>
  <c r="H2" i="140"/>
  <c r="G2" i="140"/>
  <c r="F2" i="140"/>
  <c r="E2" i="140"/>
  <c r="C2" i="140"/>
  <c r="B2" i="140"/>
  <c r="I38" i="140" l="1"/>
  <c r="E206" i="21"/>
  <c r="B21" i="139"/>
  <c r="C21" i="139"/>
  <c r="E21" i="139"/>
  <c r="F21" i="139"/>
  <c r="G21" i="139"/>
  <c r="H21" i="139"/>
  <c r="I21" i="139"/>
  <c r="B22" i="139"/>
  <c r="C22" i="139"/>
  <c r="E22" i="139"/>
  <c r="F22" i="139"/>
  <c r="G22" i="139"/>
  <c r="H22" i="139"/>
  <c r="I22" i="139"/>
  <c r="B23" i="139"/>
  <c r="C23" i="139"/>
  <c r="E23" i="139"/>
  <c r="F23" i="139"/>
  <c r="G23" i="139"/>
  <c r="H23" i="139"/>
  <c r="I23" i="139"/>
  <c r="B24" i="139"/>
  <c r="C24" i="139"/>
  <c r="E24" i="139"/>
  <c r="F24" i="139"/>
  <c r="G24" i="139"/>
  <c r="H24" i="139"/>
  <c r="I24" i="139"/>
  <c r="B20" i="139" l="1"/>
  <c r="C20" i="139"/>
  <c r="E20" i="139"/>
  <c r="F20" i="139"/>
  <c r="G20" i="139"/>
  <c r="H20" i="139"/>
  <c r="I20" i="139"/>
  <c r="B19" i="139" l="1"/>
  <c r="C19" i="139"/>
  <c r="E19" i="139"/>
  <c r="F19" i="139"/>
  <c r="G19" i="139"/>
  <c r="H19" i="139"/>
  <c r="I19" i="139"/>
  <c r="B16" i="139" l="1"/>
  <c r="C16" i="139"/>
  <c r="E16" i="139"/>
  <c r="F16" i="139"/>
  <c r="G16" i="139"/>
  <c r="H16" i="139"/>
  <c r="I16" i="139"/>
  <c r="B17" i="139"/>
  <c r="C17" i="139"/>
  <c r="E17" i="139"/>
  <c r="F17" i="139"/>
  <c r="G17" i="139"/>
  <c r="H17" i="139"/>
  <c r="I17" i="139"/>
  <c r="B18" i="139"/>
  <c r="C18" i="139"/>
  <c r="E18" i="139"/>
  <c r="F18" i="139"/>
  <c r="G18" i="139"/>
  <c r="H18" i="139"/>
  <c r="I18" i="139"/>
  <c r="E197" i="21" l="1"/>
  <c r="W194" i="21"/>
  <c r="M191" i="21"/>
  <c r="K191" i="21"/>
  <c r="I191" i="21"/>
  <c r="E188" i="21"/>
  <c r="AA187" i="21"/>
  <c r="AA189" i="21"/>
  <c r="S187" i="21"/>
  <c r="Q187" i="21"/>
  <c r="O187" i="21"/>
  <c r="M187" i="21"/>
  <c r="K187" i="21"/>
  <c r="E208" i="21" l="1"/>
  <c r="E207" i="21"/>
  <c r="B10" i="139"/>
  <c r="C10" i="139"/>
  <c r="E10" i="139"/>
  <c r="F10" i="139"/>
  <c r="G10" i="139"/>
  <c r="H10" i="139"/>
  <c r="I10" i="139"/>
  <c r="B11" i="139"/>
  <c r="C11" i="139"/>
  <c r="E11" i="139"/>
  <c r="F11" i="139"/>
  <c r="G11" i="139"/>
  <c r="H11" i="139"/>
  <c r="I11" i="139"/>
  <c r="B12" i="139"/>
  <c r="C12" i="139"/>
  <c r="E12" i="139"/>
  <c r="F12" i="139"/>
  <c r="G12" i="139"/>
  <c r="H12" i="139"/>
  <c r="I12" i="139"/>
  <c r="B13" i="139"/>
  <c r="C13" i="139"/>
  <c r="E13" i="139"/>
  <c r="F13" i="139"/>
  <c r="G13" i="139"/>
  <c r="H13" i="139"/>
  <c r="I13" i="139"/>
  <c r="B14" i="139"/>
  <c r="C14" i="139"/>
  <c r="E14" i="139"/>
  <c r="F14" i="139"/>
  <c r="G14" i="139"/>
  <c r="H14" i="139"/>
  <c r="I14" i="139"/>
  <c r="B15" i="139"/>
  <c r="C15" i="139"/>
  <c r="E15" i="139"/>
  <c r="F15" i="139"/>
  <c r="G15" i="139"/>
  <c r="H15" i="139"/>
  <c r="I15" i="139"/>
  <c r="G197" i="21" l="1"/>
  <c r="AA194" i="21"/>
  <c r="B9" i="139" l="1"/>
  <c r="C9" i="139"/>
  <c r="E9" i="139"/>
  <c r="F9" i="139"/>
  <c r="G9" i="139"/>
  <c r="H9" i="139"/>
  <c r="I9" i="139"/>
  <c r="B7" i="139"/>
  <c r="C7" i="139"/>
  <c r="E7" i="139"/>
  <c r="F7" i="139"/>
  <c r="G7" i="139"/>
  <c r="H7" i="139"/>
  <c r="I7" i="139"/>
  <c r="B8" i="139"/>
  <c r="C8" i="139"/>
  <c r="E8" i="139"/>
  <c r="F8" i="139"/>
  <c r="G8" i="139"/>
  <c r="H8" i="139"/>
  <c r="I8" i="139"/>
  <c r="B5" i="139" l="1"/>
  <c r="C5" i="139"/>
  <c r="E5" i="139"/>
  <c r="F5" i="139"/>
  <c r="G5" i="139"/>
  <c r="H5" i="139"/>
  <c r="I5" i="139"/>
  <c r="B6" i="139"/>
  <c r="C6" i="139"/>
  <c r="E6" i="139"/>
  <c r="F6" i="139"/>
  <c r="G6" i="139"/>
  <c r="H6" i="139"/>
  <c r="I6" i="139"/>
  <c r="I3" i="139" l="1"/>
  <c r="I4" i="139"/>
  <c r="I2" i="139"/>
  <c r="B3" i="139"/>
  <c r="C3" i="139"/>
  <c r="E3" i="139"/>
  <c r="F3" i="139"/>
  <c r="G3" i="139"/>
  <c r="H3" i="139"/>
  <c r="B4" i="139"/>
  <c r="C4" i="139"/>
  <c r="E4" i="139"/>
  <c r="F4" i="139"/>
  <c r="G4" i="139"/>
  <c r="H4" i="139"/>
  <c r="H2" i="139"/>
  <c r="G2" i="139"/>
  <c r="F2" i="139"/>
  <c r="E2" i="139"/>
  <c r="C2" i="139"/>
  <c r="B2" i="139"/>
  <c r="Z218" i="21"/>
  <c r="X218" i="21"/>
  <c r="V218" i="21"/>
  <c r="T218" i="21"/>
  <c r="R218" i="21"/>
  <c r="P218" i="21"/>
  <c r="N218" i="21"/>
  <c r="L218" i="21"/>
  <c r="J218" i="21"/>
  <c r="H218" i="21"/>
  <c r="F218" i="21"/>
  <c r="D218" i="21"/>
  <c r="AC217" i="21"/>
  <c r="G96" i="12" s="1"/>
  <c r="AB217" i="21"/>
  <c r="F96" i="12" s="1"/>
  <c r="AB216" i="21"/>
  <c r="F95" i="12" s="1"/>
  <c r="AC216" i="21"/>
  <c r="G95" i="12" s="1"/>
  <c r="AC215" i="21"/>
  <c r="G94" i="12" s="1"/>
  <c r="M94" i="12" s="1"/>
  <c r="AB215" i="21"/>
  <c r="F94" i="12" s="1"/>
  <c r="AC214" i="21"/>
  <c r="G93" i="12" s="1"/>
  <c r="AB214" i="21"/>
  <c r="F93" i="12" s="1"/>
  <c r="AB213" i="21"/>
  <c r="F92" i="12" s="1"/>
  <c r="AC213" i="21"/>
  <c r="G92" i="12" s="1"/>
  <c r="AC212" i="21"/>
  <c r="G91" i="12" s="1"/>
  <c r="AB212" i="21"/>
  <c r="F91" i="12" s="1"/>
  <c r="AC211" i="21"/>
  <c r="G90" i="12" s="1"/>
  <c r="AB211" i="21"/>
  <c r="F90" i="12" s="1"/>
  <c r="AB210" i="21"/>
  <c r="F89" i="12" s="1"/>
  <c r="L89" i="12" s="1"/>
  <c r="AC210" i="21"/>
  <c r="G89" i="12" s="1"/>
  <c r="M89" i="12" s="1"/>
  <c r="AC209" i="21"/>
  <c r="G88" i="12" s="1"/>
  <c r="M88" i="12" s="1"/>
  <c r="AB209" i="21"/>
  <c r="F88" i="12" s="1"/>
  <c r="L88" i="12" s="1"/>
  <c r="AB208" i="21"/>
  <c r="F87" i="12" s="1"/>
  <c r="L87" i="12" s="1"/>
  <c r="AC208" i="21"/>
  <c r="G87" i="12" s="1"/>
  <c r="M87" i="12" s="1"/>
  <c r="AC207" i="21"/>
  <c r="G86" i="12" s="1"/>
  <c r="AB207" i="21"/>
  <c r="F86" i="12" s="1"/>
  <c r="E218" i="21"/>
  <c r="AB206" i="21"/>
  <c r="F85" i="12" s="1"/>
  <c r="L85" i="12" s="1"/>
  <c r="AA218" i="21"/>
  <c r="Y218" i="21"/>
  <c r="W218" i="21"/>
  <c r="U218" i="21"/>
  <c r="S218" i="21"/>
  <c r="Q218" i="21"/>
  <c r="O218" i="21"/>
  <c r="M218" i="21"/>
  <c r="K218" i="21"/>
  <c r="I218" i="21"/>
  <c r="G218" i="21"/>
  <c r="M86" i="12" l="1"/>
  <c r="M90" i="12"/>
  <c r="L94" i="12"/>
  <c r="L91" i="12"/>
  <c r="M95" i="12"/>
  <c r="M91" i="12"/>
  <c r="L95" i="12"/>
  <c r="M93" i="12"/>
  <c r="L90" i="12"/>
  <c r="M92" i="12"/>
  <c r="L96" i="12"/>
  <c r="L93" i="12"/>
  <c r="L86" i="12"/>
  <c r="L92" i="12"/>
  <c r="M96" i="12"/>
  <c r="I25" i="139"/>
  <c r="AB218" i="21"/>
  <c r="F97" i="12" s="1"/>
  <c r="L97" i="12" s="1"/>
  <c r="AC218" i="21"/>
  <c r="G97" i="12" s="1"/>
  <c r="M97" i="12" s="1"/>
  <c r="AC206" i="21"/>
  <c r="G85" i="12" s="1"/>
  <c r="M85" i="12" s="1"/>
  <c r="AA188" i="21"/>
  <c r="B29" i="138" l="1"/>
  <c r="C29" i="138"/>
  <c r="E29" i="138"/>
  <c r="F29" i="138"/>
  <c r="G29" i="138"/>
  <c r="H29" i="138"/>
  <c r="I29" i="138"/>
  <c r="B30" i="138"/>
  <c r="C30" i="138"/>
  <c r="E30" i="138"/>
  <c r="F30" i="138"/>
  <c r="G30" i="138"/>
  <c r="H30" i="138"/>
  <c r="I30" i="138"/>
  <c r="B31" i="138"/>
  <c r="C31" i="138"/>
  <c r="E31" i="138"/>
  <c r="F31" i="138"/>
  <c r="G31" i="138"/>
  <c r="H31" i="138"/>
  <c r="I31" i="138"/>
  <c r="B32" i="138"/>
  <c r="C32" i="138"/>
  <c r="E32" i="138"/>
  <c r="F32" i="138"/>
  <c r="G32" i="138"/>
  <c r="H32" i="138"/>
  <c r="I32" i="138"/>
  <c r="B33" i="138"/>
  <c r="C33" i="138"/>
  <c r="E33" i="138"/>
  <c r="F33" i="138"/>
  <c r="G33" i="138"/>
  <c r="H33" i="138"/>
  <c r="I33" i="138"/>
  <c r="B34" i="138"/>
  <c r="C34" i="138"/>
  <c r="E34" i="138"/>
  <c r="F34" i="138"/>
  <c r="G34" i="138"/>
  <c r="H34" i="138"/>
  <c r="I34" i="138"/>
  <c r="B35" i="138"/>
  <c r="C35" i="138"/>
  <c r="E35" i="138"/>
  <c r="F35" i="138"/>
  <c r="G35" i="138"/>
  <c r="H35" i="138"/>
  <c r="I35" i="138"/>
  <c r="B36" i="138"/>
  <c r="C36" i="138"/>
  <c r="E36" i="138"/>
  <c r="F36" i="138"/>
  <c r="G36" i="138"/>
  <c r="H36" i="138"/>
  <c r="I36" i="138"/>
  <c r="B37" i="138"/>
  <c r="C37" i="138"/>
  <c r="E37" i="138"/>
  <c r="F37" i="138"/>
  <c r="G37" i="138"/>
  <c r="H37" i="138"/>
  <c r="I37" i="138"/>
  <c r="B38" i="138"/>
  <c r="C38" i="138"/>
  <c r="E38" i="138"/>
  <c r="F38" i="138"/>
  <c r="G38" i="138"/>
  <c r="H38" i="138"/>
  <c r="I38" i="138"/>
  <c r="B39" i="138"/>
  <c r="C39" i="138"/>
  <c r="E39" i="138"/>
  <c r="F39" i="138"/>
  <c r="G39" i="138"/>
  <c r="H39" i="138"/>
  <c r="I39" i="138"/>
  <c r="B40" i="138"/>
  <c r="C40" i="138"/>
  <c r="E40" i="138"/>
  <c r="F40" i="138"/>
  <c r="G40" i="138"/>
  <c r="H40" i="138"/>
  <c r="I40" i="138"/>
  <c r="B41" i="138"/>
  <c r="C41" i="138"/>
  <c r="E41" i="138"/>
  <c r="F41" i="138"/>
  <c r="G41" i="138"/>
  <c r="H41" i="138"/>
  <c r="I41" i="138"/>
  <c r="B42" i="138"/>
  <c r="C42" i="138"/>
  <c r="E42" i="138"/>
  <c r="F42" i="138"/>
  <c r="G42" i="138"/>
  <c r="H42" i="138"/>
  <c r="I42" i="138"/>
  <c r="B43" i="138"/>
  <c r="C43" i="138"/>
  <c r="E43" i="138"/>
  <c r="F43" i="138"/>
  <c r="G43" i="138"/>
  <c r="H43" i="138"/>
  <c r="I43" i="138"/>
  <c r="B44" i="138"/>
  <c r="C44" i="138"/>
  <c r="E44" i="138"/>
  <c r="F44" i="138"/>
  <c r="G44" i="138"/>
  <c r="H44" i="138"/>
  <c r="I44" i="138"/>
  <c r="B45" i="138"/>
  <c r="C45" i="138"/>
  <c r="E45" i="138"/>
  <c r="F45" i="138"/>
  <c r="G45" i="138"/>
  <c r="H45" i="138"/>
  <c r="I45" i="138"/>
  <c r="B46" i="138"/>
  <c r="C46" i="138"/>
  <c r="E46" i="138"/>
  <c r="F46" i="138"/>
  <c r="G46" i="138"/>
  <c r="H46" i="138"/>
  <c r="I46" i="138"/>
  <c r="B47" i="138"/>
  <c r="C47" i="138"/>
  <c r="E47" i="138"/>
  <c r="F47" i="138"/>
  <c r="G47" i="138"/>
  <c r="H47" i="138"/>
  <c r="I47" i="138"/>
  <c r="B48" i="138"/>
  <c r="C48" i="138"/>
  <c r="E48" i="138"/>
  <c r="F48" i="138"/>
  <c r="G48" i="138"/>
  <c r="H48" i="138"/>
  <c r="I48" i="138"/>
  <c r="B49" i="138"/>
  <c r="C49" i="138"/>
  <c r="E49" i="138"/>
  <c r="F49" i="138"/>
  <c r="G49" i="138"/>
  <c r="H49" i="138"/>
  <c r="I49" i="138"/>
  <c r="B50" i="138"/>
  <c r="C50" i="138"/>
  <c r="E50" i="138"/>
  <c r="F50" i="138"/>
  <c r="G50" i="138"/>
  <c r="H50" i="138"/>
  <c r="I50" i="138"/>
  <c r="B51" i="138"/>
  <c r="C51" i="138"/>
  <c r="E51" i="138"/>
  <c r="F51" i="138"/>
  <c r="G51" i="138"/>
  <c r="H51" i="138"/>
  <c r="I51" i="138"/>
  <c r="B52" i="138"/>
  <c r="C52" i="138"/>
  <c r="E52" i="138"/>
  <c r="F52" i="138"/>
  <c r="G52" i="138"/>
  <c r="H52" i="138"/>
  <c r="I52" i="138"/>
  <c r="B53" i="138"/>
  <c r="C53" i="138"/>
  <c r="E53" i="138"/>
  <c r="F53" i="138"/>
  <c r="G53" i="138"/>
  <c r="H53" i="138"/>
  <c r="I53" i="138"/>
  <c r="B23" i="138" l="1"/>
  <c r="C23" i="138"/>
  <c r="E23" i="138"/>
  <c r="F23" i="138"/>
  <c r="G23" i="138"/>
  <c r="H23" i="138"/>
  <c r="I23" i="138"/>
  <c r="B24" i="138"/>
  <c r="C24" i="138"/>
  <c r="E24" i="138"/>
  <c r="F24" i="138"/>
  <c r="G24" i="138"/>
  <c r="H24" i="138"/>
  <c r="I24" i="138"/>
  <c r="B25" i="138"/>
  <c r="C25" i="138"/>
  <c r="E25" i="138"/>
  <c r="F25" i="138"/>
  <c r="G25" i="138"/>
  <c r="H25" i="138"/>
  <c r="I25" i="138"/>
  <c r="B26" i="138"/>
  <c r="C26" i="138"/>
  <c r="E26" i="138"/>
  <c r="F26" i="138"/>
  <c r="G26" i="138"/>
  <c r="H26" i="138"/>
  <c r="I26" i="138"/>
  <c r="B27" i="138"/>
  <c r="C27" i="138"/>
  <c r="E27" i="138"/>
  <c r="F27" i="138"/>
  <c r="G27" i="138"/>
  <c r="H27" i="138"/>
  <c r="I27" i="138"/>
  <c r="B28" i="138"/>
  <c r="C28" i="138"/>
  <c r="E28" i="138"/>
  <c r="F28" i="138"/>
  <c r="G28" i="138"/>
  <c r="H28" i="138"/>
  <c r="I28" i="138"/>
  <c r="B22" i="138" l="1"/>
  <c r="C22" i="138"/>
  <c r="E22" i="138"/>
  <c r="F22" i="138"/>
  <c r="G22" i="138"/>
  <c r="H22" i="138"/>
  <c r="I22" i="138"/>
  <c r="B19" i="138"/>
  <c r="C19" i="138"/>
  <c r="E19" i="138"/>
  <c r="F19" i="138"/>
  <c r="G19" i="138"/>
  <c r="H19" i="138"/>
  <c r="I19" i="138"/>
  <c r="B20" i="138"/>
  <c r="C20" i="138"/>
  <c r="E20" i="138"/>
  <c r="F20" i="138"/>
  <c r="G20" i="138"/>
  <c r="H20" i="138"/>
  <c r="I20" i="138"/>
  <c r="B21" i="138"/>
  <c r="C21" i="138"/>
  <c r="E21" i="138"/>
  <c r="F21" i="138"/>
  <c r="G21" i="138"/>
  <c r="H21" i="138"/>
  <c r="I21" i="138"/>
  <c r="AA197" i="21"/>
  <c r="B15" i="138" l="1"/>
  <c r="C15" i="138"/>
  <c r="E15" i="138"/>
  <c r="F15" i="138"/>
  <c r="G15" i="138"/>
  <c r="H15" i="138"/>
  <c r="I15" i="138"/>
  <c r="B16" i="138"/>
  <c r="C16" i="138"/>
  <c r="E16" i="138"/>
  <c r="F16" i="138"/>
  <c r="G16" i="138"/>
  <c r="H16" i="138"/>
  <c r="I16" i="138"/>
  <c r="B17" i="138"/>
  <c r="C17" i="138"/>
  <c r="E17" i="138"/>
  <c r="F17" i="138"/>
  <c r="G17" i="138"/>
  <c r="H17" i="138"/>
  <c r="I17" i="138"/>
  <c r="B18" i="138"/>
  <c r="C18" i="138"/>
  <c r="E18" i="138"/>
  <c r="F18" i="138"/>
  <c r="G18" i="138"/>
  <c r="H18" i="138"/>
  <c r="I18" i="138"/>
  <c r="AA190" i="21" l="1"/>
  <c r="B8" i="138"/>
  <c r="C8" i="138"/>
  <c r="E8" i="138"/>
  <c r="F8" i="138"/>
  <c r="G8" i="138"/>
  <c r="H8" i="138"/>
  <c r="I8" i="138"/>
  <c r="B9" i="138"/>
  <c r="C9" i="138"/>
  <c r="E9" i="138"/>
  <c r="F9" i="138"/>
  <c r="G9" i="138"/>
  <c r="H9" i="138"/>
  <c r="I9" i="138"/>
  <c r="B10" i="138"/>
  <c r="C10" i="138"/>
  <c r="E10" i="138"/>
  <c r="F10" i="138"/>
  <c r="G10" i="138"/>
  <c r="H10" i="138"/>
  <c r="I10" i="138"/>
  <c r="B11" i="138"/>
  <c r="C11" i="138"/>
  <c r="E11" i="138"/>
  <c r="F11" i="138"/>
  <c r="G11" i="138"/>
  <c r="H11" i="138"/>
  <c r="I11" i="138"/>
  <c r="B12" i="138"/>
  <c r="C12" i="138"/>
  <c r="E12" i="138"/>
  <c r="F12" i="138"/>
  <c r="G12" i="138"/>
  <c r="H12" i="138"/>
  <c r="I12" i="138"/>
  <c r="B13" i="138"/>
  <c r="C13" i="138"/>
  <c r="E13" i="138"/>
  <c r="F13" i="138"/>
  <c r="G13" i="138"/>
  <c r="H13" i="138"/>
  <c r="I13" i="138"/>
  <c r="B14" i="138"/>
  <c r="C14" i="138"/>
  <c r="E14" i="138"/>
  <c r="F14" i="138"/>
  <c r="G14" i="138"/>
  <c r="H14" i="138"/>
  <c r="I14" i="138"/>
  <c r="B7" i="138" l="1"/>
  <c r="C7" i="138"/>
  <c r="E7" i="138"/>
  <c r="F7" i="138"/>
  <c r="G7" i="138"/>
  <c r="H7" i="138"/>
  <c r="I7" i="138"/>
  <c r="B5" i="138"/>
  <c r="C5" i="138"/>
  <c r="E5" i="138"/>
  <c r="F5" i="138"/>
  <c r="G5" i="138"/>
  <c r="H5" i="138"/>
  <c r="I5" i="138"/>
  <c r="B6" i="138"/>
  <c r="C6" i="138"/>
  <c r="E6" i="138"/>
  <c r="F6" i="138"/>
  <c r="G6" i="138"/>
  <c r="H6" i="138"/>
  <c r="I6" i="138"/>
  <c r="I3" i="138" l="1"/>
  <c r="I4" i="138"/>
  <c r="I2" i="138"/>
  <c r="B4" i="138"/>
  <c r="C4" i="138"/>
  <c r="E4" i="138"/>
  <c r="F4" i="138"/>
  <c r="G4" i="138"/>
  <c r="H4" i="138"/>
  <c r="B3" i="138"/>
  <c r="C3" i="138"/>
  <c r="E3" i="138"/>
  <c r="F3" i="138"/>
  <c r="G3" i="138"/>
  <c r="H3" i="138"/>
  <c r="H2" i="138"/>
  <c r="G2" i="138"/>
  <c r="F2" i="138"/>
  <c r="E2" i="138"/>
  <c r="C2" i="138"/>
  <c r="B2" i="138"/>
  <c r="I54" i="138" l="1"/>
  <c r="Y195" i="21"/>
  <c r="B62" i="137"/>
  <c r="C62" i="137"/>
  <c r="E62" i="137"/>
  <c r="F62" i="137"/>
  <c r="G62" i="137"/>
  <c r="H62" i="137"/>
  <c r="I62" i="137"/>
  <c r="Y194" i="21"/>
  <c r="Y197" i="21"/>
  <c r="B58" i="137"/>
  <c r="C58" i="137"/>
  <c r="E58" i="137"/>
  <c r="F58" i="137"/>
  <c r="G58" i="137"/>
  <c r="H58" i="137"/>
  <c r="I58" i="137"/>
  <c r="B59" i="137"/>
  <c r="C59" i="137"/>
  <c r="E59" i="137"/>
  <c r="F59" i="137"/>
  <c r="G59" i="137"/>
  <c r="H59" i="137"/>
  <c r="I59" i="137"/>
  <c r="B60" i="137"/>
  <c r="C60" i="137"/>
  <c r="E60" i="137"/>
  <c r="F60" i="137"/>
  <c r="G60" i="137"/>
  <c r="H60" i="137"/>
  <c r="I60" i="137"/>
  <c r="B61" i="137"/>
  <c r="C61" i="137"/>
  <c r="E61" i="137"/>
  <c r="F61" i="137"/>
  <c r="G61" i="137"/>
  <c r="H61" i="137"/>
  <c r="I61" i="137"/>
  <c r="Y187" i="21" l="1"/>
  <c r="B21" i="137"/>
  <c r="C21" i="137"/>
  <c r="E21" i="137"/>
  <c r="F21" i="137"/>
  <c r="G21" i="137"/>
  <c r="H21" i="137"/>
  <c r="I21" i="137"/>
  <c r="B22" i="137"/>
  <c r="C22" i="137"/>
  <c r="E22" i="137"/>
  <c r="F22" i="137"/>
  <c r="G22" i="137"/>
  <c r="H22" i="137"/>
  <c r="I22" i="137"/>
  <c r="B23" i="137"/>
  <c r="C23" i="137"/>
  <c r="E23" i="137"/>
  <c r="F23" i="137"/>
  <c r="G23" i="137"/>
  <c r="H23" i="137"/>
  <c r="I23" i="137"/>
  <c r="B24" i="137"/>
  <c r="C24" i="137"/>
  <c r="E24" i="137"/>
  <c r="F24" i="137"/>
  <c r="G24" i="137"/>
  <c r="H24" i="137"/>
  <c r="I24" i="137"/>
  <c r="B25" i="137"/>
  <c r="C25" i="137"/>
  <c r="E25" i="137"/>
  <c r="F25" i="137"/>
  <c r="G25" i="137"/>
  <c r="H25" i="137"/>
  <c r="I25" i="137"/>
  <c r="B26" i="137"/>
  <c r="C26" i="137"/>
  <c r="E26" i="137"/>
  <c r="F26" i="137"/>
  <c r="G26" i="137"/>
  <c r="H26" i="137"/>
  <c r="I26" i="137"/>
  <c r="B27" i="137"/>
  <c r="C27" i="137"/>
  <c r="E27" i="137"/>
  <c r="F27" i="137"/>
  <c r="G27" i="137"/>
  <c r="H27" i="137"/>
  <c r="I27" i="137"/>
  <c r="B28" i="137"/>
  <c r="C28" i="137"/>
  <c r="E28" i="137"/>
  <c r="F28" i="137"/>
  <c r="G28" i="137"/>
  <c r="H28" i="137"/>
  <c r="I28" i="137"/>
  <c r="B29" i="137"/>
  <c r="C29" i="137"/>
  <c r="E29" i="137"/>
  <c r="F29" i="137"/>
  <c r="G29" i="137"/>
  <c r="H29" i="137"/>
  <c r="I29" i="137"/>
  <c r="B30" i="137"/>
  <c r="C30" i="137"/>
  <c r="E30" i="137"/>
  <c r="F30" i="137"/>
  <c r="G30" i="137"/>
  <c r="H30" i="137"/>
  <c r="I30" i="137"/>
  <c r="B31" i="137"/>
  <c r="C31" i="137"/>
  <c r="E31" i="137"/>
  <c r="F31" i="137"/>
  <c r="G31" i="137"/>
  <c r="H31" i="137"/>
  <c r="I31" i="137"/>
  <c r="B32" i="137"/>
  <c r="C32" i="137"/>
  <c r="E32" i="137"/>
  <c r="F32" i="137"/>
  <c r="G32" i="137"/>
  <c r="H32" i="137"/>
  <c r="I32" i="137"/>
  <c r="B33" i="137"/>
  <c r="C33" i="137"/>
  <c r="E33" i="137"/>
  <c r="F33" i="137"/>
  <c r="G33" i="137"/>
  <c r="H33" i="137"/>
  <c r="I33" i="137"/>
  <c r="B34" i="137"/>
  <c r="C34" i="137"/>
  <c r="E34" i="137"/>
  <c r="F34" i="137"/>
  <c r="G34" i="137"/>
  <c r="H34" i="137"/>
  <c r="I34" i="137"/>
  <c r="B35" i="137"/>
  <c r="C35" i="137"/>
  <c r="E35" i="137"/>
  <c r="F35" i="137"/>
  <c r="G35" i="137"/>
  <c r="H35" i="137"/>
  <c r="I35" i="137"/>
  <c r="B36" i="137"/>
  <c r="C36" i="137"/>
  <c r="E36" i="137"/>
  <c r="F36" i="137"/>
  <c r="G36" i="137"/>
  <c r="H36" i="137"/>
  <c r="I36" i="137"/>
  <c r="B37" i="137"/>
  <c r="C37" i="137"/>
  <c r="E37" i="137"/>
  <c r="F37" i="137"/>
  <c r="G37" i="137"/>
  <c r="H37" i="137"/>
  <c r="I37" i="137"/>
  <c r="B38" i="137"/>
  <c r="C38" i="137"/>
  <c r="E38" i="137"/>
  <c r="F38" i="137"/>
  <c r="G38" i="137"/>
  <c r="H38" i="137"/>
  <c r="I38" i="137"/>
  <c r="B39" i="137"/>
  <c r="C39" i="137"/>
  <c r="E39" i="137"/>
  <c r="F39" i="137"/>
  <c r="G39" i="137"/>
  <c r="H39" i="137"/>
  <c r="I39" i="137"/>
  <c r="B40" i="137"/>
  <c r="C40" i="137"/>
  <c r="E40" i="137"/>
  <c r="F40" i="137"/>
  <c r="G40" i="137"/>
  <c r="H40" i="137"/>
  <c r="I40" i="137"/>
  <c r="B41" i="137"/>
  <c r="C41" i="137"/>
  <c r="E41" i="137"/>
  <c r="F41" i="137"/>
  <c r="G41" i="137"/>
  <c r="H41" i="137"/>
  <c r="I41" i="137"/>
  <c r="B42" i="137"/>
  <c r="C42" i="137"/>
  <c r="E42" i="137"/>
  <c r="F42" i="137"/>
  <c r="G42" i="137"/>
  <c r="H42" i="137"/>
  <c r="I42" i="137"/>
  <c r="B43" i="137"/>
  <c r="C43" i="137"/>
  <c r="E43" i="137"/>
  <c r="F43" i="137"/>
  <c r="G43" i="137"/>
  <c r="H43" i="137"/>
  <c r="I43" i="137"/>
  <c r="B44" i="137"/>
  <c r="C44" i="137"/>
  <c r="E44" i="137"/>
  <c r="F44" i="137"/>
  <c r="G44" i="137"/>
  <c r="H44" i="137"/>
  <c r="I44" i="137"/>
  <c r="B45" i="137"/>
  <c r="C45" i="137"/>
  <c r="E45" i="137"/>
  <c r="F45" i="137"/>
  <c r="G45" i="137"/>
  <c r="H45" i="137"/>
  <c r="I45" i="137"/>
  <c r="B46" i="137"/>
  <c r="C46" i="137"/>
  <c r="E46" i="137"/>
  <c r="F46" i="137"/>
  <c r="G46" i="137"/>
  <c r="H46" i="137"/>
  <c r="I46" i="137"/>
  <c r="B47" i="137"/>
  <c r="C47" i="137"/>
  <c r="E47" i="137"/>
  <c r="F47" i="137"/>
  <c r="G47" i="137"/>
  <c r="H47" i="137"/>
  <c r="I47" i="137"/>
  <c r="B48" i="137"/>
  <c r="C48" i="137"/>
  <c r="E48" i="137"/>
  <c r="F48" i="137"/>
  <c r="G48" i="137"/>
  <c r="H48" i="137"/>
  <c r="I48" i="137"/>
  <c r="B49" i="137"/>
  <c r="C49" i="137"/>
  <c r="E49" i="137"/>
  <c r="F49" i="137"/>
  <c r="G49" i="137"/>
  <c r="H49" i="137"/>
  <c r="I49" i="137"/>
  <c r="B50" i="137"/>
  <c r="C50" i="137"/>
  <c r="E50" i="137"/>
  <c r="F50" i="137"/>
  <c r="G50" i="137"/>
  <c r="H50" i="137"/>
  <c r="I50" i="137"/>
  <c r="B51" i="137"/>
  <c r="C51" i="137"/>
  <c r="E51" i="137"/>
  <c r="F51" i="137"/>
  <c r="G51" i="137"/>
  <c r="H51" i="137"/>
  <c r="I51" i="137"/>
  <c r="B52" i="137"/>
  <c r="C52" i="137"/>
  <c r="E52" i="137"/>
  <c r="F52" i="137"/>
  <c r="G52" i="137"/>
  <c r="H52" i="137"/>
  <c r="I52" i="137"/>
  <c r="B53" i="137"/>
  <c r="C53" i="137"/>
  <c r="E53" i="137"/>
  <c r="F53" i="137"/>
  <c r="G53" i="137"/>
  <c r="H53" i="137"/>
  <c r="I53" i="137"/>
  <c r="B54" i="137"/>
  <c r="C54" i="137"/>
  <c r="E54" i="137"/>
  <c r="F54" i="137"/>
  <c r="G54" i="137"/>
  <c r="H54" i="137"/>
  <c r="I54" i="137"/>
  <c r="B55" i="137"/>
  <c r="C55" i="137"/>
  <c r="E55" i="137"/>
  <c r="F55" i="137"/>
  <c r="G55" i="137"/>
  <c r="H55" i="137"/>
  <c r="I55" i="137"/>
  <c r="B56" i="137"/>
  <c r="C56" i="137"/>
  <c r="E56" i="137"/>
  <c r="F56" i="137"/>
  <c r="G56" i="137"/>
  <c r="H56" i="137"/>
  <c r="I56" i="137"/>
  <c r="B57" i="137"/>
  <c r="C57" i="137"/>
  <c r="E57" i="137"/>
  <c r="F57" i="137"/>
  <c r="G57" i="137"/>
  <c r="H57" i="137"/>
  <c r="I57" i="137"/>
  <c r="B19" i="137" l="1"/>
  <c r="C19" i="137"/>
  <c r="E19" i="137"/>
  <c r="F19" i="137"/>
  <c r="G19" i="137"/>
  <c r="H19" i="137"/>
  <c r="I19" i="137"/>
  <c r="B20" i="137"/>
  <c r="C20" i="137"/>
  <c r="E20" i="137"/>
  <c r="F20" i="137"/>
  <c r="G20" i="137"/>
  <c r="H20" i="137"/>
  <c r="I20" i="137"/>
  <c r="Y189" i="21"/>
  <c r="Y188" i="21"/>
  <c r="B18" i="137" l="1"/>
  <c r="C18" i="137"/>
  <c r="E18" i="137"/>
  <c r="F18" i="137"/>
  <c r="G18" i="137"/>
  <c r="H18" i="137"/>
  <c r="I18" i="137"/>
  <c r="B14" i="137"/>
  <c r="C14" i="137"/>
  <c r="E14" i="137"/>
  <c r="F14" i="137"/>
  <c r="G14" i="137"/>
  <c r="H14" i="137"/>
  <c r="I14" i="137"/>
  <c r="B15" i="137"/>
  <c r="C15" i="137"/>
  <c r="E15" i="137"/>
  <c r="F15" i="137"/>
  <c r="G15" i="137"/>
  <c r="H15" i="137"/>
  <c r="I15" i="137"/>
  <c r="B16" i="137"/>
  <c r="C16" i="137"/>
  <c r="E16" i="137"/>
  <c r="F16" i="137"/>
  <c r="G16" i="137"/>
  <c r="H16" i="137"/>
  <c r="I16" i="137"/>
  <c r="B17" i="137"/>
  <c r="C17" i="137"/>
  <c r="E17" i="137"/>
  <c r="F17" i="137"/>
  <c r="G17" i="137"/>
  <c r="H17" i="137"/>
  <c r="I17" i="137"/>
  <c r="B11" i="137" l="1"/>
  <c r="C11" i="137"/>
  <c r="E11" i="137"/>
  <c r="F11" i="137"/>
  <c r="G11" i="137"/>
  <c r="H11" i="137"/>
  <c r="I11" i="137"/>
  <c r="B12" i="137"/>
  <c r="C12" i="137"/>
  <c r="E12" i="137"/>
  <c r="F12" i="137"/>
  <c r="G12" i="137"/>
  <c r="H12" i="137"/>
  <c r="I12" i="137"/>
  <c r="B13" i="137"/>
  <c r="C13" i="137"/>
  <c r="E13" i="137"/>
  <c r="F13" i="137"/>
  <c r="G13" i="137"/>
  <c r="H13" i="137"/>
  <c r="I13" i="137"/>
  <c r="B8" i="137" l="1"/>
  <c r="C8" i="137"/>
  <c r="E8" i="137"/>
  <c r="F8" i="137"/>
  <c r="G8" i="137"/>
  <c r="H8" i="137"/>
  <c r="I8" i="137"/>
  <c r="B9" i="137"/>
  <c r="C9" i="137"/>
  <c r="E9" i="137"/>
  <c r="F9" i="137"/>
  <c r="G9" i="137"/>
  <c r="H9" i="137"/>
  <c r="I9" i="137"/>
  <c r="B10" i="137"/>
  <c r="C10" i="137"/>
  <c r="E10" i="137"/>
  <c r="F10" i="137"/>
  <c r="G10" i="137"/>
  <c r="H10" i="137"/>
  <c r="I10" i="137"/>
  <c r="B5" i="137" l="1"/>
  <c r="C5" i="137"/>
  <c r="E5" i="137"/>
  <c r="F5" i="137"/>
  <c r="G5" i="137"/>
  <c r="H5" i="137"/>
  <c r="I5" i="137"/>
  <c r="B6" i="137"/>
  <c r="C6" i="137"/>
  <c r="E6" i="137"/>
  <c r="F6" i="137"/>
  <c r="G6" i="137"/>
  <c r="H6" i="137"/>
  <c r="I6" i="137"/>
  <c r="B7" i="137"/>
  <c r="C7" i="137"/>
  <c r="E7" i="137"/>
  <c r="F7" i="137"/>
  <c r="G7" i="137"/>
  <c r="H7" i="137"/>
  <c r="I7" i="137"/>
  <c r="B4" i="137" l="1"/>
  <c r="C4" i="137"/>
  <c r="E4" i="137"/>
  <c r="F4" i="137"/>
  <c r="G4" i="137"/>
  <c r="H4" i="137"/>
  <c r="I4" i="137"/>
  <c r="B3" i="137" l="1"/>
  <c r="C3" i="137"/>
  <c r="E3" i="137"/>
  <c r="F3" i="137"/>
  <c r="G3" i="137"/>
  <c r="H3" i="137"/>
  <c r="I3" i="137"/>
  <c r="B41" i="136" l="1"/>
  <c r="C41" i="136"/>
  <c r="E41" i="136"/>
  <c r="F41" i="136"/>
  <c r="G41" i="136"/>
  <c r="H41" i="136"/>
  <c r="I41" i="136"/>
  <c r="I2" i="137"/>
  <c r="I63" i="137" s="1"/>
  <c r="H2" i="137"/>
  <c r="G2" i="137"/>
  <c r="F2" i="137"/>
  <c r="E2" i="137"/>
  <c r="C2" i="137"/>
  <c r="B2" i="137"/>
  <c r="B40" i="136" l="1"/>
  <c r="C40" i="136"/>
  <c r="E40" i="136"/>
  <c r="F40" i="136"/>
  <c r="G40" i="136"/>
  <c r="H40" i="136"/>
  <c r="I40" i="136"/>
  <c r="B39" i="136"/>
  <c r="C39" i="136"/>
  <c r="E39" i="136"/>
  <c r="F39" i="136"/>
  <c r="G39" i="136"/>
  <c r="H39" i="136"/>
  <c r="I39" i="136"/>
  <c r="B36" i="136"/>
  <c r="C36" i="136"/>
  <c r="E36" i="136"/>
  <c r="F36" i="136"/>
  <c r="G36" i="136"/>
  <c r="H36" i="136"/>
  <c r="I36" i="136"/>
  <c r="B37" i="136"/>
  <c r="C37" i="136"/>
  <c r="E37" i="136"/>
  <c r="F37" i="136"/>
  <c r="G37" i="136"/>
  <c r="H37" i="136"/>
  <c r="I37" i="136"/>
  <c r="B38" i="136"/>
  <c r="C38" i="136"/>
  <c r="E38" i="136"/>
  <c r="F38" i="136"/>
  <c r="G38" i="136"/>
  <c r="H38" i="136"/>
  <c r="I38" i="136"/>
  <c r="W197" i="21"/>
  <c r="B27" i="136"/>
  <c r="C27" i="136"/>
  <c r="E27" i="136"/>
  <c r="F27" i="136"/>
  <c r="G27" i="136"/>
  <c r="H27" i="136"/>
  <c r="I27" i="136"/>
  <c r="B28" i="136"/>
  <c r="C28" i="136"/>
  <c r="E28" i="136"/>
  <c r="F28" i="136"/>
  <c r="G28" i="136"/>
  <c r="H28" i="136"/>
  <c r="I28" i="136"/>
  <c r="B29" i="136"/>
  <c r="C29" i="136"/>
  <c r="E29" i="136"/>
  <c r="F29" i="136"/>
  <c r="G29" i="136"/>
  <c r="H29" i="136"/>
  <c r="I29" i="136"/>
  <c r="B30" i="136"/>
  <c r="C30" i="136"/>
  <c r="E30" i="136"/>
  <c r="F30" i="136"/>
  <c r="G30" i="136"/>
  <c r="H30" i="136"/>
  <c r="I30" i="136"/>
  <c r="B31" i="136"/>
  <c r="C31" i="136"/>
  <c r="E31" i="136"/>
  <c r="F31" i="136"/>
  <c r="G31" i="136"/>
  <c r="H31" i="136"/>
  <c r="I31" i="136"/>
  <c r="B32" i="136"/>
  <c r="C32" i="136"/>
  <c r="E32" i="136"/>
  <c r="F32" i="136"/>
  <c r="G32" i="136"/>
  <c r="H32" i="136"/>
  <c r="I32" i="136"/>
  <c r="B33" i="136"/>
  <c r="C33" i="136"/>
  <c r="E33" i="136"/>
  <c r="F33" i="136"/>
  <c r="G33" i="136"/>
  <c r="H33" i="136"/>
  <c r="I33" i="136"/>
  <c r="B34" i="136"/>
  <c r="C34" i="136"/>
  <c r="E34" i="136"/>
  <c r="F34" i="136"/>
  <c r="G34" i="136"/>
  <c r="H34" i="136"/>
  <c r="I34" i="136"/>
  <c r="B35" i="136"/>
  <c r="C35" i="136"/>
  <c r="E35" i="136"/>
  <c r="F35" i="136"/>
  <c r="G35" i="136"/>
  <c r="H35" i="136"/>
  <c r="I35" i="136"/>
  <c r="W187" i="21" l="1"/>
  <c r="B23" i="136"/>
  <c r="C23" i="136"/>
  <c r="E23" i="136"/>
  <c r="F23" i="136"/>
  <c r="G23" i="136"/>
  <c r="H23" i="136"/>
  <c r="I23" i="136"/>
  <c r="B24" i="136"/>
  <c r="C24" i="136"/>
  <c r="E24" i="136"/>
  <c r="F24" i="136"/>
  <c r="G24" i="136"/>
  <c r="H24" i="136"/>
  <c r="I24" i="136"/>
  <c r="B25" i="136"/>
  <c r="C25" i="136"/>
  <c r="E25" i="136"/>
  <c r="F25" i="136"/>
  <c r="G25" i="136"/>
  <c r="H25" i="136"/>
  <c r="I25" i="136"/>
  <c r="B26" i="136"/>
  <c r="C26" i="136"/>
  <c r="E26" i="136"/>
  <c r="F26" i="136"/>
  <c r="G26" i="136"/>
  <c r="H26" i="136"/>
  <c r="I26" i="136"/>
  <c r="W190" i="21"/>
  <c r="B20" i="136" l="1"/>
  <c r="C20" i="136"/>
  <c r="E20" i="136"/>
  <c r="F20" i="136"/>
  <c r="G20" i="136"/>
  <c r="H20" i="136"/>
  <c r="I20" i="136"/>
  <c r="B21" i="136"/>
  <c r="C21" i="136"/>
  <c r="E21" i="136"/>
  <c r="F21" i="136"/>
  <c r="G21" i="136"/>
  <c r="H21" i="136"/>
  <c r="I21" i="136"/>
  <c r="B22" i="136"/>
  <c r="C22" i="136"/>
  <c r="E22" i="136"/>
  <c r="F22" i="136"/>
  <c r="G22" i="136"/>
  <c r="H22" i="136"/>
  <c r="I22" i="136"/>
  <c r="W188" i="21" l="1"/>
  <c r="I17" i="136"/>
  <c r="B16" i="136"/>
  <c r="C16" i="136"/>
  <c r="E16" i="136"/>
  <c r="F16" i="136"/>
  <c r="G16" i="136"/>
  <c r="H16" i="136"/>
  <c r="I16" i="136"/>
  <c r="B17" i="136"/>
  <c r="C17" i="136"/>
  <c r="E17" i="136"/>
  <c r="F17" i="136"/>
  <c r="G17" i="136"/>
  <c r="H17" i="136"/>
  <c r="B18" i="136"/>
  <c r="C18" i="136"/>
  <c r="E18" i="136"/>
  <c r="F18" i="136"/>
  <c r="G18" i="136"/>
  <c r="H18" i="136"/>
  <c r="I18" i="136"/>
  <c r="B19" i="136"/>
  <c r="C19" i="136"/>
  <c r="E19" i="136"/>
  <c r="F19" i="136"/>
  <c r="G19" i="136"/>
  <c r="H19" i="136"/>
  <c r="I19" i="136"/>
  <c r="B14" i="136" l="1"/>
  <c r="C14" i="136"/>
  <c r="E14" i="136"/>
  <c r="F14" i="136"/>
  <c r="G14" i="136"/>
  <c r="H14" i="136"/>
  <c r="I14" i="136"/>
  <c r="B15" i="136"/>
  <c r="C15" i="136"/>
  <c r="E15" i="136"/>
  <c r="F15" i="136"/>
  <c r="G15" i="136"/>
  <c r="H15" i="136"/>
  <c r="I15" i="136"/>
  <c r="B6" i="136" l="1"/>
  <c r="C6" i="136"/>
  <c r="E6" i="136"/>
  <c r="F6" i="136"/>
  <c r="G6" i="136"/>
  <c r="H6" i="136"/>
  <c r="I6" i="136"/>
  <c r="S191" i="21" l="1"/>
  <c r="B11" i="136" l="1"/>
  <c r="C11" i="136"/>
  <c r="E11" i="136"/>
  <c r="F11" i="136"/>
  <c r="G11" i="136"/>
  <c r="H11" i="136"/>
  <c r="I11" i="136"/>
  <c r="B12" i="136"/>
  <c r="C12" i="136"/>
  <c r="E12" i="136"/>
  <c r="F12" i="136"/>
  <c r="G12" i="136"/>
  <c r="H12" i="136"/>
  <c r="I12" i="136"/>
  <c r="B13" i="136"/>
  <c r="C13" i="136"/>
  <c r="E13" i="136"/>
  <c r="F13" i="136"/>
  <c r="G13" i="136"/>
  <c r="H13" i="136"/>
  <c r="I13" i="136"/>
  <c r="B7" i="136" l="1"/>
  <c r="C7" i="136"/>
  <c r="E7" i="136"/>
  <c r="F7" i="136"/>
  <c r="G7" i="136"/>
  <c r="H7" i="136"/>
  <c r="I7" i="136"/>
  <c r="B8" i="136"/>
  <c r="C8" i="136"/>
  <c r="E8" i="136"/>
  <c r="F8" i="136"/>
  <c r="G8" i="136"/>
  <c r="H8" i="136"/>
  <c r="I8" i="136"/>
  <c r="B9" i="136"/>
  <c r="C9" i="136"/>
  <c r="E9" i="136"/>
  <c r="F9" i="136"/>
  <c r="G9" i="136"/>
  <c r="H9" i="136"/>
  <c r="I9" i="136"/>
  <c r="B10" i="136"/>
  <c r="C10" i="136"/>
  <c r="E10" i="136"/>
  <c r="F10" i="136"/>
  <c r="G10" i="136"/>
  <c r="H10" i="136"/>
  <c r="I10" i="136"/>
  <c r="B5" i="136" l="1"/>
  <c r="C5" i="136"/>
  <c r="E5" i="136"/>
  <c r="F5" i="136"/>
  <c r="G5" i="136"/>
  <c r="H5" i="136"/>
  <c r="I5" i="136"/>
  <c r="B4" i="136" l="1"/>
  <c r="C4" i="136"/>
  <c r="E4" i="136"/>
  <c r="F4" i="136"/>
  <c r="G4" i="136"/>
  <c r="H4" i="136"/>
  <c r="I4" i="136"/>
  <c r="B3" i="136"/>
  <c r="C3" i="136"/>
  <c r="E3" i="136"/>
  <c r="F3" i="136"/>
  <c r="G3" i="136"/>
  <c r="H3" i="136"/>
  <c r="I3" i="136"/>
  <c r="I2" i="136"/>
  <c r="H2" i="136"/>
  <c r="G2" i="136"/>
  <c r="F2" i="136"/>
  <c r="E2" i="136"/>
  <c r="C2" i="136"/>
  <c r="B2" i="136"/>
  <c r="I42" i="136" l="1"/>
  <c r="B30" i="135"/>
  <c r="C30" i="135"/>
  <c r="E30" i="135"/>
  <c r="F30" i="135"/>
  <c r="G30" i="135"/>
  <c r="H30" i="135"/>
  <c r="I30" i="135"/>
  <c r="U191" i="21"/>
  <c r="B29" i="135" l="1"/>
  <c r="C29" i="135"/>
  <c r="E29" i="135"/>
  <c r="F29" i="135"/>
  <c r="G29" i="135"/>
  <c r="H29" i="135"/>
  <c r="I29" i="135"/>
  <c r="U187" i="21"/>
  <c r="B24" i="135" l="1"/>
  <c r="C24" i="135"/>
  <c r="E24" i="135"/>
  <c r="F24" i="135"/>
  <c r="G24" i="135"/>
  <c r="H24" i="135"/>
  <c r="I24" i="135"/>
  <c r="B25" i="135"/>
  <c r="C25" i="135"/>
  <c r="E25" i="135"/>
  <c r="F25" i="135"/>
  <c r="G25" i="135"/>
  <c r="H25" i="135"/>
  <c r="I25" i="135"/>
  <c r="B26" i="135"/>
  <c r="C26" i="135"/>
  <c r="E26" i="135"/>
  <c r="F26" i="135"/>
  <c r="G26" i="135"/>
  <c r="H26" i="135"/>
  <c r="I26" i="135"/>
  <c r="B27" i="135"/>
  <c r="C27" i="135"/>
  <c r="E27" i="135"/>
  <c r="F27" i="135"/>
  <c r="G27" i="135"/>
  <c r="H27" i="135"/>
  <c r="I27" i="135"/>
  <c r="B28" i="135"/>
  <c r="C28" i="135"/>
  <c r="E28" i="135"/>
  <c r="F28" i="135"/>
  <c r="G28" i="135"/>
  <c r="H28" i="135"/>
  <c r="I28" i="135"/>
  <c r="U194" i="21"/>
  <c r="U197" i="21"/>
  <c r="U188" i="21"/>
  <c r="B21" i="135" l="1"/>
  <c r="C21" i="135"/>
  <c r="E21" i="135"/>
  <c r="F21" i="135"/>
  <c r="G21" i="135"/>
  <c r="H21" i="135"/>
  <c r="I21" i="135"/>
  <c r="B22" i="135"/>
  <c r="C22" i="135"/>
  <c r="E22" i="135"/>
  <c r="F22" i="135"/>
  <c r="G22" i="135"/>
  <c r="H22" i="135"/>
  <c r="I22" i="135"/>
  <c r="B23" i="135"/>
  <c r="C23" i="135"/>
  <c r="E23" i="135"/>
  <c r="F23" i="135"/>
  <c r="G23" i="135"/>
  <c r="H23" i="135"/>
  <c r="I23" i="135"/>
  <c r="B18" i="135" l="1"/>
  <c r="C18" i="135"/>
  <c r="E18" i="135"/>
  <c r="F18" i="135"/>
  <c r="G18" i="135"/>
  <c r="H18" i="135"/>
  <c r="I18" i="135"/>
  <c r="B19" i="135"/>
  <c r="C19" i="135"/>
  <c r="E19" i="135"/>
  <c r="F19" i="135"/>
  <c r="G19" i="135"/>
  <c r="H19" i="135"/>
  <c r="I19" i="135"/>
  <c r="B20" i="135"/>
  <c r="C20" i="135"/>
  <c r="E20" i="135"/>
  <c r="F20" i="135"/>
  <c r="G20" i="135"/>
  <c r="H20" i="135"/>
  <c r="I20" i="135"/>
  <c r="U189" i="21"/>
  <c r="B12" i="135" l="1"/>
  <c r="C12" i="135"/>
  <c r="E12" i="135"/>
  <c r="F12" i="135"/>
  <c r="G12" i="135"/>
  <c r="H12" i="135"/>
  <c r="I12" i="135"/>
  <c r="B13" i="135"/>
  <c r="C13" i="135"/>
  <c r="E13" i="135"/>
  <c r="F13" i="135"/>
  <c r="G13" i="135"/>
  <c r="H13" i="135"/>
  <c r="I13" i="135"/>
  <c r="B14" i="135"/>
  <c r="C14" i="135"/>
  <c r="E14" i="135"/>
  <c r="F14" i="135"/>
  <c r="G14" i="135"/>
  <c r="H14" i="135"/>
  <c r="I14" i="135"/>
  <c r="B15" i="135"/>
  <c r="C15" i="135"/>
  <c r="E15" i="135"/>
  <c r="F15" i="135"/>
  <c r="G15" i="135"/>
  <c r="H15" i="135"/>
  <c r="I15" i="135"/>
  <c r="B16" i="135"/>
  <c r="C16" i="135"/>
  <c r="E16" i="135"/>
  <c r="F16" i="135"/>
  <c r="G16" i="135"/>
  <c r="H16" i="135"/>
  <c r="I16" i="135"/>
  <c r="B17" i="135"/>
  <c r="C17" i="135"/>
  <c r="E17" i="135"/>
  <c r="F17" i="135"/>
  <c r="G17" i="135"/>
  <c r="H17" i="135"/>
  <c r="I17" i="135"/>
  <c r="B5" i="135" l="1"/>
  <c r="C5" i="135"/>
  <c r="E5" i="135"/>
  <c r="F5" i="135"/>
  <c r="G5" i="135"/>
  <c r="H5" i="135"/>
  <c r="I5" i="135"/>
  <c r="B6" i="135"/>
  <c r="C6" i="135"/>
  <c r="E6" i="135"/>
  <c r="F6" i="135"/>
  <c r="G6" i="135"/>
  <c r="H6" i="135"/>
  <c r="I6" i="135"/>
  <c r="B7" i="135"/>
  <c r="C7" i="135"/>
  <c r="E7" i="135"/>
  <c r="F7" i="135"/>
  <c r="G7" i="135"/>
  <c r="H7" i="135"/>
  <c r="I7" i="135"/>
  <c r="B8" i="135"/>
  <c r="C8" i="135"/>
  <c r="E8" i="135"/>
  <c r="F8" i="135"/>
  <c r="G8" i="135"/>
  <c r="H8" i="135"/>
  <c r="I8" i="135"/>
  <c r="B9" i="135"/>
  <c r="C9" i="135"/>
  <c r="E9" i="135"/>
  <c r="F9" i="135"/>
  <c r="G9" i="135"/>
  <c r="H9" i="135"/>
  <c r="I9" i="135"/>
  <c r="B10" i="135"/>
  <c r="C10" i="135"/>
  <c r="E10" i="135"/>
  <c r="F10" i="135"/>
  <c r="G10" i="135"/>
  <c r="H10" i="135"/>
  <c r="I10" i="135"/>
  <c r="B11" i="135"/>
  <c r="C11" i="135"/>
  <c r="E11" i="135"/>
  <c r="F11" i="135"/>
  <c r="G11" i="135"/>
  <c r="H11" i="135"/>
  <c r="I11" i="135"/>
  <c r="I4" i="135" l="1"/>
  <c r="H4" i="135"/>
  <c r="G4" i="135"/>
  <c r="F4" i="135"/>
  <c r="E4" i="135"/>
  <c r="C4" i="135"/>
  <c r="B4" i="135"/>
  <c r="I3" i="135"/>
  <c r="H3" i="135"/>
  <c r="G3" i="135"/>
  <c r="F3" i="135"/>
  <c r="E3" i="135"/>
  <c r="C3" i="135"/>
  <c r="B3" i="135"/>
  <c r="I2" i="135"/>
  <c r="H2" i="135"/>
  <c r="G2" i="135"/>
  <c r="F2" i="135"/>
  <c r="E2" i="135"/>
  <c r="C2" i="135"/>
  <c r="B2" i="135"/>
  <c r="I31" i="135" l="1"/>
  <c r="B3" i="134"/>
  <c r="C3" i="134"/>
  <c r="E3" i="134"/>
  <c r="F3" i="134"/>
  <c r="G3" i="134"/>
  <c r="H3" i="134"/>
  <c r="I3" i="134"/>
  <c r="B4" i="134"/>
  <c r="C4" i="134"/>
  <c r="E4" i="134"/>
  <c r="F4" i="134"/>
  <c r="G4" i="134"/>
  <c r="H4" i="134"/>
  <c r="I4" i="134"/>
  <c r="B5" i="134"/>
  <c r="C5" i="134"/>
  <c r="E5" i="134"/>
  <c r="F5" i="134"/>
  <c r="G5" i="134"/>
  <c r="H5" i="134"/>
  <c r="I5" i="134"/>
  <c r="B6" i="134"/>
  <c r="C6" i="134"/>
  <c r="E6" i="134"/>
  <c r="F6" i="134"/>
  <c r="G6" i="134"/>
  <c r="H6" i="134"/>
  <c r="I6" i="134"/>
  <c r="B7" i="134"/>
  <c r="C7" i="134"/>
  <c r="E7" i="134"/>
  <c r="F7" i="134"/>
  <c r="G7" i="134"/>
  <c r="H7" i="134"/>
  <c r="I7" i="134"/>
  <c r="B8" i="134"/>
  <c r="C8" i="134"/>
  <c r="E8" i="134"/>
  <c r="F8" i="134"/>
  <c r="G8" i="134"/>
  <c r="H8" i="134"/>
  <c r="I8" i="134"/>
  <c r="B9" i="134"/>
  <c r="C9" i="134"/>
  <c r="E9" i="134"/>
  <c r="F9" i="134"/>
  <c r="G9" i="134"/>
  <c r="H9" i="134"/>
  <c r="I9" i="134"/>
  <c r="B10" i="134"/>
  <c r="C10" i="134"/>
  <c r="E10" i="134"/>
  <c r="F10" i="134"/>
  <c r="G10" i="134"/>
  <c r="H10" i="134"/>
  <c r="I10" i="134"/>
  <c r="B11" i="134"/>
  <c r="C11" i="134"/>
  <c r="E11" i="134"/>
  <c r="F11" i="134"/>
  <c r="G11" i="134"/>
  <c r="H11" i="134"/>
  <c r="I11" i="134"/>
  <c r="B12" i="134"/>
  <c r="C12" i="134"/>
  <c r="E12" i="134"/>
  <c r="F12" i="134"/>
  <c r="G12" i="134"/>
  <c r="H12" i="134"/>
  <c r="I12" i="134"/>
  <c r="I2" i="134"/>
  <c r="H2" i="134"/>
  <c r="G2" i="134"/>
  <c r="F2" i="134"/>
  <c r="E2" i="134"/>
  <c r="C2" i="134"/>
  <c r="B2" i="134"/>
  <c r="I13" i="134" l="1"/>
  <c r="B21" i="133"/>
  <c r="C21" i="133"/>
  <c r="E21" i="133"/>
  <c r="F21" i="133"/>
  <c r="G21" i="133"/>
  <c r="H21" i="133"/>
  <c r="I21" i="133"/>
  <c r="Q191" i="21"/>
  <c r="I90" i="4" l="1"/>
  <c r="H90" i="4"/>
  <c r="I89" i="4"/>
  <c r="H89" i="4"/>
  <c r="I88" i="4"/>
  <c r="H88" i="4"/>
  <c r="I87" i="4"/>
  <c r="H87" i="4"/>
  <c r="I86" i="4"/>
  <c r="H86" i="4"/>
  <c r="I85" i="4"/>
  <c r="H85" i="4"/>
  <c r="I84" i="4"/>
  <c r="H84" i="4"/>
  <c r="I83" i="4"/>
  <c r="H83" i="4"/>
  <c r="I82" i="4"/>
  <c r="H82" i="4"/>
  <c r="I81" i="4"/>
  <c r="H81" i="4"/>
  <c r="I80" i="4"/>
  <c r="H80" i="4"/>
  <c r="I79" i="4"/>
  <c r="H79" i="4"/>
  <c r="G91" i="4"/>
  <c r="M91" i="4" s="1"/>
  <c r="F91" i="4"/>
  <c r="L91" i="4" s="1"/>
  <c r="E91" i="4"/>
  <c r="D91" i="4"/>
  <c r="I91" i="4" l="1"/>
  <c r="H91" i="4"/>
  <c r="I75" i="4"/>
  <c r="M72" i="4"/>
  <c r="L75" i="4"/>
  <c r="M74" i="4"/>
  <c r="L74" i="4"/>
  <c r="M73" i="4"/>
  <c r="L73" i="4"/>
  <c r="L72" i="4"/>
  <c r="M71" i="4"/>
  <c r="L71" i="4"/>
  <c r="M70" i="4"/>
  <c r="L70" i="4"/>
  <c r="M69" i="4"/>
  <c r="L69" i="4"/>
  <c r="M68" i="4"/>
  <c r="L68" i="4"/>
  <c r="M67" i="4"/>
  <c r="L67" i="4"/>
  <c r="M66" i="4"/>
  <c r="L66" i="4"/>
  <c r="M65" i="4"/>
  <c r="L65" i="4"/>
  <c r="M64" i="4"/>
  <c r="L64" i="4"/>
  <c r="J76" i="4"/>
  <c r="F76" i="4"/>
  <c r="L76" i="4" l="1"/>
  <c r="K76" i="4"/>
  <c r="B13" i="133" l="1"/>
  <c r="C13" i="133"/>
  <c r="E13" i="133"/>
  <c r="F13" i="133"/>
  <c r="G13" i="133"/>
  <c r="H13" i="133"/>
  <c r="I13" i="133"/>
  <c r="B14" i="133"/>
  <c r="C14" i="133"/>
  <c r="E14" i="133"/>
  <c r="F14" i="133"/>
  <c r="G14" i="133"/>
  <c r="H14" i="133"/>
  <c r="I14" i="133"/>
  <c r="B15" i="133"/>
  <c r="C15" i="133"/>
  <c r="E15" i="133"/>
  <c r="F15" i="133"/>
  <c r="G15" i="133"/>
  <c r="H15" i="133"/>
  <c r="I15" i="133"/>
  <c r="B16" i="133"/>
  <c r="C16" i="133"/>
  <c r="E16" i="133"/>
  <c r="F16" i="133"/>
  <c r="G16" i="133"/>
  <c r="H16" i="133"/>
  <c r="I16" i="133"/>
  <c r="B17" i="133"/>
  <c r="C17" i="133"/>
  <c r="E17" i="133"/>
  <c r="F17" i="133"/>
  <c r="G17" i="133"/>
  <c r="H17" i="133"/>
  <c r="I17" i="133"/>
  <c r="B18" i="133"/>
  <c r="C18" i="133"/>
  <c r="E18" i="133"/>
  <c r="F18" i="133"/>
  <c r="G18" i="133"/>
  <c r="H18" i="133"/>
  <c r="I18" i="133"/>
  <c r="B19" i="133"/>
  <c r="C19" i="133"/>
  <c r="E19" i="133"/>
  <c r="F19" i="133"/>
  <c r="G19" i="133"/>
  <c r="H19" i="133"/>
  <c r="I19" i="133"/>
  <c r="B20" i="133"/>
  <c r="C20" i="133"/>
  <c r="E20" i="133"/>
  <c r="F20" i="133"/>
  <c r="G20" i="133"/>
  <c r="H20" i="133"/>
  <c r="I20" i="133"/>
  <c r="B12" i="133" l="1"/>
  <c r="C12" i="133"/>
  <c r="E12" i="133"/>
  <c r="F12" i="133"/>
  <c r="G12" i="133"/>
  <c r="H12" i="133"/>
  <c r="I12" i="133"/>
  <c r="Q197" i="21"/>
  <c r="B11" i="133" l="1"/>
  <c r="C11" i="133"/>
  <c r="E11" i="133"/>
  <c r="F11" i="133"/>
  <c r="G11" i="133"/>
  <c r="H11" i="133"/>
  <c r="I11" i="133"/>
  <c r="Q189" i="21" l="1"/>
  <c r="Q188" i="21"/>
  <c r="B7" i="133"/>
  <c r="C7" i="133"/>
  <c r="E7" i="133"/>
  <c r="F7" i="133"/>
  <c r="G7" i="133"/>
  <c r="H7" i="133"/>
  <c r="I7" i="133"/>
  <c r="B8" i="133"/>
  <c r="C8" i="133"/>
  <c r="E8" i="133"/>
  <c r="F8" i="133"/>
  <c r="G8" i="133"/>
  <c r="H8" i="133"/>
  <c r="I8" i="133"/>
  <c r="B9" i="133"/>
  <c r="C9" i="133"/>
  <c r="E9" i="133"/>
  <c r="F9" i="133"/>
  <c r="G9" i="133"/>
  <c r="H9" i="133"/>
  <c r="I9" i="133"/>
  <c r="B10" i="133"/>
  <c r="C10" i="133"/>
  <c r="E10" i="133"/>
  <c r="F10" i="133"/>
  <c r="G10" i="133"/>
  <c r="H10" i="133"/>
  <c r="I10" i="133"/>
  <c r="B3" i="133" l="1"/>
  <c r="C3" i="133"/>
  <c r="E3" i="133"/>
  <c r="F3" i="133"/>
  <c r="G3" i="133"/>
  <c r="H3" i="133"/>
  <c r="I3" i="133"/>
  <c r="B4" i="133"/>
  <c r="C4" i="133"/>
  <c r="E4" i="133"/>
  <c r="F4" i="133"/>
  <c r="G4" i="133"/>
  <c r="H4" i="133"/>
  <c r="I4" i="133"/>
  <c r="B5" i="133"/>
  <c r="C5" i="133"/>
  <c r="E5" i="133"/>
  <c r="F5" i="133"/>
  <c r="G5" i="133"/>
  <c r="H5" i="133"/>
  <c r="I5" i="133"/>
  <c r="B6" i="133"/>
  <c r="C6" i="133"/>
  <c r="E6" i="133"/>
  <c r="F6" i="133"/>
  <c r="G6" i="133"/>
  <c r="H6" i="133"/>
  <c r="I6" i="133"/>
  <c r="I2" i="133" l="1"/>
  <c r="I22" i="133" s="1"/>
  <c r="H2" i="133"/>
  <c r="G2" i="133"/>
  <c r="F2" i="133"/>
  <c r="E2" i="133"/>
  <c r="C2" i="133"/>
  <c r="B2" i="133"/>
  <c r="B19" i="132" l="1"/>
  <c r="C19" i="132"/>
  <c r="E19" i="132"/>
  <c r="F19" i="132"/>
  <c r="G19" i="132"/>
  <c r="H19" i="132"/>
  <c r="I19" i="132"/>
  <c r="O189" i="21"/>
  <c r="O194" i="21" l="1"/>
  <c r="O197" i="21"/>
  <c r="B16" i="132"/>
  <c r="C16" i="132"/>
  <c r="E16" i="132"/>
  <c r="F16" i="132"/>
  <c r="G16" i="132"/>
  <c r="H16" i="132"/>
  <c r="I16" i="132"/>
  <c r="B17" i="132"/>
  <c r="C17" i="132"/>
  <c r="E17" i="132"/>
  <c r="F17" i="132"/>
  <c r="G17" i="132"/>
  <c r="H17" i="132"/>
  <c r="I17" i="132"/>
  <c r="B18" i="132"/>
  <c r="C18" i="132"/>
  <c r="E18" i="132"/>
  <c r="F18" i="132"/>
  <c r="G18" i="132"/>
  <c r="H18" i="132"/>
  <c r="I18" i="132"/>
  <c r="B14" i="132" l="1"/>
  <c r="C14" i="132"/>
  <c r="E14" i="132"/>
  <c r="F14" i="132"/>
  <c r="G14" i="132"/>
  <c r="H14" i="132"/>
  <c r="I14" i="132"/>
  <c r="B15" i="132"/>
  <c r="C15" i="132"/>
  <c r="E15" i="132"/>
  <c r="F15" i="132"/>
  <c r="G15" i="132"/>
  <c r="H15" i="132"/>
  <c r="I15" i="132"/>
  <c r="B13" i="132" l="1"/>
  <c r="C13" i="132"/>
  <c r="E13" i="132"/>
  <c r="F13" i="132"/>
  <c r="G13" i="132"/>
  <c r="H13" i="132"/>
  <c r="I13" i="132"/>
  <c r="B9" i="132" l="1"/>
  <c r="C9" i="132"/>
  <c r="E9" i="132"/>
  <c r="F9" i="132"/>
  <c r="G9" i="132"/>
  <c r="H9" i="132"/>
  <c r="I9" i="132"/>
  <c r="B10" i="132"/>
  <c r="C10" i="132"/>
  <c r="E10" i="132"/>
  <c r="F10" i="132"/>
  <c r="G10" i="132"/>
  <c r="H10" i="132"/>
  <c r="I10" i="132"/>
  <c r="B11" i="132"/>
  <c r="C11" i="132"/>
  <c r="E11" i="132"/>
  <c r="F11" i="132"/>
  <c r="G11" i="132"/>
  <c r="H11" i="132"/>
  <c r="I11" i="132"/>
  <c r="B12" i="132"/>
  <c r="C12" i="132"/>
  <c r="E12" i="132"/>
  <c r="F12" i="132"/>
  <c r="G12" i="132"/>
  <c r="H12" i="132"/>
  <c r="I12" i="132"/>
  <c r="B7" i="132" l="1"/>
  <c r="C7" i="132"/>
  <c r="E7" i="132"/>
  <c r="F7" i="132"/>
  <c r="G7" i="132"/>
  <c r="H7" i="132"/>
  <c r="I7" i="132"/>
  <c r="B8" i="132"/>
  <c r="C8" i="132"/>
  <c r="E8" i="132"/>
  <c r="F8" i="132"/>
  <c r="G8" i="132"/>
  <c r="H8" i="132"/>
  <c r="I8" i="132"/>
  <c r="O188" i="21" l="1"/>
  <c r="B3" i="132"/>
  <c r="C3" i="132"/>
  <c r="E3" i="132"/>
  <c r="F3" i="132"/>
  <c r="G3" i="132"/>
  <c r="H3" i="132"/>
  <c r="I3" i="132"/>
  <c r="B4" i="132"/>
  <c r="C4" i="132"/>
  <c r="E4" i="132"/>
  <c r="F4" i="132"/>
  <c r="G4" i="132"/>
  <c r="H4" i="132"/>
  <c r="I4" i="132"/>
  <c r="B5" i="132"/>
  <c r="C5" i="132"/>
  <c r="E5" i="132"/>
  <c r="F5" i="132"/>
  <c r="G5" i="132"/>
  <c r="H5" i="132"/>
  <c r="I5" i="132"/>
  <c r="B6" i="132"/>
  <c r="C6" i="132"/>
  <c r="E6" i="132"/>
  <c r="F6" i="132"/>
  <c r="G6" i="132"/>
  <c r="H6" i="132"/>
  <c r="I6" i="132"/>
  <c r="I2" i="132" l="1"/>
  <c r="H2" i="132"/>
  <c r="G2" i="132"/>
  <c r="F2" i="132"/>
  <c r="E2" i="132"/>
  <c r="C2" i="132"/>
  <c r="B2" i="132"/>
  <c r="I20" i="132" l="1"/>
  <c r="B43" i="131"/>
  <c r="C43" i="131"/>
  <c r="E43" i="131"/>
  <c r="F43" i="131"/>
  <c r="G43" i="131"/>
  <c r="H43" i="131"/>
  <c r="I43" i="131"/>
  <c r="M190" i="21" l="1"/>
  <c r="E191" i="21"/>
  <c r="B37" i="131"/>
  <c r="C37" i="131"/>
  <c r="E37" i="131"/>
  <c r="F37" i="131"/>
  <c r="G37" i="131"/>
  <c r="H37" i="131"/>
  <c r="I37" i="131"/>
  <c r="B38" i="131"/>
  <c r="C38" i="131"/>
  <c r="E38" i="131"/>
  <c r="F38" i="131"/>
  <c r="G38" i="131"/>
  <c r="H38" i="131"/>
  <c r="I38" i="131"/>
  <c r="B39" i="131"/>
  <c r="C39" i="131"/>
  <c r="E39" i="131"/>
  <c r="F39" i="131"/>
  <c r="G39" i="131"/>
  <c r="H39" i="131"/>
  <c r="I39" i="131"/>
  <c r="B40" i="131"/>
  <c r="C40" i="131"/>
  <c r="E40" i="131"/>
  <c r="F40" i="131"/>
  <c r="G40" i="131"/>
  <c r="H40" i="131"/>
  <c r="I40" i="131"/>
  <c r="B41" i="131"/>
  <c r="C41" i="131"/>
  <c r="E41" i="131"/>
  <c r="F41" i="131"/>
  <c r="G41" i="131"/>
  <c r="H41" i="131"/>
  <c r="I41" i="131"/>
  <c r="B42" i="131"/>
  <c r="C42" i="131"/>
  <c r="E42" i="131"/>
  <c r="F42" i="131"/>
  <c r="G42" i="131"/>
  <c r="H42" i="131"/>
  <c r="I42" i="131"/>
  <c r="M188" i="21" l="1"/>
  <c r="B36" i="131"/>
  <c r="C36" i="131"/>
  <c r="E36" i="131"/>
  <c r="F36" i="131"/>
  <c r="G36" i="131"/>
  <c r="H36" i="131"/>
  <c r="I36" i="131"/>
  <c r="B32" i="131"/>
  <c r="C32" i="131"/>
  <c r="E32" i="131"/>
  <c r="F32" i="131"/>
  <c r="G32" i="131"/>
  <c r="H32" i="131"/>
  <c r="I32" i="131"/>
  <c r="B33" i="131"/>
  <c r="C33" i="131"/>
  <c r="E33" i="131"/>
  <c r="F33" i="131"/>
  <c r="G33" i="131"/>
  <c r="H33" i="131"/>
  <c r="I33" i="131"/>
  <c r="B34" i="131"/>
  <c r="C34" i="131"/>
  <c r="E34" i="131"/>
  <c r="F34" i="131"/>
  <c r="G34" i="131"/>
  <c r="H34" i="131"/>
  <c r="I34" i="131"/>
  <c r="B35" i="131"/>
  <c r="C35" i="131"/>
  <c r="E35" i="131"/>
  <c r="F35" i="131"/>
  <c r="G35" i="131"/>
  <c r="H35" i="131"/>
  <c r="I35" i="131"/>
  <c r="M189" i="21"/>
  <c r="B27" i="131" l="1"/>
  <c r="C27" i="131"/>
  <c r="E27" i="131"/>
  <c r="F27" i="131"/>
  <c r="G27" i="131"/>
  <c r="H27" i="131"/>
  <c r="I27" i="131"/>
  <c r="B28" i="131"/>
  <c r="C28" i="131"/>
  <c r="E28" i="131"/>
  <c r="F28" i="131"/>
  <c r="G28" i="131"/>
  <c r="H28" i="131"/>
  <c r="I28" i="131"/>
  <c r="B29" i="131"/>
  <c r="C29" i="131"/>
  <c r="E29" i="131"/>
  <c r="F29" i="131"/>
  <c r="G29" i="131"/>
  <c r="H29" i="131"/>
  <c r="I29" i="131"/>
  <c r="B30" i="131"/>
  <c r="C30" i="131"/>
  <c r="E30" i="131"/>
  <c r="F30" i="131"/>
  <c r="G30" i="131"/>
  <c r="H30" i="131"/>
  <c r="I30" i="131"/>
  <c r="B31" i="131"/>
  <c r="C31" i="131"/>
  <c r="E31" i="131"/>
  <c r="F31" i="131"/>
  <c r="G31" i="131"/>
  <c r="H31" i="131"/>
  <c r="I31" i="131"/>
  <c r="B23" i="131" l="1"/>
  <c r="C23" i="131"/>
  <c r="E23" i="131"/>
  <c r="F23" i="131"/>
  <c r="G23" i="131"/>
  <c r="H23" i="131"/>
  <c r="I23" i="131"/>
  <c r="B24" i="131"/>
  <c r="C24" i="131"/>
  <c r="E24" i="131"/>
  <c r="F24" i="131"/>
  <c r="G24" i="131"/>
  <c r="H24" i="131"/>
  <c r="I24" i="131"/>
  <c r="B25" i="131"/>
  <c r="C25" i="131"/>
  <c r="E25" i="131"/>
  <c r="F25" i="131"/>
  <c r="G25" i="131"/>
  <c r="H25" i="131"/>
  <c r="I25" i="131"/>
  <c r="B26" i="131"/>
  <c r="C26" i="131"/>
  <c r="E26" i="131"/>
  <c r="F26" i="131"/>
  <c r="G26" i="131"/>
  <c r="H26" i="131"/>
  <c r="I26" i="131"/>
  <c r="B22" i="131" l="1"/>
  <c r="C22" i="131"/>
  <c r="E22" i="131"/>
  <c r="F22" i="131"/>
  <c r="G22" i="131"/>
  <c r="H22" i="131"/>
  <c r="I22" i="131"/>
  <c r="B17" i="131"/>
  <c r="C17" i="131"/>
  <c r="E17" i="131"/>
  <c r="F17" i="131"/>
  <c r="G17" i="131"/>
  <c r="H17" i="131"/>
  <c r="I17" i="131"/>
  <c r="B18" i="131"/>
  <c r="C18" i="131"/>
  <c r="E18" i="131"/>
  <c r="F18" i="131"/>
  <c r="G18" i="131"/>
  <c r="H18" i="131"/>
  <c r="I18" i="131"/>
  <c r="B19" i="131"/>
  <c r="C19" i="131"/>
  <c r="E19" i="131"/>
  <c r="F19" i="131"/>
  <c r="G19" i="131"/>
  <c r="H19" i="131"/>
  <c r="I19" i="131"/>
  <c r="B20" i="131"/>
  <c r="C20" i="131"/>
  <c r="E20" i="131"/>
  <c r="F20" i="131"/>
  <c r="G20" i="131"/>
  <c r="H20" i="131"/>
  <c r="I20" i="131"/>
  <c r="B21" i="131"/>
  <c r="C21" i="131"/>
  <c r="E21" i="131"/>
  <c r="F21" i="131"/>
  <c r="G21" i="131"/>
  <c r="H21" i="131"/>
  <c r="I21" i="131"/>
  <c r="B15" i="131" l="1"/>
  <c r="C15" i="131"/>
  <c r="E15" i="131"/>
  <c r="F15" i="131"/>
  <c r="G15" i="131"/>
  <c r="H15" i="131"/>
  <c r="I15" i="131"/>
  <c r="B16" i="131"/>
  <c r="C16" i="131"/>
  <c r="E16" i="131"/>
  <c r="F16" i="131"/>
  <c r="G16" i="131"/>
  <c r="H16" i="131"/>
  <c r="I16" i="131"/>
  <c r="B12" i="131"/>
  <c r="C12" i="131"/>
  <c r="E12" i="131"/>
  <c r="F12" i="131"/>
  <c r="G12" i="131"/>
  <c r="H12" i="131"/>
  <c r="I12" i="131"/>
  <c r="B13" i="131"/>
  <c r="C13" i="131"/>
  <c r="E13" i="131"/>
  <c r="F13" i="131"/>
  <c r="G13" i="131"/>
  <c r="H13" i="131"/>
  <c r="I13" i="131"/>
  <c r="B14" i="131"/>
  <c r="C14" i="131"/>
  <c r="E14" i="131"/>
  <c r="F14" i="131"/>
  <c r="G14" i="131"/>
  <c r="H14" i="131"/>
  <c r="I14" i="131"/>
  <c r="B9" i="131" l="1"/>
  <c r="C9" i="131"/>
  <c r="E9" i="131"/>
  <c r="F9" i="131"/>
  <c r="G9" i="131"/>
  <c r="H9" i="131"/>
  <c r="I9" i="131"/>
  <c r="B10" i="131"/>
  <c r="C10" i="131"/>
  <c r="E10" i="131"/>
  <c r="F10" i="131"/>
  <c r="G10" i="131"/>
  <c r="H10" i="131"/>
  <c r="I10" i="131"/>
  <c r="B11" i="131"/>
  <c r="C11" i="131"/>
  <c r="E11" i="131"/>
  <c r="F11" i="131"/>
  <c r="G11" i="131"/>
  <c r="H11" i="131"/>
  <c r="I11" i="131"/>
  <c r="B7" i="131" l="1"/>
  <c r="C7" i="131"/>
  <c r="E7" i="131"/>
  <c r="F7" i="131"/>
  <c r="G7" i="131"/>
  <c r="H7" i="131"/>
  <c r="I7" i="131"/>
  <c r="B8" i="131"/>
  <c r="C8" i="131"/>
  <c r="E8" i="131"/>
  <c r="F8" i="131"/>
  <c r="G8" i="131"/>
  <c r="H8" i="131"/>
  <c r="I8" i="131"/>
  <c r="B6" i="131" l="1"/>
  <c r="C6" i="131"/>
  <c r="E6" i="131"/>
  <c r="F6" i="131"/>
  <c r="G6" i="131"/>
  <c r="H6" i="131"/>
  <c r="I6" i="131"/>
  <c r="B3" i="131" l="1"/>
  <c r="C3" i="131"/>
  <c r="E3" i="131"/>
  <c r="F3" i="131"/>
  <c r="G3" i="131"/>
  <c r="H3" i="131"/>
  <c r="I3" i="131"/>
  <c r="B4" i="131"/>
  <c r="C4" i="131"/>
  <c r="E4" i="131"/>
  <c r="F4" i="131"/>
  <c r="G4" i="131"/>
  <c r="H4" i="131"/>
  <c r="I4" i="131"/>
  <c r="B5" i="131"/>
  <c r="C5" i="131"/>
  <c r="E5" i="131"/>
  <c r="F5" i="131"/>
  <c r="G5" i="131"/>
  <c r="H5" i="131"/>
  <c r="I5" i="131"/>
  <c r="I2" i="131"/>
  <c r="H2" i="131"/>
  <c r="G2" i="131"/>
  <c r="F2" i="131"/>
  <c r="E2" i="131"/>
  <c r="C2" i="131"/>
  <c r="B2" i="131"/>
  <c r="I44" i="131" l="1"/>
  <c r="K188" i="21"/>
  <c r="K197" i="21"/>
  <c r="K194" i="21"/>
  <c r="K189" i="21"/>
  <c r="B74" i="130"/>
  <c r="C74" i="130"/>
  <c r="E74" i="130"/>
  <c r="F74" i="130"/>
  <c r="G74" i="130"/>
  <c r="H74" i="130"/>
  <c r="I74" i="130"/>
  <c r="B75" i="130"/>
  <c r="C75" i="130"/>
  <c r="E75" i="130"/>
  <c r="F75" i="130"/>
  <c r="G75" i="130"/>
  <c r="H75" i="130"/>
  <c r="I75" i="130"/>
  <c r="B76" i="130"/>
  <c r="C76" i="130"/>
  <c r="E76" i="130"/>
  <c r="F76" i="130"/>
  <c r="G76" i="130"/>
  <c r="H76" i="130"/>
  <c r="I76" i="130"/>
  <c r="B77" i="130"/>
  <c r="C77" i="130"/>
  <c r="E77" i="130"/>
  <c r="F77" i="130"/>
  <c r="G77" i="130"/>
  <c r="H77" i="130"/>
  <c r="I77" i="130"/>
  <c r="B78" i="130"/>
  <c r="C78" i="130"/>
  <c r="E78" i="130"/>
  <c r="F78" i="130"/>
  <c r="G78" i="130"/>
  <c r="H78" i="130"/>
  <c r="I78" i="130"/>
  <c r="B79" i="130"/>
  <c r="C79" i="130"/>
  <c r="E79" i="130"/>
  <c r="F79" i="130"/>
  <c r="G79" i="130"/>
  <c r="H79" i="130"/>
  <c r="I79" i="130"/>
  <c r="B70" i="130" l="1"/>
  <c r="C70" i="130"/>
  <c r="E70" i="130"/>
  <c r="F70" i="130"/>
  <c r="G70" i="130"/>
  <c r="H70" i="130"/>
  <c r="I70" i="130"/>
  <c r="B71" i="130"/>
  <c r="C71" i="130"/>
  <c r="E71" i="130"/>
  <c r="F71" i="130"/>
  <c r="G71" i="130"/>
  <c r="H71" i="130"/>
  <c r="I71" i="130"/>
  <c r="B72" i="130"/>
  <c r="C72" i="130"/>
  <c r="E72" i="130"/>
  <c r="F72" i="130"/>
  <c r="G72" i="130"/>
  <c r="H72" i="130"/>
  <c r="I72" i="130"/>
  <c r="B73" i="130"/>
  <c r="C73" i="130"/>
  <c r="E73" i="130"/>
  <c r="F73" i="130"/>
  <c r="G73" i="130"/>
  <c r="H73" i="130"/>
  <c r="I73" i="130"/>
  <c r="B67" i="130" l="1"/>
  <c r="C67" i="130"/>
  <c r="E67" i="130"/>
  <c r="F67" i="130"/>
  <c r="G67" i="130"/>
  <c r="H67" i="130"/>
  <c r="I67" i="130"/>
  <c r="B68" i="130"/>
  <c r="C68" i="130"/>
  <c r="E68" i="130"/>
  <c r="F68" i="130"/>
  <c r="G68" i="130"/>
  <c r="H68" i="130"/>
  <c r="I68" i="130"/>
  <c r="B69" i="130"/>
  <c r="C69" i="130"/>
  <c r="E69" i="130"/>
  <c r="F69" i="130"/>
  <c r="G69" i="130"/>
  <c r="H69" i="130"/>
  <c r="I69" i="130"/>
  <c r="B59" i="130" l="1"/>
  <c r="C59" i="130"/>
  <c r="E59" i="130"/>
  <c r="F59" i="130"/>
  <c r="G59" i="130"/>
  <c r="H59" i="130"/>
  <c r="I59" i="130"/>
  <c r="B60" i="130"/>
  <c r="C60" i="130"/>
  <c r="E60" i="130"/>
  <c r="F60" i="130"/>
  <c r="G60" i="130"/>
  <c r="H60" i="130"/>
  <c r="I60" i="130"/>
  <c r="B61" i="130"/>
  <c r="C61" i="130"/>
  <c r="E61" i="130"/>
  <c r="F61" i="130"/>
  <c r="G61" i="130"/>
  <c r="H61" i="130"/>
  <c r="I61" i="130"/>
  <c r="B62" i="130"/>
  <c r="C62" i="130"/>
  <c r="E62" i="130"/>
  <c r="F62" i="130"/>
  <c r="G62" i="130"/>
  <c r="H62" i="130"/>
  <c r="I62" i="130"/>
  <c r="B63" i="130"/>
  <c r="C63" i="130"/>
  <c r="E63" i="130"/>
  <c r="F63" i="130"/>
  <c r="G63" i="130"/>
  <c r="H63" i="130"/>
  <c r="I63" i="130"/>
  <c r="B64" i="130"/>
  <c r="C64" i="130"/>
  <c r="E64" i="130"/>
  <c r="F64" i="130"/>
  <c r="G64" i="130"/>
  <c r="H64" i="130"/>
  <c r="I64" i="130"/>
  <c r="B65" i="130"/>
  <c r="C65" i="130"/>
  <c r="E65" i="130"/>
  <c r="F65" i="130"/>
  <c r="G65" i="130"/>
  <c r="H65" i="130"/>
  <c r="I65" i="130"/>
  <c r="B66" i="130"/>
  <c r="C66" i="130"/>
  <c r="E66" i="130"/>
  <c r="F66" i="130"/>
  <c r="G66" i="130"/>
  <c r="H66" i="130"/>
  <c r="I66" i="130"/>
  <c r="B57" i="130" l="1"/>
  <c r="C57" i="130"/>
  <c r="E57" i="130"/>
  <c r="F57" i="130"/>
  <c r="G57" i="130"/>
  <c r="H57" i="130"/>
  <c r="I57" i="130"/>
  <c r="B58" i="130"/>
  <c r="C58" i="130"/>
  <c r="E58" i="130"/>
  <c r="F58" i="130"/>
  <c r="G58" i="130"/>
  <c r="H58" i="130"/>
  <c r="I58" i="130"/>
  <c r="B56" i="130" l="1"/>
  <c r="C56" i="130"/>
  <c r="E56" i="130"/>
  <c r="F56" i="130"/>
  <c r="G56" i="130"/>
  <c r="H56" i="130"/>
  <c r="I56" i="130"/>
  <c r="B55" i="130" l="1"/>
  <c r="C55" i="130"/>
  <c r="E55" i="130"/>
  <c r="F55" i="130"/>
  <c r="G55" i="130"/>
  <c r="H55" i="130"/>
  <c r="I55" i="130"/>
  <c r="B54" i="130" l="1"/>
  <c r="C54" i="130"/>
  <c r="E54" i="130"/>
  <c r="F54" i="130"/>
  <c r="G54" i="130"/>
  <c r="H54" i="130"/>
  <c r="I54" i="130"/>
  <c r="B53" i="130" l="1"/>
  <c r="C53" i="130"/>
  <c r="E53" i="130"/>
  <c r="F53" i="130"/>
  <c r="G53" i="130"/>
  <c r="H53" i="130"/>
  <c r="I53" i="130"/>
  <c r="B52" i="130" l="1"/>
  <c r="C52" i="130"/>
  <c r="E52" i="130"/>
  <c r="F52" i="130"/>
  <c r="G52" i="130"/>
  <c r="H52" i="130"/>
  <c r="I52" i="130"/>
  <c r="I46" i="130"/>
  <c r="B45" i="130"/>
  <c r="C45" i="130"/>
  <c r="E45" i="130"/>
  <c r="F45" i="130"/>
  <c r="G45" i="130"/>
  <c r="H45" i="130"/>
  <c r="I45" i="130"/>
  <c r="B46" i="130"/>
  <c r="C46" i="130"/>
  <c r="E46" i="130"/>
  <c r="F46" i="130"/>
  <c r="G46" i="130"/>
  <c r="H46" i="130"/>
  <c r="B47" i="130"/>
  <c r="C47" i="130"/>
  <c r="E47" i="130"/>
  <c r="F47" i="130"/>
  <c r="G47" i="130"/>
  <c r="H47" i="130"/>
  <c r="I47" i="130"/>
  <c r="B48" i="130"/>
  <c r="C48" i="130"/>
  <c r="E48" i="130"/>
  <c r="F48" i="130"/>
  <c r="G48" i="130"/>
  <c r="H48" i="130"/>
  <c r="I48" i="130"/>
  <c r="B49" i="130"/>
  <c r="C49" i="130"/>
  <c r="E49" i="130"/>
  <c r="F49" i="130"/>
  <c r="G49" i="130"/>
  <c r="H49" i="130"/>
  <c r="I49" i="130"/>
  <c r="B50" i="130"/>
  <c r="C50" i="130"/>
  <c r="E50" i="130"/>
  <c r="F50" i="130"/>
  <c r="G50" i="130"/>
  <c r="H50" i="130"/>
  <c r="I50" i="130"/>
  <c r="B51" i="130"/>
  <c r="C51" i="130"/>
  <c r="E51" i="130"/>
  <c r="F51" i="130"/>
  <c r="G51" i="130"/>
  <c r="H51" i="130"/>
  <c r="I51" i="130"/>
  <c r="B41" i="130"/>
  <c r="C41" i="130"/>
  <c r="E41" i="130"/>
  <c r="F41" i="130"/>
  <c r="G41" i="130"/>
  <c r="H41" i="130"/>
  <c r="I41" i="130"/>
  <c r="B42" i="130"/>
  <c r="C42" i="130"/>
  <c r="E42" i="130"/>
  <c r="F42" i="130"/>
  <c r="G42" i="130"/>
  <c r="H42" i="130"/>
  <c r="I42" i="130"/>
  <c r="B43" i="130"/>
  <c r="C43" i="130"/>
  <c r="E43" i="130"/>
  <c r="F43" i="130"/>
  <c r="G43" i="130"/>
  <c r="H43" i="130"/>
  <c r="I43" i="130"/>
  <c r="B44" i="130"/>
  <c r="C44" i="130"/>
  <c r="E44" i="130"/>
  <c r="F44" i="130"/>
  <c r="G44" i="130"/>
  <c r="H44" i="130"/>
  <c r="I44" i="130"/>
  <c r="B40" i="130" l="1"/>
  <c r="C40" i="130"/>
  <c r="E40" i="130"/>
  <c r="F40" i="130"/>
  <c r="G40" i="130"/>
  <c r="H40" i="130"/>
  <c r="I40" i="130"/>
  <c r="B38" i="130" l="1"/>
  <c r="C38" i="130"/>
  <c r="E38" i="130"/>
  <c r="F38" i="130"/>
  <c r="G38" i="130"/>
  <c r="H38" i="130"/>
  <c r="I38" i="130"/>
  <c r="B39" i="130"/>
  <c r="C39" i="130"/>
  <c r="E39" i="130"/>
  <c r="F39" i="130"/>
  <c r="G39" i="130"/>
  <c r="H39" i="130"/>
  <c r="I39" i="130"/>
  <c r="B30" i="130" l="1"/>
  <c r="C30" i="130"/>
  <c r="E30" i="130"/>
  <c r="F30" i="130"/>
  <c r="G30" i="130"/>
  <c r="H30" i="130"/>
  <c r="I30" i="130"/>
  <c r="B31" i="130"/>
  <c r="C31" i="130"/>
  <c r="E31" i="130"/>
  <c r="F31" i="130"/>
  <c r="G31" i="130"/>
  <c r="H31" i="130"/>
  <c r="I31" i="130"/>
  <c r="B32" i="130"/>
  <c r="C32" i="130"/>
  <c r="E32" i="130"/>
  <c r="F32" i="130"/>
  <c r="G32" i="130"/>
  <c r="H32" i="130"/>
  <c r="I32" i="130"/>
  <c r="B33" i="130"/>
  <c r="C33" i="130"/>
  <c r="E33" i="130"/>
  <c r="F33" i="130"/>
  <c r="G33" i="130"/>
  <c r="H33" i="130"/>
  <c r="I33" i="130"/>
  <c r="B34" i="130"/>
  <c r="C34" i="130"/>
  <c r="E34" i="130"/>
  <c r="F34" i="130"/>
  <c r="G34" i="130"/>
  <c r="H34" i="130"/>
  <c r="I34" i="130"/>
  <c r="B35" i="130"/>
  <c r="C35" i="130"/>
  <c r="E35" i="130"/>
  <c r="F35" i="130"/>
  <c r="G35" i="130"/>
  <c r="H35" i="130"/>
  <c r="I35" i="130"/>
  <c r="B36" i="130"/>
  <c r="C36" i="130"/>
  <c r="E36" i="130"/>
  <c r="F36" i="130"/>
  <c r="G36" i="130"/>
  <c r="H36" i="130"/>
  <c r="I36" i="130"/>
  <c r="B37" i="130"/>
  <c r="C37" i="130"/>
  <c r="E37" i="130"/>
  <c r="F37" i="130"/>
  <c r="G37" i="130"/>
  <c r="H37" i="130"/>
  <c r="I37" i="130"/>
  <c r="K190" i="21"/>
  <c r="B27" i="130"/>
  <c r="C27" i="130"/>
  <c r="E27" i="130"/>
  <c r="F27" i="130"/>
  <c r="G27" i="130"/>
  <c r="H27" i="130"/>
  <c r="I27" i="130"/>
  <c r="B28" i="130"/>
  <c r="C28" i="130"/>
  <c r="E28" i="130"/>
  <c r="F28" i="130"/>
  <c r="G28" i="130"/>
  <c r="H28" i="130"/>
  <c r="I28" i="130"/>
  <c r="B29" i="130"/>
  <c r="C29" i="130"/>
  <c r="E29" i="130"/>
  <c r="F29" i="130"/>
  <c r="G29" i="130"/>
  <c r="H29" i="130"/>
  <c r="I29" i="130"/>
  <c r="B21" i="130"/>
  <c r="C21" i="130"/>
  <c r="E21" i="130"/>
  <c r="F21" i="130"/>
  <c r="G21" i="130"/>
  <c r="H21" i="130"/>
  <c r="I21" i="130"/>
  <c r="B22" i="130"/>
  <c r="C22" i="130"/>
  <c r="E22" i="130"/>
  <c r="F22" i="130"/>
  <c r="G22" i="130"/>
  <c r="H22" i="130"/>
  <c r="I22" i="130"/>
  <c r="B23" i="130"/>
  <c r="C23" i="130"/>
  <c r="E23" i="130"/>
  <c r="F23" i="130"/>
  <c r="G23" i="130"/>
  <c r="H23" i="130"/>
  <c r="I23" i="130"/>
  <c r="B24" i="130"/>
  <c r="C24" i="130"/>
  <c r="E24" i="130"/>
  <c r="F24" i="130"/>
  <c r="G24" i="130"/>
  <c r="H24" i="130"/>
  <c r="I24" i="130"/>
  <c r="B25" i="130"/>
  <c r="C25" i="130"/>
  <c r="E25" i="130"/>
  <c r="F25" i="130"/>
  <c r="G25" i="130"/>
  <c r="H25" i="130"/>
  <c r="I25" i="130"/>
  <c r="B26" i="130"/>
  <c r="C26" i="130"/>
  <c r="E26" i="130"/>
  <c r="F26" i="130"/>
  <c r="G26" i="130"/>
  <c r="H26" i="130"/>
  <c r="I26" i="130"/>
  <c r="B15" i="130" l="1"/>
  <c r="C15" i="130"/>
  <c r="E15" i="130"/>
  <c r="F15" i="130"/>
  <c r="G15" i="130"/>
  <c r="H15" i="130"/>
  <c r="I15" i="130"/>
  <c r="B16" i="130"/>
  <c r="C16" i="130"/>
  <c r="E16" i="130"/>
  <c r="F16" i="130"/>
  <c r="G16" i="130"/>
  <c r="H16" i="130"/>
  <c r="I16" i="130"/>
  <c r="B17" i="130"/>
  <c r="C17" i="130"/>
  <c r="E17" i="130"/>
  <c r="F17" i="130"/>
  <c r="G17" i="130"/>
  <c r="H17" i="130"/>
  <c r="I17" i="130"/>
  <c r="B18" i="130"/>
  <c r="C18" i="130"/>
  <c r="E18" i="130"/>
  <c r="F18" i="130"/>
  <c r="G18" i="130"/>
  <c r="H18" i="130"/>
  <c r="I18" i="130"/>
  <c r="B19" i="130"/>
  <c r="C19" i="130"/>
  <c r="E19" i="130"/>
  <c r="F19" i="130"/>
  <c r="G19" i="130"/>
  <c r="H19" i="130"/>
  <c r="I19" i="130"/>
  <c r="B20" i="130"/>
  <c r="C20" i="130"/>
  <c r="E20" i="130"/>
  <c r="F20" i="130"/>
  <c r="G20" i="130"/>
  <c r="H20" i="130"/>
  <c r="I20" i="130"/>
  <c r="B9" i="130"/>
  <c r="C9" i="130"/>
  <c r="E9" i="130"/>
  <c r="F9" i="130"/>
  <c r="G9" i="130"/>
  <c r="H9" i="130"/>
  <c r="I9" i="130"/>
  <c r="B10" i="130"/>
  <c r="C10" i="130"/>
  <c r="E10" i="130"/>
  <c r="F10" i="130"/>
  <c r="G10" i="130"/>
  <c r="H10" i="130"/>
  <c r="I10" i="130"/>
  <c r="B11" i="130"/>
  <c r="C11" i="130"/>
  <c r="E11" i="130"/>
  <c r="F11" i="130"/>
  <c r="G11" i="130"/>
  <c r="H11" i="130"/>
  <c r="I11" i="130"/>
  <c r="B12" i="130"/>
  <c r="C12" i="130"/>
  <c r="E12" i="130"/>
  <c r="F12" i="130"/>
  <c r="G12" i="130"/>
  <c r="H12" i="130"/>
  <c r="I12" i="130"/>
  <c r="B13" i="130"/>
  <c r="C13" i="130"/>
  <c r="E13" i="130"/>
  <c r="F13" i="130"/>
  <c r="G13" i="130"/>
  <c r="H13" i="130"/>
  <c r="I13" i="130"/>
  <c r="B14" i="130"/>
  <c r="C14" i="130"/>
  <c r="E14" i="130"/>
  <c r="F14" i="130"/>
  <c r="G14" i="130"/>
  <c r="H14" i="130"/>
  <c r="I14" i="130"/>
  <c r="B8" i="130" l="1"/>
  <c r="C8" i="130"/>
  <c r="E8" i="130"/>
  <c r="F8" i="130"/>
  <c r="G8" i="130"/>
  <c r="H8" i="130"/>
  <c r="I8" i="130"/>
  <c r="B5" i="130"/>
  <c r="C5" i="130"/>
  <c r="E5" i="130"/>
  <c r="F5" i="130"/>
  <c r="G5" i="130"/>
  <c r="H5" i="130"/>
  <c r="I5" i="130"/>
  <c r="B6" i="130"/>
  <c r="C6" i="130"/>
  <c r="E6" i="130"/>
  <c r="F6" i="130"/>
  <c r="G6" i="130"/>
  <c r="H6" i="130"/>
  <c r="I6" i="130"/>
  <c r="B7" i="130"/>
  <c r="C7" i="130"/>
  <c r="E7" i="130"/>
  <c r="F7" i="130"/>
  <c r="G7" i="130"/>
  <c r="H7" i="130"/>
  <c r="I7" i="130"/>
  <c r="B3" i="130" l="1"/>
  <c r="C3" i="130"/>
  <c r="E3" i="130"/>
  <c r="F3" i="130"/>
  <c r="G3" i="130"/>
  <c r="H3" i="130"/>
  <c r="I3" i="130"/>
  <c r="B4" i="130"/>
  <c r="C4" i="130"/>
  <c r="E4" i="130"/>
  <c r="F4" i="130"/>
  <c r="G4" i="130"/>
  <c r="H4" i="130"/>
  <c r="I4" i="130"/>
  <c r="I2" i="130"/>
  <c r="H2" i="130"/>
  <c r="G2" i="130"/>
  <c r="F2" i="130"/>
  <c r="E2" i="130"/>
  <c r="C2" i="130"/>
  <c r="B2" i="130"/>
  <c r="I80" i="130" l="1"/>
  <c r="B18" i="129"/>
  <c r="C18" i="129"/>
  <c r="E18" i="129"/>
  <c r="F18" i="129"/>
  <c r="G18" i="129"/>
  <c r="H18" i="129"/>
  <c r="I18" i="129"/>
  <c r="B17" i="129" l="1"/>
  <c r="C17" i="129"/>
  <c r="E17" i="129"/>
  <c r="F17" i="129"/>
  <c r="G17" i="129"/>
  <c r="H17" i="129"/>
  <c r="I17" i="129"/>
  <c r="I187" i="21" l="1"/>
  <c r="B14" i="129"/>
  <c r="C14" i="129"/>
  <c r="E14" i="129"/>
  <c r="F14" i="129"/>
  <c r="G14" i="129"/>
  <c r="H14" i="129"/>
  <c r="I14" i="129"/>
  <c r="B15" i="129"/>
  <c r="C15" i="129"/>
  <c r="E15" i="129"/>
  <c r="F15" i="129"/>
  <c r="G15" i="129"/>
  <c r="H15" i="129"/>
  <c r="I15" i="129"/>
  <c r="B16" i="129"/>
  <c r="C16" i="129"/>
  <c r="E16" i="129"/>
  <c r="F16" i="129"/>
  <c r="G16" i="129"/>
  <c r="H16" i="129"/>
  <c r="I16" i="129"/>
  <c r="B13" i="129" l="1"/>
  <c r="C13" i="129"/>
  <c r="E13" i="129"/>
  <c r="F13" i="129"/>
  <c r="G13" i="129"/>
  <c r="H13" i="129"/>
  <c r="I13" i="129"/>
  <c r="B12" i="129"/>
  <c r="C12" i="129"/>
  <c r="E12" i="129"/>
  <c r="F12" i="129"/>
  <c r="G12" i="129"/>
  <c r="H12" i="129"/>
  <c r="I12" i="129"/>
  <c r="B11" i="129" l="1"/>
  <c r="C11" i="129"/>
  <c r="E11" i="129"/>
  <c r="F11" i="129"/>
  <c r="G11" i="129"/>
  <c r="H11" i="129"/>
  <c r="I11" i="129"/>
  <c r="B10" i="129" l="1"/>
  <c r="C10" i="129"/>
  <c r="E10" i="129"/>
  <c r="F10" i="129"/>
  <c r="G10" i="129"/>
  <c r="H10" i="129"/>
  <c r="I10" i="129"/>
  <c r="B9" i="129"/>
  <c r="C9" i="129"/>
  <c r="E9" i="129"/>
  <c r="F9" i="129"/>
  <c r="G9" i="129"/>
  <c r="H9" i="129"/>
  <c r="I9" i="129"/>
  <c r="B6" i="129"/>
  <c r="C6" i="129"/>
  <c r="E6" i="129"/>
  <c r="F6" i="129"/>
  <c r="G6" i="129"/>
  <c r="H6" i="129"/>
  <c r="I6" i="129"/>
  <c r="B7" i="129"/>
  <c r="C7" i="129"/>
  <c r="E7" i="129"/>
  <c r="F7" i="129"/>
  <c r="G7" i="129"/>
  <c r="H7" i="129"/>
  <c r="I7" i="129"/>
  <c r="B8" i="129"/>
  <c r="C8" i="129"/>
  <c r="E8" i="129"/>
  <c r="F8" i="129"/>
  <c r="G8" i="129"/>
  <c r="H8" i="129"/>
  <c r="I8" i="129"/>
  <c r="B3" i="129" l="1"/>
  <c r="C3" i="129"/>
  <c r="E3" i="129"/>
  <c r="F3" i="129"/>
  <c r="G3" i="129"/>
  <c r="H3" i="129"/>
  <c r="I3" i="129"/>
  <c r="B4" i="129"/>
  <c r="C4" i="129"/>
  <c r="E4" i="129"/>
  <c r="F4" i="129"/>
  <c r="G4" i="129"/>
  <c r="H4" i="129"/>
  <c r="I4" i="129"/>
  <c r="B5" i="129"/>
  <c r="C5" i="129"/>
  <c r="E5" i="129"/>
  <c r="F5" i="129"/>
  <c r="G5" i="129"/>
  <c r="H5" i="129"/>
  <c r="I5" i="129"/>
  <c r="I2" i="129" l="1"/>
  <c r="I19" i="129" s="1"/>
  <c r="H2" i="129"/>
  <c r="G2" i="129"/>
  <c r="F2" i="129"/>
  <c r="E2" i="129"/>
  <c r="C2" i="129"/>
  <c r="B2" i="129"/>
  <c r="G187" i="21" l="1"/>
  <c r="B49" i="128"/>
  <c r="C49" i="128"/>
  <c r="E49" i="128"/>
  <c r="F49" i="128"/>
  <c r="G49" i="128"/>
  <c r="H49" i="128"/>
  <c r="I49" i="128"/>
  <c r="B50" i="128"/>
  <c r="C50" i="128"/>
  <c r="E50" i="128"/>
  <c r="F50" i="128"/>
  <c r="G50" i="128"/>
  <c r="H50" i="128"/>
  <c r="I50" i="128"/>
  <c r="B48" i="128" l="1"/>
  <c r="C48" i="128"/>
  <c r="E48" i="128"/>
  <c r="F48" i="128"/>
  <c r="G48" i="128"/>
  <c r="H48" i="128"/>
  <c r="I48" i="128"/>
  <c r="B47" i="128" l="1"/>
  <c r="C47" i="128"/>
  <c r="E47" i="128"/>
  <c r="F47" i="128"/>
  <c r="G47" i="128"/>
  <c r="H47" i="128"/>
  <c r="I47" i="128"/>
  <c r="B44" i="128" l="1"/>
  <c r="C44" i="128"/>
  <c r="E44" i="128"/>
  <c r="F44" i="128"/>
  <c r="G44" i="128"/>
  <c r="H44" i="128"/>
  <c r="I44" i="128"/>
  <c r="B45" i="128"/>
  <c r="C45" i="128"/>
  <c r="E45" i="128"/>
  <c r="F45" i="128"/>
  <c r="G45" i="128"/>
  <c r="H45" i="128"/>
  <c r="I45" i="128"/>
  <c r="B46" i="128"/>
  <c r="C46" i="128"/>
  <c r="E46" i="128"/>
  <c r="F46" i="128"/>
  <c r="G46" i="128"/>
  <c r="H46" i="128"/>
  <c r="I46" i="128"/>
  <c r="G188" i="21"/>
  <c r="G189" i="21"/>
  <c r="B43" i="128" l="1"/>
  <c r="C43" i="128"/>
  <c r="E43" i="128"/>
  <c r="F43" i="128"/>
  <c r="G43" i="128"/>
  <c r="H43" i="128"/>
  <c r="I43" i="128"/>
  <c r="B42" i="128" l="1"/>
  <c r="C42" i="128"/>
  <c r="E42" i="128"/>
  <c r="F42" i="128"/>
  <c r="G42" i="128"/>
  <c r="H42" i="128"/>
  <c r="I42" i="128"/>
  <c r="B41" i="128" l="1"/>
  <c r="C41" i="128"/>
  <c r="E41" i="128"/>
  <c r="F41" i="128"/>
  <c r="G41" i="128"/>
  <c r="H41" i="128"/>
  <c r="I41" i="128"/>
  <c r="B39" i="128"/>
  <c r="C39" i="128"/>
  <c r="E39" i="128"/>
  <c r="F39" i="128"/>
  <c r="G39" i="128"/>
  <c r="H39" i="128"/>
  <c r="I39" i="128"/>
  <c r="B40" i="128"/>
  <c r="C40" i="128"/>
  <c r="E40" i="128"/>
  <c r="F40" i="128"/>
  <c r="G40" i="128"/>
  <c r="H40" i="128"/>
  <c r="I40" i="128"/>
  <c r="G194" i="21" l="1"/>
  <c r="B33" i="128"/>
  <c r="C33" i="128"/>
  <c r="E33" i="128"/>
  <c r="F33" i="128"/>
  <c r="G33" i="128"/>
  <c r="H33" i="128"/>
  <c r="I33" i="128"/>
  <c r="B34" i="128"/>
  <c r="C34" i="128"/>
  <c r="E34" i="128"/>
  <c r="F34" i="128"/>
  <c r="G34" i="128"/>
  <c r="H34" i="128"/>
  <c r="I34" i="128"/>
  <c r="B35" i="128"/>
  <c r="C35" i="128"/>
  <c r="E35" i="128"/>
  <c r="F35" i="128"/>
  <c r="G35" i="128"/>
  <c r="H35" i="128"/>
  <c r="I35" i="128"/>
  <c r="B36" i="128"/>
  <c r="C36" i="128"/>
  <c r="E36" i="128"/>
  <c r="F36" i="128"/>
  <c r="G36" i="128"/>
  <c r="H36" i="128"/>
  <c r="I36" i="128"/>
  <c r="B37" i="128"/>
  <c r="C37" i="128"/>
  <c r="E37" i="128"/>
  <c r="F37" i="128"/>
  <c r="G37" i="128"/>
  <c r="H37" i="128"/>
  <c r="I37" i="128"/>
  <c r="B38" i="128"/>
  <c r="C38" i="128"/>
  <c r="E38" i="128"/>
  <c r="F38" i="128"/>
  <c r="G38" i="128"/>
  <c r="H38" i="128"/>
  <c r="I38" i="128"/>
  <c r="B31" i="128" l="1"/>
  <c r="C31" i="128"/>
  <c r="E31" i="128"/>
  <c r="F31" i="128"/>
  <c r="G31" i="128"/>
  <c r="H31" i="128"/>
  <c r="I31" i="128"/>
  <c r="B32" i="128"/>
  <c r="C32" i="128"/>
  <c r="E32" i="128"/>
  <c r="F32" i="128"/>
  <c r="G32" i="128"/>
  <c r="H32" i="128"/>
  <c r="I32" i="128"/>
  <c r="B29" i="128" l="1"/>
  <c r="C29" i="128"/>
  <c r="E29" i="128"/>
  <c r="F29" i="128"/>
  <c r="G29" i="128"/>
  <c r="H29" i="128"/>
  <c r="I29" i="128"/>
  <c r="B30" i="128"/>
  <c r="C30" i="128"/>
  <c r="E30" i="128"/>
  <c r="F30" i="128"/>
  <c r="G30" i="128"/>
  <c r="H30" i="128"/>
  <c r="I30" i="128"/>
  <c r="B26" i="128" l="1"/>
  <c r="C26" i="128"/>
  <c r="E26" i="128"/>
  <c r="F26" i="128"/>
  <c r="G26" i="128"/>
  <c r="H26" i="128"/>
  <c r="I26" i="128"/>
  <c r="B27" i="128"/>
  <c r="C27" i="128"/>
  <c r="E27" i="128"/>
  <c r="F27" i="128"/>
  <c r="G27" i="128"/>
  <c r="H27" i="128"/>
  <c r="I27" i="128"/>
  <c r="B28" i="128"/>
  <c r="C28" i="128"/>
  <c r="E28" i="128"/>
  <c r="F28" i="128"/>
  <c r="G28" i="128"/>
  <c r="H28" i="128"/>
  <c r="I28" i="128"/>
  <c r="I23" i="128" l="1"/>
  <c r="I24" i="128"/>
  <c r="B22" i="128"/>
  <c r="C22" i="128"/>
  <c r="E22" i="128"/>
  <c r="F22" i="128"/>
  <c r="G22" i="128"/>
  <c r="H22" i="128"/>
  <c r="I22" i="128"/>
  <c r="B23" i="128"/>
  <c r="C23" i="128"/>
  <c r="E23" i="128"/>
  <c r="F23" i="128"/>
  <c r="G23" i="128"/>
  <c r="H23" i="128"/>
  <c r="B24" i="128"/>
  <c r="C24" i="128"/>
  <c r="E24" i="128"/>
  <c r="F24" i="128"/>
  <c r="G24" i="128"/>
  <c r="H24" i="128"/>
  <c r="B25" i="128"/>
  <c r="C25" i="128"/>
  <c r="E25" i="128"/>
  <c r="F25" i="128"/>
  <c r="G25" i="128"/>
  <c r="H25" i="128"/>
  <c r="I25" i="128"/>
  <c r="B19" i="128"/>
  <c r="C19" i="128"/>
  <c r="E19" i="128"/>
  <c r="F19" i="128"/>
  <c r="G19" i="128"/>
  <c r="H19" i="128"/>
  <c r="I19" i="128"/>
  <c r="B20" i="128"/>
  <c r="C20" i="128"/>
  <c r="E20" i="128"/>
  <c r="F20" i="128"/>
  <c r="G20" i="128"/>
  <c r="H20" i="128"/>
  <c r="I20" i="128"/>
  <c r="B21" i="128"/>
  <c r="C21" i="128"/>
  <c r="E21" i="128"/>
  <c r="F21" i="128"/>
  <c r="G21" i="128"/>
  <c r="H21" i="128"/>
  <c r="I21" i="128"/>
  <c r="G192" i="21"/>
  <c r="B17" i="128" l="1"/>
  <c r="C17" i="128"/>
  <c r="E17" i="128"/>
  <c r="F17" i="128"/>
  <c r="G17" i="128"/>
  <c r="H17" i="128"/>
  <c r="I17" i="128"/>
  <c r="B18" i="128"/>
  <c r="C18" i="128"/>
  <c r="E18" i="128"/>
  <c r="F18" i="128"/>
  <c r="G18" i="128"/>
  <c r="H18" i="128"/>
  <c r="I18" i="128"/>
  <c r="B9" i="128" l="1"/>
  <c r="C9" i="128"/>
  <c r="E9" i="128"/>
  <c r="F9" i="128"/>
  <c r="G9" i="128"/>
  <c r="H9" i="128"/>
  <c r="I9" i="128"/>
  <c r="B10" i="128"/>
  <c r="C10" i="128"/>
  <c r="E10" i="128"/>
  <c r="F10" i="128"/>
  <c r="G10" i="128"/>
  <c r="H10" i="128"/>
  <c r="I10" i="128"/>
  <c r="B11" i="128"/>
  <c r="C11" i="128"/>
  <c r="E11" i="128"/>
  <c r="F11" i="128"/>
  <c r="G11" i="128"/>
  <c r="H11" i="128"/>
  <c r="I11" i="128"/>
  <c r="B12" i="128"/>
  <c r="C12" i="128"/>
  <c r="E12" i="128"/>
  <c r="F12" i="128"/>
  <c r="G12" i="128"/>
  <c r="H12" i="128"/>
  <c r="I12" i="128"/>
  <c r="B13" i="128"/>
  <c r="C13" i="128"/>
  <c r="E13" i="128"/>
  <c r="F13" i="128"/>
  <c r="G13" i="128"/>
  <c r="H13" i="128"/>
  <c r="I13" i="128"/>
  <c r="B14" i="128"/>
  <c r="C14" i="128"/>
  <c r="E14" i="128"/>
  <c r="F14" i="128"/>
  <c r="G14" i="128"/>
  <c r="H14" i="128"/>
  <c r="I14" i="128"/>
  <c r="B15" i="128"/>
  <c r="C15" i="128"/>
  <c r="E15" i="128"/>
  <c r="F15" i="128"/>
  <c r="G15" i="128"/>
  <c r="H15" i="128"/>
  <c r="I15" i="128"/>
  <c r="B16" i="128"/>
  <c r="C16" i="128"/>
  <c r="E16" i="128"/>
  <c r="F16" i="128"/>
  <c r="G16" i="128"/>
  <c r="H16" i="128"/>
  <c r="I16" i="128"/>
  <c r="B8" i="128" l="1"/>
  <c r="C8" i="128"/>
  <c r="E8" i="128"/>
  <c r="F8" i="128"/>
  <c r="G8" i="128"/>
  <c r="H8" i="128"/>
  <c r="I8" i="128"/>
  <c r="B4" i="128"/>
  <c r="C4" i="128"/>
  <c r="E4" i="128"/>
  <c r="F4" i="128"/>
  <c r="G4" i="128"/>
  <c r="H4" i="128"/>
  <c r="I4" i="128"/>
  <c r="B5" i="128"/>
  <c r="C5" i="128"/>
  <c r="E5" i="128"/>
  <c r="F5" i="128"/>
  <c r="G5" i="128"/>
  <c r="H5" i="128"/>
  <c r="I5" i="128"/>
  <c r="B6" i="128"/>
  <c r="C6" i="128"/>
  <c r="E6" i="128"/>
  <c r="F6" i="128"/>
  <c r="G6" i="128"/>
  <c r="H6" i="128"/>
  <c r="I6" i="128"/>
  <c r="B7" i="128"/>
  <c r="C7" i="128"/>
  <c r="E7" i="128"/>
  <c r="F7" i="128"/>
  <c r="G7" i="128"/>
  <c r="H7" i="128"/>
  <c r="I7" i="128"/>
  <c r="B3" i="128" l="1"/>
  <c r="C3" i="128"/>
  <c r="E3" i="128"/>
  <c r="F3" i="128"/>
  <c r="G3" i="128"/>
  <c r="H3" i="128"/>
  <c r="I3" i="128"/>
  <c r="I2" i="128"/>
  <c r="H2" i="128"/>
  <c r="G2" i="128"/>
  <c r="F2" i="128"/>
  <c r="E2" i="128"/>
  <c r="C2" i="128"/>
  <c r="B2" i="128"/>
  <c r="I51" i="128" l="1"/>
  <c r="B26" i="127"/>
  <c r="C26" i="127"/>
  <c r="E26" i="127"/>
  <c r="F26" i="127"/>
  <c r="G26" i="127"/>
  <c r="H26" i="127"/>
  <c r="I26" i="127"/>
  <c r="E194" i="21"/>
  <c r="E190" i="21"/>
  <c r="B17" i="127"/>
  <c r="C17" i="127"/>
  <c r="E17" i="127"/>
  <c r="F17" i="127"/>
  <c r="G17" i="127"/>
  <c r="H17" i="127"/>
  <c r="I17" i="127"/>
  <c r="B18" i="127"/>
  <c r="C18" i="127"/>
  <c r="E18" i="127"/>
  <c r="F18" i="127"/>
  <c r="G18" i="127"/>
  <c r="H18" i="127"/>
  <c r="I18" i="127"/>
  <c r="B19" i="127"/>
  <c r="C19" i="127"/>
  <c r="E19" i="127"/>
  <c r="F19" i="127"/>
  <c r="G19" i="127"/>
  <c r="H19" i="127"/>
  <c r="I19" i="127"/>
  <c r="B20" i="127"/>
  <c r="C20" i="127"/>
  <c r="E20" i="127"/>
  <c r="F20" i="127"/>
  <c r="G20" i="127"/>
  <c r="H20" i="127"/>
  <c r="I20" i="127"/>
  <c r="B21" i="127"/>
  <c r="C21" i="127"/>
  <c r="E21" i="127"/>
  <c r="F21" i="127"/>
  <c r="G21" i="127"/>
  <c r="H21" i="127"/>
  <c r="I21" i="127"/>
  <c r="B22" i="127"/>
  <c r="C22" i="127"/>
  <c r="E22" i="127"/>
  <c r="F22" i="127"/>
  <c r="G22" i="127"/>
  <c r="H22" i="127"/>
  <c r="I22" i="127"/>
  <c r="B23" i="127"/>
  <c r="C23" i="127"/>
  <c r="E23" i="127"/>
  <c r="F23" i="127"/>
  <c r="G23" i="127"/>
  <c r="H23" i="127"/>
  <c r="I23" i="127"/>
  <c r="B24" i="127"/>
  <c r="C24" i="127"/>
  <c r="E24" i="127"/>
  <c r="F24" i="127"/>
  <c r="G24" i="127"/>
  <c r="H24" i="127"/>
  <c r="I24" i="127"/>
  <c r="B25" i="127"/>
  <c r="C25" i="127"/>
  <c r="E25" i="127"/>
  <c r="F25" i="127"/>
  <c r="G25" i="127"/>
  <c r="H25" i="127"/>
  <c r="I25" i="127"/>
  <c r="E189" i="21" l="1"/>
  <c r="B13" i="127"/>
  <c r="C13" i="127"/>
  <c r="E13" i="127"/>
  <c r="F13" i="127"/>
  <c r="G13" i="127"/>
  <c r="H13" i="127"/>
  <c r="I13" i="127"/>
  <c r="B14" i="127"/>
  <c r="C14" i="127"/>
  <c r="E14" i="127"/>
  <c r="F14" i="127"/>
  <c r="G14" i="127"/>
  <c r="H14" i="127"/>
  <c r="I14" i="127"/>
  <c r="B15" i="127"/>
  <c r="C15" i="127"/>
  <c r="E15" i="127"/>
  <c r="F15" i="127"/>
  <c r="G15" i="127"/>
  <c r="H15" i="127"/>
  <c r="I15" i="127"/>
  <c r="B16" i="127"/>
  <c r="C16" i="127"/>
  <c r="E16" i="127"/>
  <c r="F16" i="127"/>
  <c r="G16" i="127"/>
  <c r="H16" i="127"/>
  <c r="I16" i="127"/>
  <c r="B10" i="127" l="1"/>
  <c r="C10" i="127"/>
  <c r="E10" i="127"/>
  <c r="F10" i="127"/>
  <c r="G10" i="127"/>
  <c r="H10" i="127"/>
  <c r="I10" i="127"/>
  <c r="B11" i="127"/>
  <c r="C11" i="127"/>
  <c r="E11" i="127"/>
  <c r="F11" i="127"/>
  <c r="G11" i="127"/>
  <c r="H11" i="127"/>
  <c r="I11" i="127"/>
  <c r="B12" i="127"/>
  <c r="C12" i="127"/>
  <c r="E12" i="127"/>
  <c r="F12" i="127"/>
  <c r="G12" i="127"/>
  <c r="H12" i="127"/>
  <c r="I12" i="127"/>
  <c r="B9" i="127" l="1"/>
  <c r="C9" i="127"/>
  <c r="E9" i="127"/>
  <c r="F9" i="127"/>
  <c r="G9" i="127"/>
  <c r="H9" i="127"/>
  <c r="I9" i="127"/>
  <c r="B8" i="127" l="1"/>
  <c r="C8" i="127"/>
  <c r="E8" i="127"/>
  <c r="F8" i="127"/>
  <c r="G8" i="127"/>
  <c r="H8" i="127"/>
  <c r="I8" i="127"/>
  <c r="B3" i="127"/>
  <c r="C3" i="127"/>
  <c r="E3" i="127"/>
  <c r="F3" i="127"/>
  <c r="G3" i="127"/>
  <c r="H3" i="127"/>
  <c r="I3" i="127"/>
  <c r="B4" i="127"/>
  <c r="C4" i="127"/>
  <c r="E4" i="127"/>
  <c r="F4" i="127"/>
  <c r="G4" i="127"/>
  <c r="H4" i="127"/>
  <c r="I4" i="127"/>
  <c r="B5" i="127"/>
  <c r="C5" i="127"/>
  <c r="E5" i="127"/>
  <c r="F5" i="127"/>
  <c r="G5" i="127"/>
  <c r="H5" i="127"/>
  <c r="I5" i="127"/>
  <c r="B6" i="127"/>
  <c r="C6" i="127"/>
  <c r="E6" i="127"/>
  <c r="F6" i="127"/>
  <c r="G6" i="127"/>
  <c r="H6" i="127"/>
  <c r="I6" i="127"/>
  <c r="B7" i="127"/>
  <c r="C7" i="127"/>
  <c r="E7" i="127"/>
  <c r="F7" i="127"/>
  <c r="G7" i="127"/>
  <c r="H7" i="127"/>
  <c r="I7" i="127"/>
  <c r="I2" i="127"/>
  <c r="H2" i="127"/>
  <c r="G2" i="127"/>
  <c r="F2" i="127"/>
  <c r="E2" i="127"/>
  <c r="C2" i="127"/>
  <c r="B2" i="127"/>
  <c r="Z199" i="21"/>
  <c r="X199" i="21"/>
  <c r="V199" i="21"/>
  <c r="T199" i="21"/>
  <c r="R199" i="21"/>
  <c r="P199" i="21"/>
  <c r="N199" i="21"/>
  <c r="L199" i="21"/>
  <c r="J199" i="21"/>
  <c r="H199" i="21"/>
  <c r="F199" i="21"/>
  <c r="D199" i="21"/>
  <c r="AC198" i="21"/>
  <c r="AB198" i="21"/>
  <c r="AB197" i="21"/>
  <c r="AC197" i="21"/>
  <c r="AC196" i="21"/>
  <c r="AB196" i="21"/>
  <c r="AC195" i="21"/>
  <c r="AB195" i="21"/>
  <c r="AB194" i="21"/>
  <c r="AC194" i="21"/>
  <c r="AC193" i="21"/>
  <c r="AB193" i="21"/>
  <c r="AB192" i="21"/>
  <c r="AC192" i="21"/>
  <c r="Y199" i="21"/>
  <c r="AB191" i="21"/>
  <c r="AC191" i="21"/>
  <c r="AB190" i="21"/>
  <c r="AC190" i="21"/>
  <c r="AB189" i="21"/>
  <c r="AC189" i="21"/>
  <c r="AB188" i="21"/>
  <c r="AA199" i="21"/>
  <c r="O199" i="21"/>
  <c r="M199" i="21"/>
  <c r="AB187" i="21"/>
  <c r="W199" i="21"/>
  <c r="U199" i="21"/>
  <c r="S199" i="21"/>
  <c r="Q199" i="21"/>
  <c r="K199" i="21"/>
  <c r="I199" i="21"/>
  <c r="G199" i="21"/>
  <c r="E199" i="21"/>
  <c r="H70" i="12" l="1"/>
  <c r="D86" i="12"/>
  <c r="J86" i="12" s="1"/>
  <c r="I74" i="12"/>
  <c r="E90" i="12"/>
  <c r="K90" i="12" s="1"/>
  <c r="D94" i="12"/>
  <c r="J94" i="12" s="1"/>
  <c r="H78" i="12"/>
  <c r="E96" i="12"/>
  <c r="K96" i="12" s="1"/>
  <c r="I80" i="12"/>
  <c r="H76" i="12"/>
  <c r="D92" i="12"/>
  <c r="J92" i="12" s="1"/>
  <c r="I77" i="12"/>
  <c r="E93" i="12"/>
  <c r="K93" i="12" s="1"/>
  <c r="E94" i="12"/>
  <c r="K94" i="12" s="1"/>
  <c r="I78" i="12"/>
  <c r="H75" i="12"/>
  <c r="D91" i="12"/>
  <c r="J91" i="12" s="1"/>
  <c r="I79" i="12"/>
  <c r="E95" i="12"/>
  <c r="K95" i="12" s="1"/>
  <c r="H77" i="12"/>
  <c r="D93" i="12"/>
  <c r="J93" i="12" s="1"/>
  <c r="H74" i="12"/>
  <c r="D90" i="12"/>
  <c r="J90" i="12" s="1"/>
  <c r="I75" i="12"/>
  <c r="E91" i="12"/>
  <c r="K91" i="12" s="1"/>
  <c r="H79" i="12"/>
  <c r="D95" i="12"/>
  <c r="J95" i="12" s="1"/>
  <c r="I76" i="12"/>
  <c r="E92" i="12"/>
  <c r="K92" i="12" s="1"/>
  <c r="D96" i="12"/>
  <c r="J96" i="12" s="1"/>
  <c r="H80" i="12"/>
  <c r="I72" i="12"/>
  <c r="E88" i="12"/>
  <c r="K88" i="12" s="1"/>
  <c r="H72" i="12"/>
  <c r="D88" i="12"/>
  <c r="J88" i="12" s="1"/>
  <c r="H73" i="12"/>
  <c r="D89" i="12"/>
  <c r="J89" i="12" s="1"/>
  <c r="I73" i="12"/>
  <c r="E89" i="12"/>
  <c r="K89" i="12" s="1"/>
  <c r="I71" i="12"/>
  <c r="E87" i="12"/>
  <c r="K87" i="12" s="1"/>
  <c r="H71" i="12"/>
  <c r="D87" i="12"/>
  <c r="J87" i="12" s="1"/>
  <c r="H69" i="12"/>
  <c r="D85" i="12"/>
  <c r="J85" i="12" s="1"/>
  <c r="I27" i="127"/>
  <c r="AB199" i="21"/>
  <c r="AC199" i="21"/>
  <c r="AC188" i="21"/>
  <c r="AC187" i="21"/>
  <c r="AA178" i="21"/>
  <c r="B53" i="126"/>
  <c r="C53" i="126"/>
  <c r="E53" i="126"/>
  <c r="F53" i="126"/>
  <c r="G53" i="126"/>
  <c r="H53" i="126"/>
  <c r="I53" i="126"/>
  <c r="AA169" i="21"/>
  <c r="AA170" i="21"/>
  <c r="AA168" i="21"/>
  <c r="B40" i="126"/>
  <c r="C40" i="126"/>
  <c r="E40" i="126"/>
  <c r="F40" i="126"/>
  <c r="G40" i="126"/>
  <c r="H40" i="126"/>
  <c r="I40" i="126"/>
  <c r="B41" i="126"/>
  <c r="C41" i="126"/>
  <c r="E41" i="126"/>
  <c r="F41" i="126"/>
  <c r="G41" i="126"/>
  <c r="H41" i="126"/>
  <c r="I41" i="126"/>
  <c r="B42" i="126"/>
  <c r="C42" i="126"/>
  <c r="E42" i="126"/>
  <c r="F42" i="126"/>
  <c r="G42" i="126"/>
  <c r="H42" i="126"/>
  <c r="I42" i="126"/>
  <c r="B43" i="126"/>
  <c r="C43" i="126"/>
  <c r="E43" i="126"/>
  <c r="F43" i="126"/>
  <c r="G43" i="126"/>
  <c r="H43" i="126"/>
  <c r="I43" i="126"/>
  <c r="B44" i="126"/>
  <c r="C44" i="126"/>
  <c r="E44" i="126"/>
  <c r="F44" i="126"/>
  <c r="G44" i="126"/>
  <c r="H44" i="126"/>
  <c r="I44" i="126"/>
  <c r="B45" i="126"/>
  <c r="C45" i="126"/>
  <c r="E45" i="126"/>
  <c r="F45" i="126"/>
  <c r="G45" i="126"/>
  <c r="H45" i="126"/>
  <c r="I45" i="126"/>
  <c r="B46" i="126"/>
  <c r="C46" i="126"/>
  <c r="E46" i="126"/>
  <c r="F46" i="126"/>
  <c r="G46" i="126"/>
  <c r="H46" i="126"/>
  <c r="I46" i="126"/>
  <c r="B47" i="126"/>
  <c r="C47" i="126"/>
  <c r="E47" i="126"/>
  <c r="F47" i="126"/>
  <c r="G47" i="126"/>
  <c r="H47" i="126"/>
  <c r="I47" i="126"/>
  <c r="B48" i="126"/>
  <c r="C48" i="126"/>
  <c r="E48" i="126"/>
  <c r="F48" i="126"/>
  <c r="G48" i="126"/>
  <c r="H48" i="126"/>
  <c r="I48" i="126"/>
  <c r="B49" i="126"/>
  <c r="C49" i="126"/>
  <c r="E49" i="126"/>
  <c r="F49" i="126"/>
  <c r="G49" i="126"/>
  <c r="H49" i="126"/>
  <c r="I49" i="126"/>
  <c r="B50" i="126"/>
  <c r="C50" i="126"/>
  <c r="E50" i="126"/>
  <c r="F50" i="126"/>
  <c r="G50" i="126"/>
  <c r="H50" i="126"/>
  <c r="I50" i="126"/>
  <c r="B51" i="126"/>
  <c r="C51" i="126"/>
  <c r="E51" i="126"/>
  <c r="F51" i="126"/>
  <c r="G51" i="126"/>
  <c r="H51" i="126"/>
  <c r="I51" i="126"/>
  <c r="B52" i="126"/>
  <c r="C52" i="126"/>
  <c r="E52" i="126"/>
  <c r="F52" i="126"/>
  <c r="G52" i="126"/>
  <c r="H52" i="126"/>
  <c r="I52" i="126"/>
  <c r="I70" i="12" l="1"/>
  <c r="E86" i="12"/>
  <c r="K86" i="12" s="1"/>
  <c r="J97" i="12"/>
  <c r="I69" i="12"/>
  <c r="E85" i="12"/>
  <c r="K85" i="12" s="1"/>
  <c r="K97" i="12" s="1"/>
  <c r="I81" i="12"/>
  <c r="E97" i="12"/>
  <c r="H81" i="12"/>
  <c r="D97" i="12"/>
  <c r="B38" i="126"/>
  <c r="C38" i="126"/>
  <c r="E38" i="126"/>
  <c r="F38" i="126"/>
  <c r="G38" i="126"/>
  <c r="H38" i="126"/>
  <c r="I38" i="126"/>
  <c r="B39" i="126"/>
  <c r="C39" i="126"/>
  <c r="E39" i="126"/>
  <c r="F39" i="126"/>
  <c r="G39" i="126"/>
  <c r="H39" i="126"/>
  <c r="I39" i="126"/>
  <c r="B37" i="126"/>
  <c r="C37" i="126"/>
  <c r="E37" i="126"/>
  <c r="F37" i="126"/>
  <c r="G37" i="126"/>
  <c r="H37" i="126"/>
  <c r="I37" i="126"/>
  <c r="B35" i="126"/>
  <c r="C35" i="126"/>
  <c r="E35" i="126"/>
  <c r="F35" i="126"/>
  <c r="G35" i="126"/>
  <c r="H35" i="126"/>
  <c r="I35" i="126"/>
  <c r="B36" i="126"/>
  <c r="C36" i="126"/>
  <c r="E36" i="126"/>
  <c r="F36" i="126"/>
  <c r="G36" i="126"/>
  <c r="H36" i="126"/>
  <c r="I36" i="126"/>
  <c r="AA175" i="21" l="1"/>
  <c r="B33" i="126"/>
  <c r="C33" i="126"/>
  <c r="E33" i="126"/>
  <c r="F33" i="126"/>
  <c r="G33" i="126"/>
  <c r="H33" i="126"/>
  <c r="I33" i="126"/>
  <c r="B34" i="126"/>
  <c r="C34" i="126"/>
  <c r="E34" i="126"/>
  <c r="F34" i="126"/>
  <c r="G34" i="126"/>
  <c r="H34" i="126"/>
  <c r="I34" i="126"/>
  <c r="B30" i="126" l="1"/>
  <c r="C30" i="126"/>
  <c r="E30" i="126"/>
  <c r="F30" i="126"/>
  <c r="G30" i="126"/>
  <c r="H30" i="126"/>
  <c r="I30" i="126"/>
  <c r="B31" i="126"/>
  <c r="C31" i="126"/>
  <c r="E31" i="126"/>
  <c r="F31" i="126"/>
  <c r="G31" i="126"/>
  <c r="H31" i="126"/>
  <c r="I31" i="126"/>
  <c r="B32" i="126"/>
  <c r="C32" i="126"/>
  <c r="E32" i="126"/>
  <c r="F32" i="126"/>
  <c r="G32" i="126"/>
  <c r="H32" i="126"/>
  <c r="I32" i="126"/>
  <c r="B29" i="126" l="1"/>
  <c r="C29" i="126"/>
  <c r="E29" i="126"/>
  <c r="F29" i="126"/>
  <c r="G29" i="126"/>
  <c r="H29" i="126"/>
  <c r="I29" i="126"/>
  <c r="AA173" i="21" l="1"/>
  <c r="B7" i="126" l="1"/>
  <c r="C7" i="126"/>
  <c r="E7" i="126"/>
  <c r="F7" i="126"/>
  <c r="G7" i="126"/>
  <c r="H7" i="126"/>
  <c r="I7" i="126"/>
  <c r="B8" i="126"/>
  <c r="C8" i="126"/>
  <c r="E8" i="126"/>
  <c r="F8" i="126"/>
  <c r="G8" i="126"/>
  <c r="H8" i="126"/>
  <c r="I8" i="126"/>
  <c r="B9" i="126"/>
  <c r="C9" i="126"/>
  <c r="E9" i="126"/>
  <c r="F9" i="126"/>
  <c r="G9" i="126"/>
  <c r="H9" i="126"/>
  <c r="I9" i="126"/>
  <c r="B10" i="126"/>
  <c r="C10" i="126"/>
  <c r="E10" i="126"/>
  <c r="F10" i="126"/>
  <c r="G10" i="126"/>
  <c r="H10" i="126"/>
  <c r="I10" i="126"/>
  <c r="B11" i="126"/>
  <c r="C11" i="126"/>
  <c r="E11" i="126"/>
  <c r="F11" i="126"/>
  <c r="G11" i="126"/>
  <c r="H11" i="126"/>
  <c r="I11" i="126"/>
  <c r="B12" i="126"/>
  <c r="C12" i="126"/>
  <c r="E12" i="126"/>
  <c r="F12" i="126"/>
  <c r="G12" i="126"/>
  <c r="H12" i="126"/>
  <c r="I12" i="126"/>
  <c r="B13" i="126"/>
  <c r="C13" i="126"/>
  <c r="E13" i="126"/>
  <c r="F13" i="126"/>
  <c r="G13" i="126"/>
  <c r="H13" i="126"/>
  <c r="I13" i="126"/>
  <c r="B14" i="126"/>
  <c r="C14" i="126"/>
  <c r="E14" i="126"/>
  <c r="F14" i="126"/>
  <c r="G14" i="126"/>
  <c r="H14" i="126"/>
  <c r="I14" i="126"/>
  <c r="B15" i="126"/>
  <c r="C15" i="126"/>
  <c r="E15" i="126"/>
  <c r="F15" i="126"/>
  <c r="G15" i="126"/>
  <c r="H15" i="126"/>
  <c r="I15" i="126"/>
  <c r="B16" i="126"/>
  <c r="C16" i="126"/>
  <c r="E16" i="126"/>
  <c r="F16" i="126"/>
  <c r="G16" i="126"/>
  <c r="H16" i="126"/>
  <c r="I16" i="126"/>
  <c r="B17" i="126"/>
  <c r="C17" i="126"/>
  <c r="E17" i="126"/>
  <c r="F17" i="126"/>
  <c r="G17" i="126"/>
  <c r="H17" i="126"/>
  <c r="I17" i="126"/>
  <c r="B18" i="126"/>
  <c r="C18" i="126"/>
  <c r="E18" i="126"/>
  <c r="F18" i="126"/>
  <c r="G18" i="126"/>
  <c r="H18" i="126"/>
  <c r="I18" i="126"/>
  <c r="B19" i="126"/>
  <c r="C19" i="126"/>
  <c r="E19" i="126"/>
  <c r="F19" i="126"/>
  <c r="G19" i="126"/>
  <c r="H19" i="126"/>
  <c r="I19" i="126"/>
  <c r="B20" i="126"/>
  <c r="C20" i="126"/>
  <c r="E20" i="126"/>
  <c r="F20" i="126"/>
  <c r="G20" i="126"/>
  <c r="H20" i="126"/>
  <c r="I20" i="126"/>
  <c r="B21" i="126"/>
  <c r="C21" i="126"/>
  <c r="E21" i="126"/>
  <c r="F21" i="126"/>
  <c r="G21" i="126"/>
  <c r="H21" i="126"/>
  <c r="I21" i="126"/>
  <c r="B22" i="126"/>
  <c r="C22" i="126"/>
  <c r="E22" i="126"/>
  <c r="F22" i="126"/>
  <c r="G22" i="126"/>
  <c r="H22" i="126"/>
  <c r="I22" i="126"/>
  <c r="B23" i="126"/>
  <c r="C23" i="126"/>
  <c r="E23" i="126"/>
  <c r="F23" i="126"/>
  <c r="G23" i="126"/>
  <c r="H23" i="126"/>
  <c r="I23" i="126"/>
  <c r="B24" i="126"/>
  <c r="C24" i="126"/>
  <c r="E24" i="126"/>
  <c r="F24" i="126"/>
  <c r="G24" i="126"/>
  <c r="H24" i="126"/>
  <c r="I24" i="126"/>
  <c r="B25" i="126"/>
  <c r="C25" i="126"/>
  <c r="E25" i="126"/>
  <c r="F25" i="126"/>
  <c r="G25" i="126"/>
  <c r="H25" i="126"/>
  <c r="I25" i="126"/>
  <c r="B26" i="126"/>
  <c r="C26" i="126"/>
  <c r="E26" i="126"/>
  <c r="F26" i="126"/>
  <c r="G26" i="126"/>
  <c r="H26" i="126"/>
  <c r="I26" i="126"/>
  <c r="B27" i="126"/>
  <c r="C27" i="126"/>
  <c r="E27" i="126"/>
  <c r="F27" i="126"/>
  <c r="G27" i="126"/>
  <c r="H27" i="126"/>
  <c r="I27" i="126"/>
  <c r="B28" i="126"/>
  <c r="C28" i="126"/>
  <c r="E28" i="126"/>
  <c r="F28" i="126"/>
  <c r="G28" i="126"/>
  <c r="H28" i="126"/>
  <c r="I28" i="126"/>
  <c r="B3" i="126" l="1"/>
  <c r="C3" i="126"/>
  <c r="E3" i="126"/>
  <c r="F3" i="126"/>
  <c r="G3" i="126"/>
  <c r="H3" i="126"/>
  <c r="I3" i="126"/>
  <c r="B4" i="126"/>
  <c r="C4" i="126"/>
  <c r="E4" i="126"/>
  <c r="F4" i="126"/>
  <c r="G4" i="126"/>
  <c r="H4" i="126"/>
  <c r="I4" i="126"/>
  <c r="B5" i="126"/>
  <c r="C5" i="126"/>
  <c r="E5" i="126"/>
  <c r="F5" i="126"/>
  <c r="G5" i="126"/>
  <c r="H5" i="126"/>
  <c r="I5" i="126"/>
  <c r="B6" i="126"/>
  <c r="C6" i="126"/>
  <c r="E6" i="126"/>
  <c r="F6" i="126"/>
  <c r="G6" i="126"/>
  <c r="H6" i="126"/>
  <c r="I6" i="126"/>
  <c r="I2" i="126"/>
  <c r="H2" i="126"/>
  <c r="G2" i="126"/>
  <c r="F2" i="126"/>
  <c r="E2" i="126"/>
  <c r="C2" i="126"/>
  <c r="B2" i="126"/>
  <c r="B36" i="125"/>
  <c r="C36" i="125"/>
  <c r="E36" i="125"/>
  <c r="F36" i="125"/>
  <c r="G36" i="125"/>
  <c r="H36" i="125"/>
  <c r="I36" i="125"/>
  <c r="B37" i="125"/>
  <c r="C37" i="125"/>
  <c r="E37" i="125"/>
  <c r="F37" i="125"/>
  <c r="G37" i="125"/>
  <c r="H37" i="125"/>
  <c r="I37" i="125"/>
  <c r="Y168" i="21"/>
  <c r="I54" i="126" l="1"/>
  <c r="Y173" i="21"/>
  <c r="Y178" i="21"/>
  <c r="B31" i="125"/>
  <c r="C31" i="125"/>
  <c r="E31" i="125"/>
  <c r="F31" i="125"/>
  <c r="G31" i="125"/>
  <c r="H31" i="125"/>
  <c r="I31" i="125"/>
  <c r="B32" i="125"/>
  <c r="C32" i="125"/>
  <c r="E32" i="125"/>
  <c r="F32" i="125"/>
  <c r="G32" i="125"/>
  <c r="H32" i="125"/>
  <c r="I32" i="125"/>
  <c r="B33" i="125"/>
  <c r="C33" i="125"/>
  <c r="E33" i="125"/>
  <c r="F33" i="125"/>
  <c r="G33" i="125"/>
  <c r="H33" i="125"/>
  <c r="I33" i="125"/>
  <c r="B34" i="125"/>
  <c r="C34" i="125"/>
  <c r="E34" i="125"/>
  <c r="F34" i="125"/>
  <c r="G34" i="125"/>
  <c r="H34" i="125"/>
  <c r="I34" i="125"/>
  <c r="B35" i="125"/>
  <c r="C35" i="125"/>
  <c r="E35" i="125"/>
  <c r="F35" i="125"/>
  <c r="G35" i="125"/>
  <c r="H35" i="125"/>
  <c r="I35" i="125"/>
  <c r="Y175" i="21"/>
  <c r="Q172" i="21" l="1"/>
  <c r="B30" i="125" l="1"/>
  <c r="C30" i="125"/>
  <c r="E30" i="125"/>
  <c r="F30" i="125"/>
  <c r="G30" i="125"/>
  <c r="H30" i="125"/>
  <c r="I30" i="125"/>
  <c r="B13" i="125" l="1"/>
  <c r="C13" i="125"/>
  <c r="E13" i="125"/>
  <c r="F13" i="125"/>
  <c r="G13" i="125"/>
  <c r="H13" i="125"/>
  <c r="I13" i="125"/>
  <c r="B14" i="125"/>
  <c r="C14" i="125"/>
  <c r="E14" i="125"/>
  <c r="F14" i="125"/>
  <c r="G14" i="125"/>
  <c r="H14" i="125"/>
  <c r="I14" i="125"/>
  <c r="B15" i="125"/>
  <c r="C15" i="125"/>
  <c r="E15" i="125"/>
  <c r="F15" i="125"/>
  <c r="G15" i="125"/>
  <c r="H15" i="125"/>
  <c r="I15" i="125"/>
  <c r="B16" i="125"/>
  <c r="C16" i="125"/>
  <c r="E16" i="125"/>
  <c r="F16" i="125"/>
  <c r="G16" i="125"/>
  <c r="H16" i="125"/>
  <c r="I16" i="125"/>
  <c r="B17" i="125"/>
  <c r="C17" i="125"/>
  <c r="E17" i="125"/>
  <c r="F17" i="125"/>
  <c r="G17" i="125"/>
  <c r="H17" i="125"/>
  <c r="I17" i="125"/>
  <c r="B18" i="125"/>
  <c r="C18" i="125"/>
  <c r="E18" i="125"/>
  <c r="F18" i="125"/>
  <c r="G18" i="125"/>
  <c r="H18" i="125"/>
  <c r="I18" i="125"/>
  <c r="B19" i="125"/>
  <c r="C19" i="125"/>
  <c r="E19" i="125"/>
  <c r="F19" i="125"/>
  <c r="G19" i="125"/>
  <c r="H19" i="125"/>
  <c r="I19" i="125"/>
  <c r="B20" i="125"/>
  <c r="C20" i="125"/>
  <c r="E20" i="125"/>
  <c r="F20" i="125"/>
  <c r="G20" i="125"/>
  <c r="H20" i="125"/>
  <c r="I20" i="125"/>
  <c r="B21" i="125"/>
  <c r="C21" i="125"/>
  <c r="E21" i="125"/>
  <c r="F21" i="125"/>
  <c r="G21" i="125"/>
  <c r="H21" i="125"/>
  <c r="I21" i="125"/>
  <c r="B22" i="125"/>
  <c r="C22" i="125"/>
  <c r="E22" i="125"/>
  <c r="F22" i="125"/>
  <c r="G22" i="125"/>
  <c r="H22" i="125"/>
  <c r="I22" i="125"/>
  <c r="B23" i="125"/>
  <c r="C23" i="125"/>
  <c r="E23" i="125"/>
  <c r="F23" i="125"/>
  <c r="G23" i="125"/>
  <c r="H23" i="125"/>
  <c r="I23" i="125"/>
  <c r="B24" i="125"/>
  <c r="C24" i="125"/>
  <c r="E24" i="125"/>
  <c r="F24" i="125"/>
  <c r="G24" i="125"/>
  <c r="H24" i="125"/>
  <c r="I24" i="125"/>
  <c r="B25" i="125"/>
  <c r="C25" i="125"/>
  <c r="E25" i="125"/>
  <c r="F25" i="125"/>
  <c r="G25" i="125"/>
  <c r="H25" i="125"/>
  <c r="I25" i="125"/>
  <c r="B26" i="125"/>
  <c r="C26" i="125"/>
  <c r="E26" i="125"/>
  <c r="F26" i="125"/>
  <c r="G26" i="125"/>
  <c r="H26" i="125"/>
  <c r="I26" i="125"/>
  <c r="B27" i="125"/>
  <c r="C27" i="125"/>
  <c r="E27" i="125"/>
  <c r="F27" i="125"/>
  <c r="G27" i="125"/>
  <c r="H27" i="125"/>
  <c r="I27" i="125"/>
  <c r="B28" i="125"/>
  <c r="C28" i="125"/>
  <c r="E28" i="125"/>
  <c r="F28" i="125"/>
  <c r="G28" i="125"/>
  <c r="H28" i="125"/>
  <c r="I28" i="125"/>
  <c r="B29" i="125"/>
  <c r="C29" i="125"/>
  <c r="E29" i="125"/>
  <c r="F29" i="125"/>
  <c r="G29" i="125"/>
  <c r="H29" i="125"/>
  <c r="I29" i="125"/>
  <c r="B11" i="125" l="1"/>
  <c r="C11" i="125"/>
  <c r="E11" i="125"/>
  <c r="F11" i="125"/>
  <c r="G11" i="125"/>
  <c r="H11" i="125"/>
  <c r="I11" i="125"/>
  <c r="B12" i="125"/>
  <c r="C12" i="125"/>
  <c r="E12" i="125"/>
  <c r="F12" i="125"/>
  <c r="G12" i="125"/>
  <c r="H12" i="125"/>
  <c r="I12" i="125"/>
  <c r="B8" i="125" l="1"/>
  <c r="C8" i="125"/>
  <c r="E8" i="125"/>
  <c r="F8" i="125"/>
  <c r="G8" i="125"/>
  <c r="H8" i="125"/>
  <c r="I8" i="125"/>
  <c r="B9" i="125"/>
  <c r="C9" i="125"/>
  <c r="E9" i="125"/>
  <c r="F9" i="125"/>
  <c r="G9" i="125"/>
  <c r="H9" i="125"/>
  <c r="I9" i="125"/>
  <c r="B10" i="125"/>
  <c r="C10" i="125"/>
  <c r="E10" i="125"/>
  <c r="F10" i="125"/>
  <c r="G10" i="125"/>
  <c r="H10" i="125"/>
  <c r="I10" i="125"/>
  <c r="B6" i="125" l="1"/>
  <c r="C6" i="125"/>
  <c r="E6" i="125"/>
  <c r="F6" i="125"/>
  <c r="G6" i="125"/>
  <c r="H6" i="125"/>
  <c r="I6" i="125"/>
  <c r="B7" i="125"/>
  <c r="C7" i="125"/>
  <c r="E7" i="125"/>
  <c r="F7" i="125"/>
  <c r="G7" i="125"/>
  <c r="H7" i="125"/>
  <c r="I7" i="125"/>
  <c r="Y169" i="21" l="1"/>
  <c r="B3" i="125"/>
  <c r="C3" i="125"/>
  <c r="E3" i="125"/>
  <c r="F3" i="125"/>
  <c r="G3" i="125"/>
  <c r="H3" i="125"/>
  <c r="I3" i="125"/>
  <c r="B4" i="125"/>
  <c r="C4" i="125"/>
  <c r="E4" i="125"/>
  <c r="F4" i="125"/>
  <c r="G4" i="125"/>
  <c r="H4" i="125"/>
  <c r="I4" i="125"/>
  <c r="B5" i="125"/>
  <c r="C5" i="125"/>
  <c r="E5" i="125"/>
  <c r="F5" i="125"/>
  <c r="G5" i="125"/>
  <c r="H5" i="125"/>
  <c r="I5" i="125"/>
  <c r="I2" i="125"/>
  <c r="H2" i="125"/>
  <c r="G2" i="125"/>
  <c r="F2" i="125"/>
  <c r="E2" i="125"/>
  <c r="C2" i="125"/>
  <c r="B2" i="125"/>
  <c r="I38" i="125" l="1"/>
  <c r="W169" i="21"/>
  <c r="W170" i="21"/>
  <c r="B19" i="124"/>
  <c r="C19" i="124"/>
  <c r="E19" i="124"/>
  <c r="F19" i="124"/>
  <c r="G19" i="124"/>
  <c r="H19" i="124"/>
  <c r="I19" i="124"/>
  <c r="B20" i="124"/>
  <c r="C20" i="124"/>
  <c r="E20" i="124"/>
  <c r="F20" i="124"/>
  <c r="G20" i="124"/>
  <c r="H20" i="124"/>
  <c r="I20" i="124"/>
  <c r="B21" i="124"/>
  <c r="C21" i="124"/>
  <c r="E21" i="124"/>
  <c r="F21" i="124"/>
  <c r="G21" i="124"/>
  <c r="H21" i="124"/>
  <c r="I21" i="124"/>
  <c r="B22" i="124"/>
  <c r="C22" i="124"/>
  <c r="E22" i="124"/>
  <c r="F22" i="124"/>
  <c r="G22" i="124"/>
  <c r="H22" i="124"/>
  <c r="I22" i="124"/>
  <c r="W168" i="21"/>
  <c r="W175" i="21" l="1"/>
  <c r="W178" i="21"/>
  <c r="B13" i="124"/>
  <c r="C13" i="124"/>
  <c r="E13" i="124"/>
  <c r="F13" i="124"/>
  <c r="G13" i="124"/>
  <c r="H13" i="124"/>
  <c r="I13" i="124"/>
  <c r="B14" i="124"/>
  <c r="C14" i="124"/>
  <c r="E14" i="124"/>
  <c r="F14" i="124"/>
  <c r="G14" i="124"/>
  <c r="H14" i="124"/>
  <c r="I14" i="124"/>
  <c r="B15" i="124"/>
  <c r="C15" i="124"/>
  <c r="E15" i="124"/>
  <c r="F15" i="124"/>
  <c r="G15" i="124"/>
  <c r="H15" i="124"/>
  <c r="I15" i="124"/>
  <c r="B16" i="124"/>
  <c r="C16" i="124"/>
  <c r="E16" i="124"/>
  <c r="F16" i="124"/>
  <c r="G16" i="124"/>
  <c r="H16" i="124"/>
  <c r="I16" i="124"/>
  <c r="B17" i="124"/>
  <c r="C17" i="124"/>
  <c r="E17" i="124"/>
  <c r="F17" i="124"/>
  <c r="G17" i="124"/>
  <c r="H17" i="124"/>
  <c r="I17" i="124"/>
  <c r="B18" i="124"/>
  <c r="C18" i="124"/>
  <c r="E18" i="124"/>
  <c r="F18" i="124"/>
  <c r="G18" i="124"/>
  <c r="H18" i="124"/>
  <c r="I18" i="124"/>
  <c r="B12" i="124" l="1"/>
  <c r="C12" i="124"/>
  <c r="E12" i="124"/>
  <c r="F12" i="124"/>
  <c r="G12" i="124"/>
  <c r="H12" i="124"/>
  <c r="I12" i="124"/>
  <c r="B9" i="124" l="1"/>
  <c r="C9" i="124"/>
  <c r="E9" i="124"/>
  <c r="F9" i="124"/>
  <c r="G9" i="124"/>
  <c r="H9" i="124"/>
  <c r="I9" i="124"/>
  <c r="B10" i="124"/>
  <c r="C10" i="124"/>
  <c r="E10" i="124"/>
  <c r="F10" i="124"/>
  <c r="G10" i="124"/>
  <c r="H10" i="124"/>
  <c r="I10" i="124"/>
  <c r="B11" i="124"/>
  <c r="C11" i="124"/>
  <c r="E11" i="124"/>
  <c r="F11" i="124"/>
  <c r="G11" i="124"/>
  <c r="H11" i="124"/>
  <c r="I11" i="124"/>
  <c r="B8" i="124" l="1"/>
  <c r="C8" i="124"/>
  <c r="E8" i="124"/>
  <c r="F8" i="124"/>
  <c r="G8" i="124"/>
  <c r="H8" i="124"/>
  <c r="I8" i="124"/>
  <c r="B7" i="124" l="1"/>
  <c r="C7" i="124"/>
  <c r="E7" i="124"/>
  <c r="F7" i="124"/>
  <c r="G7" i="124"/>
  <c r="H7" i="124"/>
  <c r="I7" i="124"/>
  <c r="F3" i="124"/>
  <c r="F4" i="124"/>
  <c r="F5" i="124"/>
  <c r="F6" i="124"/>
  <c r="B6" i="124" l="1"/>
  <c r="C6" i="124"/>
  <c r="E6" i="124"/>
  <c r="G6" i="124"/>
  <c r="H6" i="124"/>
  <c r="I6" i="124"/>
  <c r="Q168" i="21"/>
  <c r="B5" i="124" l="1"/>
  <c r="C5" i="124"/>
  <c r="E5" i="124"/>
  <c r="G5" i="124"/>
  <c r="H5" i="124"/>
  <c r="I5" i="124"/>
  <c r="B4" i="124" l="1"/>
  <c r="C4" i="124"/>
  <c r="E4" i="124"/>
  <c r="G4" i="124"/>
  <c r="H4" i="124"/>
  <c r="I4" i="124"/>
  <c r="Q169" i="21" l="1"/>
  <c r="B3" i="124"/>
  <c r="C3" i="124"/>
  <c r="E3" i="124"/>
  <c r="G3" i="124"/>
  <c r="H3" i="124"/>
  <c r="I3" i="124"/>
  <c r="I2" i="124"/>
  <c r="H2" i="124"/>
  <c r="G2" i="124"/>
  <c r="F2" i="124"/>
  <c r="E2" i="124"/>
  <c r="C2" i="124"/>
  <c r="B2" i="124"/>
  <c r="I23" i="124" l="1"/>
  <c r="U178" i="21"/>
  <c r="U175" i="21"/>
  <c r="B12" i="123"/>
  <c r="C12" i="123"/>
  <c r="E12" i="123"/>
  <c r="F12" i="123"/>
  <c r="G12" i="123"/>
  <c r="H12" i="123"/>
  <c r="I12" i="123"/>
  <c r="B13" i="123"/>
  <c r="C13" i="123"/>
  <c r="E13" i="123"/>
  <c r="F13" i="123"/>
  <c r="G13" i="123"/>
  <c r="H13" i="123"/>
  <c r="I13" i="123"/>
  <c r="B14" i="123"/>
  <c r="C14" i="123"/>
  <c r="E14" i="123"/>
  <c r="F14" i="123"/>
  <c r="G14" i="123"/>
  <c r="H14" i="123"/>
  <c r="I14" i="123"/>
  <c r="B15" i="123"/>
  <c r="C15" i="123"/>
  <c r="E15" i="123"/>
  <c r="F15" i="123"/>
  <c r="G15" i="123"/>
  <c r="H15" i="123"/>
  <c r="I15" i="123"/>
  <c r="B16" i="123"/>
  <c r="C16" i="123"/>
  <c r="E16" i="123"/>
  <c r="F16" i="123"/>
  <c r="G16" i="123"/>
  <c r="H16" i="123"/>
  <c r="I16" i="123"/>
  <c r="B17" i="123"/>
  <c r="C17" i="123"/>
  <c r="E17" i="123"/>
  <c r="F17" i="123"/>
  <c r="G17" i="123"/>
  <c r="H17" i="123"/>
  <c r="I17" i="123"/>
  <c r="B11" i="123" l="1"/>
  <c r="C11" i="123"/>
  <c r="E11" i="123"/>
  <c r="F11" i="123"/>
  <c r="G11" i="123"/>
  <c r="H11" i="123"/>
  <c r="I11" i="123"/>
  <c r="I10" i="123" l="1"/>
  <c r="B10" i="123"/>
  <c r="C10" i="123"/>
  <c r="E10" i="123"/>
  <c r="F10" i="123"/>
  <c r="G10" i="123"/>
  <c r="H10" i="123"/>
  <c r="B8" i="123"/>
  <c r="C8" i="123"/>
  <c r="E8" i="123"/>
  <c r="F8" i="123"/>
  <c r="G8" i="123"/>
  <c r="H8" i="123"/>
  <c r="I8" i="123"/>
  <c r="B9" i="123"/>
  <c r="C9" i="123"/>
  <c r="E9" i="123"/>
  <c r="F9" i="123"/>
  <c r="G9" i="123"/>
  <c r="H9" i="123"/>
  <c r="I9" i="123"/>
  <c r="B7" i="123" l="1"/>
  <c r="C7" i="123"/>
  <c r="E7" i="123"/>
  <c r="F7" i="123"/>
  <c r="G7" i="123"/>
  <c r="H7" i="123"/>
  <c r="I7" i="123"/>
  <c r="U168" i="21"/>
  <c r="U172" i="21" l="1"/>
  <c r="B3" i="123"/>
  <c r="C3" i="123"/>
  <c r="E3" i="123"/>
  <c r="F3" i="123"/>
  <c r="G3" i="123"/>
  <c r="H3" i="123"/>
  <c r="I3" i="123"/>
  <c r="B4" i="123"/>
  <c r="C4" i="123"/>
  <c r="E4" i="123"/>
  <c r="F4" i="123"/>
  <c r="G4" i="123"/>
  <c r="H4" i="123"/>
  <c r="I4" i="123"/>
  <c r="B5" i="123"/>
  <c r="C5" i="123"/>
  <c r="E5" i="123"/>
  <c r="F5" i="123"/>
  <c r="G5" i="123"/>
  <c r="H5" i="123"/>
  <c r="I5" i="123"/>
  <c r="B6" i="123"/>
  <c r="C6" i="123"/>
  <c r="E6" i="123"/>
  <c r="F6" i="123"/>
  <c r="G6" i="123"/>
  <c r="H6" i="123"/>
  <c r="I6" i="123"/>
  <c r="I2" i="123"/>
  <c r="H2" i="123"/>
  <c r="G2" i="123"/>
  <c r="F2" i="123"/>
  <c r="E2" i="123"/>
  <c r="C2" i="123"/>
  <c r="B2" i="123"/>
  <c r="S168" i="21"/>
  <c r="I18" i="123" l="1"/>
  <c r="S169" i="21"/>
  <c r="B6" i="122"/>
  <c r="C6" i="122"/>
  <c r="E6" i="122"/>
  <c r="F6" i="122"/>
  <c r="G6" i="122"/>
  <c r="H6" i="122"/>
  <c r="I6" i="122"/>
  <c r="B7" i="122"/>
  <c r="C7" i="122"/>
  <c r="E7" i="122"/>
  <c r="F7" i="122"/>
  <c r="G7" i="122"/>
  <c r="H7" i="122"/>
  <c r="I7" i="122"/>
  <c r="B8" i="122"/>
  <c r="C8" i="122"/>
  <c r="E8" i="122"/>
  <c r="F8" i="122"/>
  <c r="G8" i="122"/>
  <c r="H8" i="122"/>
  <c r="I8" i="122"/>
  <c r="B9" i="122"/>
  <c r="C9" i="122"/>
  <c r="E9" i="122"/>
  <c r="F9" i="122"/>
  <c r="G9" i="122"/>
  <c r="H9" i="122"/>
  <c r="I9" i="122"/>
  <c r="B10" i="122"/>
  <c r="C10" i="122"/>
  <c r="E10" i="122"/>
  <c r="F10" i="122"/>
  <c r="G10" i="122"/>
  <c r="H10" i="122"/>
  <c r="I10" i="122"/>
  <c r="B11" i="122"/>
  <c r="C11" i="122"/>
  <c r="E11" i="122"/>
  <c r="F11" i="122"/>
  <c r="G11" i="122"/>
  <c r="H11" i="122"/>
  <c r="I11" i="122"/>
  <c r="S175" i="21" l="1"/>
  <c r="B3" i="122"/>
  <c r="C3" i="122"/>
  <c r="E3" i="122"/>
  <c r="F3" i="122"/>
  <c r="G3" i="122"/>
  <c r="H3" i="122"/>
  <c r="I3" i="122"/>
  <c r="B4" i="122"/>
  <c r="C4" i="122"/>
  <c r="E4" i="122"/>
  <c r="F4" i="122"/>
  <c r="G4" i="122"/>
  <c r="H4" i="122"/>
  <c r="I4" i="122"/>
  <c r="B5" i="122"/>
  <c r="C5" i="122"/>
  <c r="E5" i="122"/>
  <c r="F5" i="122"/>
  <c r="G5" i="122"/>
  <c r="H5" i="122"/>
  <c r="I5" i="122"/>
  <c r="I2" i="122"/>
  <c r="H2" i="122"/>
  <c r="G2" i="122"/>
  <c r="F2" i="122"/>
  <c r="E2" i="122"/>
  <c r="C2" i="122"/>
  <c r="B2" i="122"/>
  <c r="I14" i="122" l="1"/>
  <c r="B30" i="121"/>
  <c r="C30" i="121"/>
  <c r="E30" i="121"/>
  <c r="F30" i="121"/>
  <c r="G30" i="121"/>
  <c r="H30" i="121"/>
  <c r="I30" i="121"/>
  <c r="Q175" i="21" l="1"/>
  <c r="B29" i="121"/>
  <c r="C29" i="121"/>
  <c r="E29" i="121"/>
  <c r="F29" i="121"/>
  <c r="G29" i="121"/>
  <c r="H29" i="121"/>
  <c r="I29" i="121"/>
  <c r="Q170" i="21"/>
  <c r="B27" i="121"/>
  <c r="C27" i="121"/>
  <c r="E27" i="121"/>
  <c r="F27" i="121"/>
  <c r="G27" i="121"/>
  <c r="H27" i="121"/>
  <c r="I27" i="121"/>
  <c r="B28" i="121"/>
  <c r="C28" i="121"/>
  <c r="E28" i="121"/>
  <c r="F28" i="121"/>
  <c r="G28" i="121"/>
  <c r="H28" i="121"/>
  <c r="I28" i="121"/>
  <c r="B25" i="121" l="1"/>
  <c r="C25" i="121"/>
  <c r="E25" i="121"/>
  <c r="F25" i="121"/>
  <c r="G25" i="121"/>
  <c r="H25" i="121"/>
  <c r="I25" i="121"/>
  <c r="B26" i="121"/>
  <c r="C26" i="121"/>
  <c r="E26" i="121"/>
  <c r="F26" i="121"/>
  <c r="G26" i="121"/>
  <c r="H26" i="121"/>
  <c r="I26" i="121"/>
  <c r="B21" i="121"/>
  <c r="C21" i="121"/>
  <c r="E21" i="121"/>
  <c r="F21" i="121"/>
  <c r="G21" i="121"/>
  <c r="H21" i="121"/>
  <c r="I21" i="121"/>
  <c r="B22" i="121"/>
  <c r="C22" i="121"/>
  <c r="E22" i="121"/>
  <c r="F22" i="121"/>
  <c r="G22" i="121"/>
  <c r="H22" i="121"/>
  <c r="I22" i="121"/>
  <c r="B23" i="121"/>
  <c r="C23" i="121"/>
  <c r="E23" i="121"/>
  <c r="F23" i="121"/>
  <c r="G23" i="121"/>
  <c r="H23" i="121"/>
  <c r="I23" i="121"/>
  <c r="B24" i="121"/>
  <c r="C24" i="121"/>
  <c r="E24" i="121"/>
  <c r="F24" i="121"/>
  <c r="G24" i="121"/>
  <c r="H24" i="121"/>
  <c r="I24" i="121"/>
  <c r="B20" i="121" l="1"/>
  <c r="C20" i="121"/>
  <c r="E20" i="121"/>
  <c r="F20" i="121"/>
  <c r="G20" i="121"/>
  <c r="H20" i="121"/>
  <c r="I20" i="121"/>
  <c r="B17" i="121" l="1"/>
  <c r="C17" i="121"/>
  <c r="E17" i="121"/>
  <c r="F17" i="121"/>
  <c r="G17" i="121"/>
  <c r="H17" i="121"/>
  <c r="I17" i="121"/>
  <c r="B18" i="121"/>
  <c r="C18" i="121"/>
  <c r="E18" i="121"/>
  <c r="F18" i="121"/>
  <c r="G18" i="121"/>
  <c r="H18" i="121"/>
  <c r="I18" i="121"/>
  <c r="B19" i="121"/>
  <c r="C19" i="121"/>
  <c r="E19" i="121"/>
  <c r="F19" i="121"/>
  <c r="G19" i="121"/>
  <c r="H19" i="121"/>
  <c r="I19" i="121"/>
  <c r="B16" i="121" l="1"/>
  <c r="C16" i="121"/>
  <c r="E16" i="121"/>
  <c r="F16" i="121"/>
  <c r="G16" i="121"/>
  <c r="H16" i="121"/>
  <c r="I16" i="121"/>
  <c r="B13" i="121" l="1"/>
  <c r="C13" i="121"/>
  <c r="E13" i="121"/>
  <c r="F13" i="121"/>
  <c r="G13" i="121"/>
  <c r="H13" i="121"/>
  <c r="I13" i="121"/>
  <c r="B14" i="121"/>
  <c r="C14" i="121"/>
  <c r="E14" i="121"/>
  <c r="F14" i="121"/>
  <c r="G14" i="121"/>
  <c r="H14" i="121"/>
  <c r="I14" i="121"/>
  <c r="B15" i="121"/>
  <c r="C15" i="121"/>
  <c r="E15" i="121"/>
  <c r="F15" i="121"/>
  <c r="G15" i="121"/>
  <c r="H15" i="121"/>
  <c r="I15" i="121"/>
  <c r="B10" i="121" l="1"/>
  <c r="C10" i="121"/>
  <c r="E10" i="121"/>
  <c r="F10" i="121"/>
  <c r="G10" i="121"/>
  <c r="H10" i="121"/>
  <c r="I10" i="121"/>
  <c r="B11" i="121"/>
  <c r="C11" i="121"/>
  <c r="E11" i="121"/>
  <c r="F11" i="121"/>
  <c r="G11" i="121"/>
  <c r="H11" i="121"/>
  <c r="I11" i="121"/>
  <c r="B12" i="121"/>
  <c r="C12" i="121"/>
  <c r="E12" i="121"/>
  <c r="F12" i="121"/>
  <c r="G12" i="121"/>
  <c r="H12" i="121"/>
  <c r="I12" i="121"/>
  <c r="B8" i="121" l="1"/>
  <c r="C8" i="121"/>
  <c r="E8" i="121"/>
  <c r="F8" i="121"/>
  <c r="G8" i="121"/>
  <c r="H8" i="121"/>
  <c r="I8" i="121"/>
  <c r="B9" i="121"/>
  <c r="C9" i="121"/>
  <c r="E9" i="121"/>
  <c r="F9" i="121"/>
  <c r="G9" i="121"/>
  <c r="H9" i="121"/>
  <c r="I9" i="121"/>
  <c r="B5" i="121" l="1"/>
  <c r="C5" i="121"/>
  <c r="E5" i="121"/>
  <c r="F5" i="121"/>
  <c r="G5" i="121"/>
  <c r="H5" i="121"/>
  <c r="I5" i="121"/>
  <c r="B6" i="121"/>
  <c r="C6" i="121"/>
  <c r="E6" i="121"/>
  <c r="F6" i="121"/>
  <c r="G6" i="121"/>
  <c r="H6" i="121"/>
  <c r="I6" i="121"/>
  <c r="B7" i="121"/>
  <c r="C7" i="121"/>
  <c r="E7" i="121"/>
  <c r="F7" i="121"/>
  <c r="G7" i="121"/>
  <c r="H7" i="121"/>
  <c r="I7" i="121"/>
  <c r="B4" i="121" l="1"/>
  <c r="C4" i="121"/>
  <c r="E4" i="121"/>
  <c r="F4" i="121"/>
  <c r="G4" i="121"/>
  <c r="H4" i="121"/>
  <c r="I4" i="121"/>
  <c r="B3" i="121" l="1"/>
  <c r="C3" i="121"/>
  <c r="E3" i="121"/>
  <c r="F3" i="121"/>
  <c r="G3" i="121"/>
  <c r="H3" i="121"/>
  <c r="I3" i="121"/>
  <c r="I2" i="121"/>
  <c r="H2" i="121"/>
  <c r="G2" i="121"/>
  <c r="F2" i="121"/>
  <c r="E2" i="121"/>
  <c r="C2" i="121"/>
  <c r="B2" i="121"/>
  <c r="I31" i="121" l="1"/>
  <c r="O168" i="21"/>
  <c r="B30" i="120"/>
  <c r="C30" i="120"/>
  <c r="E30" i="120"/>
  <c r="F30" i="120"/>
  <c r="G30" i="120"/>
  <c r="H30" i="120"/>
  <c r="I30" i="120"/>
  <c r="B31" i="120"/>
  <c r="C31" i="120"/>
  <c r="E31" i="120"/>
  <c r="F31" i="120"/>
  <c r="G31" i="120"/>
  <c r="H31" i="120"/>
  <c r="I31" i="120"/>
  <c r="O178" i="21"/>
  <c r="B29" i="120" l="1"/>
  <c r="C29" i="120"/>
  <c r="E29" i="120"/>
  <c r="F29" i="120"/>
  <c r="G29" i="120"/>
  <c r="H29" i="120"/>
  <c r="I29" i="120"/>
  <c r="B27" i="120" l="1"/>
  <c r="C27" i="120"/>
  <c r="E27" i="120"/>
  <c r="F27" i="120"/>
  <c r="G27" i="120"/>
  <c r="H27" i="120"/>
  <c r="I27" i="120"/>
  <c r="B28" i="120"/>
  <c r="C28" i="120"/>
  <c r="E28" i="120"/>
  <c r="F28" i="120"/>
  <c r="G28" i="120"/>
  <c r="H28" i="120"/>
  <c r="I28" i="120"/>
  <c r="O169" i="21"/>
  <c r="B26" i="120" l="1"/>
  <c r="C26" i="120"/>
  <c r="E26" i="120"/>
  <c r="F26" i="120"/>
  <c r="G26" i="120"/>
  <c r="H26" i="120"/>
  <c r="I26" i="120"/>
  <c r="O172" i="21"/>
  <c r="B25" i="120" l="1"/>
  <c r="C25" i="120"/>
  <c r="E25" i="120"/>
  <c r="F25" i="120"/>
  <c r="G25" i="120"/>
  <c r="H25" i="120"/>
  <c r="I25" i="120"/>
  <c r="B23" i="120" l="1"/>
  <c r="C23" i="120"/>
  <c r="E23" i="120"/>
  <c r="F23" i="120"/>
  <c r="G23" i="120"/>
  <c r="H23" i="120"/>
  <c r="I23" i="120"/>
  <c r="B24" i="120"/>
  <c r="C24" i="120"/>
  <c r="E24" i="120"/>
  <c r="F24" i="120"/>
  <c r="G24" i="120"/>
  <c r="H24" i="120"/>
  <c r="I24" i="120"/>
  <c r="O170" i="21" l="1"/>
  <c r="B18" i="120"/>
  <c r="C18" i="120"/>
  <c r="E18" i="120"/>
  <c r="F18" i="120"/>
  <c r="G18" i="120"/>
  <c r="H18" i="120"/>
  <c r="I18" i="120"/>
  <c r="B19" i="120"/>
  <c r="C19" i="120"/>
  <c r="E19" i="120"/>
  <c r="F19" i="120"/>
  <c r="G19" i="120"/>
  <c r="H19" i="120"/>
  <c r="I19" i="120"/>
  <c r="B20" i="120"/>
  <c r="C20" i="120"/>
  <c r="E20" i="120"/>
  <c r="F20" i="120"/>
  <c r="G20" i="120"/>
  <c r="H20" i="120"/>
  <c r="I20" i="120"/>
  <c r="B21" i="120"/>
  <c r="C21" i="120"/>
  <c r="E21" i="120"/>
  <c r="F21" i="120"/>
  <c r="G21" i="120"/>
  <c r="H21" i="120"/>
  <c r="I21" i="120"/>
  <c r="B22" i="120"/>
  <c r="C22" i="120"/>
  <c r="E22" i="120"/>
  <c r="F22" i="120"/>
  <c r="G22" i="120"/>
  <c r="H22" i="120"/>
  <c r="I22" i="120"/>
  <c r="B15" i="120" l="1"/>
  <c r="C15" i="120"/>
  <c r="E15" i="120"/>
  <c r="F15" i="120"/>
  <c r="G15" i="120"/>
  <c r="H15" i="120"/>
  <c r="I15" i="120"/>
  <c r="B16" i="120"/>
  <c r="C16" i="120"/>
  <c r="E16" i="120"/>
  <c r="F16" i="120"/>
  <c r="G16" i="120"/>
  <c r="H16" i="120"/>
  <c r="I16" i="120"/>
  <c r="B17" i="120"/>
  <c r="C17" i="120"/>
  <c r="E17" i="120"/>
  <c r="F17" i="120"/>
  <c r="G17" i="120"/>
  <c r="H17" i="120"/>
  <c r="I17" i="120"/>
  <c r="B12" i="120" l="1"/>
  <c r="C12" i="120"/>
  <c r="E12" i="120"/>
  <c r="F12" i="120"/>
  <c r="G12" i="120"/>
  <c r="H12" i="120"/>
  <c r="I12" i="120"/>
  <c r="B13" i="120"/>
  <c r="C13" i="120"/>
  <c r="E13" i="120"/>
  <c r="F13" i="120"/>
  <c r="G13" i="120"/>
  <c r="H13" i="120"/>
  <c r="I13" i="120"/>
  <c r="B14" i="120"/>
  <c r="C14" i="120"/>
  <c r="E14" i="120"/>
  <c r="F14" i="120"/>
  <c r="G14" i="120"/>
  <c r="H14" i="120"/>
  <c r="I14" i="120"/>
  <c r="O175" i="21" l="1"/>
  <c r="B5" i="120"/>
  <c r="C5" i="120"/>
  <c r="E5" i="120"/>
  <c r="F5" i="120"/>
  <c r="G5" i="120"/>
  <c r="H5" i="120"/>
  <c r="I5" i="120"/>
  <c r="B6" i="120"/>
  <c r="C6" i="120"/>
  <c r="E6" i="120"/>
  <c r="F6" i="120"/>
  <c r="G6" i="120"/>
  <c r="H6" i="120"/>
  <c r="I6" i="120"/>
  <c r="B7" i="120"/>
  <c r="C7" i="120"/>
  <c r="E7" i="120"/>
  <c r="F7" i="120"/>
  <c r="G7" i="120"/>
  <c r="H7" i="120"/>
  <c r="I7" i="120"/>
  <c r="B8" i="120"/>
  <c r="C8" i="120"/>
  <c r="E8" i="120"/>
  <c r="F8" i="120"/>
  <c r="G8" i="120"/>
  <c r="H8" i="120"/>
  <c r="I8" i="120"/>
  <c r="B9" i="120"/>
  <c r="C9" i="120"/>
  <c r="E9" i="120"/>
  <c r="F9" i="120"/>
  <c r="G9" i="120"/>
  <c r="H9" i="120"/>
  <c r="I9" i="120"/>
  <c r="B10" i="120"/>
  <c r="C10" i="120"/>
  <c r="E10" i="120"/>
  <c r="F10" i="120"/>
  <c r="G10" i="120"/>
  <c r="H10" i="120"/>
  <c r="I10" i="120"/>
  <c r="B11" i="120"/>
  <c r="C11" i="120"/>
  <c r="E11" i="120"/>
  <c r="F11" i="120"/>
  <c r="G11" i="120"/>
  <c r="H11" i="120"/>
  <c r="I11" i="120"/>
  <c r="B3" i="120" l="1"/>
  <c r="C3" i="120"/>
  <c r="E3" i="120"/>
  <c r="F3" i="120"/>
  <c r="G3" i="120"/>
  <c r="H3" i="120"/>
  <c r="I3" i="120"/>
  <c r="B4" i="120"/>
  <c r="C4" i="120"/>
  <c r="E4" i="120"/>
  <c r="F4" i="120"/>
  <c r="G4" i="120"/>
  <c r="H4" i="120"/>
  <c r="I4" i="120"/>
  <c r="I2" i="120"/>
  <c r="H2" i="120"/>
  <c r="G2" i="120"/>
  <c r="F2" i="120"/>
  <c r="E2" i="120"/>
  <c r="C2" i="120"/>
  <c r="B2" i="120"/>
  <c r="I32" i="120" l="1"/>
  <c r="M169" i="21"/>
  <c r="M170" i="21"/>
  <c r="B29" i="119"/>
  <c r="C29" i="119"/>
  <c r="E29" i="119"/>
  <c r="F29" i="119"/>
  <c r="G29" i="119"/>
  <c r="H29" i="119"/>
  <c r="I29" i="119"/>
  <c r="B30" i="119"/>
  <c r="C30" i="119"/>
  <c r="E30" i="119"/>
  <c r="F30" i="119"/>
  <c r="G30" i="119"/>
  <c r="H30" i="119"/>
  <c r="I30" i="119"/>
  <c r="B28" i="119"/>
  <c r="C28" i="119"/>
  <c r="E28" i="119"/>
  <c r="F28" i="119"/>
  <c r="G28" i="119"/>
  <c r="H28" i="119"/>
  <c r="I28" i="119"/>
  <c r="B27" i="119" l="1"/>
  <c r="C27" i="119"/>
  <c r="E27" i="119"/>
  <c r="F27" i="119"/>
  <c r="G27" i="119"/>
  <c r="H27" i="119"/>
  <c r="I27" i="119"/>
  <c r="M168" i="21"/>
  <c r="B24" i="119" l="1"/>
  <c r="C24" i="119"/>
  <c r="E24" i="119"/>
  <c r="F24" i="119"/>
  <c r="G24" i="119"/>
  <c r="H24" i="119"/>
  <c r="I24" i="119"/>
  <c r="B25" i="119"/>
  <c r="C25" i="119"/>
  <c r="E25" i="119"/>
  <c r="F25" i="119"/>
  <c r="G25" i="119"/>
  <c r="H25" i="119"/>
  <c r="I25" i="119"/>
  <c r="B26" i="119"/>
  <c r="C26" i="119"/>
  <c r="E26" i="119"/>
  <c r="F26" i="119"/>
  <c r="G26" i="119"/>
  <c r="H26" i="119"/>
  <c r="I26" i="119"/>
  <c r="B22" i="119" l="1"/>
  <c r="C22" i="119"/>
  <c r="E22" i="119"/>
  <c r="F22" i="119"/>
  <c r="G22" i="119"/>
  <c r="H22" i="119"/>
  <c r="I22" i="119"/>
  <c r="B23" i="119"/>
  <c r="C23" i="119"/>
  <c r="E23" i="119"/>
  <c r="F23" i="119"/>
  <c r="G23" i="119"/>
  <c r="H23" i="119"/>
  <c r="I23" i="119"/>
  <c r="B16" i="119"/>
  <c r="C16" i="119"/>
  <c r="E16" i="119"/>
  <c r="F16" i="119"/>
  <c r="G16" i="119"/>
  <c r="H16" i="119"/>
  <c r="I16" i="119"/>
  <c r="B17" i="119"/>
  <c r="C17" i="119"/>
  <c r="E17" i="119"/>
  <c r="F17" i="119"/>
  <c r="G17" i="119"/>
  <c r="H17" i="119"/>
  <c r="I17" i="119"/>
  <c r="B18" i="119"/>
  <c r="C18" i="119"/>
  <c r="E18" i="119"/>
  <c r="F18" i="119"/>
  <c r="G18" i="119"/>
  <c r="H18" i="119"/>
  <c r="I18" i="119"/>
  <c r="B19" i="119"/>
  <c r="C19" i="119"/>
  <c r="E19" i="119"/>
  <c r="F19" i="119"/>
  <c r="G19" i="119"/>
  <c r="H19" i="119"/>
  <c r="I19" i="119"/>
  <c r="B20" i="119"/>
  <c r="C20" i="119"/>
  <c r="E20" i="119"/>
  <c r="F20" i="119"/>
  <c r="G20" i="119"/>
  <c r="H20" i="119"/>
  <c r="I20" i="119"/>
  <c r="B21" i="119"/>
  <c r="C21" i="119"/>
  <c r="E21" i="119"/>
  <c r="F21" i="119"/>
  <c r="G21" i="119"/>
  <c r="H21" i="119"/>
  <c r="I21" i="119"/>
  <c r="B13" i="119" l="1"/>
  <c r="C13" i="119"/>
  <c r="E13" i="119"/>
  <c r="F13" i="119"/>
  <c r="G13" i="119"/>
  <c r="H13" i="119"/>
  <c r="I13" i="119"/>
  <c r="B14" i="119"/>
  <c r="C14" i="119"/>
  <c r="E14" i="119"/>
  <c r="F14" i="119"/>
  <c r="G14" i="119"/>
  <c r="H14" i="119"/>
  <c r="I14" i="119"/>
  <c r="B15" i="119"/>
  <c r="C15" i="119"/>
  <c r="E15" i="119"/>
  <c r="F15" i="119"/>
  <c r="G15" i="119"/>
  <c r="H15" i="119"/>
  <c r="I15" i="119"/>
  <c r="B12" i="119" l="1"/>
  <c r="C12" i="119"/>
  <c r="E12" i="119"/>
  <c r="F12" i="119"/>
  <c r="G12" i="119"/>
  <c r="H12" i="119"/>
  <c r="I12" i="119"/>
  <c r="M175" i="21"/>
  <c r="M178" i="21"/>
  <c r="B8" i="119"/>
  <c r="C8" i="119"/>
  <c r="E8" i="119"/>
  <c r="F8" i="119"/>
  <c r="G8" i="119"/>
  <c r="H8" i="119"/>
  <c r="I8" i="119"/>
  <c r="B9" i="119"/>
  <c r="C9" i="119"/>
  <c r="E9" i="119"/>
  <c r="F9" i="119"/>
  <c r="G9" i="119"/>
  <c r="H9" i="119"/>
  <c r="I9" i="119"/>
  <c r="B10" i="119"/>
  <c r="C10" i="119"/>
  <c r="E10" i="119"/>
  <c r="F10" i="119"/>
  <c r="G10" i="119"/>
  <c r="H10" i="119"/>
  <c r="I10" i="119"/>
  <c r="B11" i="119"/>
  <c r="C11" i="119"/>
  <c r="E11" i="119"/>
  <c r="F11" i="119"/>
  <c r="G11" i="119"/>
  <c r="H11" i="119"/>
  <c r="I11" i="119"/>
  <c r="B7" i="119" l="1"/>
  <c r="C7" i="119"/>
  <c r="E7" i="119"/>
  <c r="F7" i="119"/>
  <c r="G7" i="119"/>
  <c r="H7" i="119"/>
  <c r="I7" i="119"/>
  <c r="B6" i="119" l="1"/>
  <c r="C6" i="119"/>
  <c r="E6" i="119"/>
  <c r="F6" i="119"/>
  <c r="G6" i="119"/>
  <c r="H6" i="119"/>
  <c r="I6" i="119"/>
  <c r="B3" i="119" l="1"/>
  <c r="C3" i="119"/>
  <c r="E3" i="119"/>
  <c r="F3" i="119"/>
  <c r="G3" i="119"/>
  <c r="H3" i="119"/>
  <c r="I3" i="119"/>
  <c r="B4" i="119"/>
  <c r="C4" i="119"/>
  <c r="E4" i="119"/>
  <c r="F4" i="119"/>
  <c r="G4" i="119"/>
  <c r="H4" i="119"/>
  <c r="I4" i="119"/>
  <c r="B5" i="119"/>
  <c r="C5" i="119"/>
  <c r="E5" i="119"/>
  <c r="F5" i="119"/>
  <c r="G5" i="119"/>
  <c r="H5" i="119"/>
  <c r="I5" i="119"/>
  <c r="I2" i="119" l="1"/>
  <c r="I31" i="119" s="1"/>
  <c r="H2" i="119"/>
  <c r="G2" i="119"/>
  <c r="F2" i="119"/>
  <c r="E2" i="119"/>
  <c r="C2" i="119"/>
  <c r="B2" i="119"/>
  <c r="B46" i="118"/>
  <c r="C46" i="118"/>
  <c r="E46" i="118"/>
  <c r="F46" i="118"/>
  <c r="G46" i="118"/>
  <c r="H46" i="118"/>
  <c r="I46" i="118"/>
  <c r="B47" i="118"/>
  <c r="C47" i="118"/>
  <c r="E47" i="118"/>
  <c r="F47" i="118"/>
  <c r="G47" i="118"/>
  <c r="H47" i="118"/>
  <c r="I47" i="118"/>
  <c r="B48" i="118"/>
  <c r="C48" i="118"/>
  <c r="E48" i="118"/>
  <c r="F48" i="118"/>
  <c r="G48" i="118"/>
  <c r="H48" i="118"/>
  <c r="I48" i="118"/>
  <c r="B49" i="118"/>
  <c r="C49" i="118"/>
  <c r="E49" i="118"/>
  <c r="F49" i="118"/>
  <c r="G49" i="118"/>
  <c r="H49" i="118"/>
  <c r="I49" i="118"/>
  <c r="B50" i="118"/>
  <c r="C50" i="118"/>
  <c r="E50" i="118"/>
  <c r="F50" i="118"/>
  <c r="G50" i="118"/>
  <c r="H50" i="118"/>
  <c r="I50" i="118"/>
  <c r="B51" i="118"/>
  <c r="C51" i="118"/>
  <c r="E51" i="118"/>
  <c r="F51" i="118"/>
  <c r="G51" i="118"/>
  <c r="H51" i="118"/>
  <c r="I51" i="118"/>
  <c r="K168" i="21"/>
  <c r="K171" i="21"/>
  <c r="K175" i="21"/>
  <c r="K172" i="21"/>
  <c r="B45" i="118" l="1"/>
  <c r="C45" i="118"/>
  <c r="E45" i="118"/>
  <c r="F45" i="118"/>
  <c r="G45" i="118"/>
  <c r="H45" i="118"/>
  <c r="I45" i="118"/>
  <c r="B42" i="118"/>
  <c r="C42" i="118"/>
  <c r="E42" i="118"/>
  <c r="F42" i="118"/>
  <c r="G42" i="118"/>
  <c r="H42" i="118"/>
  <c r="I42" i="118"/>
  <c r="B43" i="118"/>
  <c r="C43" i="118"/>
  <c r="E43" i="118"/>
  <c r="F43" i="118"/>
  <c r="G43" i="118"/>
  <c r="H43" i="118"/>
  <c r="I43" i="118"/>
  <c r="B44" i="118"/>
  <c r="C44" i="118"/>
  <c r="E44" i="118"/>
  <c r="F44" i="118"/>
  <c r="G44" i="118"/>
  <c r="H44" i="118"/>
  <c r="I44" i="118"/>
  <c r="K178" i="21" l="1"/>
  <c r="B38" i="118"/>
  <c r="C38" i="118"/>
  <c r="E38" i="118"/>
  <c r="F38" i="118"/>
  <c r="G38" i="118"/>
  <c r="H38" i="118"/>
  <c r="I38" i="118"/>
  <c r="B39" i="118"/>
  <c r="C39" i="118"/>
  <c r="E39" i="118"/>
  <c r="F39" i="118"/>
  <c r="G39" i="118"/>
  <c r="H39" i="118"/>
  <c r="I39" i="118"/>
  <c r="B40" i="118"/>
  <c r="C40" i="118"/>
  <c r="E40" i="118"/>
  <c r="F40" i="118"/>
  <c r="G40" i="118"/>
  <c r="H40" i="118"/>
  <c r="I40" i="118"/>
  <c r="B41" i="118"/>
  <c r="C41" i="118"/>
  <c r="E41" i="118"/>
  <c r="F41" i="118"/>
  <c r="G41" i="118"/>
  <c r="H41" i="118"/>
  <c r="I41" i="118"/>
  <c r="B37" i="118" l="1"/>
  <c r="C37" i="118"/>
  <c r="E37" i="118"/>
  <c r="F37" i="118"/>
  <c r="G37" i="118"/>
  <c r="H37" i="118"/>
  <c r="I37" i="118"/>
  <c r="B36" i="118"/>
  <c r="C36" i="118"/>
  <c r="E36" i="118"/>
  <c r="F36" i="118"/>
  <c r="G36" i="118"/>
  <c r="H36" i="118"/>
  <c r="I36" i="118"/>
  <c r="K170" i="21"/>
  <c r="E175" i="21" l="1"/>
  <c r="B33" i="118"/>
  <c r="C33" i="118"/>
  <c r="E33" i="118"/>
  <c r="F33" i="118"/>
  <c r="G33" i="118"/>
  <c r="H33" i="118"/>
  <c r="I33" i="118"/>
  <c r="B34" i="118"/>
  <c r="C34" i="118"/>
  <c r="E34" i="118"/>
  <c r="F34" i="118"/>
  <c r="G34" i="118"/>
  <c r="H34" i="118"/>
  <c r="I34" i="118"/>
  <c r="B35" i="118"/>
  <c r="C35" i="118"/>
  <c r="E35" i="118"/>
  <c r="F35" i="118"/>
  <c r="G35" i="118"/>
  <c r="H35" i="118"/>
  <c r="I35" i="118"/>
  <c r="B32" i="118" l="1"/>
  <c r="C32" i="118"/>
  <c r="E32" i="118"/>
  <c r="F32" i="118"/>
  <c r="G32" i="118"/>
  <c r="H32" i="118"/>
  <c r="I32" i="118"/>
  <c r="K169" i="21"/>
  <c r="B25" i="118"/>
  <c r="C25" i="118"/>
  <c r="E25" i="118"/>
  <c r="F25" i="118"/>
  <c r="G25" i="118"/>
  <c r="H25" i="118"/>
  <c r="I25" i="118"/>
  <c r="B26" i="118"/>
  <c r="C26" i="118"/>
  <c r="E26" i="118"/>
  <c r="F26" i="118"/>
  <c r="G26" i="118"/>
  <c r="H26" i="118"/>
  <c r="I26" i="118"/>
  <c r="B27" i="118"/>
  <c r="C27" i="118"/>
  <c r="E27" i="118"/>
  <c r="F27" i="118"/>
  <c r="G27" i="118"/>
  <c r="H27" i="118"/>
  <c r="I27" i="118"/>
  <c r="B28" i="118"/>
  <c r="C28" i="118"/>
  <c r="E28" i="118"/>
  <c r="F28" i="118"/>
  <c r="G28" i="118"/>
  <c r="H28" i="118"/>
  <c r="I28" i="118"/>
  <c r="B29" i="118"/>
  <c r="C29" i="118"/>
  <c r="E29" i="118"/>
  <c r="F29" i="118"/>
  <c r="G29" i="118"/>
  <c r="H29" i="118"/>
  <c r="I29" i="118"/>
  <c r="B30" i="118"/>
  <c r="C30" i="118"/>
  <c r="E30" i="118"/>
  <c r="F30" i="118"/>
  <c r="G30" i="118"/>
  <c r="H30" i="118"/>
  <c r="I30" i="118"/>
  <c r="B31" i="118"/>
  <c r="C31" i="118"/>
  <c r="E31" i="118"/>
  <c r="F31" i="118"/>
  <c r="G31" i="118"/>
  <c r="H31" i="118"/>
  <c r="I31" i="118"/>
  <c r="B24" i="118" l="1"/>
  <c r="C24" i="118"/>
  <c r="E24" i="118"/>
  <c r="F24" i="118"/>
  <c r="G24" i="118"/>
  <c r="H24" i="118"/>
  <c r="I24" i="118"/>
  <c r="B22" i="118"/>
  <c r="C22" i="118"/>
  <c r="E22" i="118"/>
  <c r="F22" i="118"/>
  <c r="G22" i="118"/>
  <c r="H22" i="118"/>
  <c r="I22" i="118"/>
  <c r="B23" i="118"/>
  <c r="C23" i="118"/>
  <c r="E23" i="118"/>
  <c r="F23" i="118"/>
  <c r="G23" i="118"/>
  <c r="H23" i="118"/>
  <c r="I23" i="118"/>
  <c r="B17" i="118"/>
  <c r="C17" i="118"/>
  <c r="E17" i="118"/>
  <c r="F17" i="118"/>
  <c r="G17" i="118"/>
  <c r="H17" i="118"/>
  <c r="I17" i="118"/>
  <c r="B18" i="118"/>
  <c r="C18" i="118"/>
  <c r="E18" i="118"/>
  <c r="F18" i="118"/>
  <c r="G18" i="118"/>
  <c r="H18" i="118"/>
  <c r="I18" i="118"/>
  <c r="B19" i="118"/>
  <c r="C19" i="118"/>
  <c r="E19" i="118"/>
  <c r="F19" i="118"/>
  <c r="G19" i="118"/>
  <c r="H19" i="118"/>
  <c r="I19" i="118"/>
  <c r="B20" i="118"/>
  <c r="C20" i="118"/>
  <c r="E20" i="118"/>
  <c r="F20" i="118"/>
  <c r="G20" i="118"/>
  <c r="H20" i="118"/>
  <c r="I20" i="118"/>
  <c r="B21" i="118"/>
  <c r="C21" i="118"/>
  <c r="E21" i="118"/>
  <c r="F21" i="118"/>
  <c r="G21" i="118"/>
  <c r="H21" i="118"/>
  <c r="I21" i="118"/>
  <c r="B16" i="118" l="1"/>
  <c r="C16" i="118"/>
  <c r="E16" i="118"/>
  <c r="F16" i="118"/>
  <c r="G16" i="118"/>
  <c r="H16" i="118"/>
  <c r="I16" i="118"/>
  <c r="B15" i="118" l="1"/>
  <c r="C15" i="118"/>
  <c r="E15" i="118"/>
  <c r="F15" i="118"/>
  <c r="G15" i="118"/>
  <c r="H15" i="118"/>
  <c r="I15" i="118"/>
  <c r="B11" i="118" l="1"/>
  <c r="C11" i="118"/>
  <c r="E11" i="118"/>
  <c r="F11" i="118"/>
  <c r="G11" i="118"/>
  <c r="H11" i="118"/>
  <c r="I11" i="118"/>
  <c r="B12" i="118"/>
  <c r="C12" i="118"/>
  <c r="E12" i="118"/>
  <c r="F12" i="118"/>
  <c r="G12" i="118"/>
  <c r="H12" i="118"/>
  <c r="I12" i="118"/>
  <c r="B13" i="118"/>
  <c r="C13" i="118"/>
  <c r="E13" i="118"/>
  <c r="F13" i="118"/>
  <c r="G13" i="118"/>
  <c r="H13" i="118"/>
  <c r="I13" i="118"/>
  <c r="B14" i="118"/>
  <c r="C14" i="118"/>
  <c r="E14" i="118"/>
  <c r="F14" i="118"/>
  <c r="G14" i="118"/>
  <c r="H14" i="118"/>
  <c r="I14" i="118"/>
  <c r="B10" i="118" l="1"/>
  <c r="C10" i="118"/>
  <c r="E10" i="118"/>
  <c r="F10" i="118"/>
  <c r="G10" i="118"/>
  <c r="H10" i="118"/>
  <c r="I10" i="118"/>
  <c r="B8" i="118" l="1"/>
  <c r="C8" i="118"/>
  <c r="E8" i="118"/>
  <c r="F8" i="118"/>
  <c r="G8" i="118"/>
  <c r="H8" i="118"/>
  <c r="I8" i="118"/>
  <c r="B9" i="118"/>
  <c r="C9" i="118"/>
  <c r="E9" i="118"/>
  <c r="F9" i="118"/>
  <c r="G9" i="118"/>
  <c r="H9" i="118"/>
  <c r="I9" i="118"/>
  <c r="B4" i="118" l="1"/>
  <c r="C4" i="118"/>
  <c r="E4" i="118"/>
  <c r="F4" i="118"/>
  <c r="G4" i="118"/>
  <c r="H4" i="118"/>
  <c r="I4" i="118"/>
  <c r="B5" i="118"/>
  <c r="C5" i="118"/>
  <c r="E5" i="118"/>
  <c r="F5" i="118"/>
  <c r="G5" i="118"/>
  <c r="H5" i="118"/>
  <c r="I5" i="118"/>
  <c r="B6" i="118"/>
  <c r="C6" i="118"/>
  <c r="E6" i="118"/>
  <c r="F6" i="118"/>
  <c r="G6" i="118"/>
  <c r="H6" i="118"/>
  <c r="I6" i="118"/>
  <c r="B7" i="118"/>
  <c r="C7" i="118"/>
  <c r="E7" i="118"/>
  <c r="F7" i="118"/>
  <c r="G7" i="118"/>
  <c r="H7" i="118"/>
  <c r="I7" i="118"/>
  <c r="B3" i="118" l="1"/>
  <c r="C3" i="118"/>
  <c r="E3" i="118"/>
  <c r="F3" i="118"/>
  <c r="G3" i="118"/>
  <c r="H3" i="118"/>
  <c r="I3" i="118"/>
  <c r="I2" i="118"/>
  <c r="H2" i="118"/>
  <c r="G2" i="118"/>
  <c r="F2" i="118"/>
  <c r="E2" i="118"/>
  <c r="C2" i="118"/>
  <c r="B2" i="118"/>
  <c r="I52" i="118" l="1"/>
  <c r="I31" i="117"/>
  <c r="I175" i="21"/>
  <c r="I178" i="21"/>
  <c r="I168" i="21"/>
  <c r="B23" i="117"/>
  <c r="C23" i="117"/>
  <c r="E23" i="117"/>
  <c r="F23" i="117"/>
  <c r="G23" i="117"/>
  <c r="H23" i="117"/>
  <c r="I23" i="117"/>
  <c r="B24" i="117"/>
  <c r="C24" i="117"/>
  <c r="E24" i="117"/>
  <c r="F24" i="117"/>
  <c r="G24" i="117"/>
  <c r="H24" i="117"/>
  <c r="I24" i="117"/>
  <c r="B25" i="117"/>
  <c r="C25" i="117"/>
  <c r="E25" i="117"/>
  <c r="F25" i="117"/>
  <c r="G25" i="117"/>
  <c r="H25" i="117"/>
  <c r="I25" i="117"/>
  <c r="B26" i="117"/>
  <c r="C26" i="117"/>
  <c r="E26" i="117"/>
  <c r="F26" i="117"/>
  <c r="G26" i="117"/>
  <c r="H26" i="117"/>
  <c r="I26" i="117"/>
  <c r="B27" i="117"/>
  <c r="C27" i="117"/>
  <c r="E27" i="117"/>
  <c r="F27" i="117"/>
  <c r="G27" i="117"/>
  <c r="H27" i="117"/>
  <c r="I27" i="117"/>
  <c r="B28" i="117"/>
  <c r="C28" i="117"/>
  <c r="E28" i="117"/>
  <c r="F28" i="117"/>
  <c r="G28" i="117"/>
  <c r="H28" i="117"/>
  <c r="I28" i="117"/>
  <c r="B29" i="117"/>
  <c r="C29" i="117"/>
  <c r="E29" i="117"/>
  <c r="F29" i="117"/>
  <c r="G29" i="117"/>
  <c r="H29" i="117"/>
  <c r="I29" i="117"/>
  <c r="B30" i="117"/>
  <c r="C30" i="117"/>
  <c r="E30" i="117"/>
  <c r="F30" i="117"/>
  <c r="G30" i="117"/>
  <c r="H30" i="117"/>
  <c r="I30" i="117"/>
  <c r="B31" i="117"/>
  <c r="C31" i="117"/>
  <c r="E31" i="117"/>
  <c r="F31" i="117"/>
  <c r="G31" i="117"/>
  <c r="H31" i="117"/>
  <c r="B20" i="117" l="1"/>
  <c r="C20" i="117"/>
  <c r="E20" i="117"/>
  <c r="F20" i="117"/>
  <c r="G20" i="117"/>
  <c r="H20" i="117"/>
  <c r="I20" i="117"/>
  <c r="B21" i="117"/>
  <c r="C21" i="117"/>
  <c r="E21" i="117"/>
  <c r="F21" i="117"/>
  <c r="G21" i="117"/>
  <c r="H21" i="117"/>
  <c r="I21" i="117"/>
  <c r="B22" i="117"/>
  <c r="C22" i="117"/>
  <c r="E22" i="117"/>
  <c r="F22" i="117"/>
  <c r="G22" i="117"/>
  <c r="H22" i="117"/>
  <c r="I22" i="117"/>
  <c r="B18" i="117" l="1"/>
  <c r="C18" i="117"/>
  <c r="E18" i="117"/>
  <c r="F18" i="117"/>
  <c r="G18" i="117"/>
  <c r="H18" i="117"/>
  <c r="I18" i="117"/>
  <c r="B19" i="117"/>
  <c r="C19" i="117"/>
  <c r="E19" i="117"/>
  <c r="F19" i="117"/>
  <c r="G19" i="117"/>
  <c r="H19" i="117"/>
  <c r="I19" i="117"/>
  <c r="B17" i="117" l="1"/>
  <c r="C17" i="117"/>
  <c r="E17" i="117"/>
  <c r="F17" i="117"/>
  <c r="G17" i="117"/>
  <c r="H17" i="117"/>
  <c r="I17" i="117"/>
  <c r="I169" i="21" l="1"/>
  <c r="I170" i="21"/>
  <c r="B9" i="117"/>
  <c r="C9" i="117"/>
  <c r="E9" i="117"/>
  <c r="F9" i="117"/>
  <c r="G9" i="117"/>
  <c r="H9" i="117"/>
  <c r="I9" i="117"/>
  <c r="B10" i="117"/>
  <c r="C10" i="117"/>
  <c r="E10" i="117"/>
  <c r="F10" i="117"/>
  <c r="G10" i="117"/>
  <c r="H10" i="117"/>
  <c r="I10" i="117"/>
  <c r="B11" i="117"/>
  <c r="C11" i="117"/>
  <c r="E11" i="117"/>
  <c r="F11" i="117"/>
  <c r="G11" i="117"/>
  <c r="H11" i="117"/>
  <c r="I11" i="117"/>
  <c r="B12" i="117"/>
  <c r="C12" i="117"/>
  <c r="E12" i="117"/>
  <c r="F12" i="117"/>
  <c r="G12" i="117"/>
  <c r="H12" i="117"/>
  <c r="I12" i="117"/>
  <c r="B13" i="117"/>
  <c r="C13" i="117"/>
  <c r="E13" i="117"/>
  <c r="F13" i="117"/>
  <c r="G13" i="117"/>
  <c r="H13" i="117"/>
  <c r="I13" i="117"/>
  <c r="B14" i="117"/>
  <c r="C14" i="117"/>
  <c r="E14" i="117"/>
  <c r="F14" i="117"/>
  <c r="G14" i="117"/>
  <c r="H14" i="117"/>
  <c r="I14" i="117"/>
  <c r="B15" i="117"/>
  <c r="C15" i="117"/>
  <c r="E15" i="117"/>
  <c r="F15" i="117"/>
  <c r="G15" i="117"/>
  <c r="H15" i="117"/>
  <c r="I15" i="117"/>
  <c r="B16" i="117"/>
  <c r="C16" i="117"/>
  <c r="E16" i="117"/>
  <c r="F16" i="117"/>
  <c r="G16" i="117"/>
  <c r="H16" i="117"/>
  <c r="I16" i="117"/>
  <c r="B8" i="117" l="1"/>
  <c r="C8" i="117"/>
  <c r="E8" i="117"/>
  <c r="F8" i="117"/>
  <c r="G8" i="117"/>
  <c r="H8" i="117"/>
  <c r="I8" i="117"/>
  <c r="B7" i="117" l="1"/>
  <c r="C7" i="117"/>
  <c r="E7" i="117"/>
  <c r="F7" i="117"/>
  <c r="G7" i="117"/>
  <c r="H7" i="117"/>
  <c r="I7" i="117"/>
  <c r="B5" i="117"/>
  <c r="C5" i="117"/>
  <c r="E5" i="117"/>
  <c r="F5" i="117"/>
  <c r="G5" i="117"/>
  <c r="H5" i="117"/>
  <c r="I5" i="117"/>
  <c r="B6" i="117"/>
  <c r="C6" i="117"/>
  <c r="E6" i="117"/>
  <c r="F6" i="117"/>
  <c r="G6" i="117"/>
  <c r="H6" i="117"/>
  <c r="I6" i="117"/>
  <c r="B3" i="117" l="1"/>
  <c r="C3" i="117"/>
  <c r="E3" i="117"/>
  <c r="F3" i="117"/>
  <c r="G3" i="117"/>
  <c r="H3" i="117"/>
  <c r="I3" i="117"/>
  <c r="B4" i="117"/>
  <c r="C4" i="117"/>
  <c r="E4" i="117"/>
  <c r="F4" i="117"/>
  <c r="G4" i="117"/>
  <c r="H4" i="117"/>
  <c r="I4" i="117"/>
  <c r="I2" i="117"/>
  <c r="H2" i="117"/>
  <c r="G2" i="117"/>
  <c r="F2" i="117"/>
  <c r="E2" i="117"/>
  <c r="C2" i="117"/>
  <c r="B2" i="117"/>
  <c r="I32" i="117" l="1"/>
  <c r="G175" i="21"/>
  <c r="E174" i="21"/>
  <c r="B51" i="116"/>
  <c r="C51" i="116"/>
  <c r="E51" i="116"/>
  <c r="F51" i="116"/>
  <c r="G51" i="116"/>
  <c r="H51" i="116"/>
  <c r="I51" i="116"/>
  <c r="G173" i="21"/>
  <c r="G168" i="21" l="1"/>
  <c r="B49" i="116"/>
  <c r="C49" i="116"/>
  <c r="E49" i="116"/>
  <c r="F49" i="116"/>
  <c r="G49" i="116"/>
  <c r="H49" i="116"/>
  <c r="I49" i="116"/>
  <c r="B50" i="116"/>
  <c r="C50" i="116"/>
  <c r="E50" i="116"/>
  <c r="F50" i="116"/>
  <c r="G50" i="116"/>
  <c r="H50" i="116"/>
  <c r="I50" i="116"/>
  <c r="G169" i="21"/>
  <c r="B48" i="116" l="1"/>
  <c r="C48" i="116"/>
  <c r="E48" i="116"/>
  <c r="F48" i="116"/>
  <c r="G48" i="116"/>
  <c r="H48" i="116"/>
  <c r="I48" i="116"/>
  <c r="B44" i="116" l="1"/>
  <c r="C44" i="116"/>
  <c r="E44" i="116"/>
  <c r="F44" i="116"/>
  <c r="G44" i="116"/>
  <c r="H44" i="116"/>
  <c r="I44" i="116"/>
  <c r="B45" i="116"/>
  <c r="C45" i="116"/>
  <c r="E45" i="116"/>
  <c r="F45" i="116"/>
  <c r="G45" i="116"/>
  <c r="H45" i="116"/>
  <c r="I45" i="116"/>
  <c r="B46" i="116"/>
  <c r="C46" i="116"/>
  <c r="E46" i="116"/>
  <c r="F46" i="116"/>
  <c r="G46" i="116"/>
  <c r="H46" i="116"/>
  <c r="I46" i="116"/>
  <c r="B47" i="116"/>
  <c r="C47" i="116"/>
  <c r="E47" i="116"/>
  <c r="F47" i="116"/>
  <c r="G47" i="116"/>
  <c r="H47" i="116"/>
  <c r="I47" i="116"/>
  <c r="Y156" i="21"/>
  <c r="G178" i="21" l="1"/>
  <c r="B33" i="116"/>
  <c r="C33" i="116"/>
  <c r="E33" i="116"/>
  <c r="F33" i="116"/>
  <c r="G33" i="116"/>
  <c r="H33" i="116"/>
  <c r="I33" i="116"/>
  <c r="B34" i="116"/>
  <c r="C34" i="116"/>
  <c r="E34" i="116"/>
  <c r="F34" i="116"/>
  <c r="G34" i="116"/>
  <c r="H34" i="116"/>
  <c r="I34" i="116"/>
  <c r="B35" i="116"/>
  <c r="C35" i="116"/>
  <c r="E35" i="116"/>
  <c r="F35" i="116"/>
  <c r="G35" i="116"/>
  <c r="H35" i="116"/>
  <c r="I35" i="116"/>
  <c r="B36" i="116"/>
  <c r="C36" i="116"/>
  <c r="E36" i="116"/>
  <c r="F36" i="116"/>
  <c r="G36" i="116"/>
  <c r="H36" i="116"/>
  <c r="I36" i="116"/>
  <c r="B37" i="116"/>
  <c r="C37" i="116"/>
  <c r="E37" i="116"/>
  <c r="F37" i="116"/>
  <c r="G37" i="116"/>
  <c r="H37" i="116"/>
  <c r="I37" i="116"/>
  <c r="B38" i="116"/>
  <c r="C38" i="116"/>
  <c r="E38" i="116"/>
  <c r="F38" i="116"/>
  <c r="G38" i="116"/>
  <c r="H38" i="116"/>
  <c r="I38" i="116"/>
  <c r="B39" i="116"/>
  <c r="C39" i="116"/>
  <c r="E39" i="116"/>
  <c r="F39" i="116"/>
  <c r="G39" i="116"/>
  <c r="H39" i="116"/>
  <c r="I39" i="116"/>
  <c r="B40" i="116"/>
  <c r="C40" i="116"/>
  <c r="E40" i="116"/>
  <c r="F40" i="116"/>
  <c r="G40" i="116"/>
  <c r="H40" i="116"/>
  <c r="I40" i="116"/>
  <c r="B41" i="116"/>
  <c r="C41" i="116"/>
  <c r="E41" i="116"/>
  <c r="F41" i="116"/>
  <c r="G41" i="116"/>
  <c r="H41" i="116"/>
  <c r="I41" i="116"/>
  <c r="B42" i="116"/>
  <c r="C42" i="116"/>
  <c r="E42" i="116"/>
  <c r="F42" i="116"/>
  <c r="G42" i="116"/>
  <c r="H42" i="116"/>
  <c r="I42" i="116"/>
  <c r="B43" i="116"/>
  <c r="C43" i="116"/>
  <c r="E43" i="116"/>
  <c r="F43" i="116"/>
  <c r="G43" i="116"/>
  <c r="H43" i="116"/>
  <c r="I43" i="116"/>
  <c r="B24" i="116" l="1"/>
  <c r="C24" i="116"/>
  <c r="E24" i="116"/>
  <c r="F24" i="116"/>
  <c r="G24" i="116"/>
  <c r="H24" i="116"/>
  <c r="I24" i="116"/>
  <c r="B25" i="116"/>
  <c r="C25" i="116"/>
  <c r="E25" i="116"/>
  <c r="F25" i="116"/>
  <c r="G25" i="116"/>
  <c r="H25" i="116"/>
  <c r="I25" i="116"/>
  <c r="B26" i="116"/>
  <c r="C26" i="116"/>
  <c r="E26" i="116"/>
  <c r="F26" i="116"/>
  <c r="G26" i="116"/>
  <c r="H26" i="116"/>
  <c r="I26" i="116"/>
  <c r="B27" i="116"/>
  <c r="C27" i="116"/>
  <c r="E27" i="116"/>
  <c r="F27" i="116"/>
  <c r="G27" i="116"/>
  <c r="H27" i="116"/>
  <c r="I27" i="116"/>
  <c r="B28" i="116"/>
  <c r="C28" i="116"/>
  <c r="E28" i="116"/>
  <c r="F28" i="116"/>
  <c r="G28" i="116"/>
  <c r="H28" i="116"/>
  <c r="I28" i="116"/>
  <c r="B29" i="116"/>
  <c r="C29" i="116"/>
  <c r="E29" i="116"/>
  <c r="F29" i="116"/>
  <c r="G29" i="116"/>
  <c r="H29" i="116"/>
  <c r="I29" i="116"/>
  <c r="B30" i="116"/>
  <c r="C30" i="116"/>
  <c r="E30" i="116"/>
  <c r="F30" i="116"/>
  <c r="G30" i="116"/>
  <c r="H30" i="116"/>
  <c r="I30" i="116"/>
  <c r="B31" i="116"/>
  <c r="C31" i="116"/>
  <c r="E31" i="116"/>
  <c r="F31" i="116"/>
  <c r="G31" i="116"/>
  <c r="H31" i="116"/>
  <c r="I31" i="116"/>
  <c r="B32" i="116"/>
  <c r="C32" i="116"/>
  <c r="E32" i="116"/>
  <c r="F32" i="116"/>
  <c r="G32" i="116"/>
  <c r="H32" i="116"/>
  <c r="I32" i="116"/>
  <c r="B16" i="116" l="1"/>
  <c r="C16" i="116"/>
  <c r="E16" i="116"/>
  <c r="F16" i="116"/>
  <c r="G16" i="116"/>
  <c r="H16" i="116"/>
  <c r="I16" i="116"/>
  <c r="B17" i="116"/>
  <c r="C17" i="116"/>
  <c r="E17" i="116"/>
  <c r="F17" i="116"/>
  <c r="G17" i="116"/>
  <c r="H17" i="116"/>
  <c r="I17" i="116"/>
  <c r="B18" i="116"/>
  <c r="C18" i="116"/>
  <c r="E18" i="116"/>
  <c r="F18" i="116"/>
  <c r="G18" i="116"/>
  <c r="H18" i="116"/>
  <c r="I18" i="116"/>
  <c r="B19" i="116"/>
  <c r="C19" i="116"/>
  <c r="E19" i="116"/>
  <c r="F19" i="116"/>
  <c r="G19" i="116"/>
  <c r="H19" i="116"/>
  <c r="I19" i="116"/>
  <c r="B20" i="116"/>
  <c r="C20" i="116"/>
  <c r="E20" i="116"/>
  <c r="F20" i="116"/>
  <c r="G20" i="116"/>
  <c r="H20" i="116"/>
  <c r="I20" i="116"/>
  <c r="B21" i="116"/>
  <c r="C21" i="116"/>
  <c r="E21" i="116"/>
  <c r="F21" i="116"/>
  <c r="G21" i="116"/>
  <c r="H21" i="116"/>
  <c r="I21" i="116"/>
  <c r="B22" i="116"/>
  <c r="C22" i="116"/>
  <c r="E22" i="116"/>
  <c r="F22" i="116"/>
  <c r="G22" i="116"/>
  <c r="H22" i="116"/>
  <c r="I22" i="116"/>
  <c r="B23" i="116"/>
  <c r="C23" i="116"/>
  <c r="E23" i="116"/>
  <c r="F23" i="116"/>
  <c r="G23" i="116"/>
  <c r="H23" i="116"/>
  <c r="I23" i="116"/>
  <c r="G170" i="21" l="1"/>
  <c r="S156" i="21"/>
  <c r="B12" i="116"/>
  <c r="C12" i="116"/>
  <c r="E12" i="116"/>
  <c r="F12" i="116"/>
  <c r="G12" i="116"/>
  <c r="H12" i="116"/>
  <c r="I12" i="116"/>
  <c r="B13" i="116"/>
  <c r="C13" i="116"/>
  <c r="E13" i="116"/>
  <c r="F13" i="116"/>
  <c r="G13" i="116"/>
  <c r="H13" i="116"/>
  <c r="I13" i="116"/>
  <c r="B14" i="116"/>
  <c r="C14" i="116"/>
  <c r="E14" i="116"/>
  <c r="F14" i="116"/>
  <c r="G14" i="116"/>
  <c r="H14" i="116"/>
  <c r="I14" i="116"/>
  <c r="B15" i="116"/>
  <c r="C15" i="116"/>
  <c r="E15" i="116"/>
  <c r="F15" i="116"/>
  <c r="G15" i="116"/>
  <c r="H15" i="116"/>
  <c r="I15" i="116"/>
  <c r="B6" i="116" l="1"/>
  <c r="C6" i="116"/>
  <c r="E6" i="116"/>
  <c r="F6" i="116"/>
  <c r="G6" i="116"/>
  <c r="H6" i="116"/>
  <c r="I6" i="116"/>
  <c r="B7" i="116"/>
  <c r="C7" i="116"/>
  <c r="E7" i="116"/>
  <c r="F7" i="116"/>
  <c r="G7" i="116"/>
  <c r="H7" i="116"/>
  <c r="I7" i="116"/>
  <c r="B8" i="116"/>
  <c r="C8" i="116"/>
  <c r="E8" i="116"/>
  <c r="F8" i="116"/>
  <c r="G8" i="116"/>
  <c r="H8" i="116"/>
  <c r="I8" i="116"/>
  <c r="B9" i="116"/>
  <c r="C9" i="116"/>
  <c r="E9" i="116"/>
  <c r="F9" i="116"/>
  <c r="G9" i="116"/>
  <c r="H9" i="116"/>
  <c r="I9" i="116"/>
  <c r="B10" i="116"/>
  <c r="C10" i="116"/>
  <c r="E10" i="116"/>
  <c r="F10" i="116"/>
  <c r="G10" i="116"/>
  <c r="H10" i="116"/>
  <c r="I10" i="116"/>
  <c r="B11" i="116"/>
  <c r="C11" i="116"/>
  <c r="E11" i="116"/>
  <c r="F11" i="116"/>
  <c r="G11" i="116"/>
  <c r="H11" i="116"/>
  <c r="I11" i="116"/>
  <c r="B5" i="116" l="1"/>
  <c r="C5" i="116"/>
  <c r="E5" i="116"/>
  <c r="F5" i="116"/>
  <c r="G5" i="116"/>
  <c r="H5" i="116"/>
  <c r="I5" i="116"/>
  <c r="B4" i="116" l="1"/>
  <c r="C4" i="116"/>
  <c r="E4" i="116"/>
  <c r="F4" i="116"/>
  <c r="G4" i="116"/>
  <c r="H4" i="116"/>
  <c r="I4" i="116"/>
  <c r="B3" i="116" l="1"/>
  <c r="C3" i="116"/>
  <c r="E3" i="116"/>
  <c r="F3" i="116"/>
  <c r="G3" i="116"/>
  <c r="H3" i="116"/>
  <c r="I3" i="116"/>
  <c r="I2" i="116"/>
  <c r="H2" i="116"/>
  <c r="G2" i="116"/>
  <c r="F2" i="116"/>
  <c r="E2" i="116"/>
  <c r="C2" i="116"/>
  <c r="B2" i="116"/>
  <c r="I52" i="116" l="1"/>
  <c r="Q159" i="21"/>
  <c r="E170" i="21" l="1"/>
  <c r="B32" i="115"/>
  <c r="C32" i="115"/>
  <c r="E32" i="115"/>
  <c r="F32" i="115"/>
  <c r="G32" i="115"/>
  <c r="H32" i="115"/>
  <c r="I32" i="115"/>
  <c r="B33" i="115"/>
  <c r="C33" i="115"/>
  <c r="E33" i="115"/>
  <c r="F33" i="115"/>
  <c r="G33" i="115"/>
  <c r="H33" i="115"/>
  <c r="I33" i="115"/>
  <c r="B34" i="115"/>
  <c r="C34" i="115"/>
  <c r="E34" i="115"/>
  <c r="F34" i="115"/>
  <c r="G34" i="115"/>
  <c r="H34" i="115"/>
  <c r="I34" i="115"/>
  <c r="E169" i="21"/>
  <c r="B31" i="115" l="1"/>
  <c r="C31" i="115"/>
  <c r="E31" i="115"/>
  <c r="F31" i="115"/>
  <c r="G31" i="115"/>
  <c r="H31" i="115"/>
  <c r="I31" i="115"/>
  <c r="B29" i="115" l="1"/>
  <c r="C29" i="115"/>
  <c r="E29" i="115"/>
  <c r="F29" i="115"/>
  <c r="G29" i="115"/>
  <c r="H29" i="115"/>
  <c r="I29" i="115"/>
  <c r="B30" i="115"/>
  <c r="C30" i="115"/>
  <c r="E30" i="115"/>
  <c r="F30" i="115"/>
  <c r="G30" i="115"/>
  <c r="H30" i="115"/>
  <c r="I30" i="115"/>
  <c r="E178" i="21"/>
  <c r="B28" i="115" l="1"/>
  <c r="C28" i="115"/>
  <c r="E28" i="115"/>
  <c r="F28" i="115"/>
  <c r="G28" i="115"/>
  <c r="H28" i="115"/>
  <c r="I28" i="115"/>
  <c r="E172" i="21"/>
  <c r="B25" i="115" l="1"/>
  <c r="C25" i="115"/>
  <c r="E25" i="115"/>
  <c r="F25" i="115"/>
  <c r="G25" i="115"/>
  <c r="H25" i="115"/>
  <c r="I25" i="115"/>
  <c r="B26" i="115"/>
  <c r="C26" i="115"/>
  <c r="E26" i="115"/>
  <c r="F26" i="115"/>
  <c r="G26" i="115"/>
  <c r="H26" i="115"/>
  <c r="I26" i="115"/>
  <c r="B27" i="115"/>
  <c r="C27" i="115"/>
  <c r="E27" i="115"/>
  <c r="F27" i="115"/>
  <c r="G27" i="115"/>
  <c r="H27" i="115"/>
  <c r="I27" i="115"/>
  <c r="E168" i="21" l="1"/>
  <c r="B23" i="115"/>
  <c r="C23" i="115"/>
  <c r="E23" i="115"/>
  <c r="F23" i="115"/>
  <c r="G23" i="115"/>
  <c r="H23" i="115"/>
  <c r="I23" i="115"/>
  <c r="B24" i="115"/>
  <c r="C24" i="115"/>
  <c r="E24" i="115"/>
  <c r="F24" i="115"/>
  <c r="G24" i="115"/>
  <c r="H24" i="115"/>
  <c r="I24" i="115"/>
  <c r="B19" i="115" l="1"/>
  <c r="C19" i="115"/>
  <c r="E19" i="115"/>
  <c r="F19" i="115"/>
  <c r="G19" i="115"/>
  <c r="H19" i="115"/>
  <c r="I19" i="115"/>
  <c r="B20" i="115"/>
  <c r="C20" i="115"/>
  <c r="E20" i="115"/>
  <c r="F20" i="115"/>
  <c r="G20" i="115"/>
  <c r="H20" i="115"/>
  <c r="I20" i="115"/>
  <c r="B21" i="115"/>
  <c r="C21" i="115"/>
  <c r="E21" i="115"/>
  <c r="F21" i="115"/>
  <c r="G21" i="115"/>
  <c r="H21" i="115"/>
  <c r="I21" i="115"/>
  <c r="B22" i="115"/>
  <c r="C22" i="115"/>
  <c r="E22" i="115"/>
  <c r="F22" i="115"/>
  <c r="G22" i="115"/>
  <c r="H22" i="115"/>
  <c r="I22" i="115"/>
  <c r="W150" i="21" l="1"/>
  <c r="B18" i="115"/>
  <c r="C18" i="115"/>
  <c r="E18" i="115"/>
  <c r="F18" i="115"/>
  <c r="G18" i="115"/>
  <c r="H18" i="115"/>
  <c r="I18" i="115"/>
  <c r="I17" i="115" l="1"/>
  <c r="H17" i="115"/>
  <c r="G17" i="115"/>
  <c r="F17" i="115"/>
  <c r="E17" i="115"/>
  <c r="C17" i="115"/>
  <c r="B17" i="115"/>
  <c r="I16" i="115"/>
  <c r="H16" i="115"/>
  <c r="G16" i="115"/>
  <c r="F16" i="115"/>
  <c r="E16" i="115"/>
  <c r="C16" i="115"/>
  <c r="B16" i="115"/>
  <c r="I15" i="115"/>
  <c r="H15" i="115"/>
  <c r="G15" i="115"/>
  <c r="F15" i="115"/>
  <c r="E15" i="115"/>
  <c r="C15" i="115"/>
  <c r="B15" i="115"/>
  <c r="I14" i="115"/>
  <c r="H14" i="115"/>
  <c r="G14" i="115"/>
  <c r="F14" i="115"/>
  <c r="E14" i="115"/>
  <c r="C14" i="115"/>
  <c r="B14" i="115"/>
  <c r="I13" i="115"/>
  <c r="H13" i="115"/>
  <c r="G13" i="115"/>
  <c r="F13" i="115"/>
  <c r="E13" i="115"/>
  <c r="C13" i="115"/>
  <c r="B13" i="115"/>
  <c r="I12" i="115"/>
  <c r="H12" i="115"/>
  <c r="G12" i="115"/>
  <c r="F12" i="115"/>
  <c r="E12" i="115"/>
  <c r="C12" i="115"/>
  <c r="B12" i="115"/>
  <c r="B11" i="115" l="1"/>
  <c r="C11" i="115"/>
  <c r="E11" i="115"/>
  <c r="F11" i="115"/>
  <c r="G11" i="115"/>
  <c r="H11" i="115"/>
  <c r="I11" i="115"/>
  <c r="B9" i="115" l="1"/>
  <c r="C9" i="115"/>
  <c r="E9" i="115"/>
  <c r="F9" i="115"/>
  <c r="G9" i="115"/>
  <c r="H9" i="115"/>
  <c r="I9" i="115"/>
  <c r="B10" i="115"/>
  <c r="C10" i="115"/>
  <c r="E10" i="115"/>
  <c r="F10" i="115"/>
  <c r="G10" i="115"/>
  <c r="H10" i="115"/>
  <c r="I10" i="115"/>
  <c r="B5" i="115" l="1"/>
  <c r="C5" i="115"/>
  <c r="E5" i="115"/>
  <c r="F5" i="115"/>
  <c r="G5" i="115"/>
  <c r="H5" i="115"/>
  <c r="I5" i="115"/>
  <c r="B6" i="115"/>
  <c r="C6" i="115"/>
  <c r="E6" i="115"/>
  <c r="F6" i="115"/>
  <c r="G6" i="115"/>
  <c r="H6" i="115"/>
  <c r="I6" i="115"/>
  <c r="B7" i="115"/>
  <c r="C7" i="115"/>
  <c r="E7" i="115"/>
  <c r="F7" i="115"/>
  <c r="G7" i="115"/>
  <c r="H7" i="115"/>
  <c r="I7" i="115"/>
  <c r="B8" i="115"/>
  <c r="C8" i="115"/>
  <c r="E8" i="115"/>
  <c r="F8" i="115"/>
  <c r="G8" i="115"/>
  <c r="H8" i="115"/>
  <c r="I8" i="115"/>
  <c r="B3" i="115" l="1"/>
  <c r="C3" i="115"/>
  <c r="E3" i="115"/>
  <c r="F3" i="115"/>
  <c r="G3" i="115"/>
  <c r="H3" i="115"/>
  <c r="I3" i="115"/>
  <c r="B4" i="115"/>
  <c r="C4" i="115"/>
  <c r="E4" i="115"/>
  <c r="F4" i="115"/>
  <c r="G4" i="115"/>
  <c r="H4" i="115"/>
  <c r="I4" i="115"/>
  <c r="AC169" i="21" l="1"/>
  <c r="G70" i="12" s="1"/>
  <c r="AC170" i="21"/>
  <c r="AC171" i="21"/>
  <c r="AC172" i="21"/>
  <c r="G73" i="12" s="1"/>
  <c r="AC173" i="21"/>
  <c r="G74" i="12" s="1"/>
  <c r="AC174" i="21"/>
  <c r="G75" i="12" s="1"/>
  <c r="AC175" i="21"/>
  <c r="G76" i="12" s="1"/>
  <c r="AC176" i="21"/>
  <c r="G77" i="12" s="1"/>
  <c r="AC177" i="21"/>
  <c r="G78" i="12" s="1"/>
  <c r="AC178" i="21"/>
  <c r="G79" i="12" s="1"/>
  <c r="AC179" i="21"/>
  <c r="G80" i="12" s="1"/>
  <c r="AB169" i="21"/>
  <c r="F70" i="12" s="1"/>
  <c r="L70" i="12" s="1"/>
  <c r="AB170" i="21"/>
  <c r="F71" i="12" s="1"/>
  <c r="L71" i="12" s="1"/>
  <c r="AB171" i="21"/>
  <c r="F72" i="12" s="1"/>
  <c r="L72" i="12" s="1"/>
  <c r="AB172" i="21"/>
  <c r="F73" i="12" s="1"/>
  <c r="L73" i="12" s="1"/>
  <c r="AB173" i="21"/>
  <c r="F74" i="12" s="1"/>
  <c r="L74" i="12" s="1"/>
  <c r="AB174" i="21"/>
  <c r="F75" i="12" s="1"/>
  <c r="L75" i="12" s="1"/>
  <c r="AB175" i="21"/>
  <c r="F76" i="12" s="1"/>
  <c r="L76" i="12" s="1"/>
  <c r="AB176" i="21"/>
  <c r="F77" i="12" s="1"/>
  <c r="L77" i="12" s="1"/>
  <c r="AB177" i="21"/>
  <c r="F78" i="12" s="1"/>
  <c r="L78" i="12" s="1"/>
  <c r="AB178" i="21"/>
  <c r="F79" i="12" s="1"/>
  <c r="L79" i="12" s="1"/>
  <c r="AB179" i="21"/>
  <c r="F80" i="12" s="1"/>
  <c r="L80" i="12" s="1"/>
  <c r="AC168" i="21"/>
  <c r="G69" i="12" s="1"/>
  <c r="AB168" i="21"/>
  <c r="F69" i="12" s="1"/>
  <c r="L69" i="12" s="1"/>
  <c r="D180" i="21"/>
  <c r="Z180" i="21"/>
  <c r="Y180" i="21"/>
  <c r="X180" i="21"/>
  <c r="V180" i="21"/>
  <c r="T180" i="21"/>
  <c r="R180" i="21"/>
  <c r="Q180" i="21"/>
  <c r="P180" i="21"/>
  <c r="N180" i="21"/>
  <c r="M180" i="21"/>
  <c r="L180" i="21"/>
  <c r="K180" i="21"/>
  <c r="J180" i="21"/>
  <c r="H180" i="21"/>
  <c r="F180" i="21"/>
  <c r="AA180" i="21"/>
  <c r="W180" i="21"/>
  <c r="U180" i="21"/>
  <c r="O180" i="21"/>
  <c r="G180" i="21"/>
  <c r="E180" i="21"/>
  <c r="I2" i="115"/>
  <c r="I35" i="115" s="1"/>
  <c r="H2" i="115"/>
  <c r="G2" i="115"/>
  <c r="F2" i="115"/>
  <c r="E2" i="115"/>
  <c r="C2" i="115"/>
  <c r="B2" i="115"/>
  <c r="AA150" i="21"/>
  <c r="L81" i="12" l="1"/>
  <c r="G72" i="12"/>
  <c r="M72" i="12" s="1"/>
  <c r="G71" i="12"/>
  <c r="M71" i="12" s="1"/>
  <c r="M70" i="12"/>
  <c r="AB180" i="21"/>
  <c r="F81" i="12" s="1"/>
  <c r="M69" i="12"/>
  <c r="S180" i="21"/>
  <c r="M73" i="12"/>
  <c r="I180" i="21"/>
  <c r="M79" i="12"/>
  <c r="M75" i="12"/>
  <c r="M76" i="12"/>
  <c r="M78" i="12"/>
  <c r="M74" i="12"/>
  <c r="M77" i="12"/>
  <c r="M80" i="12"/>
  <c r="O149" i="21"/>
  <c r="AA159" i="21"/>
  <c r="B50" i="114"/>
  <c r="C50" i="114"/>
  <c r="E50" i="114"/>
  <c r="F50" i="114"/>
  <c r="G50" i="114"/>
  <c r="H50" i="114"/>
  <c r="I50" i="114"/>
  <c r="B51" i="114"/>
  <c r="C51" i="114"/>
  <c r="E51" i="114"/>
  <c r="F51" i="114"/>
  <c r="G51" i="114"/>
  <c r="H51" i="114"/>
  <c r="I51" i="114"/>
  <c r="AA156" i="21"/>
  <c r="B47" i="114"/>
  <c r="C47" i="114"/>
  <c r="E47" i="114"/>
  <c r="F47" i="114"/>
  <c r="G47" i="114"/>
  <c r="H47" i="114"/>
  <c r="I47" i="114"/>
  <c r="B48" i="114"/>
  <c r="C48" i="114"/>
  <c r="E48" i="114"/>
  <c r="F48" i="114"/>
  <c r="G48" i="114"/>
  <c r="H48" i="114"/>
  <c r="I48" i="114"/>
  <c r="B49" i="114"/>
  <c r="C49" i="114"/>
  <c r="E49" i="114"/>
  <c r="F49" i="114"/>
  <c r="G49" i="114"/>
  <c r="H49" i="114"/>
  <c r="I49" i="114"/>
  <c r="AA154" i="21"/>
  <c r="AC180" i="21" l="1"/>
  <c r="B46" i="114"/>
  <c r="C46" i="114"/>
  <c r="E46" i="114"/>
  <c r="F46" i="114"/>
  <c r="G46" i="114"/>
  <c r="H46" i="114"/>
  <c r="I46" i="114"/>
  <c r="G81" i="12" l="1"/>
  <c r="M81" i="12" s="1"/>
  <c r="B45" i="114"/>
  <c r="C45" i="114"/>
  <c r="E45" i="114"/>
  <c r="F45" i="114"/>
  <c r="G45" i="114"/>
  <c r="H45" i="114"/>
  <c r="I45" i="114"/>
  <c r="U156" i="21"/>
  <c r="B44" i="114" l="1"/>
  <c r="C44" i="114"/>
  <c r="E44" i="114"/>
  <c r="F44" i="114"/>
  <c r="G44" i="114"/>
  <c r="H44" i="114"/>
  <c r="I44" i="114"/>
  <c r="B41" i="114" l="1"/>
  <c r="C41" i="114"/>
  <c r="E41" i="114"/>
  <c r="F41" i="114"/>
  <c r="G41" i="114"/>
  <c r="H41" i="114"/>
  <c r="I41" i="114"/>
  <c r="B42" i="114"/>
  <c r="C42" i="114"/>
  <c r="E42" i="114"/>
  <c r="F42" i="114"/>
  <c r="G42" i="114"/>
  <c r="H42" i="114"/>
  <c r="I42" i="114"/>
  <c r="B43" i="114"/>
  <c r="C43" i="114"/>
  <c r="E43" i="114"/>
  <c r="F43" i="114"/>
  <c r="G43" i="114"/>
  <c r="H43" i="114"/>
  <c r="I43" i="114"/>
  <c r="B40" i="114" l="1"/>
  <c r="C40" i="114"/>
  <c r="E40" i="114"/>
  <c r="F40" i="114"/>
  <c r="G40" i="114"/>
  <c r="H40" i="114"/>
  <c r="I40" i="114"/>
  <c r="B39" i="114" l="1"/>
  <c r="C39" i="114"/>
  <c r="E39" i="114"/>
  <c r="F39" i="114"/>
  <c r="G39" i="114"/>
  <c r="H39" i="114"/>
  <c r="I39" i="114"/>
  <c r="B37" i="114" l="1"/>
  <c r="C37" i="114"/>
  <c r="E37" i="114"/>
  <c r="F37" i="114"/>
  <c r="G37" i="114"/>
  <c r="H37" i="114"/>
  <c r="I37" i="114"/>
  <c r="B38" i="114"/>
  <c r="C38" i="114"/>
  <c r="E38" i="114"/>
  <c r="F38" i="114"/>
  <c r="G38" i="114"/>
  <c r="H38" i="114"/>
  <c r="I38" i="114"/>
  <c r="B3" i="114"/>
  <c r="C3" i="114"/>
  <c r="E3" i="114"/>
  <c r="F3" i="114"/>
  <c r="G3" i="114"/>
  <c r="H3" i="114"/>
  <c r="I3" i="114"/>
  <c r="B4" i="114"/>
  <c r="C4" i="114"/>
  <c r="E4" i="114"/>
  <c r="F4" i="114"/>
  <c r="G4" i="114"/>
  <c r="H4" i="114"/>
  <c r="I4" i="114"/>
  <c r="B5" i="114"/>
  <c r="C5" i="114"/>
  <c r="E5" i="114"/>
  <c r="F5" i="114"/>
  <c r="G5" i="114"/>
  <c r="H5" i="114"/>
  <c r="I5" i="114"/>
  <c r="B6" i="114"/>
  <c r="C6" i="114"/>
  <c r="E6" i="114"/>
  <c r="F6" i="114"/>
  <c r="G6" i="114"/>
  <c r="H6" i="114"/>
  <c r="I6" i="114"/>
  <c r="B7" i="114"/>
  <c r="C7" i="114"/>
  <c r="E7" i="114"/>
  <c r="F7" i="114"/>
  <c r="G7" i="114"/>
  <c r="H7" i="114"/>
  <c r="I7" i="114"/>
  <c r="B8" i="114"/>
  <c r="C8" i="114"/>
  <c r="E8" i="114"/>
  <c r="F8" i="114"/>
  <c r="G8" i="114"/>
  <c r="H8" i="114"/>
  <c r="I8" i="114"/>
  <c r="B9" i="114"/>
  <c r="C9" i="114"/>
  <c r="E9" i="114"/>
  <c r="F9" i="114"/>
  <c r="G9" i="114"/>
  <c r="H9" i="114"/>
  <c r="I9" i="114"/>
  <c r="B10" i="114"/>
  <c r="C10" i="114"/>
  <c r="E10" i="114"/>
  <c r="F10" i="114"/>
  <c r="G10" i="114"/>
  <c r="H10" i="114"/>
  <c r="I10" i="114"/>
  <c r="B11" i="114"/>
  <c r="C11" i="114"/>
  <c r="E11" i="114"/>
  <c r="F11" i="114"/>
  <c r="G11" i="114"/>
  <c r="H11" i="114"/>
  <c r="I11" i="114"/>
  <c r="B12" i="114"/>
  <c r="C12" i="114"/>
  <c r="E12" i="114"/>
  <c r="F12" i="114"/>
  <c r="G12" i="114"/>
  <c r="H12" i="114"/>
  <c r="I12" i="114"/>
  <c r="B13" i="114"/>
  <c r="C13" i="114"/>
  <c r="E13" i="114"/>
  <c r="F13" i="114"/>
  <c r="G13" i="114"/>
  <c r="H13" i="114"/>
  <c r="I13" i="114"/>
  <c r="B14" i="114"/>
  <c r="C14" i="114"/>
  <c r="E14" i="114"/>
  <c r="F14" i="114"/>
  <c r="G14" i="114"/>
  <c r="H14" i="114"/>
  <c r="I14" i="114"/>
  <c r="B15" i="114"/>
  <c r="C15" i="114"/>
  <c r="E15" i="114"/>
  <c r="F15" i="114"/>
  <c r="G15" i="114"/>
  <c r="H15" i="114"/>
  <c r="I15" i="114"/>
  <c r="B16" i="114"/>
  <c r="C16" i="114"/>
  <c r="E16" i="114"/>
  <c r="F16" i="114"/>
  <c r="G16" i="114"/>
  <c r="H16" i="114"/>
  <c r="I16" i="114"/>
  <c r="B17" i="114"/>
  <c r="C17" i="114"/>
  <c r="E17" i="114"/>
  <c r="F17" i="114"/>
  <c r="G17" i="114"/>
  <c r="H17" i="114"/>
  <c r="I17" i="114"/>
  <c r="B18" i="114"/>
  <c r="C18" i="114"/>
  <c r="E18" i="114"/>
  <c r="F18" i="114"/>
  <c r="G18" i="114"/>
  <c r="H18" i="114"/>
  <c r="I18" i="114"/>
  <c r="B19" i="114"/>
  <c r="C19" i="114"/>
  <c r="E19" i="114"/>
  <c r="F19" i="114"/>
  <c r="G19" i="114"/>
  <c r="H19" i="114"/>
  <c r="I19" i="114"/>
  <c r="B20" i="114"/>
  <c r="C20" i="114"/>
  <c r="E20" i="114"/>
  <c r="F20" i="114"/>
  <c r="G20" i="114"/>
  <c r="H20" i="114"/>
  <c r="I20" i="114"/>
  <c r="B21" i="114"/>
  <c r="C21" i="114"/>
  <c r="E21" i="114"/>
  <c r="F21" i="114"/>
  <c r="G21" i="114"/>
  <c r="H21" i="114"/>
  <c r="I21" i="114"/>
  <c r="B22" i="114"/>
  <c r="C22" i="114"/>
  <c r="E22" i="114"/>
  <c r="F22" i="114"/>
  <c r="G22" i="114"/>
  <c r="H22" i="114"/>
  <c r="I22" i="114"/>
  <c r="B23" i="114"/>
  <c r="C23" i="114"/>
  <c r="E23" i="114"/>
  <c r="F23" i="114"/>
  <c r="G23" i="114"/>
  <c r="H23" i="114"/>
  <c r="I23" i="114"/>
  <c r="B24" i="114"/>
  <c r="C24" i="114"/>
  <c r="E24" i="114"/>
  <c r="F24" i="114"/>
  <c r="G24" i="114"/>
  <c r="H24" i="114"/>
  <c r="I24" i="114"/>
  <c r="B25" i="114"/>
  <c r="C25" i="114"/>
  <c r="E25" i="114"/>
  <c r="F25" i="114"/>
  <c r="G25" i="114"/>
  <c r="H25" i="114"/>
  <c r="I25" i="114"/>
  <c r="B26" i="114"/>
  <c r="C26" i="114"/>
  <c r="E26" i="114"/>
  <c r="F26" i="114"/>
  <c r="G26" i="114"/>
  <c r="H26" i="114"/>
  <c r="I26" i="114"/>
  <c r="B27" i="114"/>
  <c r="C27" i="114"/>
  <c r="E27" i="114"/>
  <c r="F27" i="114"/>
  <c r="G27" i="114"/>
  <c r="H27" i="114"/>
  <c r="I27" i="114"/>
  <c r="B28" i="114"/>
  <c r="C28" i="114"/>
  <c r="E28" i="114"/>
  <c r="F28" i="114"/>
  <c r="G28" i="114"/>
  <c r="H28" i="114"/>
  <c r="I28" i="114"/>
  <c r="B29" i="114"/>
  <c r="C29" i="114"/>
  <c r="E29" i="114"/>
  <c r="F29" i="114"/>
  <c r="G29" i="114"/>
  <c r="H29" i="114"/>
  <c r="I29" i="114"/>
  <c r="B30" i="114"/>
  <c r="C30" i="114"/>
  <c r="E30" i="114"/>
  <c r="F30" i="114"/>
  <c r="G30" i="114"/>
  <c r="H30" i="114"/>
  <c r="I30" i="114"/>
  <c r="B31" i="114"/>
  <c r="C31" i="114"/>
  <c r="E31" i="114"/>
  <c r="F31" i="114"/>
  <c r="G31" i="114"/>
  <c r="H31" i="114"/>
  <c r="I31" i="114"/>
  <c r="B32" i="114"/>
  <c r="C32" i="114"/>
  <c r="E32" i="114"/>
  <c r="F32" i="114"/>
  <c r="G32" i="114"/>
  <c r="H32" i="114"/>
  <c r="I32" i="114"/>
  <c r="B33" i="114"/>
  <c r="C33" i="114"/>
  <c r="E33" i="114"/>
  <c r="F33" i="114"/>
  <c r="G33" i="114"/>
  <c r="H33" i="114"/>
  <c r="I33" i="114"/>
  <c r="B34" i="114"/>
  <c r="C34" i="114"/>
  <c r="E34" i="114"/>
  <c r="F34" i="114"/>
  <c r="G34" i="114"/>
  <c r="H34" i="114"/>
  <c r="I34" i="114"/>
  <c r="B35" i="114"/>
  <c r="C35" i="114"/>
  <c r="E35" i="114"/>
  <c r="F35" i="114"/>
  <c r="G35" i="114"/>
  <c r="H35" i="114"/>
  <c r="I35" i="114"/>
  <c r="B36" i="114"/>
  <c r="C36" i="114"/>
  <c r="E36" i="114"/>
  <c r="F36" i="114"/>
  <c r="G36" i="114"/>
  <c r="H36" i="114"/>
  <c r="I36" i="114"/>
  <c r="I2" i="114"/>
  <c r="H2" i="114"/>
  <c r="G2" i="114"/>
  <c r="F2" i="114"/>
  <c r="E2" i="114"/>
  <c r="C2" i="114"/>
  <c r="B2" i="114"/>
  <c r="B36" i="113"/>
  <c r="C36" i="113"/>
  <c r="E36" i="113"/>
  <c r="F36" i="113"/>
  <c r="G36" i="113"/>
  <c r="H36" i="113"/>
  <c r="I36" i="113"/>
  <c r="I52" i="114" l="1"/>
  <c r="B35" i="113"/>
  <c r="C35" i="113"/>
  <c r="E35" i="113"/>
  <c r="F35" i="113"/>
  <c r="G35" i="113"/>
  <c r="H35" i="113"/>
  <c r="I35" i="113"/>
  <c r="Y150" i="21"/>
  <c r="B34" i="113" l="1"/>
  <c r="C34" i="113"/>
  <c r="E34" i="113"/>
  <c r="F34" i="113"/>
  <c r="G34" i="113"/>
  <c r="H34" i="113"/>
  <c r="I34" i="113"/>
  <c r="I33" i="113" l="1"/>
  <c r="Y159" i="21"/>
  <c r="B29" i="113"/>
  <c r="C29" i="113"/>
  <c r="E29" i="113"/>
  <c r="F29" i="113"/>
  <c r="G29" i="113"/>
  <c r="H29" i="113"/>
  <c r="I29" i="113"/>
  <c r="B30" i="113"/>
  <c r="C30" i="113"/>
  <c r="E30" i="113"/>
  <c r="F30" i="113"/>
  <c r="G30" i="113"/>
  <c r="H30" i="113"/>
  <c r="I30" i="113"/>
  <c r="B31" i="113"/>
  <c r="C31" i="113"/>
  <c r="E31" i="113"/>
  <c r="F31" i="113"/>
  <c r="G31" i="113"/>
  <c r="H31" i="113"/>
  <c r="I31" i="113"/>
  <c r="B32" i="113"/>
  <c r="C32" i="113"/>
  <c r="E32" i="113"/>
  <c r="F32" i="113"/>
  <c r="G32" i="113"/>
  <c r="H32" i="113"/>
  <c r="I32" i="113"/>
  <c r="B33" i="113"/>
  <c r="C33" i="113"/>
  <c r="E33" i="113"/>
  <c r="F33" i="113"/>
  <c r="G33" i="113"/>
  <c r="H33" i="113"/>
  <c r="B27" i="113" l="1"/>
  <c r="C27" i="113"/>
  <c r="E27" i="113"/>
  <c r="F27" i="113"/>
  <c r="G27" i="113"/>
  <c r="H27" i="113"/>
  <c r="I27" i="113"/>
  <c r="B28" i="113"/>
  <c r="C28" i="113"/>
  <c r="E28" i="113"/>
  <c r="F28" i="113"/>
  <c r="G28" i="113"/>
  <c r="H28" i="113"/>
  <c r="I28" i="113"/>
  <c r="B26" i="113" l="1"/>
  <c r="C26" i="113"/>
  <c r="E26" i="113"/>
  <c r="F26" i="113"/>
  <c r="G26" i="113"/>
  <c r="H26" i="113"/>
  <c r="I26" i="113"/>
  <c r="B25" i="113" l="1"/>
  <c r="C25" i="113"/>
  <c r="E25" i="113"/>
  <c r="F25" i="113"/>
  <c r="G25" i="113"/>
  <c r="H25" i="113"/>
  <c r="I25" i="113"/>
  <c r="Y151" i="21"/>
  <c r="B24" i="113" l="1"/>
  <c r="C24" i="113"/>
  <c r="E24" i="113"/>
  <c r="F24" i="113"/>
  <c r="G24" i="113"/>
  <c r="H24" i="113"/>
  <c r="I24" i="113"/>
  <c r="B19" i="113" l="1"/>
  <c r="C19" i="113"/>
  <c r="E19" i="113"/>
  <c r="F19" i="113"/>
  <c r="G19" i="113"/>
  <c r="H19" i="113"/>
  <c r="I19" i="113"/>
  <c r="B20" i="113"/>
  <c r="C20" i="113"/>
  <c r="E20" i="113"/>
  <c r="F20" i="113"/>
  <c r="G20" i="113"/>
  <c r="H20" i="113"/>
  <c r="I20" i="113"/>
  <c r="B21" i="113"/>
  <c r="C21" i="113"/>
  <c r="E21" i="113"/>
  <c r="F21" i="113"/>
  <c r="G21" i="113"/>
  <c r="H21" i="113"/>
  <c r="I21" i="113"/>
  <c r="B22" i="113"/>
  <c r="C22" i="113"/>
  <c r="E22" i="113"/>
  <c r="F22" i="113"/>
  <c r="G22" i="113"/>
  <c r="H22" i="113"/>
  <c r="I22" i="113"/>
  <c r="B23" i="113"/>
  <c r="C23" i="113"/>
  <c r="E23" i="113"/>
  <c r="F23" i="113"/>
  <c r="G23" i="113"/>
  <c r="H23" i="113"/>
  <c r="I23" i="113"/>
  <c r="B18" i="113" l="1"/>
  <c r="C18" i="113"/>
  <c r="E18" i="113"/>
  <c r="F18" i="113"/>
  <c r="G18" i="113"/>
  <c r="H18" i="113"/>
  <c r="I18" i="113"/>
  <c r="B16" i="113"/>
  <c r="C16" i="113"/>
  <c r="E16" i="113"/>
  <c r="F16" i="113"/>
  <c r="G16" i="113"/>
  <c r="H16" i="113"/>
  <c r="I16" i="113"/>
  <c r="B17" i="113"/>
  <c r="C17" i="113"/>
  <c r="E17" i="113"/>
  <c r="F17" i="113"/>
  <c r="G17" i="113"/>
  <c r="H17" i="113"/>
  <c r="I17" i="113"/>
  <c r="B15" i="113" l="1"/>
  <c r="C15" i="113"/>
  <c r="E15" i="113"/>
  <c r="F15" i="113"/>
  <c r="G15" i="113"/>
  <c r="H15" i="113"/>
  <c r="I15" i="113"/>
  <c r="B13" i="113" l="1"/>
  <c r="C13" i="113"/>
  <c r="E13" i="113"/>
  <c r="F13" i="113"/>
  <c r="G13" i="113"/>
  <c r="H13" i="113"/>
  <c r="I13" i="113"/>
  <c r="B14" i="113"/>
  <c r="C14" i="113"/>
  <c r="E14" i="113"/>
  <c r="F14" i="113"/>
  <c r="G14" i="113"/>
  <c r="H14" i="113"/>
  <c r="I14" i="113"/>
  <c r="B10" i="113" l="1"/>
  <c r="C10" i="113"/>
  <c r="E10" i="113"/>
  <c r="F10" i="113"/>
  <c r="G10" i="113"/>
  <c r="H10" i="113"/>
  <c r="I10" i="113"/>
  <c r="B11" i="113"/>
  <c r="C11" i="113"/>
  <c r="E11" i="113"/>
  <c r="F11" i="113"/>
  <c r="G11" i="113"/>
  <c r="H11" i="113"/>
  <c r="I11" i="113"/>
  <c r="B12" i="113"/>
  <c r="C12" i="113"/>
  <c r="E12" i="113"/>
  <c r="F12" i="113"/>
  <c r="G12" i="113"/>
  <c r="H12" i="113"/>
  <c r="I12" i="113"/>
  <c r="B6" i="113" l="1"/>
  <c r="C6" i="113"/>
  <c r="E6" i="113"/>
  <c r="F6" i="113"/>
  <c r="G6" i="113"/>
  <c r="H6" i="113"/>
  <c r="I6" i="113"/>
  <c r="B7" i="113"/>
  <c r="C7" i="113"/>
  <c r="E7" i="113"/>
  <c r="F7" i="113"/>
  <c r="G7" i="113"/>
  <c r="H7" i="113"/>
  <c r="I7" i="113"/>
  <c r="B8" i="113"/>
  <c r="C8" i="113"/>
  <c r="E8" i="113"/>
  <c r="F8" i="113"/>
  <c r="G8" i="113"/>
  <c r="H8" i="113"/>
  <c r="I8" i="113"/>
  <c r="B9" i="113"/>
  <c r="C9" i="113"/>
  <c r="E9" i="113"/>
  <c r="F9" i="113"/>
  <c r="G9" i="113"/>
  <c r="H9" i="113"/>
  <c r="I9" i="113"/>
  <c r="B3" i="113" l="1"/>
  <c r="C3" i="113"/>
  <c r="E3" i="113"/>
  <c r="F3" i="113"/>
  <c r="G3" i="113"/>
  <c r="H3" i="113"/>
  <c r="I3" i="113"/>
  <c r="B4" i="113"/>
  <c r="C4" i="113"/>
  <c r="E4" i="113"/>
  <c r="F4" i="113"/>
  <c r="G4" i="113"/>
  <c r="H4" i="113"/>
  <c r="I4" i="113"/>
  <c r="B5" i="113"/>
  <c r="C5" i="113"/>
  <c r="E5" i="113"/>
  <c r="F5" i="113"/>
  <c r="G5" i="113"/>
  <c r="H5" i="113"/>
  <c r="I5" i="113"/>
  <c r="I2" i="113"/>
  <c r="H2" i="113"/>
  <c r="G2" i="113"/>
  <c r="F2" i="113"/>
  <c r="E2" i="113"/>
  <c r="C2" i="113"/>
  <c r="B2" i="113"/>
  <c r="I37" i="113" l="1"/>
  <c r="B35" i="112"/>
  <c r="C35" i="112"/>
  <c r="E35" i="112"/>
  <c r="F35" i="112"/>
  <c r="G35" i="112"/>
  <c r="H35" i="112"/>
  <c r="I35" i="112"/>
  <c r="W151" i="21"/>
  <c r="B34" i="112" l="1"/>
  <c r="C34" i="112"/>
  <c r="E34" i="112"/>
  <c r="F34" i="112"/>
  <c r="G34" i="112"/>
  <c r="H34" i="112"/>
  <c r="I34" i="112"/>
  <c r="B33" i="112" l="1"/>
  <c r="C33" i="112"/>
  <c r="E33" i="112"/>
  <c r="F33" i="112"/>
  <c r="G33" i="112"/>
  <c r="H33" i="112"/>
  <c r="I33" i="112"/>
  <c r="W159" i="21"/>
  <c r="B31" i="112"/>
  <c r="C31" i="112"/>
  <c r="E31" i="112"/>
  <c r="F31" i="112"/>
  <c r="G31" i="112"/>
  <c r="H31" i="112"/>
  <c r="I31" i="112"/>
  <c r="B32" i="112"/>
  <c r="C32" i="112"/>
  <c r="E32" i="112"/>
  <c r="F32" i="112"/>
  <c r="G32" i="112"/>
  <c r="H32" i="112"/>
  <c r="I32" i="112"/>
  <c r="B30" i="112" l="1"/>
  <c r="C30" i="112"/>
  <c r="E30" i="112"/>
  <c r="F30" i="112"/>
  <c r="G30" i="112"/>
  <c r="H30" i="112"/>
  <c r="I30" i="112"/>
  <c r="W156" i="21" l="1"/>
  <c r="B22" i="112" l="1"/>
  <c r="C22" i="112"/>
  <c r="E22" i="112"/>
  <c r="F22" i="112"/>
  <c r="G22" i="112"/>
  <c r="H22" i="112"/>
  <c r="I22" i="112"/>
  <c r="B23" i="112"/>
  <c r="C23" i="112"/>
  <c r="E23" i="112"/>
  <c r="F23" i="112"/>
  <c r="G23" i="112"/>
  <c r="H23" i="112"/>
  <c r="I23" i="112"/>
  <c r="B24" i="112"/>
  <c r="C24" i="112"/>
  <c r="E24" i="112"/>
  <c r="F24" i="112"/>
  <c r="G24" i="112"/>
  <c r="H24" i="112"/>
  <c r="I24" i="112"/>
  <c r="B25" i="112"/>
  <c r="C25" i="112"/>
  <c r="E25" i="112"/>
  <c r="F25" i="112"/>
  <c r="G25" i="112"/>
  <c r="H25" i="112"/>
  <c r="I25" i="112"/>
  <c r="B26" i="112"/>
  <c r="C26" i="112"/>
  <c r="E26" i="112"/>
  <c r="F26" i="112"/>
  <c r="G26" i="112"/>
  <c r="H26" i="112"/>
  <c r="I26" i="112"/>
  <c r="B27" i="112"/>
  <c r="C27" i="112"/>
  <c r="E27" i="112"/>
  <c r="F27" i="112"/>
  <c r="G27" i="112"/>
  <c r="H27" i="112"/>
  <c r="I27" i="112"/>
  <c r="B28" i="112"/>
  <c r="C28" i="112"/>
  <c r="E28" i="112"/>
  <c r="F28" i="112"/>
  <c r="G28" i="112"/>
  <c r="H28" i="112"/>
  <c r="I28" i="112"/>
  <c r="B29" i="112"/>
  <c r="C29" i="112"/>
  <c r="E29" i="112"/>
  <c r="F29" i="112"/>
  <c r="G29" i="112"/>
  <c r="H29" i="112"/>
  <c r="I29" i="112"/>
  <c r="B20" i="112" l="1"/>
  <c r="C20" i="112"/>
  <c r="E20" i="112"/>
  <c r="F20" i="112"/>
  <c r="G20" i="112"/>
  <c r="H20" i="112"/>
  <c r="I20" i="112"/>
  <c r="B21" i="112"/>
  <c r="C21" i="112"/>
  <c r="E21" i="112"/>
  <c r="F21" i="112"/>
  <c r="G21" i="112"/>
  <c r="H21" i="112"/>
  <c r="I21" i="112"/>
  <c r="B15" i="112" l="1"/>
  <c r="C15" i="112"/>
  <c r="E15" i="112"/>
  <c r="F15" i="112"/>
  <c r="G15" i="112"/>
  <c r="H15" i="112"/>
  <c r="I15" i="112"/>
  <c r="B16" i="112"/>
  <c r="C16" i="112"/>
  <c r="E16" i="112"/>
  <c r="F16" i="112"/>
  <c r="G16" i="112"/>
  <c r="H16" i="112"/>
  <c r="I16" i="112"/>
  <c r="B17" i="112"/>
  <c r="C17" i="112"/>
  <c r="E17" i="112"/>
  <c r="F17" i="112"/>
  <c r="G17" i="112"/>
  <c r="H17" i="112"/>
  <c r="I17" i="112"/>
  <c r="B18" i="112"/>
  <c r="C18" i="112"/>
  <c r="E18" i="112"/>
  <c r="F18" i="112"/>
  <c r="G18" i="112"/>
  <c r="H18" i="112"/>
  <c r="I18" i="112"/>
  <c r="B19" i="112"/>
  <c r="C19" i="112"/>
  <c r="E19" i="112"/>
  <c r="F19" i="112"/>
  <c r="G19" i="112"/>
  <c r="H19" i="112"/>
  <c r="I19" i="112"/>
  <c r="B10" i="112" l="1"/>
  <c r="C10" i="112"/>
  <c r="E10" i="112"/>
  <c r="F10" i="112"/>
  <c r="G10" i="112"/>
  <c r="H10" i="112"/>
  <c r="I10" i="112"/>
  <c r="B11" i="112"/>
  <c r="C11" i="112"/>
  <c r="E11" i="112"/>
  <c r="F11" i="112"/>
  <c r="G11" i="112"/>
  <c r="H11" i="112"/>
  <c r="I11" i="112"/>
  <c r="B12" i="112"/>
  <c r="C12" i="112"/>
  <c r="E12" i="112"/>
  <c r="F12" i="112"/>
  <c r="G12" i="112"/>
  <c r="H12" i="112"/>
  <c r="I12" i="112"/>
  <c r="B13" i="112"/>
  <c r="C13" i="112"/>
  <c r="E13" i="112"/>
  <c r="F13" i="112"/>
  <c r="G13" i="112"/>
  <c r="H13" i="112"/>
  <c r="I13" i="112"/>
  <c r="B14" i="112"/>
  <c r="C14" i="112"/>
  <c r="E14" i="112"/>
  <c r="F14" i="112"/>
  <c r="G14" i="112"/>
  <c r="H14" i="112"/>
  <c r="I14" i="112"/>
  <c r="B4" i="112" l="1"/>
  <c r="C4" i="112"/>
  <c r="E4" i="112"/>
  <c r="F4" i="112"/>
  <c r="G4" i="112"/>
  <c r="H4" i="112"/>
  <c r="I4" i="112"/>
  <c r="B5" i="112"/>
  <c r="C5" i="112"/>
  <c r="E5" i="112"/>
  <c r="F5" i="112"/>
  <c r="G5" i="112"/>
  <c r="H5" i="112"/>
  <c r="I5" i="112"/>
  <c r="B6" i="112"/>
  <c r="C6" i="112"/>
  <c r="E6" i="112"/>
  <c r="F6" i="112"/>
  <c r="G6" i="112"/>
  <c r="H6" i="112"/>
  <c r="I6" i="112"/>
  <c r="B7" i="112"/>
  <c r="C7" i="112"/>
  <c r="E7" i="112"/>
  <c r="F7" i="112"/>
  <c r="G7" i="112"/>
  <c r="H7" i="112"/>
  <c r="I7" i="112"/>
  <c r="B8" i="112"/>
  <c r="C8" i="112"/>
  <c r="E8" i="112"/>
  <c r="F8" i="112"/>
  <c r="G8" i="112"/>
  <c r="H8" i="112"/>
  <c r="I8" i="112"/>
  <c r="B9" i="112"/>
  <c r="C9" i="112"/>
  <c r="E9" i="112"/>
  <c r="F9" i="112"/>
  <c r="G9" i="112"/>
  <c r="H9" i="112"/>
  <c r="I9" i="112"/>
  <c r="U159" i="21" l="1"/>
  <c r="U150" i="21"/>
  <c r="B3" i="112"/>
  <c r="C3" i="112"/>
  <c r="E3" i="112"/>
  <c r="F3" i="112"/>
  <c r="G3" i="112"/>
  <c r="H3" i="112"/>
  <c r="I3" i="112"/>
  <c r="I2" i="112"/>
  <c r="H2" i="112"/>
  <c r="G2" i="112"/>
  <c r="F2" i="112"/>
  <c r="E2" i="112"/>
  <c r="C2" i="112"/>
  <c r="B2" i="112"/>
  <c r="I36" i="112" l="1"/>
  <c r="B24" i="111"/>
  <c r="C24" i="111"/>
  <c r="E24" i="111"/>
  <c r="F24" i="111"/>
  <c r="G24" i="111"/>
  <c r="H24" i="111"/>
  <c r="I24" i="111"/>
  <c r="B17" i="111"/>
  <c r="C17" i="111"/>
  <c r="E17" i="111"/>
  <c r="F17" i="111"/>
  <c r="G17" i="111"/>
  <c r="H17" i="111"/>
  <c r="I17" i="111"/>
  <c r="B18" i="111"/>
  <c r="C18" i="111"/>
  <c r="E18" i="111"/>
  <c r="F18" i="111"/>
  <c r="G18" i="111"/>
  <c r="H18" i="111"/>
  <c r="I18" i="111"/>
  <c r="B19" i="111"/>
  <c r="C19" i="111"/>
  <c r="E19" i="111"/>
  <c r="F19" i="111"/>
  <c r="G19" i="111"/>
  <c r="H19" i="111"/>
  <c r="I19" i="111"/>
  <c r="B20" i="111"/>
  <c r="C20" i="111"/>
  <c r="E20" i="111"/>
  <c r="F20" i="111"/>
  <c r="G20" i="111"/>
  <c r="H20" i="111"/>
  <c r="I20" i="111"/>
  <c r="B21" i="111"/>
  <c r="C21" i="111"/>
  <c r="E21" i="111"/>
  <c r="F21" i="111"/>
  <c r="G21" i="111"/>
  <c r="H21" i="111"/>
  <c r="I21" i="111"/>
  <c r="B22" i="111"/>
  <c r="C22" i="111"/>
  <c r="E22" i="111"/>
  <c r="F22" i="111"/>
  <c r="G22" i="111"/>
  <c r="H22" i="111"/>
  <c r="I22" i="111"/>
  <c r="B23" i="111"/>
  <c r="C23" i="111"/>
  <c r="E23" i="111"/>
  <c r="F23" i="111"/>
  <c r="G23" i="111"/>
  <c r="H23" i="111"/>
  <c r="I23" i="111"/>
  <c r="U151" i="21"/>
  <c r="B15" i="111" l="1"/>
  <c r="C15" i="111"/>
  <c r="E15" i="111"/>
  <c r="F15" i="111"/>
  <c r="G15" i="111"/>
  <c r="H15" i="111"/>
  <c r="I15" i="111"/>
  <c r="B16" i="111"/>
  <c r="C16" i="111"/>
  <c r="E16" i="111"/>
  <c r="F16" i="111"/>
  <c r="G16" i="111"/>
  <c r="H16" i="111"/>
  <c r="I16" i="111"/>
  <c r="B14" i="111" l="1"/>
  <c r="C14" i="111"/>
  <c r="E14" i="111"/>
  <c r="F14" i="111"/>
  <c r="G14" i="111"/>
  <c r="H14" i="111"/>
  <c r="I14" i="111"/>
  <c r="B11" i="111" l="1"/>
  <c r="C11" i="111"/>
  <c r="E11" i="111"/>
  <c r="F11" i="111"/>
  <c r="G11" i="111"/>
  <c r="H11" i="111"/>
  <c r="I11" i="111"/>
  <c r="B12" i="111"/>
  <c r="C12" i="111"/>
  <c r="E12" i="111"/>
  <c r="F12" i="111"/>
  <c r="G12" i="111"/>
  <c r="H12" i="111"/>
  <c r="I12" i="111"/>
  <c r="B13" i="111"/>
  <c r="C13" i="111"/>
  <c r="E13" i="111"/>
  <c r="F13" i="111"/>
  <c r="G13" i="111"/>
  <c r="H13" i="111"/>
  <c r="I13" i="111"/>
  <c r="B10" i="111" l="1"/>
  <c r="C10" i="111"/>
  <c r="E10" i="111"/>
  <c r="F10" i="111"/>
  <c r="G10" i="111"/>
  <c r="H10" i="111"/>
  <c r="I10" i="111"/>
  <c r="U155" i="21"/>
  <c r="B5" i="111" l="1"/>
  <c r="C5" i="111"/>
  <c r="E5" i="111"/>
  <c r="F5" i="111"/>
  <c r="G5" i="111"/>
  <c r="H5" i="111"/>
  <c r="I5" i="111"/>
  <c r="B6" i="111"/>
  <c r="C6" i="111"/>
  <c r="E6" i="111"/>
  <c r="F6" i="111"/>
  <c r="G6" i="111"/>
  <c r="H6" i="111"/>
  <c r="I6" i="111"/>
  <c r="B7" i="111"/>
  <c r="C7" i="111"/>
  <c r="E7" i="111"/>
  <c r="F7" i="111"/>
  <c r="G7" i="111"/>
  <c r="H7" i="111"/>
  <c r="I7" i="111"/>
  <c r="B8" i="111"/>
  <c r="C8" i="111"/>
  <c r="E8" i="111"/>
  <c r="F8" i="111"/>
  <c r="G8" i="111"/>
  <c r="H8" i="111"/>
  <c r="I8" i="111"/>
  <c r="B9" i="111"/>
  <c r="C9" i="111"/>
  <c r="E9" i="111"/>
  <c r="F9" i="111"/>
  <c r="G9" i="111"/>
  <c r="H9" i="111"/>
  <c r="I9" i="111"/>
  <c r="B9" i="109" l="1"/>
  <c r="C9" i="109"/>
  <c r="E9" i="109"/>
  <c r="F9" i="109"/>
  <c r="G9" i="109"/>
  <c r="H9" i="109"/>
  <c r="I9" i="109"/>
  <c r="B10" i="109"/>
  <c r="C10" i="109"/>
  <c r="E10" i="109"/>
  <c r="F10" i="109"/>
  <c r="G10" i="109"/>
  <c r="H10" i="109"/>
  <c r="I10" i="109"/>
  <c r="B11" i="109"/>
  <c r="C11" i="109"/>
  <c r="E11" i="109"/>
  <c r="F11" i="109"/>
  <c r="G11" i="109"/>
  <c r="H11" i="109"/>
  <c r="I11" i="109"/>
  <c r="B3" i="111"/>
  <c r="C3" i="111"/>
  <c r="E3" i="111"/>
  <c r="F3" i="111"/>
  <c r="G3" i="111"/>
  <c r="H3" i="111"/>
  <c r="I3" i="111"/>
  <c r="B4" i="111"/>
  <c r="C4" i="111"/>
  <c r="E4" i="111"/>
  <c r="F4" i="111"/>
  <c r="G4" i="111"/>
  <c r="H4" i="111"/>
  <c r="I4" i="111"/>
  <c r="I2" i="111"/>
  <c r="H2" i="111"/>
  <c r="G2" i="111"/>
  <c r="F2" i="111"/>
  <c r="E2" i="111"/>
  <c r="C2" i="111"/>
  <c r="B2" i="111"/>
  <c r="I25" i="111" l="1"/>
  <c r="S150" i="21"/>
  <c r="B12" i="110"/>
  <c r="C12" i="110"/>
  <c r="E12" i="110"/>
  <c r="F12" i="110"/>
  <c r="G12" i="110"/>
  <c r="H12" i="110"/>
  <c r="I12" i="110"/>
  <c r="B13" i="110"/>
  <c r="C13" i="110"/>
  <c r="E13" i="110"/>
  <c r="F13" i="110"/>
  <c r="G13" i="110"/>
  <c r="H13" i="110"/>
  <c r="I13" i="110"/>
  <c r="B14" i="110"/>
  <c r="C14" i="110"/>
  <c r="E14" i="110"/>
  <c r="F14" i="110"/>
  <c r="G14" i="110"/>
  <c r="H14" i="110"/>
  <c r="I14" i="110"/>
  <c r="B15" i="110"/>
  <c r="C15" i="110"/>
  <c r="E15" i="110"/>
  <c r="F15" i="110"/>
  <c r="G15" i="110"/>
  <c r="H15" i="110"/>
  <c r="I15" i="110"/>
  <c r="B16" i="110"/>
  <c r="C16" i="110"/>
  <c r="E16" i="110"/>
  <c r="F16" i="110"/>
  <c r="G16" i="110"/>
  <c r="H16" i="110"/>
  <c r="I16" i="110"/>
  <c r="B17" i="110"/>
  <c r="C17" i="110"/>
  <c r="E17" i="110"/>
  <c r="F17" i="110"/>
  <c r="G17" i="110"/>
  <c r="H17" i="110"/>
  <c r="I17" i="110"/>
  <c r="S151" i="21" l="1"/>
  <c r="S159" i="21"/>
  <c r="B5" i="110"/>
  <c r="C5" i="110"/>
  <c r="E5" i="110"/>
  <c r="F5" i="110"/>
  <c r="G5" i="110"/>
  <c r="H5" i="110"/>
  <c r="I5" i="110"/>
  <c r="B6" i="110"/>
  <c r="C6" i="110"/>
  <c r="E6" i="110"/>
  <c r="F6" i="110"/>
  <c r="G6" i="110"/>
  <c r="H6" i="110"/>
  <c r="I6" i="110"/>
  <c r="B7" i="110"/>
  <c r="C7" i="110"/>
  <c r="E7" i="110"/>
  <c r="F7" i="110"/>
  <c r="G7" i="110"/>
  <c r="H7" i="110"/>
  <c r="I7" i="110"/>
  <c r="B8" i="110"/>
  <c r="C8" i="110"/>
  <c r="E8" i="110"/>
  <c r="F8" i="110"/>
  <c r="G8" i="110"/>
  <c r="H8" i="110"/>
  <c r="I8" i="110"/>
  <c r="B9" i="110"/>
  <c r="C9" i="110"/>
  <c r="E9" i="110"/>
  <c r="F9" i="110"/>
  <c r="G9" i="110"/>
  <c r="H9" i="110"/>
  <c r="I9" i="110"/>
  <c r="B10" i="110"/>
  <c r="C10" i="110"/>
  <c r="E10" i="110"/>
  <c r="F10" i="110"/>
  <c r="G10" i="110"/>
  <c r="H10" i="110"/>
  <c r="I10" i="110"/>
  <c r="B11" i="110"/>
  <c r="C11" i="110"/>
  <c r="E11" i="110"/>
  <c r="F11" i="110"/>
  <c r="G11" i="110"/>
  <c r="H11" i="110"/>
  <c r="I11" i="110"/>
  <c r="B3" i="110" l="1"/>
  <c r="C3" i="110"/>
  <c r="E3" i="110"/>
  <c r="F3" i="110"/>
  <c r="G3" i="110"/>
  <c r="H3" i="110"/>
  <c r="I3" i="110"/>
  <c r="B4" i="110"/>
  <c r="C4" i="110"/>
  <c r="E4" i="110"/>
  <c r="F4" i="110"/>
  <c r="G4" i="110"/>
  <c r="H4" i="110"/>
  <c r="I4" i="110"/>
  <c r="I2" i="110"/>
  <c r="H2" i="110"/>
  <c r="G2" i="110"/>
  <c r="F2" i="110"/>
  <c r="E2" i="110"/>
  <c r="C2" i="110"/>
  <c r="B2" i="110"/>
  <c r="B4" i="109"/>
  <c r="C4" i="109"/>
  <c r="E4" i="109"/>
  <c r="F4" i="109"/>
  <c r="G4" i="109"/>
  <c r="H4" i="109"/>
  <c r="I4" i="109"/>
  <c r="B5" i="109"/>
  <c r="C5" i="109"/>
  <c r="E5" i="109"/>
  <c r="F5" i="109"/>
  <c r="G5" i="109"/>
  <c r="H5" i="109"/>
  <c r="I5" i="109"/>
  <c r="B6" i="109"/>
  <c r="C6" i="109"/>
  <c r="E6" i="109"/>
  <c r="F6" i="109"/>
  <c r="G6" i="109"/>
  <c r="H6" i="109"/>
  <c r="I6" i="109"/>
  <c r="B7" i="109"/>
  <c r="C7" i="109"/>
  <c r="E7" i="109"/>
  <c r="F7" i="109"/>
  <c r="G7" i="109"/>
  <c r="H7" i="109"/>
  <c r="I7" i="109"/>
  <c r="B8" i="109"/>
  <c r="C8" i="109"/>
  <c r="E8" i="109"/>
  <c r="F8" i="109"/>
  <c r="G8" i="109"/>
  <c r="H8" i="109"/>
  <c r="I8" i="109"/>
  <c r="B12" i="109"/>
  <c r="C12" i="109"/>
  <c r="E12" i="109"/>
  <c r="F12" i="109"/>
  <c r="G12" i="109"/>
  <c r="H12" i="109"/>
  <c r="I12" i="109"/>
  <c r="I18" i="110" l="1"/>
  <c r="B3" i="109"/>
  <c r="C3" i="109"/>
  <c r="E3" i="109"/>
  <c r="F3" i="109"/>
  <c r="G3" i="109"/>
  <c r="H3" i="109"/>
  <c r="I3" i="109"/>
  <c r="I2" i="109"/>
  <c r="H2" i="109"/>
  <c r="G2" i="109"/>
  <c r="F2" i="109"/>
  <c r="E2" i="109"/>
  <c r="C2" i="109"/>
  <c r="B2" i="109"/>
  <c r="I13" i="109" l="1"/>
  <c r="B4" i="108" l="1"/>
  <c r="C4" i="108"/>
  <c r="E4" i="108"/>
  <c r="F4" i="108"/>
  <c r="G4" i="108"/>
  <c r="H4" i="108"/>
  <c r="I4" i="108"/>
  <c r="B3" i="108" l="1"/>
  <c r="C3" i="108"/>
  <c r="E3" i="108"/>
  <c r="F3" i="108"/>
  <c r="G3" i="108"/>
  <c r="H3" i="108"/>
  <c r="I3" i="108"/>
  <c r="AA130" i="21" l="1"/>
  <c r="I2" i="108" l="1"/>
  <c r="I5" i="108" s="1"/>
  <c r="H2" i="108"/>
  <c r="G2" i="108"/>
  <c r="F2" i="108"/>
  <c r="E2" i="108"/>
  <c r="C2" i="108"/>
  <c r="B2" i="108"/>
  <c r="G154" i="21" l="1"/>
  <c r="I153" i="21" l="1"/>
  <c r="I154" i="21" l="1"/>
  <c r="I159" i="21"/>
  <c r="I150" i="21"/>
  <c r="I156" i="21"/>
  <c r="I149" i="21"/>
  <c r="B25" i="107"/>
  <c r="C25" i="107"/>
  <c r="E25" i="107"/>
  <c r="F25" i="107"/>
  <c r="G25" i="107"/>
  <c r="H25" i="107"/>
  <c r="I25" i="107"/>
  <c r="B26" i="107"/>
  <c r="C26" i="107"/>
  <c r="E26" i="107"/>
  <c r="F26" i="107"/>
  <c r="G26" i="107"/>
  <c r="H26" i="107"/>
  <c r="I26" i="107"/>
  <c r="B27" i="107"/>
  <c r="C27" i="107"/>
  <c r="E27" i="107"/>
  <c r="F27" i="107"/>
  <c r="G27" i="107"/>
  <c r="H27" i="107"/>
  <c r="I27" i="107"/>
  <c r="B28" i="107"/>
  <c r="C28" i="107"/>
  <c r="E28" i="107"/>
  <c r="F28" i="107"/>
  <c r="G28" i="107"/>
  <c r="H28" i="107"/>
  <c r="I28" i="107"/>
  <c r="B29" i="107"/>
  <c r="C29" i="107"/>
  <c r="E29" i="107"/>
  <c r="F29" i="107"/>
  <c r="G29" i="107"/>
  <c r="H29" i="107"/>
  <c r="I29" i="107"/>
  <c r="B30" i="107"/>
  <c r="C30" i="107"/>
  <c r="E30" i="107"/>
  <c r="F30" i="107"/>
  <c r="G30" i="107"/>
  <c r="H30" i="107"/>
  <c r="I30" i="107"/>
  <c r="B31" i="107"/>
  <c r="C31" i="107"/>
  <c r="E31" i="107"/>
  <c r="F31" i="107"/>
  <c r="G31" i="107"/>
  <c r="H31" i="107"/>
  <c r="I31" i="107"/>
  <c r="B32" i="107"/>
  <c r="C32" i="107"/>
  <c r="E32" i="107"/>
  <c r="F32" i="107"/>
  <c r="G32" i="107"/>
  <c r="H32" i="107"/>
  <c r="I32" i="107"/>
  <c r="B33" i="107"/>
  <c r="C33" i="107"/>
  <c r="E33" i="107"/>
  <c r="F33" i="107"/>
  <c r="G33" i="107"/>
  <c r="H33" i="107"/>
  <c r="I33" i="107"/>
  <c r="B34" i="107"/>
  <c r="C34" i="107"/>
  <c r="E34" i="107"/>
  <c r="F34" i="107"/>
  <c r="G34" i="107"/>
  <c r="H34" i="107"/>
  <c r="I34" i="107"/>
  <c r="B35" i="107"/>
  <c r="C35" i="107"/>
  <c r="E35" i="107"/>
  <c r="F35" i="107"/>
  <c r="G35" i="107"/>
  <c r="H35" i="107"/>
  <c r="I35" i="107"/>
  <c r="B36" i="107"/>
  <c r="C36" i="107"/>
  <c r="E36" i="107"/>
  <c r="F36" i="107"/>
  <c r="G36" i="107"/>
  <c r="H36" i="107"/>
  <c r="I36" i="107"/>
  <c r="B37" i="107"/>
  <c r="C37" i="107"/>
  <c r="E37" i="107"/>
  <c r="F37" i="107"/>
  <c r="G37" i="107"/>
  <c r="H37" i="107"/>
  <c r="I37" i="107"/>
  <c r="B22" i="107" l="1"/>
  <c r="C22" i="107"/>
  <c r="E22" i="107"/>
  <c r="F22" i="107"/>
  <c r="G22" i="107"/>
  <c r="H22" i="107"/>
  <c r="I22" i="107"/>
  <c r="B23" i="107"/>
  <c r="C23" i="107"/>
  <c r="E23" i="107"/>
  <c r="F23" i="107"/>
  <c r="G23" i="107"/>
  <c r="H23" i="107"/>
  <c r="I23" i="107"/>
  <c r="B24" i="107"/>
  <c r="C24" i="107"/>
  <c r="E24" i="107"/>
  <c r="F24" i="107"/>
  <c r="G24" i="107"/>
  <c r="H24" i="107"/>
  <c r="I24" i="107"/>
  <c r="I151" i="21" l="1"/>
  <c r="B18" i="107"/>
  <c r="C18" i="107"/>
  <c r="E18" i="107"/>
  <c r="F18" i="107"/>
  <c r="G18" i="107"/>
  <c r="H18" i="107"/>
  <c r="I18" i="107"/>
  <c r="B19" i="107"/>
  <c r="C19" i="107"/>
  <c r="E19" i="107"/>
  <c r="F19" i="107"/>
  <c r="G19" i="107"/>
  <c r="H19" i="107"/>
  <c r="I19" i="107"/>
  <c r="B20" i="107"/>
  <c r="C20" i="107"/>
  <c r="E20" i="107"/>
  <c r="F20" i="107"/>
  <c r="G20" i="107"/>
  <c r="H20" i="107"/>
  <c r="I20" i="107"/>
  <c r="B21" i="107"/>
  <c r="C21" i="107"/>
  <c r="E21" i="107"/>
  <c r="F21" i="107"/>
  <c r="G21" i="107"/>
  <c r="H21" i="107"/>
  <c r="I21" i="107"/>
  <c r="B5" i="107" l="1"/>
  <c r="C5" i="107"/>
  <c r="E5" i="107"/>
  <c r="F5" i="107"/>
  <c r="G5" i="107"/>
  <c r="H5" i="107"/>
  <c r="I5" i="107"/>
  <c r="B6" i="107"/>
  <c r="C6" i="107"/>
  <c r="E6" i="107"/>
  <c r="F6" i="107"/>
  <c r="G6" i="107"/>
  <c r="H6" i="107"/>
  <c r="I6" i="107"/>
  <c r="B7" i="107"/>
  <c r="C7" i="107"/>
  <c r="E7" i="107"/>
  <c r="F7" i="107"/>
  <c r="G7" i="107"/>
  <c r="H7" i="107"/>
  <c r="I7" i="107"/>
  <c r="B8" i="107"/>
  <c r="C8" i="107"/>
  <c r="E8" i="107"/>
  <c r="F8" i="107"/>
  <c r="G8" i="107"/>
  <c r="H8" i="107"/>
  <c r="I8" i="107"/>
  <c r="B9" i="107"/>
  <c r="C9" i="107"/>
  <c r="E9" i="107"/>
  <c r="F9" i="107"/>
  <c r="G9" i="107"/>
  <c r="H9" i="107"/>
  <c r="I9" i="107"/>
  <c r="B10" i="107"/>
  <c r="C10" i="107"/>
  <c r="E10" i="107"/>
  <c r="F10" i="107"/>
  <c r="G10" i="107"/>
  <c r="H10" i="107"/>
  <c r="I10" i="107"/>
  <c r="B11" i="107"/>
  <c r="C11" i="107"/>
  <c r="E11" i="107"/>
  <c r="F11" i="107"/>
  <c r="G11" i="107"/>
  <c r="H11" i="107"/>
  <c r="I11" i="107"/>
  <c r="B12" i="107"/>
  <c r="C12" i="107"/>
  <c r="E12" i="107"/>
  <c r="F12" i="107"/>
  <c r="G12" i="107"/>
  <c r="H12" i="107"/>
  <c r="I12" i="107"/>
  <c r="B13" i="107"/>
  <c r="C13" i="107"/>
  <c r="E13" i="107"/>
  <c r="F13" i="107"/>
  <c r="G13" i="107"/>
  <c r="H13" i="107"/>
  <c r="I13" i="107"/>
  <c r="B14" i="107"/>
  <c r="C14" i="107"/>
  <c r="E14" i="107"/>
  <c r="F14" i="107"/>
  <c r="G14" i="107"/>
  <c r="H14" i="107"/>
  <c r="I14" i="107"/>
  <c r="B15" i="107"/>
  <c r="C15" i="107"/>
  <c r="E15" i="107"/>
  <c r="F15" i="107"/>
  <c r="G15" i="107"/>
  <c r="H15" i="107"/>
  <c r="I15" i="107"/>
  <c r="B16" i="107"/>
  <c r="C16" i="107"/>
  <c r="E16" i="107"/>
  <c r="F16" i="107"/>
  <c r="G16" i="107"/>
  <c r="H16" i="107"/>
  <c r="I16" i="107"/>
  <c r="B17" i="107"/>
  <c r="C17" i="107"/>
  <c r="E17" i="107"/>
  <c r="F17" i="107"/>
  <c r="G17" i="107"/>
  <c r="H17" i="107"/>
  <c r="I17" i="107"/>
  <c r="B4" i="107" l="1"/>
  <c r="C4" i="107"/>
  <c r="E4" i="107"/>
  <c r="F4" i="107"/>
  <c r="G4" i="107"/>
  <c r="H4" i="107"/>
  <c r="I4" i="107"/>
  <c r="B3" i="107" l="1"/>
  <c r="C3" i="107"/>
  <c r="E3" i="107"/>
  <c r="F3" i="107"/>
  <c r="G3" i="107"/>
  <c r="H3" i="107"/>
  <c r="I3" i="107"/>
  <c r="I2" i="107" l="1"/>
  <c r="I38" i="107" s="1"/>
  <c r="H2" i="107"/>
  <c r="G2" i="107"/>
  <c r="F2" i="107"/>
  <c r="E2" i="107"/>
  <c r="C2" i="107"/>
  <c r="B2" i="107"/>
  <c r="B23" i="106" l="1"/>
  <c r="C23" i="106"/>
  <c r="E23" i="106"/>
  <c r="F23" i="106"/>
  <c r="G23" i="106"/>
  <c r="H23" i="106"/>
  <c r="I23" i="106"/>
  <c r="G149" i="21"/>
  <c r="G153" i="21" l="1"/>
  <c r="B21" i="106"/>
  <c r="C21" i="106"/>
  <c r="E21" i="106"/>
  <c r="F21" i="106"/>
  <c r="G21" i="106"/>
  <c r="H21" i="106"/>
  <c r="I21" i="106"/>
  <c r="B22" i="106"/>
  <c r="C22" i="106"/>
  <c r="E22" i="106"/>
  <c r="F22" i="106"/>
  <c r="G22" i="106"/>
  <c r="H22" i="106"/>
  <c r="I22" i="106"/>
  <c r="G150" i="21"/>
  <c r="B19" i="106"/>
  <c r="C19" i="106"/>
  <c r="E19" i="106"/>
  <c r="F19" i="106"/>
  <c r="G19" i="106"/>
  <c r="H19" i="106"/>
  <c r="I19" i="106"/>
  <c r="B20" i="106"/>
  <c r="C20" i="106"/>
  <c r="E20" i="106"/>
  <c r="F20" i="106"/>
  <c r="G20" i="106"/>
  <c r="H20" i="106"/>
  <c r="I20" i="106"/>
  <c r="B18" i="106" l="1"/>
  <c r="C18" i="106"/>
  <c r="E18" i="106"/>
  <c r="F18" i="106"/>
  <c r="G18" i="106"/>
  <c r="H18" i="106"/>
  <c r="I18" i="106"/>
  <c r="E159" i="21" l="1"/>
  <c r="B17" i="106"/>
  <c r="C17" i="106"/>
  <c r="E17" i="106"/>
  <c r="F17" i="106"/>
  <c r="G17" i="106"/>
  <c r="H17" i="106"/>
  <c r="I17" i="106"/>
  <c r="Q140" i="21"/>
  <c r="B12" i="106"/>
  <c r="C12" i="106"/>
  <c r="E12" i="106"/>
  <c r="F12" i="106"/>
  <c r="G12" i="106"/>
  <c r="H12" i="106"/>
  <c r="I12" i="106"/>
  <c r="B13" i="106"/>
  <c r="C13" i="106"/>
  <c r="E13" i="106"/>
  <c r="F13" i="106"/>
  <c r="G13" i="106"/>
  <c r="H13" i="106"/>
  <c r="I13" i="106"/>
  <c r="B14" i="106"/>
  <c r="C14" i="106"/>
  <c r="E14" i="106"/>
  <c r="F14" i="106"/>
  <c r="G14" i="106"/>
  <c r="H14" i="106"/>
  <c r="I14" i="106"/>
  <c r="B15" i="106"/>
  <c r="C15" i="106"/>
  <c r="E15" i="106"/>
  <c r="F15" i="106"/>
  <c r="G15" i="106"/>
  <c r="H15" i="106"/>
  <c r="I15" i="106"/>
  <c r="B16" i="106"/>
  <c r="C16" i="106"/>
  <c r="E16" i="106"/>
  <c r="F16" i="106"/>
  <c r="G16" i="106"/>
  <c r="H16" i="106"/>
  <c r="I16" i="106"/>
  <c r="B10" i="106" l="1"/>
  <c r="C10" i="106"/>
  <c r="E10" i="106"/>
  <c r="F10" i="106"/>
  <c r="G10" i="106"/>
  <c r="H10" i="106"/>
  <c r="I10" i="106"/>
  <c r="B11" i="106"/>
  <c r="C11" i="106"/>
  <c r="E11" i="106"/>
  <c r="F11" i="106"/>
  <c r="G11" i="106"/>
  <c r="H11" i="106"/>
  <c r="I11" i="106"/>
  <c r="B8" i="106" l="1"/>
  <c r="C8" i="106"/>
  <c r="E8" i="106"/>
  <c r="F8" i="106"/>
  <c r="G8" i="106"/>
  <c r="H8" i="106"/>
  <c r="I8" i="106"/>
  <c r="B9" i="106"/>
  <c r="C9" i="106"/>
  <c r="E9" i="106"/>
  <c r="F9" i="106"/>
  <c r="G9" i="106"/>
  <c r="H9" i="106"/>
  <c r="I9" i="106"/>
  <c r="B5" i="106" l="1"/>
  <c r="C5" i="106"/>
  <c r="E5" i="106"/>
  <c r="F5" i="106"/>
  <c r="G5" i="106"/>
  <c r="H5" i="106"/>
  <c r="I5" i="106"/>
  <c r="B6" i="106"/>
  <c r="C6" i="106"/>
  <c r="E6" i="106"/>
  <c r="F6" i="106"/>
  <c r="G6" i="106"/>
  <c r="H6" i="106"/>
  <c r="I6" i="106"/>
  <c r="B7" i="106"/>
  <c r="C7" i="106"/>
  <c r="E7" i="106"/>
  <c r="F7" i="106"/>
  <c r="G7" i="106"/>
  <c r="H7" i="106"/>
  <c r="I7" i="106"/>
  <c r="B3" i="106" l="1"/>
  <c r="C3" i="106"/>
  <c r="E3" i="106"/>
  <c r="F3" i="106"/>
  <c r="G3" i="106"/>
  <c r="H3" i="106"/>
  <c r="I3" i="106"/>
  <c r="B4" i="106"/>
  <c r="C4" i="106"/>
  <c r="E4" i="106"/>
  <c r="F4" i="106"/>
  <c r="G4" i="106"/>
  <c r="H4" i="106"/>
  <c r="I4" i="106"/>
  <c r="I2" i="106"/>
  <c r="H2" i="106"/>
  <c r="G2" i="106"/>
  <c r="F2" i="106"/>
  <c r="E2" i="106"/>
  <c r="C2" i="106"/>
  <c r="B2" i="106"/>
  <c r="I24" i="106" l="1"/>
  <c r="M137" i="21"/>
  <c r="B41" i="97"/>
  <c r="C41" i="97"/>
  <c r="E41" i="97"/>
  <c r="F41" i="97"/>
  <c r="G41" i="97"/>
  <c r="H41" i="97"/>
  <c r="I41" i="97"/>
  <c r="B8" i="104"/>
  <c r="C8" i="104"/>
  <c r="E8" i="104"/>
  <c r="F8" i="104"/>
  <c r="G8" i="104"/>
  <c r="H8" i="104"/>
  <c r="I8" i="104"/>
  <c r="I7" i="98"/>
  <c r="H7" i="98"/>
  <c r="G7" i="98"/>
  <c r="F7" i="98"/>
  <c r="E7" i="98"/>
  <c r="C7" i="98"/>
  <c r="B7" i="98"/>
  <c r="O140" i="21"/>
  <c r="I2" i="98"/>
  <c r="H2" i="98"/>
  <c r="G2" i="98"/>
  <c r="F2" i="98"/>
  <c r="E2" i="98"/>
  <c r="C2" i="98"/>
  <c r="B2" i="98"/>
  <c r="O137" i="21"/>
  <c r="AA134" i="21"/>
  <c r="AA135" i="21"/>
  <c r="AA131" i="21"/>
  <c r="B28" i="105" l="1"/>
  <c r="C28" i="105"/>
  <c r="E28" i="105"/>
  <c r="F28" i="105"/>
  <c r="G28" i="105"/>
  <c r="H28" i="105"/>
  <c r="I28" i="105"/>
  <c r="E149" i="21"/>
  <c r="B26" i="105" l="1"/>
  <c r="C26" i="105"/>
  <c r="E26" i="105"/>
  <c r="F26" i="105"/>
  <c r="G26" i="105"/>
  <c r="H26" i="105"/>
  <c r="I26" i="105"/>
  <c r="B27" i="105"/>
  <c r="C27" i="105"/>
  <c r="E27" i="105"/>
  <c r="F27" i="105"/>
  <c r="G27" i="105"/>
  <c r="H27" i="105"/>
  <c r="I27" i="105"/>
  <c r="E150" i="21"/>
  <c r="I24" i="105" l="1"/>
  <c r="E156" i="21"/>
  <c r="B23" i="105"/>
  <c r="C23" i="105"/>
  <c r="E23" i="105"/>
  <c r="F23" i="105"/>
  <c r="G23" i="105"/>
  <c r="H23" i="105"/>
  <c r="I23" i="105"/>
  <c r="B24" i="105"/>
  <c r="C24" i="105"/>
  <c r="E24" i="105"/>
  <c r="F24" i="105"/>
  <c r="G24" i="105"/>
  <c r="H24" i="105"/>
  <c r="B25" i="105"/>
  <c r="C25" i="105"/>
  <c r="E25" i="105"/>
  <c r="F25" i="105"/>
  <c r="G25" i="105"/>
  <c r="H25" i="105"/>
  <c r="I25" i="105"/>
  <c r="E151" i="21" l="1"/>
  <c r="B19" i="105"/>
  <c r="C19" i="105"/>
  <c r="E19" i="105"/>
  <c r="F19" i="105"/>
  <c r="G19" i="105"/>
  <c r="H19" i="105"/>
  <c r="I19" i="105"/>
  <c r="B20" i="105"/>
  <c r="C20" i="105"/>
  <c r="E20" i="105"/>
  <c r="F20" i="105"/>
  <c r="G20" i="105"/>
  <c r="H20" i="105"/>
  <c r="I20" i="105"/>
  <c r="B21" i="105"/>
  <c r="C21" i="105"/>
  <c r="E21" i="105"/>
  <c r="F21" i="105"/>
  <c r="G21" i="105"/>
  <c r="H21" i="105"/>
  <c r="I21" i="105"/>
  <c r="B22" i="105"/>
  <c r="C22" i="105"/>
  <c r="E22" i="105"/>
  <c r="F22" i="105"/>
  <c r="G22" i="105"/>
  <c r="H22" i="105"/>
  <c r="I22" i="105"/>
  <c r="B16" i="105" l="1"/>
  <c r="C16" i="105"/>
  <c r="E16" i="105"/>
  <c r="F16" i="105"/>
  <c r="G16" i="105"/>
  <c r="H16" i="105"/>
  <c r="I16" i="105"/>
  <c r="B17" i="105"/>
  <c r="C17" i="105"/>
  <c r="E17" i="105"/>
  <c r="F17" i="105"/>
  <c r="G17" i="105"/>
  <c r="H17" i="105"/>
  <c r="I17" i="105"/>
  <c r="B18" i="105"/>
  <c r="C18" i="105"/>
  <c r="E18" i="105"/>
  <c r="F18" i="105"/>
  <c r="G18" i="105"/>
  <c r="H18" i="105"/>
  <c r="I18" i="105"/>
  <c r="E153" i="21" l="1"/>
  <c r="B12" i="105"/>
  <c r="C12" i="105"/>
  <c r="E12" i="105"/>
  <c r="F12" i="105"/>
  <c r="G12" i="105"/>
  <c r="H12" i="105"/>
  <c r="I12" i="105"/>
  <c r="B13" i="105"/>
  <c r="C13" i="105"/>
  <c r="E13" i="105"/>
  <c r="F13" i="105"/>
  <c r="G13" i="105"/>
  <c r="H13" i="105"/>
  <c r="I13" i="105"/>
  <c r="B14" i="105"/>
  <c r="C14" i="105"/>
  <c r="E14" i="105"/>
  <c r="F14" i="105"/>
  <c r="G14" i="105"/>
  <c r="H14" i="105"/>
  <c r="I14" i="105"/>
  <c r="B15" i="105"/>
  <c r="C15" i="105"/>
  <c r="E15" i="105"/>
  <c r="F15" i="105"/>
  <c r="G15" i="105"/>
  <c r="H15" i="105"/>
  <c r="I15" i="105"/>
  <c r="B11" i="105" l="1"/>
  <c r="C11" i="105"/>
  <c r="E11" i="105"/>
  <c r="F11" i="105"/>
  <c r="G11" i="105"/>
  <c r="H11" i="105"/>
  <c r="I11" i="105"/>
  <c r="B10" i="105" l="1"/>
  <c r="C10" i="105"/>
  <c r="E10" i="105"/>
  <c r="F10" i="105"/>
  <c r="G10" i="105"/>
  <c r="H10" i="105"/>
  <c r="I10" i="105"/>
  <c r="B7" i="105" l="1"/>
  <c r="C7" i="105"/>
  <c r="E7" i="105"/>
  <c r="F7" i="105"/>
  <c r="G7" i="105"/>
  <c r="H7" i="105"/>
  <c r="I7" i="105"/>
  <c r="B8" i="105"/>
  <c r="C8" i="105"/>
  <c r="E8" i="105"/>
  <c r="F8" i="105"/>
  <c r="G8" i="105"/>
  <c r="H8" i="105"/>
  <c r="I8" i="105"/>
  <c r="B9" i="105"/>
  <c r="C9" i="105"/>
  <c r="E9" i="105"/>
  <c r="F9" i="105"/>
  <c r="G9" i="105"/>
  <c r="H9" i="105"/>
  <c r="I9" i="105"/>
  <c r="B6" i="105" l="1"/>
  <c r="C6" i="105"/>
  <c r="E6" i="105"/>
  <c r="F6" i="105"/>
  <c r="G6" i="105"/>
  <c r="H6" i="105"/>
  <c r="I6" i="105"/>
  <c r="B5" i="105"/>
  <c r="C5" i="105"/>
  <c r="E5" i="105"/>
  <c r="F5" i="105"/>
  <c r="G5" i="105"/>
  <c r="H5" i="105"/>
  <c r="I5" i="105"/>
  <c r="B3" i="105" l="1"/>
  <c r="C3" i="105"/>
  <c r="E3" i="105"/>
  <c r="F3" i="105"/>
  <c r="G3" i="105"/>
  <c r="H3" i="105"/>
  <c r="I3" i="105"/>
  <c r="B4" i="105"/>
  <c r="C4" i="105"/>
  <c r="E4" i="105"/>
  <c r="F4" i="105"/>
  <c r="G4" i="105"/>
  <c r="H4" i="105"/>
  <c r="I4" i="105"/>
  <c r="I2" i="105"/>
  <c r="H2" i="105"/>
  <c r="G2" i="105"/>
  <c r="F2" i="105"/>
  <c r="E2" i="105"/>
  <c r="C2" i="105"/>
  <c r="B2" i="105"/>
  <c r="B50" i="104"/>
  <c r="C50" i="104"/>
  <c r="E50" i="104"/>
  <c r="F50" i="104"/>
  <c r="G50" i="104"/>
  <c r="H50" i="104"/>
  <c r="I50" i="104"/>
  <c r="B51" i="104"/>
  <c r="C51" i="104"/>
  <c r="E51" i="104"/>
  <c r="F51" i="104"/>
  <c r="G51" i="104"/>
  <c r="H51" i="104"/>
  <c r="I51" i="104"/>
  <c r="Z161" i="21"/>
  <c r="X161" i="21"/>
  <c r="V161" i="21"/>
  <c r="T161" i="21"/>
  <c r="R161" i="21"/>
  <c r="P161" i="21"/>
  <c r="N161" i="21"/>
  <c r="L161" i="21"/>
  <c r="J161" i="21"/>
  <c r="H161" i="21"/>
  <c r="F161" i="21"/>
  <c r="D161" i="21"/>
  <c r="AC160" i="21"/>
  <c r="E80" i="12" s="1"/>
  <c r="K80" i="12" s="1"/>
  <c r="AB160" i="21"/>
  <c r="D80" i="12" s="1"/>
  <c r="J80" i="12" s="1"/>
  <c r="AB159" i="21"/>
  <c r="AC159" i="21"/>
  <c r="AC158" i="21"/>
  <c r="E78" i="12" s="1"/>
  <c r="K78" i="12" s="1"/>
  <c r="AB158" i="21"/>
  <c r="D78" i="12" s="1"/>
  <c r="J78" i="12" s="1"/>
  <c r="AC157" i="21"/>
  <c r="E77" i="12" s="1"/>
  <c r="K77" i="12" s="1"/>
  <c r="AB157" i="21"/>
  <c r="D77" i="12" s="1"/>
  <c r="J77" i="12" s="1"/>
  <c r="AB156" i="21"/>
  <c r="AC156" i="21"/>
  <c r="AC155" i="21"/>
  <c r="AB155" i="21"/>
  <c r="AB154" i="21"/>
  <c r="AC154" i="21"/>
  <c r="AB153" i="21"/>
  <c r="AC153" i="21"/>
  <c r="AB152" i="21"/>
  <c r="D72" i="12" s="1"/>
  <c r="J72" i="12" s="1"/>
  <c r="AC152" i="21"/>
  <c r="E72" i="12" s="1"/>
  <c r="K72" i="12" s="1"/>
  <c r="AC151" i="21"/>
  <c r="AB151" i="21"/>
  <c r="AB150" i="21"/>
  <c r="AC150" i="21"/>
  <c r="O161" i="21"/>
  <c r="AB149" i="21"/>
  <c r="AC149" i="21"/>
  <c r="Y161" i="21"/>
  <c r="W161" i="21"/>
  <c r="U161" i="21"/>
  <c r="S161" i="21"/>
  <c r="Q161" i="21"/>
  <c r="M161" i="21"/>
  <c r="K161" i="21"/>
  <c r="I161" i="21"/>
  <c r="G161" i="21"/>
  <c r="E161" i="21"/>
  <c r="H61" i="12" l="1"/>
  <c r="I59" i="12"/>
  <c r="E75" i="12"/>
  <c r="K75" i="12" s="1"/>
  <c r="H62" i="12"/>
  <c r="I56" i="12"/>
  <c r="H57" i="12"/>
  <c r="D73" i="12"/>
  <c r="J73" i="12" s="1"/>
  <c r="H56" i="12"/>
  <c r="H55" i="12"/>
  <c r="D71" i="12"/>
  <c r="J71" i="12" s="1"/>
  <c r="I58" i="12"/>
  <c r="E74" i="12"/>
  <c r="K74" i="12" s="1"/>
  <c r="I64" i="12"/>
  <c r="I57" i="12"/>
  <c r="E73" i="12"/>
  <c r="K73" i="12" s="1"/>
  <c r="I53" i="12"/>
  <c r="E69" i="12"/>
  <c r="K69" i="12" s="1"/>
  <c r="I55" i="12"/>
  <c r="E71" i="12"/>
  <c r="K71" i="12" s="1"/>
  <c r="H58" i="12"/>
  <c r="D74" i="12"/>
  <c r="J74" i="12" s="1"/>
  <c r="I62" i="12"/>
  <c r="H53" i="12"/>
  <c r="D69" i="12"/>
  <c r="J69" i="12" s="1"/>
  <c r="H59" i="12"/>
  <c r="D75" i="12"/>
  <c r="J75" i="12" s="1"/>
  <c r="H64" i="12"/>
  <c r="I61" i="12"/>
  <c r="I60" i="12"/>
  <c r="E76" i="12"/>
  <c r="K76" i="12" s="1"/>
  <c r="H60" i="12"/>
  <c r="D76" i="12"/>
  <c r="J76" i="12" s="1"/>
  <c r="I63" i="12"/>
  <c r="E79" i="12"/>
  <c r="K79" i="12" s="1"/>
  <c r="H63" i="12"/>
  <c r="D79" i="12"/>
  <c r="J79" i="12" s="1"/>
  <c r="I54" i="12"/>
  <c r="E70" i="12"/>
  <c r="K70" i="12" s="1"/>
  <c r="H54" i="12"/>
  <c r="D70" i="12"/>
  <c r="J70" i="12" s="1"/>
  <c r="AB161" i="21"/>
  <c r="I29" i="105"/>
  <c r="AA161" i="21"/>
  <c r="AC161" i="21" s="1"/>
  <c r="I48" i="104"/>
  <c r="B43" i="104"/>
  <c r="C43" i="104"/>
  <c r="E43" i="104"/>
  <c r="F43" i="104"/>
  <c r="G43" i="104"/>
  <c r="H43" i="104"/>
  <c r="I43" i="104"/>
  <c r="B44" i="104"/>
  <c r="C44" i="104"/>
  <c r="E44" i="104"/>
  <c r="F44" i="104"/>
  <c r="G44" i="104"/>
  <c r="H44" i="104"/>
  <c r="I44" i="104"/>
  <c r="B45" i="104"/>
  <c r="C45" i="104"/>
  <c r="E45" i="104"/>
  <c r="F45" i="104"/>
  <c r="G45" i="104"/>
  <c r="H45" i="104"/>
  <c r="I45" i="104"/>
  <c r="B46" i="104"/>
  <c r="C46" i="104"/>
  <c r="E46" i="104"/>
  <c r="F46" i="104"/>
  <c r="G46" i="104"/>
  <c r="H46" i="104"/>
  <c r="I46" i="104"/>
  <c r="B47" i="104"/>
  <c r="C47" i="104"/>
  <c r="E47" i="104"/>
  <c r="F47" i="104"/>
  <c r="G47" i="104"/>
  <c r="H47" i="104"/>
  <c r="I47" i="104"/>
  <c r="B48" i="104"/>
  <c r="C48" i="104"/>
  <c r="E48" i="104"/>
  <c r="F48" i="104"/>
  <c r="G48" i="104"/>
  <c r="H48" i="104"/>
  <c r="B49" i="104"/>
  <c r="C49" i="104"/>
  <c r="E49" i="104"/>
  <c r="F49" i="104"/>
  <c r="G49" i="104"/>
  <c r="H49" i="104"/>
  <c r="I49" i="104"/>
  <c r="AA137" i="21"/>
  <c r="K81" i="12" l="1"/>
  <c r="J81" i="12"/>
  <c r="I65" i="12"/>
  <c r="E81" i="12"/>
  <c r="H65" i="12"/>
  <c r="D81" i="12"/>
  <c r="I40" i="104"/>
  <c r="B40" i="104"/>
  <c r="C40" i="104"/>
  <c r="E40" i="104"/>
  <c r="F40" i="104"/>
  <c r="G40" i="104"/>
  <c r="H40" i="104"/>
  <c r="B41" i="104"/>
  <c r="C41" i="104"/>
  <c r="E41" i="104"/>
  <c r="F41" i="104"/>
  <c r="G41" i="104"/>
  <c r="H41" i="104"/>
  <c r="I41" i="104"/>
  <c r="B42" i="104"/>
  <c r="C42" i="104"/>
  <c r="E42" i="104"/>
  <c r="F42" i="104"/>
  <c r="G42" i="104"/>
  <c r="H42" i="104"/>
  <c r="I42" i="104"/>
  <c r="B39" i="104"/>
  <c r="C39" i="104"/>
  <c r="E39" i="104"/>
  <c r="F39" i="104"/>
  <c r="G39" i="104"/>
  <c r="H39" i="104"/>
  <c r="I39" i="104"/>
  <c r="B37" i="104" l="1"/>
  <c r="C37" i="104"/>
  <c r="E37" i="104"/>
  <c r="F37" i="104"/>
  <c r="G37" i="104"/>
  <c r="H37" i="104"/>
  <c r="I37" i="104"/>
  <c r="B38" i="104"/>
  <c r="C38" i="104"/>
  <c r="E38" i="104"/>
  <c r="F38" i="104"/>
  <c r="G38" i="104"/>
  <c r="H38" i="104"/>
  <c r="I38" i="104"/>
  <c r="B35" i="104" l="1"/>
  <c r="C35" i="104"/>
  <c r="E35" i="104"/>
  <c r="F35" i="104"/>
  <c r="G35" i="104"/>
  <c r="H35" i="104"/>
  <c r="I35" i="104"/>
  <c r="B36" i="104"/>
  <c r="C36" i="104"/>
  <c r="E36" i="104"/>
  <c r="F36" i="104"/>
  <c r="G36" i="104"/>
  <c r="H36" i="104"/>
  <c r="I36" i="104"/>
  <c r="B34" i="104" l="1"/>
  <c r="C34" i="104"/>
  <c r="E34" i="104"/>
  <c r="F34" i="104"/>
  <c r="G34" i="104"/>
  <c r="H34" i="104"/>
  <c r="I34" i="104"/>
  <c r="B33" i="104"/>
  <c r="C33" i="104"/>
  <c r="E33" i="104"/>
  <c r="F33" i="104"/>
  <c r="G33" i="104"/>
  <c r="H33" i="104"/>
  <c r="I33" i="104"/>
  <c r="B27" i="104"/>
  <c r="C27" i="104"/>
  <c r="E27" i="104"/>
  <c r="F27" i="104"/>
  <c r="G27" i="104"/>
  <c r="H27" i="104"/>
  <c r="I27" i="104"/>
  <c r="B28" i="104"/>
  <c r="C28" i="104"/>
  <c r="E28" i="104"/>
  <c r="F28" i="104"/>
  <c r="G28" i="104"/>
  <c r="H28" i="104"/>
  <c r="I28" i="104"/>
  <c r="B29" i="104"/>
  <c r="C29" i="104"/>
  <c r="E29" i="104"/>
  <c r="F29" i="104"/>
  <c r="G29" i="104"/>
  <c r="H29" i="104"/>
  <c r="I29" i="104"/>
  <c r="B30" i="104"/>
  <c r="C30" i="104"/>
  <c r="E30" i="104"/>
  <c r="F30" i="104"/>
  <c r="G30" i="104"/>
  <c r="H30" i="104"/>
  <c r="I30" i="104"/>
  <c r="B31" i="104"/>
  <c r="C31" i="104"/>
  <c r="E31" i="104"/>
  <c r="F31" i="104"/>
  <c r="G31" i="104"/>
  <c r="H31" i="104"/>
  <c r="I31" i="104"/>
  <c r="B32" i="104"/>
  <c r="C32" i="104"/>
  <c r="E32" i="104"/>
  <c r="F32" i="104"/>
  <c r="G32" i="104"/>
  <c r="H32" i="104"/>
  <c r="I32" i="104"/>
  <c r="B23" i="104" l="1"/>
  <c r="C23" i="104"/>
  <c r="E23" i="104"/>
  <c r="F23" i="104"/>
  <c r="G23" i="104"/>
  <c r="H23" i="104"/>
  <c r="I23" i="104"/>
  <c r="B24" i="104"/>
  <c r="C24" i="104"/>
  <c r="E24" i="104"/>
  <c r="F24" i="104"/>
  <c r="G24" i="104"/>
  <c r="H24" i="104"/>
  <c r="I24" i="104"/>
  <c r="B25" i="104"/>
  <c r="C25" i="104"/>
  <c r="E25" i="104"/>
  <c r="F25" i="104"/>
  <c r="G25" i="104"/>
  <c r="H25" i="104"/>
  <c r="I25" i="104"/>
  <c r="B26" i="104"/>
  <c r="C26" i="104"/>
  <c r="E26" i="104"/>
  <c r="F26" i="104"/>
  <c r="G26" i="104"/>
  <c r="H26" i="104"/>
  <c r="I26" i="104"/>
  <c r="B21" i="104" l="1"/>
  <c r="C21" i="104"/>
  <c r="E21" i="104"/>
  <c r="F21" i="104"/>
  <c r="G21" i="104"/>
  <c r="H21" i="104"/>
  <c r="I21" i="104"/>
  <c r="B22" i="104"/>
  <c r="C22" i="104"/>
  <c r="E22" i="104"/>
  <c r="F22" i="104"/>
  <c r="G22" i="104"/>
  <c r="H22" i="104"/>
  <c r="I22" i="104"/>
  <c r="B19" i="104"/>
  <c r="C19" i="104"/>
  <c r="E19" i="104"/>
  <c r="F19" i="104"/>
  <c r="G19" i="104"/>
  <c r="H19" i="104"/>
  <c r="I19" i="104"/>
  <c r="B20" i="104"/>
  <c r="C20" i="104"/>
  <c r="E20" i="104"/>
  <c r="F20" i="104"/>
  <c r="G20" i="104"/>
  <c r="H20" i="104"/>
  <c r="I20" i="104"/>
  <c r="B14" i="104" l="1"/>
  <c r="C14" i="104"/>
  <c r="E14" i="104"/>
  <c r="F14" i="104"/>
  <c r="G14" i="104"/>
  <c r="H14" i="104"/>
  <c r="I14" i="104"/>
  <c r="B15" i="104"/>
  <c r="C15" i="104"/>
  <c r="E15" i="104"/>
  <c r="F15" i="104"/>
  <c r="G15" i="104"/>
  <c r="H15" i="104"/>
  <c r="I15" i="104"/>
  <c r="B16" i="104"/>
  <c r="C16" i="104"/>
  <c r="E16" i="104"/>
  <c r="F16" i="104"/>
  <c r="G16" i="104"/>
  <c r="H16" i="104"/>
  <c r="I16" i="104"/>
  <c r="B17" i="104"/>
  <c r="C17" i="104"/>
  <c r="E17" i="104"/>
  <c r="F17" i="104"/>
  <c r="G17" i="104"/>
  <c r="H17" i="104"/>
  <c r="I17" i="104"/>
  <c r="B18" i="104"/>
  <c r="C18" i="104"/>
  <c r="E18" i="104"/>
  <c r="F18" i="104"/>
  <c r="G18" i="104"/>
  <c r="H18" i="104"/>
  <c r="I18" i="104"/>
  <c r="B90" i="103" l="1"/>
  <c r="C90" i="103"/>
  <c r="E90" i="103"/>
  <c r="F90" i="103"/>
  <c r="G90" i="103"/>
  <c r="H90" i="103"/>
  <c r="I90" i="103"/>
  <c r="Y131" i="21"/>
  <c r="B13" i="104" l="1"/>
  <c r="C13" i="104"/>
  <c r="E13" i="104"/>
  <c r="F13" i="104"/>
  <c r="G13" i="104"/>
  <c r="H13" i="104"/>
  <c r="I13" i="104"/>
  <c r="B12" i="104"/>
  <c r="C12" i="104"/>
  <c r="E12" i="104"/>
  <c r="F12" i="104"/>
  <c r="G12" i="104"/>
  <c r="H12" i="104"/>
  <c r="I12" i="104"/>
  <c r="B9" i="104" l="1"/>
  <c r="C9" i="104"/>
  <c r="E9" i="104"/>
  <c r="F9" i="104"/>
  <c r="G9" i="104"/>
  <c r="H9" i="104"/>
  <c r="I9" i="104"/>
  <c r="B10" i="104"/>
  <c r="C10" i="104"/>
  <c r="E10" i="104"/>
  <c r="F10" i="104"/>
  <c r="G10" i="104"/>
  <c r="H10" i="104"/>
  <c r="I10" i="104"/>
  <c r="B11" i="104"/>
  <c r="C11" i="104"/>
  <c r="E11" i="104"/>
  <c r="F11" i="104"/>
  <c r="G11" i="104"/>
  <c r="H11" i="104"/>
  <c r="I11" i="104"/>
  <c r="B3" i="104" l="1"/>
  <c r="C3" i="104"/>
  <c r="E3" i="104"/>
  <c r="F3" i="104"/>
  <c r="G3" i="104"/>
  <c r="H3" i="104"/>
  <c r="I3" i="104"/>
  <c r="B4" i="104"/>
  <c r="C4" i="104"/>
  <c r="E4" i="104"/>
  <c r="F4" i="104"/>
  <c r="G4" i="104"/>
  <c r="H4" i="104"/>
  <c r="I4" i="104"/>
  <c r="B5" i="104"/>
  <c r="C5" i="104"/>
  <c r="E5" i="104"/>
  <c r="F5" i="104"/>
  <c r="G5" i="104"/>
  <c r="H5" i="104"/>
  <c r="I5" i="104"/>
  <c r="B6" i="104"/>
  <c r="C6" i="104"/>
  <c r="E6" i="104"/>
  <c r="F6" i="104"/>
  <c r="G6" i="104"/>
  <c r="H6" i="104"/>
  <c r="I6" i="104"/>
  <c r="B7" i="104"/>
  <c r="C7" i="104"/>
  <c r="E7" i="104"/>
  <c r="F7" i="104"/>
  <c r="G7" i="104"/>
  <c r="H7" i="104"/>
  <c r="I7" i="104"/>
  <c r="I2" i="104"/>
  <c r="H2" i="104"/>
  <c r="G2" i="104"/>
  <c r="F2" i="104"/>
  <c r="E2" i="104"/>
  <c r="C2" i="104"/>
  <c r="B2" i="104"/>
  <c r="Y135" i="21"/>
  <c r="I52" i="104" l="1"/>
  <c r="I91" i="103"/>
  <c r="B91" i="103"/>
  <c r="C91" i="103"/>
  <c r="E91" i="103"/>
  <c r="F91" i="103"/>
  <c r="G91" i="103"/>
  <c r="H91" i="103"/>
  <c r="B89" i="103"/>
  <c r="C89" i="103"/>
  <c r="E89" i="103"/>
  <c r="F89" i="103"/>
  <c r="G89" i="103"/>
  <c r="H89" i="103"/>
  <c r="I89" i="103"/>
  <c r="Y130" i="21"/>
  <c r="I88" i="103"/>
  <c r="B86" i="103"/>
  <c r="C86" i="103"/>
  <c r="E86" i="103"/>
  <c r="F86" i="103"/>
  <c r="G86" i="103"/>
  <c r="H86" i="103"/>
  <c r="I86" i="103"/>
  <c r="B87" i="103"/>
  <c r="C87" i="103"/>
  <c r="E87" i="103"/>
  <c r="F87" i="103"/>
  <c r="G87" i="103"/>
  <c r="H87" i="103"/>
  <c r="I87" i="103"/>
  <c r="B88" i="103"/>
  <c r="C88" i="103"/>
  <c r="E88" i="103"/>
  <c r="F88" i="103"/>
  <c r="G88" i="103"/>
  <c r="H88" i="103"/>
  <c r="Y140" i="21"/>
  <c r="B62" i="103"/>
  <c r="C62" i="103"/>
  <c r="E62" i="103"/>
  <c r="F62" i="103"/>
  <c r="G62" i="103"/>
  <c r="H62" i="103"/>
  <c r="I62" i="103"/>
  <c r="B63" i="103"/>
  <c r="C63" i="103"/>
  <c r="E63" i="103"/>
  <c r="F63" i="103"/>
  <c r="G63" i="103"/>
  <c r="H63" i="103"/>
  <c r="I63" i="103"/>
  <c r="B64" i="103"/>
  <c r="C64" i="103"/>
  <c r="E64" i="103"/>
  <c r="F64" i="103"/>
  <c r="G64" i="103"/>
  <c r="H64" i="103"/>
  <c r="I64" i="103"/>
  <c r="B65" i="103"/>
  <c r="C65" i="103"/>
  <c r="E65" i="103"/>
  <c r="F65" i="103"/>
  <c r="G65" i="103"/>
  <c r="H65" i="103"/>
  <c r="I65" i="103"/>
  <c r="B66" i="103"/>
  <c r="C66" i="103"/>
  <c r="E66" i="103"/>
  <c r="F66" i="103"/>
  <c r="G66" i="103"/>
  <c r="H66" i="103"/>
  <c r="I66" i="103"/>
  <c r="B67" i="103"/>
  <c r="C67" i="103"/>
  <c r="E67" i="103"/>
  <c r="F67" i="103"/>
  <c r="G67" i="103"/>
  <c r="H67" i="103"/>
  <c r="I67" i="103"/>
  <c r="B68" i="103"/>
  <c r="C68" i="103"/>
  <c r="E68" i="103"/>
  <c r="F68" i="103"/>
  <c r="G68" i="103"/>
  <c r="H68" i="103"/>
  <c r="I68" i="103"/>
  <c r="B69" i="103"/>
  <c r="C69" i="103"/>
  <c r="E69" i="103"/>
  <c r="F69" i="103"/>
  <c r="G69" i="103"/>
  <c r="H69" i="103"/>
  <c r="I69" i="103"/>
  <c r="B70" i="103"/>
  <c r="C70" i="103"/>
  <c r="E70" i="103"/>
  <c r="F70" i="103"/>
  <c r="G70" i="103"/>
  <c r="H70" i="103"/>
  <c r="I70" i="103"/>
  <c r="B71" i="103"/>
  <c r="C71" i="103"/>
  <c r="E71" i="103"/>
  <c r="F71" i="103"/>
  <c r="G71" i="103"/>
  <c r="H71" i="103"/>
  <c r="I71" i="103"/>
  <c r="B72" i="103"/>
  <c r="C72" i="103"/>
  <c r="E72" i="103"/>
  <c r="F72" i="103"/>
  <c r="G72" i="103"/>
  <c r="H72" i="103"/>
  <c r="I72" i="103"/>
  <c r="B73" i="103"/>
  <c r="C73" i="103"/>
  <c r="E73" i="103"/>
  <c r="F73" i="103"/>
  <c r="G73" i="103"/>
  <c r="H73" i="103"/>
  <c r="I73" i="103"/>
  <c r="B74" i="103"/>
  <c r="C74" i="103"/>
  <c r="E74" i="103"/>
  <c r="F74" i="103"/>
  <c r="G74" i="103"/>
  <c r="H74" i="103"/>
  <c r="I74" i="103"/>
  <c r="B75" i="103"/>
  <c r="C75" i="103"/>
  <c r="E75" i="103"/>
  <c r="F75" i="103"/>
  <c r="G75" i="103"/>
  <c r="H75" i="103"/>
  <c r="I75" i="103"/>
  <c r="B76" i="103"/>
  <c r="C76" i="103"/>
  <c r="E76" i="103"/>
  <c r="F76" i="103"/>
  <c r="G76" i="103"/>
  <c r="H76" i="103"/>
  <c r="I76" i="103"/>
  <c r="B77" i="103"/>
  <c r="C77" i="103"/>
  <c r="E77" i="103"/>
  <c r="F77" i="103"/>
  <c r="G77" i="103"/>
  <c r="H77" i="103"/>
  <c r="I77" i="103"/>
  <c r="B78" i="103"/>
  <c r="C78" i="103"/>
  <c r="E78" i="103"/>
  <c r="F78" i="103"/>
  <c r="G78" i="103"/>
  <c r="H78" i="103"/>
  <c r="I78" i="103"/>
  <c r="B79" i="103"/>
  <c r="C79" i="103"/>
  <c r="E79" i="103"/>
  <c r="F79" i="103"/>
  <c r="G79" i="103"/>
  <c r="H79" i="103"/>
  <c r="I79" i="103"/>
  <c r="B80" i="103"/>
  <c r="C80" i="103"/>
  <c r="E80" i="103"/>
  <c r="F80" i="103"/>
  <c r="G80" i="103"/>
  <c r="H80" i="103"/>
  <c r="I80" i="103"/>
  <c r="B81" i="103"/>
  <c r="C81" i="103"/>
  <c r="E81" i="103"/>
  <c r="F81" i="103"/>
  <c r="G81" i="103"/>
  <c r="H81" i="103"/>
  <c r="I81" i="103"/>
  <c r="B82" i="103"/>
  <c r="C82" i="103"/>
  <c r="E82" i="103"/>
  <c r="F82" i="103"/>
  <c r="G82" i="103"/>
  <c r="H82" i="103"/>
  <c r="I82" i="103"/>
  <c r="B83" i="103"/>
  <c r="C83" i="103"/>
  <c r="E83" i="103"/>
  <c r="F83" i="103"/>
  <c r="G83" i="103"/>
  <c r="H83" i="103"/>
  <c r="I83" i="103"/>
  <c r="B84" i="103"/>
  <c r="C84" i="103"/>
  <c r="E84" i="103"/>
  <c r="F84" i="103"/>
  <c r="G84" i="103"/>
  <c r="H84" i="103"/>
  <c r="I84" i="103"/>
  <c r="B85" i="103"/>
  <c r="C85" i="103"/>
  <c r="E85" i="103"/>
  <c r="F85" i="103"/>
  <c r="G85" i="103"/>
  <c r="H85" i="103"/>
  <c r="I85" i="103"/>
  <c r="B59" i="103" l="1"/>
  <c r="C59" i="103"/>
  <c r="E59" i="103"/>
  <c r="F59" i="103"/>
  <c r="G59" i="103"/>
  <c r="H59" i="103"/>
  <c r="I59" i="103"/>
  <c r="B60" i="103"/>
  <c r="C60" i="103"/>
  <c r="E60" i="103"/>
  <c r="F60" i="103"/>
  <c r="G60" i="103"/>
  <c r="H60" i="103"/>
  <c r="I60" i="103"/>
  <c r="B61" i="103"/>
  <c r="C61" i="103"/>
  <c r="E61" i="103"/>
  <c r="F61" i="103"/>
  <c r="G61" i="103"/>
  <c r="H61" i="103"/>
  <c r="I61" i="103"/>
  <c r="B58" i="103" l="1"/>
  <c r="C58" i="103"/>
  <c r="E58" i="103"/>
  <c r="F58" i="103"/>
  <c r="G58" i="103"/>
  <c r="H58" i="103"/>
  <c r="I58" i="103"/>
  <c r="Y132" i="21" l="1"/>
  <c r="B51" i="103"/>
  <c r="C51" i="103"/>
  <c r="E51" i="103"/>
  <c r="F51" i="103"/>
  <c r="G51" i="103"/>
  <c r="H51" i="103"/>
  <c r="I51" i="103"/>
  <c r="B52" i="103"/>
  <c r="C52" i="103"/>
  <c r="E52" i="103"/>
  <c r="F52" i="103"/>
  <c r="G52" i="103"/>
  <c r="H52" i="103"/>
  <c r="I52" i="103"/>
  <c r="B53" i="103"/>
  <c r="C53" i="103"/>
  <c r="E53" i="103"/>
  <c r="F53" i="103"/>
  <c r="G53" i="103"/>
  <c r="H53" i="103"/>
  <c r="I53" i="103"/>
  <c r="B54" i="103"/>
  <c r="C54" i="103"/>
  <c r="E54" i="103"/>
  <c r="F54" i="103"/>
  <c r="G54" i="103"/>
  <c r="H54" i="103"/>
  <c r="I54" i="103"/>
  <c r="B55" i="103"/>
  <c r="C55" i="103"/>
  <c r="E55" i="103"/>
  <c r="F55" i="103"/>
  <c r="G55" i="103"/>
  <c r="H55" i="103"/>
  <c r="I55" i="103"/>
  <c r="B56" i="103"/>
  <c r="C56" i="103"/>
  <c r="E56" i="103"/>
  <c r="F56" i="103"/>
  <c r="G56" i="103"/>
  <c r="H56" i="103"/>
  <c r="I56" i="103"/>
  <c r="B57" i="103"/>
  <c r="C57" i="103"/>
  <c r="E57" i="103"/>
  <c r="F57" i="103"/>
  <c r="G57" i="103"/>
  <c r="H57" i="103"/>
  <c r="I57" i="103"/>
  <c r="B46" i="103" l="1"/>
  <c r="C46" i="103"/>
  <c r="E46" i="103"/>
  <c r="F46" i="103"/>
  <c r="G46" i="103"/>
  <c r="H46" i="103"/>
  <c r="I46" i="103"/>
  <c r="B47" i="103"/>
  <c r="C47" i="103"/>
  <c r="E47" i="103"/>
  <c r="F47" i="103"/>
  <c r="G47" i="103"/>
  <c r="H47" i="103"/>
  <c r="I47" i="103"/>
  <c r="B48" i="103"/>
  <c r="C48" i="103"/>
  <c r="E48" i="103"/>
  <c r="F48" i="103"/>
  <c r="G48" i="103"/>
  <c r="H48" i="103"/>
  <c r="I48" i="103"/>
  <c r="B49" i="103"/>
  <c r="C49" i="103"/>
  <c r="E49" i="103"/>
  <c r="F49" i="103"/>
  <c r="G49" i="103"/>
  <c r="H49" i="103"/>
  <c r="I49" i="103"/>
  <c r="B50" i="103"/>
  <c r="C50" i="103"/>
  <c r="E50" i="103"/>
  <c r="F50" i="103"/>
  <c r="G50" i="103"/>
  <c r="H50" i="103"/>
  <c r="I50" i="103"/>
  <c r="B35" i="103" l="1"/>
  <c r="C35" i="103"/>
  <c r="E35" i="103"/>
  <c r="F35" i="103"/>
  <c r="G35" i="103"/>
  <c r="H35" i="103"/>
  <c r="I35" i="103"/>
  <c r="B36" i="103"/>
  <c r="C36" i="103"/>
  <c r="E36" i="103"/>
  <c r="F36" i="103"/>
  <c r="G36" i="103"/>
  <c r="H36" i="103"/>
  <c r="I36" i="103"/>
  <c r="B37" i="103"/>
  <c r="C37" i="103"/>
  <c r="E37" i="103"/>
  <c r="F37" i="103"/>
  <c r="G37" i="103"/>
  <c r="H37" i="103"/>
  <c r="I37" i="103"/>
  <c r="B38" i="103"/>
  <c r="C38" i="103"/>
  <c r="E38" i="103"/>
  <c r="F38" i="103"/>
  <c r="G38" i="103"/>
  <c r="H38" i="103"/>
  <c r="I38" i="103"/>
  <c r="B39" i="103"/>
  <c r="C39" i="103"/>
  <c r="E39" i="103"/>
  <c r="F39" i="103"/>
  <c r="G39" i="103"/>
  <c r="H39" i="103"/>
  <c r="I39" i="103"/>
  <c r="B40" i="103"/>
  <c r="C40" i="103"/>
  <c r="E40" i="103"/>
  <c r="F40" i="103"/>
  <c r="G40" i="103"/>
  <c r="H40" i="103"/>
  <c r="I40" i="103"/>
  <c r="B41" i="103"/>
  <c r="C41" i="103"/>
  <c r="E41" i="103"/>
  <c r="F41" i="103"/>
  <c r="G41" i="103"/>
  <c r="H41" i="103"/>
  <c r="I41" i="103"/>
  <c r="B42" i="103"/>
  <c r="C42" i="103"/>
  <c r="E42" i="103"/>
  <c r="F42" i="103"/>
  <c r="G42" i="103"/>
  <c r="H42" i="103"/>
  <c r="I42" i="103"/>
  <c r="B43" i="103"/>
  <c r="C43" i="103"/>
  <c r="E43" i="103"/>
  <c r="F43" i="103"/>
  <c r="G43" i="103"/>
  <c r="H43" i="103"/>
  <c r="I43" i="103"/>
  <c r="B44" i="103"/>
  <c r="C44" i="103"/>
  <c r="E44" i="103"/>
  <c r="F44" i="103"/>
  <c r="G44" i="103"/>
  <c r="H44" i="103"/>
  <c r="I44" i="103"/>
  <c r="B45" i="103"/>
  <c r="C45" i="103"/>
  <c r="E45" i="103"/>
  <c r="F45" i="103"/>
  <c r="G45" i="103"/>
  <c r="H45" i="103"/>
  <c r="I45" i="103"/>
  <c r="Y137" i="21" l="1"/>
  <c r="I33" i="103"/>
  <c r="B24" i="103"/>
  <c r="C24" i="103"/>
  <c r="E24" i="103"/>
  <c r="F24" i="103"/>
  <c r="G24" i="103"/>
  <c r="H24" i="103"/>
  <c r="I24" i="103"/>
  <c r="B25" i="103"/>
  <c r="C25" i="103"/>
  <c r="E25" i="103"/>
  <c r="F25" i="103"/>
  <c r="G25" i="103"/>
  <c r="H25" i="103"/>
  <c r="I25" i="103"/>
  <c r="B26" i="103"/>
  <c r="C26" i="103"/>
  <c r="E26" i="103"/>
  <c r="F26" i="103"/>
  <c r="G26" i="103"/>
  <c r="H26" i="103"/>
  <c r="I26" i="103"/>
  <c r="B27" i="103"/>
  <c r="C27" i="103"/>
  <c r="E27" i="103"/>
  <c r="F27" i="103"/>
  <c r="G27" i="103"/>
  <c r="H27" i="103"/>
  <c r="I27" i="103"/>
  <c r="B28" i="103"/>
  <c r="C28" i="103"/>
  <c r="E28" i="103"/>
  <c r="F28" i="103"/>
  <c r="G28" i="103"/>
  <c r="H28" i="103"/>
  <c r="I28" i="103"/>
  <c r="B29" i="103"/>
  <c r="C29" i="103"/>
  <c r="E29" i="103"/>
  <c r="F29" i="103"/>
  <c r="G29" i="103"/>
  <c r="H29" i="103"/>
  <c r="I29" i="103"/>
  <c r="B30" i="103"/>
  <c r="C30" i="103"/>
  <c r="E30" i="103"/>
  <c r="F30" i="103"/>
  <c r="G30" i="103"/>
  <c r="H30" i="103"/>
  <c r="I30" i="103"/>
  <c r="B31" i="103"/>
  <c r="C31" i="103"/>
  <c r="E31" i="103"/>
  <c r="F31" i="103"/>
  <c r="G31" i="103"/>
  <c r="H31" i="103"/>
  <c r="I31" i="103"/>
  <c r="B32" i="103"/>
  <c r="C32" i="103"/>
  <c r="E32" i="103"/>
  <c r="F32" i="103"/>
  <c r="G32" i="103"/>
  <c r="H32" i="103"/>
  <c r="I32" i="103"/>
  <c r="B33" i="103"/>
  <c r="C33" i="103"/>
  <c r="E33" i="103"/>
  <c r="F33" i="103"/>
  <c r="G33" i="103"/>
  <c r="H33" i="103"/>
  <c r="B34" i="103"/>
  <c r="C34" i="103"/>
  <c r="E34" i="103"/>
  <c r="F34" i="103"/>
  <c r="G34" i="103"/>
  <c r="H34" i="103"/>
  <c r="I34" i="103"/>
  <c r="B20" i="103" l="1"/>
  <c r="C20" i="103"/>
  <c r="E20" i="103"/>
  <c r="F20" i="103"/>
  <c r="G20" i="103"/>
  <c r="H20" i="103"/>
  <c r="I20" i="103"/>
  <c r="B21" i="103"/>
  <c r="C21" i="103"/>
  <c r="E21" i="103"/>
  <c r="F21" i="103"/>
  <c r="G21" i="103"/>
  <c r="H21" i="103"/>
  <c r="I21" i="103"/>
  <c r="B22" i="103"/>
  <c r="C22" i="103"/>
  <c r="E22" i="103"/>
  <c r="F22" i="103"/>
  <c r="G22" i="103"/>
  <c r="H22" i="103"/>
  <c r="I22" i="103"/>
  <c r="B23" i="103"/>
  <c r="C23" i="103"/>
  <c r="E23" i="103"/>
  <c r="F23" i="103"/>
  <c r="G23" i="103"/>
  <c r="H23" i="103"/>
  <c r="I23" i="103"/>
  <c r="B18" i="103" l="1"/>
  <c r="C18" i="103"/>
  <c r="E18" i="103"/>
  <c r="F18" i="103"/>
  <c r="G18" i="103"/>
  <c r="H18" i="103"/>
  <c r="I18" i="103"/>
  <c r="B19" i="103"/>
  <c r="C19" i="103"/>
  <c r="E19" i="103"/>
  <c r="F19" i="103"/>
  <c r="G19" i="103"/>
  <c r="H19" i="103"/>
  <c r="I19" i="103"/>
  <c r="B11" i="103" l="1"/>
  <c r="C11" i="103"/>
  <c r="E11" i="103"/>
  <c r="F11" i="103"/>
  <c r="G11" i="103"/>
  <c r="H11" i="103"/>
  <c r="I11" i="103"/>
  <c r="B12" i="103"/>
  <c r="C12" i="103"/>
  <c r="E12" i="103"/>
  <c r="F12" i="103"/>
  <c r="G12" i="103"/>
  <c r="H12" i="103"/>
  <c r="I12" i="103"/>
  <c r="B13" i="103"/>
  <c r="C13" i="103"/>
  <c r="E13" i="103"/>
  <c r="F13" i="103"/>
  <c r="G13" i="103"/>
  <c r="H13" i="103"/>
  <c r="I13" i="103"/>
  <c r="B14" i="103"/>
  <c r="C14" i="103"/>
  <c r="E14" i="103"/>
  <c r="F14" i="103"/>
  <c r="G14" i="103"/>
  <c r="H14" i="103"/>
  <c r="I14" i="103"/>
  <c r="B15" i="103"/>
  <c r="C15" i="103"/>
  <c r="E15" i="103"/>
  <c r="F15" i="103"/>
  <c r="G15" i="103"/>
  <c r="H15" i="103"/>
  <c r="I15" i="103"/>
  <c r="B16" i="103"/>
  <c r="C16" i="103"/>
  <c r="E16" i="103"/>
  <c r="F16" i="103"/>
  <c r="G16" i="103"/>
  <c r="H16" i="103"/>
  <c r="I16" i="103"/>
  <c r="B17" i="103"/>
  <c r="C17" i="103"/>
  <c r="E17" i="103"/>
  <c r="F17" i="103"/>
  <c r="G17" i="103"/>
  <c r="H17" i="103"/>
  <c r="I17" i="103"/>
  <c r="B10" i="103" l="1"/>
  <c r="C10" i="103"/>
  <c r="E10" i="103"/>
  <c r="F10" i="103"/>
  <c r="G10" i="103"/>
  <c r="H10" i="103"/>
  <c r="I10" i="103"/>
  <c r="B8" i="103" l="1"/>
  <c r="C8" i="103"/>
  <c r="E8" i="103"/>
  <c r="F8" i="103"/>
  <c r="G8" i="103"/>
  <c r="H8" i="103"/>
  <c r="I8" i="103"/>
  <c r="B9" i="103"/>
  <c r="C9" i="103"/>
  <c r="E9" i="103"/>
  <c r="F9" i="103"/>
  <c r="G9" i="103"/>
  <c r="H9" i="103"/>
  <c r="I9" i="103"/>
  <c r="B5" i="103" l="1"/>
  <c r="B6" i="103"/>
  <c r="B7" i="103"/>
  <c r="C5" i="103"/>
  <c r="E5" i="103"/>
  <c r="F5" i="103"/>
  <c r="G5" i="103"/>
  <c r="H5" i="103"/>
  <c r="I5" i="103"/>
  <c r="C6" i="103"/>
  <c r="E6" i="103"/>
  <c r="F6" i="103"/>
  <c r="G6" i="103"/>
  <c r="H6" i="103"/>
  <c r="I6" i="103"/>
  <c r="C7" i="103"/>
  <c r="E7" i="103"/>
  <c r="F7" i="103"/>
  <c r="G7" i="103"/>
  <c r="H7" i="103"/>
  <c r="I7" i="103"/>
  <c r="B3" i="103" l="1"/>
  <c r="C3" i="103"/>
  <c r="E3" i="103"/>
  <c r="F3" i="103"/>
  <c r="G3" i="103"/>
  <c r="H3" i="103"/>
  <c r="I3" i="103"/>
  <c r="B4" i="103"/>
  <c r="C4" i="103"/>
  <c r="E4" i="103"/>
  <c r="F4" i="103"/>
  <c r="G4" i="103"/>
  <c r="H4" i="103"/>
  <c r="I4" i="103"/>
  <c r="I2" i="103"/>
  <c r="H2" i="103"/>
  <c r="G2" i="103"/>
  <c r="F2" i="103"/>
  <c r="E2" i="103"/>
  <c r="C2" i="103"/>
  <c r="B2" i="103"/>
  <c r="I92" i="103" l="1"/>
  <c r="B4" i="102"/>
  <c r="C4" i="102"/>
  <c r="E4" i="102"/>
  <c r="F4" i="102"/>
  <c r="G4" i="102"/>
  <c r="H4" i="102"/>
  <c r="I4" i="102"/>
  <c r="B3" i="102" l="1"/>
  <c r="C3" i="102"/>
  <c r="E3" i="102"/>
  <c r="F3" i="102"/>
  <c r="G3" i="102"/>
  <c r="H3" i="102"/>
  <c r="I3" i="102"/>
  <c r="W130" i="21"/>
  <c r="I2" i="102"/>
  <c r="H2" i="102"/>
  <c r="G2" i="102"/>
  <c r="F2" i="102"/>
  <c r="E2" i="102"/>
  <c r="C2" i="102"/>
  <c r="B2" i="102"/>
  <c r="I5" i="102" l="1"/>
  <c r="U134" i="21"/>
  <c r="B29" i="101" l="1"/>
  <c r="C29" i="101"/>
  <c r="E29" i="101"/>
  <c r="F29" i="101"/>
  <c r="G29" i="101"/>
  <c r="H29" i="101"/>
  <c r="I29" i="101"/>
  <c r="B27" i="101" l="1"/>
  <c r="C27" i="101"/>
  <c r="E27" i="101"/>
  <c r="F27" i="101"/>
  <c r="G27" i="101"/>
  <c r="H27" i="101"/>
  <c r="I27" i="101"/>
  <c r="B28" i="101"/>
  <c r="C28" i="101"/>
  <c r="E28" i="101"/>
  <c r="F28" i="101"/>
  <c r="G28" i="101"/>
  <c r="H28" i="101"/>
  <c r="I28" i="101"/>
  <c r="U137" i="21" l="1"/>
  <c r="U131" i="21"/>
  <c r="B22" i="101"/>
  <c r="C22" i="101"/>
  <c r="E22" i="101"/>
  <c r="F22" i="101"/>
  <c r="G22" i="101"/>
  <c r="H22" i="101"/>
  <c r="I22" i="101"/>
  <c r="B23" i="101"/>
  <c r="C23" i="101"/>
  <c r="E23" i="101"/>
  <c r="F23" i="101"/>
  <c r="G23" i="101"/>
  <c r="H23" i="101"/>
  <c r="I23" i="101"/>
  <c r="B24" i="101"/>
  <c r="C24" i="101"/>
  <c r="E24" i="101"/>
  <c r="F24" i="101"/>
  <c r="G24" i="101"/>
  <c r="H24" i="101"/>
  <c r="I24" i="101"/>
  <c r="B25" i="101"/>
  <c r="C25" i="101"/>
  <c r="E25" i="101"/>
  <c r="F25" i="101"/>
  <c r="G25" i="101"/>
  <c r="H25" i="101"/>
  <c r="I25" i="101"/>
  <c r="B26" i="101"/>
  <c r="C26" i="101"/>
  <c r="E26" i="101"/>
  <c r="F26" i="101"/>
  <c r="G26" i="101"/>
  <c r="H26" i="101"/>
  <c r="I26" i="101"/>
  <c r="U132" i="21" l="1"/>
  <c r="B20" i="101"/>
  <c r="C20" i="101"/>
  <c r="E20" i="101"/>
  <c r="F20" i="101"/>
  <c r="G20" i="101"/>
  <c r="H20" i="101"/>
  <c r="I20" i="101"/>
  <c r="B21" i="101"/>
  <c r="C21" i="101"/>
  <c r="E21" i="101"/>
  <c r="F21" i="101"/>
  <c r="G21" i="101"/>
  <c r="H21" i="101"/>
  <c r="I21" i="101"/>
  <c r="B15" i="101" l="1"/>
  <c r="C15" i="101"/>
  <c r="E15" i="101"/>
  <c r="F15" i="101"/>
  <c r="G15" i="101"/>
  <c r="H15" i="101"/>
  <c r="I15" i="101"/>
  <c r="B16" i="101"/>
  <c r="C16" i="101"/>
  <c r="E16" i="101"/>
  <c r="F16" i="101"/>
  <c r="G16" i="101"/>
  <c r="H16" i="101"/>
  <c r="I16" i="101"/>
  <c r="B17" i="101"/>
  <c r="C17" i="101"/>
  <c r="E17" i="101"/>
  <c r="F17" i="101"/>
  <c r="G17" i="101"/>
  <c r="H17" i="101"/>
  <c r="I17" i="101"/>
  <c r="B18" i="101"/>
  <c r="C18" i="101"/>
  <c r="E18" i="101"/>
  <c r="F18" i="101"/>
  <c r="G18" i="101"/>
  <c r="H18" i="101"/>
  <c r="I18" i="101"/>
  <c r="B19" i="101"/>
  <c r="C19" i="101"/>
  <c r="E19" i="101"/>
  <c r="F19" i="101"/>
  <c r="G19" i="101"/>
  <c r="H19" i="101"/>
  <c r="I19" i="101"/>
  <c r="M131" i="21"/>
  <c r="U130" i="21" l="1"/>
  <c r="B9" i="101"/>
  <c r="C9" i="101"/>
  <c r="E9" i="101"/>
  <c r="F9" i="101"/>
  <c r="G9" i="101"/>
  <c r="H9" i="101"/>
  <c r="I9" i="101"/>
  <c r="B10" i="101"/>
  <c r="C10" i="101"/>
  <c r="E10" i="101"/>
  <c r="F10" i="101"/>
  <c r="G10" i="101"/>
  <c r="H10" i="101"/>
  <c r="I10" i="101"/>
  <c r="B11" i="101"/>
  <c r="C11" i="101"/>
  <c r="E11" i="101"/>
  <c r="F11" i="101"/>
  <c r="G11" i="101"/>
  <c r="H11" i="101"/>
  <c r="I11" i="101"/>
  <c r="B12" i="101"/>
  <c r="C12" i="101"/>
  <c r="E12" i="101"/>
  <c r="F12" i="101"/>
  <c r="G12" i="101"/>
  <c r="H12" i="101"/>
  <c r="I12" i="101"/>
  <c r="B13" i="101"/>
  <c r="C13" i="101"/>
  <c r="E13" i="101"/>
  <c r="F13" i="101"/>
  <c r="G13" i="101"/>
  <c r="H13" i="101"/>
  <c r="I13" i="101"/>
  <c r="B14" i="101"/>
  <c r="C14" i="101"/>
  <c r="E14" i="101"/>
  <c r="F14" i="101"/>
  <c r="G14" i="101"/>
  <c r="H14" i="101"/>
  <c r="I14" i="101"/>
  <c r="B7" i="101" l="1"/>
  <c r="C7" i="101"/>
  <c r="E7" i="101"/>
  <c r="F7" i="101"/>
  <c r="G7" i="101"/>
  <c r="H7" i="101"/>
  <c r="I7" i="101"/>
  <c r="B8" i="101"/>
  <c r="C8" i="101"/>
  <c r="E8" i="101"/>
  <c r="F8" i="101"/>
  <c r="G8" i="101"/>
  <c r="H8" i="101"/>
  <c r="I8" i="101"/>
  <c r="B4" i="101" l="1"/>
  <c r="C4" i="101"/>
  <c r="E4" i="101"/>
  <c r="F4" i="101"/>
  <c r="G4" i="101"/>
  <c r="H4" i="101"/>
  <c r="I4" i="101"/>
  <c r="B5" i="101"/>
  <c r="C5" i="101"/>
  <c r="E5" i="101"/>
  <c r="F5" i="101"/>
  <c r="G5" i="101"/>
  <c r="H5" i="101"/>
  <c r="I5" i="101"/>
  <c r="B6" i="101"/>
  <c r="C6" i="101"/>
  <c r="E6" i="101"/>
  <c r="F6" i="101"/>
  <c r="G6" i="101"/>
  <c r="H6" i="101"/>
  <c r="I6" i="101"/>
  <c r="B3" i="101" l="1"/>
  <c r="C3" i="101"/>
  <c r="E3" i="101"/>
  <c r="F3" i="101"/>
  <c r="G3" i="101"/>
  <c r="H3" i="101"/>
  <c r="I3" i="101"/>
  <c r="I2" i="101"/>
  <c r="H2" i="101"/>
  <c r="G2" i="101"/>
  <c r="F2" i="101"/>
  <c r="E2" i="101"/>
  <c r="C2" i="101"/>
  <c r="B2" i="101"/>
  <c r="I30" i="101" l="1"/>
  <c r="S130" i="21"/>
  <c r="B15" i="100"/>
  <c r="C15" i="100"/>
  <c r="E15" i="100"/>
  <c r="F15" i="100"/>
  <c r="G15" i="100"/>
  <c r="H15" i="100"/>
  <c r="I15" i="100"/>
  <c r="B16" i="100"/>
  <c r="C16" i="100"/>
  <c r="E16" i="100"/>
  <c r="F16" i="100"/>
  <c r="G16" i="100"/>
  <c r="H16" i="100"/>
  <c r="I16" i="100"/>
  <c r="B13" i="100" l="1"/>
  <c r="C13" i="100"/>
  <c r="E13" i="100"/>
  <c r="F13" i="100"/>
  <c r="G13" i="100"/>
  <c r="H13" i="100"/>
  <c r="I13" i="100"/>
  <c r="B14" i="100"/>
  <c r="C14" i="100"/>
  <c r="E14" i="100"/>
  <c r="F14" i="100"/>
  <c r="G14" i="100"/>
  <c r="H14" i="100"/>
  <c r="I14" i="100"/>
  <c r="S131" i="21"/>
  <c r="I12" i="100"/>
  <c r="B10" i="100"/>
  <c r="C10" i="100"/>
  <c r="E10" i="100"/>
  <c r="F10" i="100"/>
  <c r="G10" i="100"/>
  <c r="H10" i="100"/>
  <c r="I10" i="100"/>
  <c r="B11" i="100"/>
  <c r="C11" i="100"/>
  <c r="E11" i="100"/>
  <c r="F11" i="100"/>
  <c r="G11" i="100"/>
  <c r="H11" i="100"/>
  <c r="I11" i="100"/>
  <c r="B12" i="100"/>
  <c r="C12" i="100"/>
  <c r="E12" i="100"/>
  <c r="F12" i="100"/>
  <c r="G12" i="100"/>
  <c r="H12" i="100"/>
  <c r="I8" i="100"/>
  <c r="S132" i="21"/>
  <c r="B3" i="100"/>
  <c r="C3" i="100"/>
  <c r="E3" i="100"/>
  <c r="F3" i="100"/>
  <c r="G3" i="100"/>
  <c r="H3" i="100"/>
  <c r="I3" i="100"/>
  <c r="B4" i="100"/>
  <c r="C4" i="100"/>
  <c r="E4" i="100"/>
  <c r="F4" i="100"/>
  <c r="G4" i="100"/>
  <c r="H4" i="100"/>
  <c r="I4" i="100"/>
  <c r="B5" i="100"/>
  <c r="C5" i="100"/>
  <c r="E5" i="100"/>
  <c r="F5" i="100"/>
  <c r="G5" i="100"/>
  <c r="H5" i="100"/>
  <c r="I5" i="100"/>
  <c r="B6" i="100"/>
  <c r="C6" i="100"/>
  <c r="E6" i="100"/>
  <c r="F6" i="100"/>
  <c r="G6" i="100"/>
  <c r="H6" i="100"/>
  <c r="I6" i="100"/>
  <c r="B7" i="100"/>
  <c r="C7" i="100"/>
  <c r="E7" i="100"/>
  <c r="F7" i="100"/>
  <c r="G7" i="100"/>
  <c r="H7" i="100"/>
  <c r="I7" i="100"/>
  <c r="B8" i="100"/>
  <c r="C8" i="100"/>
  <c r="E8" i="100"/>
  <c r="F8" i="100"/>
  <c r="G8" i="100"/>
  <c r="H8" i="100"/>
  <c r="B9" i="100"/>
  <c r="C9" i="100"/>
  <c r="E9" i="100"/>
  <c r="F9" i="100"/>
  <c r="G9" i="100"/>
  <c r="H9" i="100"/>
  <c r="I9" i="100"/>
  <c r="I2" i="100"/>
  <c r="H2" i="100"/>
  <c r="G2" i="100"/>
  <c r="F2" i="100"/>
  <c r="E2" i="100"/>
  <c r="C2" i="100"/>
  <c r="B2" i="100"/>
  <c r="I17" i="100" l="1"/>
  <c r="Q132" i="21"/>
  <c r="Q130" i="21" l="1"/>
  <c r="B27" i="99"/>
  <c r="C27" i="99"/>
  <c r="E27" i="99"/>
  <c r="F27" i="99"/>
  <c r="G27" i="99"/>
  <c r="H27" i="99"/>
  <c r="I27" i="99"/>
  <c r="B28" i="99"/>
  <c r="C28" i="99"/>
  <c r="E28" i="99"/>
  <c r="F28" i="99"/>
  <c r="G28" i="99"/>
  <c r="H28" i="99"/>
  <c r="I28" i="99"/>
  <c r="Q131" i="21"/>
  <c r="B24" i="99"/>
  <c r="C24" i="99"/>
  <c r="E24" i="99"/>
  <c r="F24" i="99"/>
  <c r="G24" i="99"/>
  <c r="H24" i="99"/>
  <c r="I24" i="99"/>
  <c r="B25" i="99"/>
  <c r="C25" i="99"/>
  <c r="E25" i="99"/>
  <c r="F25" i="99"/>
  <c r="G25" i="99"/>
  <c r="H25" i="99"/>
  <c r="I25" i="99"/>
  <c r="B26" i="99"/>
  <c r="C26" i="99"/>
  <c r="E26" i="99"/>
  <c r="F26" i="99"/>
  <c r="G26" i="99"/>
  <c r="H26" i="99"/>
  <c r="I26" i="99"/>
  <c r="B23" i="99" l="1"/>
  <c r="C23" i="99"/>
  <c r="E23" i="99"/>
  <c r="F23" i="99"/>
  <c r="G23" i="99"/>
  <c r="H23" i="99"/>
  <c r="I23" i="99"/>
  <c r="B18" i="99"/>
  <c r="C18" i="99"/>
  <c r="E18" i="99"/>
  <c r="F18" i="99"/>
  <c r="G18" i="99"/>
  <c r="H18" i="99"/>
  <c r="I18" i="99"/>
  <c r="B19" i="99"/>
  <c r="C19" i="99"/>
  <c r="E19" i="99"/>
  <c r="F19" i="99"/>
  <c r="G19" i="99"/>
  <c r="H19" i="99"/>
  <c r="I19" i="99"/>
  <c r="B20" i="99"/>
  <c r="C20" i="99"/>
  <c r="E20" i="99"/>
  <c r="F20" i="99"/>
  <c r="G20" i="99"/>
  <c r="H20" i="99"/>
  <c r="I20" i="99"/>
  <c r="B21" i="99"/>
  <c r="C21" i="99"/>
  <c r="E21" i="99"/>
  <c r="F21" i="99"/>
  <c r="G21" i="99"/>
  <c r="H21" i="99"/>
  <c r="I21" i="99"/>
  <c r="B22" i="99"/>
  <c r="C22" i="99"/>
  <c r="E22" i="99"/>
  <c r="F22" i="99"/>
  <c r="G22" i="99"/>
  <c r="H22" i="99"/>
  <c r="I22" i="99"/>
  <c r="B17" i="99" l="1"/>
  <c r="C17" i="99"/>
  <c r="E17" i="99"/>
  <c r="F17" i="99"/>
  <c r="G17" i="99"/>
  <c r="H17" i="99"/>
  <c r="I17" i="99"/>
  <c r="Q134" i="21"/>
  <c r="B15" i="99" l="1"/>
  <c r="C15" i="99"/>
  <c r="E15" i="99"/>
  <c r="F15" i="99"/>
  <c r="G15" i="99"/>
  <c r="H15" i="99"/>
  <c r="I15" i="99"/>
  <c r="B16" i="99"/>
  <c r="C16" i="99"/>
  <c r="E16" i="99"/>
  <c r="F16" i="99"/>
  <c r="G16" i="99"/>
  <c r="H16" i="99"/>
  <c r="I16" i="99"/>
  <c r="B13" i="99" l="1"/>
  <c r="C13" i="99"/>
  <c r="E13" i="99"/>
  <c r="F13" i="99"/>
  <c r="G13" i="99"/>
  <c r="H13" i="99"/>
  <c r="I13" i="99"/>
  <c r="B14" i="99"/>
  <c r="C14" i="99"/>
  <c r="E14" i="99"/>
  <c r="F14" i="99"/>
  <c r="G14" i="99"/>
  <c r="H14" i="99"/>
  <c r="I14" i="99"/>
  <c r="B12" i="99" l="1"/>
  <c r="C12" i="99"/>
  <c r="E12" i="99"/>
  <c r="F12" i="99"/>
  <c r="G12" i="99"/>
  <c r="H12" i="99"/>
  <c r="I12" i="99"/>
  <c r="B10" i="99" l="1"/>
  <c r="C10" i="99"/>
  <c r="E10" i="99"/>
  <c r="F10" i="99"/>
  <c r="G10" i="99"/>
  <c r="H10" i="99"/>
  <c r="I10" i="99"/>
  <c r="B11" i="99"/>
  <c r="C11" i="99"/>
  <c r="E11" i="99"/>
  <c r="F11" i="99"/>
  <c r="G11" i="99"/>
  <c r="H11" i="99"/>
  <c r="I11" i="99"/>
  <c r="Q137" i="21" l="1"/>
  <c r="B9" i="99"/>
  <c r="C9" i="99"/>
  <c r="E9" i="99"/>
  <c r="F9" i="99"/>
  <c r="G9" i="99"/>
  <c r="H9" i="99"/>
  <c r="I9" i="99"/>
  <c r="B5" i="99"/>
  <c r="C5" i="99"/>
  <c r="E5" i="99"/>
  <c r="F5" i="99"/>
  <c r="G5" i="99"/>
  <c r="H5" i="99"/>
  <c r="I5" i="99"/>
  <c r="B6" i="99"/>
  <c r="C6" i="99"/>
  <c r="E6" i="99"/>
  <c r="F6" i="99"/>
  <c r="G6" i="99"/>
  <c r="H6" i="99"/>
  <c r="I6" i="99"/>
  <c r="B7" i="99"/>
  <c r="C7" i="99"/>
  <c r="E7" i="99"/>
  <c r="F7" i="99"/>
  <c r="G7" i="99"/>
  <c r="H7" i="99"/>
  <c r="I7" i="99"/>
  <c r="B8" i="99"/>
  <c r="C8" i="99"/>
  <c r="E8" i="99"/>
  <c r="F8" i="99"/>
  <c r="G8" i="99"/>
  <c r="H8" i="99"/>
  <c r="I8" i="99"/>
  <c r="B3" i="99" l="1"/>
  <c r="C3" i="99"/>
  <c r="E3" i="99"/>
  <c r="F3" i="99"/>
  <c r="G3" i="99"/>
  <c r="H3" i="99"/>
  <c r="I3" i="99"/>
  <c r="B4" i="99"/>
  <c r="C4" i="99"/>
  <c r="E4" i="99"/>
  <c r="F4" i="99"/>
  <c r="G4" i="99"/>
  <c r="H4" i="99"/>
  <c r="I4" i="99"/>
  <c r="I2" i="99" l="1"/>
  <c r="I29" i="99" s="1"/>
  <c r="H2" i="99"/>
  <c r="G2" i="99"/>
  <c r="F2" i="99"/>
  <c r="E2" i="99"/>
  <c r="C2" i="99"/>
  <c r="B2" i="99"/>
  <c r="B41" i="98"/>
  <c r="C41" i="98"/>
  <c r="E41" i="98"/>
  <c r="F41" i="98"/>
  <c r="G41" i="98"/>
  <c r="H41" i="98"/>
  <c r="I41" i="98"/>
  <c r="B40" i="98" l="1"/>
  <c r="C40" i="98"/>
  <c r="E40" i="98"/>
  <c r="F40" i="98"/>
  <c r="G40" i="98"/>
  <c r="H40" i="98"/>
  <c r="I40" i="98"/>
  <c r="O131" i="21"/>
  <c r="O134" i="21" l="1"/>
  <c r="B37" i="98"/>
  <c r="C37" i="98"/>
  <c r="E37" i="98"/>
  <c r="F37" i="98"/>
  <c r="G37" i="98"/>
  <c r="H37" i="98"/>
  <c r="I37" i="98"/>
  <c r="B38" i="98"/>
  <c r="C38" i="98"/>
  <c r="E38" i="98"/>
  <c r="F38" i="98"/>
  <c r="G38" i="98"/>
  <c r="H38" i="98"/>
  <c r="I38" i="98"/>
  <c r="B39" i="98"/>
  <c r="C39" i="98"/>
  <c r="E39" i="98"/>
  <c r="F39" i="98"/>
  <c r="G39" i="98"/>
  <c r="H39" i="98"/>
  <c r="I39" i="98"/>
  <c r="B36" i="98" l="1"/>
  <c r="C36" i="98"/>
  <c r="E36" i="98"/>
  <c r="F36" i="98"/>
  <c r="G36" i="98"/>
  <c r="H36" i="98"/>
  <c r="I36" i="98"/>
  <c r="B33" i="98" l="1"/>
  <c r="C33" i="98"/>
  <c r="E33" i="98"/>
  <c r="F33" i="98"/>
  <c r="G33" i="98"/>
  <c r="H33" i="98"/>
  <c r="I33" i="98"/>
  <c r="B34" i="98"/>
  <c r="C34" i="98"/>
  <c r="E34" i="98"/>
  <c r="F34" i="98"/>
  <c r="G34" i="98"/>
  <c r="H34" i="98"/>
  <c r="I34" i="98"/>
  <c r="B35" i="98"/>
  <c r="C35" i="98"/>
  <c r="E35" i="98"/>
  <c r="F35" i="98"/>
  <c r="G35" i="98"/>
  <c r="H35" i="98"/>
  <c r="I35" i="98"/>
  <c r="O132" i="21" l="1"/>
  <c r="B27" i="98"/>
  <c r="C27" i="98"/>
  <c r="E27" i="98"/>
  <c r="F27" i="98"/>
  <c r="G27" i="98"/>
  <c r="H27" i="98"/>
  <c r="I27" i="98"/>
  <c r="B28" i="98"/>
  <c r="C28" i="98"/>
  <c r="E28" i="98"/>
  <c r="F28" i="98"/>
  <c r="G28" i="98"/>
  <c r="H28" i="98"/>
  <c r="I28" i="98"/>
  <c r="B29" i="98"/>
  <c r="C29" i="98"/>
  <c r="E29" i="98"/>
  <c r="F29" i="98"/>
  <c r="G29" i="98"/>
  <c r="H29" i="98"/>
  <c r="I29" i="98"/>
  <c r="B30" i="98"/>
  <c r="C30" i="98"/>
  <c r="E30" i="98"/>
  <c r="F30" i="98"/>
  <c r="G30" i="98"/>
  <c r="H30" i="98"/>
  <c r="I30" i="98"/>
  <c r="B31" i="98"/>
  <c r="C31" i="98"/>
  <c r="E31" i="98"/>
  <c r="F31" i="98"/>
  <c r="G31" i="98"/>
  <c r="H31" i="98"/>
  <c r="I31" i="98"/>
  <c r="B32" i="98"/>
  <c r="C32" i="98"/>
  <c r="E32" i="98"/>
  <c r="F32" i="98"/>
  <c r="G32" i="98"/>
  <c r="H32" i="98"/>
  <c r="I32" i="98"/>
  <c r="B26" i="98" l="1"/>
  <c r="C26" i="98"/>
  <c r="E26" i="98"/>
  <c r="F26" i="98"/>
  <c r="G26" i="98"/>
  <c r="H26" i="98"/>
  <c r="I26" i="98"/>
  <c r="B23" i="98"/>
  <c r="C23" i="98"/>
  <c r="E23" i="98"/>
  <c r="F23" i="98"/>
  <c r="G23" i="98"/>
  <c r="H23" i="98"/>
  <c r="I23" i="98"/>
  <c r="B24" i="98"/>
  <c r="C24" i="98"/>
  <c r="E24" i="98"/>
  <c r="F24" i="98"/>
  <c r="G24" i="98"/>
  <c r="H24" i="98"/>
  <c r="I24" i="98"/>
  <c r="B25" i="98"/>
  <c r="C25" i="98"/>
  <c r="E25" i="98"/>
  <c r="F25" i="98"/>
  <c r="G25" i="98"/>
  <c r="H25" i="98"/>
  <c r="I25" i="98"/>
  <c r="B22" i="98" l="1"/>
  <c r="C22" i="98"/>
  <c r="E22" i="98"/>
  <c r="F22" i="98"/>
  <c r="G22" i="98"/>
  <c r="H22" i="98"/>
  <c r="I22" i="98"/>
  <c r="B19" i="98" l="1"/>
  <c r="C19" i="98"/>
  <c r="E19" i="98"/>
  <c r="F19" i="98"/>
  <c r="G19" i="98"/>
  <c r="H19" i="98"/>
  <c r="I19" i="98"/>
  <c r="B20" i="98"/>
  <c r="C20" i="98"/>
  <c r="E20" i="98"/>
  <c r="F20" i="98"/>
  <c r="G20" i="98"/>
  <c r="H20" i="98"/>
  <c r="I20" i="98"/>
  <c r="B21" i="98"/>
  <c r="C21" i="98"/>
  <c r="E21" i="98"/>
  <c r="F21" i="98"/>
  <c r="G21" i="98"/>
  <c r="H21" i="98"/>
  <c r="I21" i="98"/>
  <c r="B15" i="98" l="1"/>
  <c r="C15" i="98"/>
  <c r="E15" i="98"/>
  <c r="F15" i="98"/>
  <c r="G15" i="98"/>
  <c r="H15" i="98"/>
  <c r="I15" i="98"/>
  <c r="B16" i="98"/>
  <c r="C16" i="98"/>
  <c r="E16" i="98"/>
  <c r="F16" i="98"/>
  <c r="G16" i="98"/>
  <c r="H16" i="98"/>
  <c r="I16" i="98"/>
  <c r="B17" i="98"/>
  <c r="C17" i="98"/>
  <c r="E17" i="98"/>
  <c r="F17" i="98"/>
  <c r="G17" i="98"/>
  <c r="H17" i="98"/>
  <c r="I17" i="98"/>
  <c r="B18" i="98"/>
  <c r="C18" i="98"/>
  <c r="E18" i="98"/>
  <c r="F18" i="98"/>
  <c r="G18" i="98"/>
  <c r="H18" i="98"/>
  <c r="I18" i="98"/>
  <c r="I14" i="98" l="1"/>
  <c r="B10" i="98"/>
  <c r="C10" i="98"/>
  <c r="E10" i="98"/>
  <c r="F10" i="98"/>
  <c r="G10" i="98"/>
  <c r="H10" i="98"/>
  <c r="I10" i="98"/>
  <c r="B11" i="98"/>
  <c r="C11" i="98"/>
  <c r="E11" i="98"/>
  <c r="F11" i="98"/>
  <c r="G11" i="98"/>
  <c r="H11" i="98"/>
  <c r="I11" i="98"/>
  <c r="B12" i="98"/>
  <c r="C12" i="98"/>
  <c r="E12" i="98"/>
  <c r="F12" i="98"/>
  <c r="G12" i="98"/>
  <c r="H12" i="98"/>
  <c r="I12" i="98"/>
  <c r="B13" i="98"/>
  <c r="C13" i="98"/>
  <c r="E13" i="98"/>
  <c r="F13" i="98"/>
  <c r="G13" i="98"/>
  <c r="H13" i="98"/>
  <c r="I13" i="98"/>
  <c r="B14" i="98"/>
  <c r="C14" i="98"/>
  <c r="E14" i="98"/>
  <c r="F14" i="98"/>
  <c r="G14" i="98"/>
  <c r="H14" i="98"/>
  <c r="B8" i="98" l="1"/>
  <c r="C8" i="98"/>
  <c r="E8" i="98"/>
  <c r="F8" i="98"/>
  <c r="G8" i="98"/>
  <c r="H8" i="98"/>
  <c r="I8" i="98"/>
  <c r="B9" i="98"/>
  <c r="C9" i="98"/>
  <c r="E9" i="98"/>
  <c r="F9" i="98"/>
  <c r="G9" i="98"/>
  <c r="H9" i="98"/>
  <c r="I9" i="98"/>
  <c r="B4" i="98" l="1"/>
  <c r="C4" i="98"/>
  <c r="E4" i="98"/>
  <c r="F4" i="98"/>
  <c r="G4" i="98"/>
  <c r="H4" i="98"/>
  <c r="I4" i="98"/>
  <c r="B5" i="98"/>
  <c r="C5" i="98"/>
  <c r="E5" i="98"/>
  <c r="F5" i="98"/>
  <c r="G5" i="98"/>
  <c r="H5" i="98"/>
  <c r="I5" i="98"/>
  <c r="B6" i="98"/>
  <c r="C6" i="98"/>
  <c r="E6" i="98"/>
  <c r="F6" i="98"/>
  <c r="G6" i="98"/>
  <c r="H6" i="98"/>
  <c r="I6" i="98"/>
  <c r="I3" i="98"/>
  <c r="H3" i="98"/>
  <c r="G3" i="98"/>
  <c r="F3" i="98"/>
  <c r="E3" i="98"/>
  <c r="C3" i="98"/>
  <c r="B3" i="98"/>
  <c r="I42" i="98" l="1"/>
  <c r="B42" i="97"/>
  <c r="C42" i="97"/>
  <c r="E42" i="97"/>
  <c r="F42" i="97"/>
  <c r="G42" i="97"/>
  <c r="H42" i="97"/>
  <c r="I42" i="97"/>
  <c r="B38" i="97"/>
  <c r="C38" i="97"/>
  <c r="E38" i="97"/>
  <c r="F38" i="97"/>
  <c r="G38" i="97"/>
  <c r="H38" i="97"/>
  <c r="I38" i="97"/>
  <c r="B39" i="97"/>
  <c r="C39" i="97"/>
  <c r="E39" i="97"/>
  <c r="F39" i="97"/>
  <c r="G39" i="97"/>
  <c r="H39" i="97"/>
  <c r="I39" i="97"/>
  <c r="B40" i="97"/>
  <c r="C40" i="97"/>
  <c r="E40" i="97"/>
  <c r="F40" i="97"/>
  <c r="G40" i="97"/>
  <c r="H40" i="97"/>
  <c r="I40" i="97"/>
  <c r="M130" i="21" l="1"/>
  <c r="M135" i="21"/>
  <c r="M140" i="21"/>
  <c r="B33" i="97"/>
  <c r="C33" i="97"/>
  <c r="E33" i="97"/>
  <c r="F33" i="97"/>
  <c r="G33" i="97"/>
  <c r="H33" i="97"/>
  <c r="I33" i="97"/>
  <c r="B34" i="97"/>
  <c r="C34" i="97"/>
  <c r="E34" i="97"/>
  <c r="F34" i="97"/>
  <c r="G34" i="97"/>
  <c r="H34" i="97"/>
  <c r="I34" i="97"/>
  <c r="B35" i="97"/>
  <c r="C35" i="97"/>
  <c r="E35" i="97"/>
  <c r="F35" i="97"/>
  <c r="G35" i="97"/>
  <c r="H35" i="97"/>
  <c r="I35" i="97"/>
  <c r="B36" i="97"/>
  <c r="C36" i="97"/>
  <c r="E36" i="97"/>
  <c r="F36" i="97"/>
  <c r="G36" i="97"/>
  <c r="H36" i="97"/>
  <c r="I36" i="97"/>
  <c r="B37" i="97"/>
  <c r="C37" i="97"/>
  <c r="E37" i="97"/>
  <c r="F37" i="97"/>
  <c r="G37" i="97"/>
  <c r="H37" i="97"/>
  <c r="I37" i="97"/>
  <c r="M132" i="21" l="1"/>
  <c r="B31" i="97"/>
  <c r="C31" i="97"/>
  <c r="E31" i="97"/>
  <c r="F31" i="97"/>
  <c r="G31" i="97"/>
  <c r="H31" i="97"/>
  <c r="I31" i="97"/>
  <c r="B32" i="97"/>
  <c r="C32" i="97"/>
  <c r="E32" i="97"/>
  <c r="F32" i="97"/>
  <c r="G32" i="97"/>
  <c r="H32" i="97"/>
  <c r="I32" i="97"/>
  <c r="B30" i="97" l="1"/>
  <c r="C30" i="97"/>
  <c r="E30" i="97"/>
  <c r="F30" i="97"/>
  <c r="G30" i="97"/>
  <c r="H30" i="97"/>
  <c r="I30" i="97"/>
  <c r="B29" i="97" l="1"/>
  <c r="C29" i="97"/>
  <c r="E29" i="97"/>
  <c r="F29" i="97"/>
  <c r="G29" i="97"/>
  <c r="H29" i="97"/>
  <c r="I29" i="97"/>
  <c r="B26" i="97"/>
  <c r="C26" i="97"/>
  <c r="E26" i="97"/>
  <c r="F26" i="97"/>
  <c r="G26" i="97"/>
  <c r="H26" i="97"/>
  <c r="I26" i="97"/>
  <c r="B27" i="97"/>
  <c r="C27" i="97"/>
  <c r="E27" i="97"/>
  <c r="F27" i="97"/>
  <c r="G27" i="97"/>
  <c r="H27" i="97"/>
  <c r="I27" i="97"/>
  <c r="B28" i="97"/>
  <c r="C28" i="97"/>
  <c r="E28" i="97"/>
  <c r="F28" i="97"/>
  <c r="G28" i="97"/>
  <c r="H28" i="97"/>
  <c r="I28" i="97"/>
  <c r="M134" i="21" l="1"/>
  <c r="I18" i="97"/>
  <c r="B15" i="97"/>
  <c r="C15" i="97"/>
  <c r="E15" i="97"/>
  <c r="F15" i="97"/>
  <c r="G15" i="97"/>
  <c r="H15" i="97"/>
  <c r="I15" i="97"/>
  <c r="B16" i="97"/>
  <c r="C16" i="97"/>
  <c r="E16" i="97"/>
  <c r="F16" i="97"/>
  <c r="G16" i="97"/>
  <c r="H16" i="97"/>
  <c r="I16" i="97"/>
  <c r="B17" i="97"/>
  <c r="C17" i="97"/>
  <c r="E17" i="97"/>
  <c r="F17" i="97"/>
  <c r="G17" i="97"/>
  <c r="H17" i="97"/>
  <c r="I17" i="97"/>
  <c r="B18" i="97"/>
  <c r="C18" i="97"/>
  <c r="E18" i="97"/>
  <c r="F18" i="97"/>
  <c r="G18" i="97"/>
  <c r="H18" i="97"/>
  <c r="B19" i="97"/>
  <c r="C19" i="97"/>
  <c r="E19" i="97"/>
  <c r="F19" i="97"/>
  <c r="G19" i="97"/>
  <c r="H19" i="97"/>
  <c r="I19" i="97"/>
  <c r="B20" i="97"/>
  <c r="C20" i="97"/>
  <c r="E20" i="97"/>
  <c r="F20" i="97"/>
  <c r="G20" i="97"/>
  <c r="H20" i="97"/>
  <c r="I20" i="97"/>
  <c r="B21" i="97"/>
  <c r="C21" i="97"/>
  <c r="E21" i="97"/>
  <c r="F21" i="97"/>
  <c r="G21" i="97"/>
  <c r="H21" i="97"/>
  <c r="I21" i="97"/>
  <c r="B22" i="97"/>
  <c r="C22" i="97"/>
  <c r="E22" i="97"/>
  <c r="F22" i="97"/>
  <c r="G22" i="97"/>
  <c r="H22" i="97"/>
  <c r="I22" i="97"/>
  <c r="B23" i="97"/>
  <c r="C23" i="97"/>
  <c r="E23" i="97"/>
  <c r="F23" i="97"/>
  <c r="G23" i="97"/>
  <c r="H23" i="97"/>
  <c r="I23" i="97"/>
  <c r="B24" i="97"/>
  <c r="C24" i="97"/>
  <c r="E24" i="97"/>
  <c r="F24" i="97"/>
  <c r="G24" i="97"/>
  <c r="H24" i="97"/>
  <c r="I24" i="97"/>
  <c r="B25" i="97"/>
  <c r="C25" i="97"/>
  <c r="E25" i="97"/>
  <c r="F25" i="97"/>
  <c r="G25" i="97"/>
  <c r="H25" i="97"/>
  <c r="I25" i="97"/>
  <c r="I14" i="97" l="1"/>
  <c r="B11" i="97"/>
  <c r="C11" i="97"/>
  <c r="E11" i="97"/>
  <c r="F11" i="97"/>
  <c r="G11" i="97"/>
  <c r="H11" i="97"/>
  <c r="I11" i="97"/>
  <c r="B12" i="97"/>
  <c r="C12" i="97"/>
  <c r="E12" i="97"/>
  <c r="F12" i="97"/>
  <c r="G12" i="97"/>
  <c r="H12" i="97"/>
  <c r="I12" i="97"/>
  <c r="B13" i="97"/>
  <c r="C13" i="97"/>
  <c r="E13" i="97"/>
  <c r="F13" i="97"/>
  <c r="G13" i="97"/>
  <c r="H13" i="97"/>
  <c r="I13" i="97"/>
  <c r="B14" i="97"/>
  <c r="C14" i="97"/>
  <c r="E14" i="97"/>
  <c r="F14" i="97"/>
  <c r="G14" i="97"/>
  <c r="H14" i="97"/>
  <c r="I10" i="97" l="1"/>
  <c r="B5" i="97"/>
  <c r="C5" i="97"/>
  <c r="E5" i="97"/>
  <c r="F5" i="97"/>
  <c r="G5" i="97"/>
  <c r="H5" i="97"/>
  <c r="I5" i="97"/>
  <c r="B6" i="97"/>
  <c r="C6" i="97"/>
  <c r="E6" i="97"/>
  <c r="F6" i="97"/>
  <c r="G6" i="97"/>
  <c r="H6" i="97"/>
  <c r="I6" i="97"/>
  <c r="B7" i="97"/>
  <c r="C7" i="97"/>
  <c r="E7" i="97"/>
  <c r="F7" i="97"/>
  <c r="G7" i="97"/>
  <c r="H7" i="97"/>
  <c r="I7" i="97"/>
  <c r="B8" i="97"/>
  <c r="C8" i="97"/>
  <c r="E8" i="97"/>
  <c r="F8" i="97"/>
  <c r="G8" i="97"/>
  <c r="H8" i="97"/>
  <c r="I8" i="97"/>
  <c r="B9" i="97"/>
  <c r="C9" i="97"/>
  <c r="E9" i="97"/>
  <c r="F9" i="97"/>
  <c r="G9" i="97"/>
  <c r="H9" i="97"/>
  <c r="I9" i="97"/>
  <c r="B10" i="97"/>
  <c r="C10" i="97"/>
  <c r="E10" i="97"/>
  <c r="F10" i="97"/>
  <c r="G10" i="97"/>
  <c r="H10" i="97"/>
  <c r="B4" i="97" l="1"/>
  <c r="C4" i="97"/>
  <c r="E4" i="97"/>
  <c r="F4" i="97"/>
  <c r="G4" i="97"/>
  <c r="H4" i="97"/>
  <c r="I4" i="97"/>
  <c r="B3" i="97" l="1"/>
  <c r="C3" i="97"/>
  <c r="E3" i="97"/>
  <c r="F3" i="97"/>
  <c r="G3" i="97"/>
  <c r="H3" i="97"/>
  <c r="I3" i="97"/>
  <c r="I2" i="97" l="1"/>
  <c r="I43" i="97" s="1"/>
  <c r="H2" i="97"/>
  <c r="G2" i="97"/>
  <c r="F2" i="97"/>
  <c r="E2" i="97"/>
  <c r="C2" i="97"/>
  <c r="B2" i="97"/>
  <c r="B26" i="96" l="1"/>
  <c r="C26" i="96"/>
  <c r="E26" i="96"/>
  <c r="F26" i="96"/>
  <c r="G26" i="96"/>
  <c r="H26" i="96"/>
  <c r="I26" i="96"/>
  <c r="B27" i="96"/>
  <c r="C27" i="96"/>
  <c r="E27" i="96"/>
  <c r="F27" i="96"/>
  <c r="G27" i="96"/>
  <c r="H27" i="96"/>
  <c r="I27" i="96"/>
  <c r="K130" i="21"/>
  <c r="B25" i="96" l="1"/>
  <c r="C25" i="96"/>
  <c r="E25" i="96"/>
  <c r="F25" i="96"/>
  <c r="G25" i="96"/>
  <c r="H25" i="96"/>
  <c r="I25" i="96"/>
  <c r="B23" i="96" l="1"/>
  <c r="C23" i="96"/>
  <c r="E23" i="96"/>
  <c r="F23" i="96"/>
  <c r="G23" i="96"/>
  <c r="H23" i="96"/>
  <c r="I23" i="96"/>
  <c r="B24" i="96"/>
  <c r="C24" i="96"/>
  <c r="E24" i="96"/>
  <c r="F24" i="96"/>
  <c r="G24" i="96"/>
  <c r="H24" i="96"/>
  <c r="I24" i="96"/>
  <c r="K134" i="21"/>
  <c r="I22" i="96" l="1"/>
  <c r="B18" i="96"/>
  <c r="C18" i="96"/>
  <c r="E18" i="96"/>
  <c r="F18" i="96"/>
  <c r="G18" i="96"/>
  <c r="H18" i="96"/>
  <c r="I18" i="96"/>
  <c r="B19" i="96"/>
  <c r="C19" i="96"/>
  <c r="E19" i="96"/>
  <c r="F19" i="96"/>
  <c r="G19" i="96"/>
  <c r="H19" i="96"/>
  <c r="I19" i="96"/>
  <c r="B20" i="96"/>
  <c r="C20" i="96"/>
  <c r="E20" i="96"/>
  <c r="F20" i="96"/>
  <c r="G20" i="96"/>
  <c r="H20" i="96"/>
  <c r="I20" i="96"/>
  <c r="B21" i="96"/>
  <c r="C21" i="96"/>
  <c r="E21" i="96"/>
  <c r="F21" i="96"/>
  <c r="G21" i="96"/>
  <c r="H21" i="96"/>
  <c r="I21" i="96"/>
  <c r="B22" i="96"/>
  <c r="C22" i="96"/>
  <c r="E22" i="96"/>
  <c r="F22" i="96"/>
  <c r="G22" i="96"/>
  <c r="H22" i="96"/>
  <c r="B15" i="96" l="1"/>
  <c r="C15" i="96"/>
  <c r="E15" i="96"/>
  <c r="F15" i="96"/>
  <c r="G15" i="96"/>
  <c r="H15" i="96"/>
  <c r="I15" i="96"/>
  <c r="B16" i="96"/>
  <c r="C16" i="96"/>
  <c r="E16" i="96"/>
  <c r="F16" i="96"/>
  <c r="G16" i="96"/>
  <c r="H16" i="96"/>
  <c r="I16" i="96"/>
  <c r="B17" i="96"/>
  <c r="C17" i="96"/>
  <c r="E17" i="96"/>
  <c r="F17" i="96"/>
  <c r="G17" i="96"/>
  <c r="H17" i="96"/>
  <c r="I17" i="96"/>
  <c r="K132" i="21"/>
  <c r="B13" i="96" l="1"/>
  <c r="C13" i="96"/>
  <c r="E13" i="96"/>
  <c r="F13" i="96"/>
  <c r="G13" i="96"/>
  <c r="H13" i="96"/>
  <c r="I13" i="96"/>
  <c r="B14" i="96"/>
  <c r="C14" i="96"/>
  <c r="E14" i="96"/>
  <c r="F14" i="96"/>
  <c r="G14" i="96"/>
  <c r="H14" i="96"/>
  <c r="I14" i="96"/>
  <c r="B12" i="96" l="1"/>
  <c r="C12" i="96"/>
  <c r="E12" i="96"/>
  <c r="F12" i="96"/>
  <c r="G12" i="96"/>
  <c r="H12" i="96"/>
  <c r="I12" i="96"/>
  <c r="B11" i="96" l="1"/>
  <c r="C11" i="96"/>
  <c r="E11" i="96"/>
  <c r="F11" i="96"/>
  <c r="G11" i="96"/>
  <c r="H11" i="96"/>
  <c r="I11" i="96"/>
  <c r="K133" i="21"/>
  <c r="B6" i="96"/>
  <c r="C6" i="96"/>
  <c r="E6" i="96"/>
  <c r="F6" i="96"/>
  <c r="G6" i="96"/>
  <c r="H6" i="96"/>
  <c r="I6" i="96"/>
  <c r="B7" i="96"/>
  <c r="C7" i="96"/>
  <c r="E7" i="96"/>
  <c r="F7" i="96"/>
  <c r="G7" i="96"/>
  <c r="H7" i="96"/>
  <c r="I7" i="96"/>
  <c r="B8" i="96"/>
  <c r="C8" i="96"/>
  <c r="E8" i="96"/>
  <c r="F8" i="96"/>
  <c r="G8" i="96"/>
  <c r="H8" i="96"/>
  <c r="I8" i="96"/>
  <c r="B9" i="96"/>
  <c r="C9" i="96"/>
  <c r="E9" i="96"/>
  <c r="F9" i="96"/>
  <c r="G9" i="96"/>
  <c r="H9" i="96"/>
  <c r="I9" i="96"/>
  <c r="B10" i="96"/>
  <c r="C10" i="96"/>
  <c r="E10" i="96"/>
  <c r="F10" i="96"/>
  <c r="G10" i="96"/>
  <c r="H10" i="96"/>
  <c r="I10" i="96"/>
  <c r="I5" i="96" l="1"/>
  <c r="K137" i="21"/>
  <c r="B3" i="96"/>
  <c r="C3" i="96"/>
  <c r="E3" i="96"/>
  <c r="F3" i="96"/>
  <c r="G3" i="96"/>
  <c r="H3" i="96"/>
  <c r="I3" i="96"/>
  <c r="B4" i="96"/>
  <c r="C4" i="96"/>
  <c r="E4" i="96"/>
  <c r="F4" i="96"/>
  <c r="G4" i="96"/>
  <c r="H4" i="96"/>
  <c r="I4" i="96"/>
  <c r="B5" i="96"/>
  <c r="C5" i="96"/>
  <c r="E5" i="96"/>
  <c r="F5" i="96"/>
  <c r="G5" i="96"/>
  <c r="H5" i="96"/>
  <c r="I2" i="96" l="1"/>
  <c r="I28" i="96" s="1"/>
  <c r="H2" i="96"/>
  <c r="G2" i="96"/>
  <c r="F2" i="96"/>
  <c r="E2" i="96"/>
  <c r="C2" i="96"/>
  <c r="B2" i="96"/>
  <c r="B28" i="95" l="1"/>
  <c r="C28" i="95"/>
  <c r="E28" i="95"/>
  <c r="F28" i="95"/>
  <c r="G28" i="95"/>
  <c r="H28" i="95"/>
  <c r="I28" i="95"/>
  <c r="I140" i="21"/>
  <c r="B27" i="95" l="1"/>
  <c r="C27" i="95"/>
  <c r="E27" i="95"/>
  <c r="F27" i="95"/>
  <c r="G27" i="95"/>
  <c r="H27" i="95"/>
  <c r="I27" i="95"/>
  <c r="I134" i="21" l="1"/>
  <c r="B25" i="95"/>
  <c r="C25" i="95"/>
  <c r="E25" i="95"/>
  <c r="F25" i="95"/>
  <c r="G25" i="95"/>
  <c r="H25" i="95"/>
  <c r="I25" i="95"/>
  <c r="B26" i="95"/>
  <c r="C26" i="95"/>
  <c r="E26" i="95"/>
  <c r="F26" i="95"/>
  <c r="G26" i="95"/>
  <c r="H26" i="95"/>
  <c r="I26" i="95"/>
  <c r="B24" i="95" l="1"/>
  <c r="C24" i="95"/>
  <c r="E24" i="95"/>
  <c r="F24" i="95"/>
  <c r="G24" i="95"/>
  <c r="H24" i="95"/>
  <c r="I24" i="95"/>
  <c r="B23" i="95" l="1"/>
  <c r="C23" i="95"/>
  <c r="E23" i="95"/>
  <c r="F23" i="95"/>
  <c r="G23" i="95"/>
  <c r="H23" i="95"/>
  <c r="I23" i="95"/>
  <c r="I130" i="21"/>
  <c r="B22" i="95" l="1"/>
  <c r="C22" i="95"/>
  <c r="E22" i="95"/>
  <c r="F22" i="95"/>
  <c r="G22" i="95"/>
  <c r="H22" i="95"/>
  <c r="I22" i="95"/>
  <c r="I137" i="21"/>
  <c r="B18" i="95" l="1"/>
  <c r="C18" i="95"/>
  <c r="E18" i="95"/>
  <c r="F18" i="95"/>
  <c r="G18" i="95"/>
  <c r="H18" i="95"/>
  <c r="I18" i="95"/>
  <c r="B19" i="95"/>
  <c r="C19" i="95"/>
  <c r="E19" i="95"/>
  <c r="F19" i="95"/>
  <c r="G19" i="95"/>
  <c r="H19" i="95"/>
  <c r="I19" i="95"/>
  <c r="B20" i="95"/>
  <c r="C20" i="95"/>
  <c r="E20" i="95"/>
  <c r="F20" i="95"/>
  <c r="G20" i="95"/>
  <c r="H20" i="95"/>
  <c r="I20" i="95"/>
  <c r="B21" i="95"/>
  <c r="C21" i="95"/>
  <c r="E21" i="95"/>
  <c r="F21" i="95"/>
  <c r="G21" i="95"/>
  <c r="H21" i="95"/>
  <c r="I21" i="95"/>
  <c r="B17" i="95" l="1"/>
  <c r="C17" i="95"/>
  <c r="E17" i="95"/>
  <c r="F17" i="95"/>
  <c r="G17" i="95"/>
  <c r="H17" i="95"/>
  <c r="I17" i="95"/>
  <c r="B14" i="95"/>
  <c r="C14" i="95"/>
  <c r="E14" i="95"/>
  <c r="F14" i="95"/>
  <c r="G14" i="95"/>
  <c r="H14" i="95"/>
  <c r="I14" i="95"/>
  <c r="B15" i="95"/>
  <c r="C15" i="95"/>
  <c r="E15" i="95"/>
  <c r="F15" i="95"/>
  <c r="G15" i="95"/>
  <c r="H15" i="95"/>
  <c r="I15" i="95"/>
  <c r="B16" i="95"/>
  <c r="C16" i="95"/>
  <c r="E16" i="95"/>
  <c r="F16" i="95"/>
  <c r="G16" i="95"/>
  <c r="H16" i="95"/>
  <c r="I16" i="95"/>
  <c r="B13" i="95"/>
  <c r="C13" i="95"/>
  <c r="E13" i="95"/>
  <c r="F13" i="95"/>
  <c r="G13" i="95"/>
  <c r="H13" i="95"/>
  <c r="I13" i="95"/>
  <c r="B12" i="95" l="1"/>
  <c r="C12" i="95"/>
  <c r="E12" i="95"/>
  <c r="F12" i="95"/>
  <c r="G12" i="95"/>
  <c r="H12" i="95"/>
  <c r="I12" i="95"/>
  <c r="I135" i="21"/>
  <c r="B11" i="95"/>
  <c r="C11" i="95"/>
  <c r="E11" i="95"/>
  <c r="F11" i="95"/>
  <c r="G11" i="95"/>
  <c r="H11" i="95"/>
  <c r="I11" i="95"/>
  <c r="B10" i="95" l="1"/>
  <c r="C10" i="95"/>
  <c r="E10" i="95"/>
  <c r="F10" i="95"/>
  <c r="G10" i="95"/>
  <c r="H10" i="95"/>
  <c r="I10" i="95"/>
  <c r="B9" i="95"/>
  <c r="C9" i="95"/>
  <c r="E9" i="95"/>
  <c r="F9" i="95"/>
  <c r="G9" i="95"/>
  <c r="H9" i="95"/>
  <c r="I9" i="95"/>
  <c r="B8" i="95"/>
  <c r="C8" i="95"/>
  <c r="E8" i="95"/>
  <c r="F8" i="95"/>
  <c r="G8" i="95"/>
  <c r="H8" i="95"/>
  <c r="I8" i="95"/>
  <c r="B7" i="95"/>
  <c r="C7" i="95"/>
  <c r="E7" i="95"/>
  <c r="F7" i="95"/>
  <c r="G7" i="95"/>
  <c r="H7" i="95"/>
  <c r="I7" i="95"/>
  <c r="B6" i="95"/>
  <c r="C6" i="95"/>
  <c r="E6" i="95"/>
  <c r="F6" i="95"/>
  <c r="G6" i="95"/>
  <c r="H6" i="95"/>
  <c r="I6" i="95"/>
  <c r="I131" i="21"/>
  <c r="B5" i="95"/>
  <c r="C5" i="95"/>
  <c r="E5" i="95"/>
  <c r="F5" i="95"/>
  <c r="G5" i="95"/>
  <c r="H5" i="95"/>
  <c r="I5" i="95"/>
  <c r="B4" i="95" l="1"/>
  <c r="C4" i="95"/>
  <c r="E4" i="95"/>
  <c r="F4" i="95"/>
  <c r="G4" i="95"/>
  <c r="H4" i="95"/>
  <c r="I4" i="95"/>
  <c r="B3" i="95"/>
  <c r="C3" i="95"/>
  <c r="E3" i="95"/>
  <c r="F3" i="95"/>
  <c r="G3" i="95"/>
  <c r="H3" i="95"/>
  <c r="I3" i="95"/>
  <c r="I2" i="95"/>
  <c r="H2" i="95"/>
  <c r="G2" i="95"/>
  <c r="F2" i="95"/>
  <c r="E2" i="95"/>
  <c r="C2" i="95"/>
  <c r="B2" i="95"/>
  <c r="I29" i="95" l="1"/>
  <c r="B24" i="94"/>
  <c r="C24" i="94"/>
  <c r="E24" i="94"/>
  <c r="F24" i="94"/>
  <c r="G24" i="94"/>
  <c r="H24" i="94"/>
  <c r="I24" i="94"/>
  <c r="B25" i="94"/>
  <c r="C25" i="94"/>
  <c r="E25" i="94"/>
  <c r="F25" i="94"/>
  <c r="G25" i="94"/>
  <c r="H25" i="94"/>
  <c r="I25" i="94"/>
  <c r="G134" i="21"/>
  <c r="G137" i="21"/>
  <c r="B23" i="94" l="1"/>
  <c r="C23" i="94"/>
  <c r="E23" i="94"/>
  <c r="F23" i="94"/>
  <c r="G23" i="94"/>
  <c r="H23" i="94"/>
  <c r="I23" i="94"/>
  <c r="B22" i="94"/>
  <c r="C22" i="94"/>
  <c r="E22" i="94"/>
  <c r="F22" i="94"/>
  <c r="G22" i="94"/>
  <c r="H22" i="94"/>
  <c r="I22" i="94"/>
  <c r="B21" i="94"/>
  <c r="C21" i="94"/>
  <c r="E21" i="94"/>
  <c r="F21" i="94"/>
  <c r="G21" i="94"/>
  <c r="H21" i="94"/>
  <c r="I21" i="94"/>
  <c r="B20" i="94" l="1"/>
  <c r="C20" i="94"/>
  <c r="E20" i="94"/>
  <c r="F20" i="94"/>
  <c r="G20" i="94"/>
  <c r="H20" i="94"/>
  <c r="I20" i="94"/>
  <c r="B19" i="94"/>
  <c r="C19" i="94"/>
  <c r="E19" i="94"/>
  <c r="F19" i="94"/>
  <c r="G19" i="94"/>
  <c r="H19" i="94"/>
  <c r="I19" i="94"/>
  <c r="B18" i="94"/>
  <c r="C18" i="94"/>
  <c r="E18" i="94"/>
  <c r="F18" i="94"/>
  <c r="G18" i="94"/>
  <c r="H18" i="94"/>
  <c r="I18" i="94"/>
  <c r="G140" i="21"/>
  <c r="B17" i="94" l="1"/>
  <c r="C17" i="94"/>
  <c r="E17" i="94"/>
  <c r="F17" i="94"/>
  <c r="G17" i="94"/>
  <c r="H17" i="94"/>
  <c r="I17" i="94"/>
  <c r="G130" i="21"/>
  <c r="B16" i="94"/>
  <c r="C16" i="94"/>
  <c r="E16" i="94"/>
  <c r="F16" i="94"/>
  <c r="G16" i="94"/>
  <c r="H16" i="94"/>
  <c r="I16" i="94"/>
  <c r="B15" i="94"/>
  <c r="C15" i="94"/>
  <c r="E15" i="94"/>
  <c r="F15" i="94"/>
  <c r="G15" i="94"/>
  <c r="H15" i="94"/>
  <c r="I15" i="94"/>
  <c r="B14" i="94"/>
  <c r="C14" i="94"/>
  <c r="E14" i="94"/>
  <c r="F14" i="94"/>
  <c r="G14" i="94"/>
  <c r="H14" i="94"/>
  <c r="I14" i="94"/>
  <c r="B13" i="94"/>
  <c r="C13" i="94"/>
  <c r="E13" i="94"/>
  <c r="F13" i="94"/>
  <c r="G13" i="94"/>
  <c r="H13" i="94"/>
  <c r="I13" i="94"/>
  <c r="B12" i="94"/>
  <c r="C12" i="94"/>
  <c r="E12" i="94"/>
  <c r="F12" i="94"/>
  <c r="G12" i="94"/>
  <c r="H12" i="94"/>
  <c r="I12" i="94"/>
  <c r="B11" i="94"/>
  <c r="C11" i="94"/>
  <c r="E11" i="94"/>
  <c r="F11" i="94"/>
  <c r="G11" i="94"/>
  <c r="H11" i="94"/>
  <c r="I11" i="94"/>
  <c r="B10" i="94" l="1"/>
  <c r="C10" i="94"/>
  <c r="E10" i="94"/>
  <c r="F10" i="94"/>
  <c r="G10" i="94"/>
  <c r="H10" i="94"/>
  <c r="I10" i="94"/>
  <c r="B9" i="94" l="1"/>
  <c r="C9" i="94"/>
  <c r="E9" i="94"/>
  <c r="F9" i="94"/>
  <c r="G9" i="94"/>
  <c r="H9" i="94"/>
  <c r="I9" i="94"/>
  <c r="B8" i="94"/>
  <c r="C8" i="94"/>
  <c r="E8" i="94"/>
  <c r="F8" i="94"/>
  <c r="G8" i="94"/>
  <c r="H8" i="94"/>
  <c r="I8" i="94"/>
  <c r="B7" i="94"/>
  <c r="C7" i="94"/>
  <c r="E7" i="94"/>
  <c r="F7" i="94"/>
  <c r="G7" i="94"/>
  <c r="H7" i="94"/>
  <c r="I7" i="94"/>
  <c r="B6" i="94" l="1"/>
  <c r="C6" i="94"/>
  <c r="E6" i="94"/>
  <c r="F6" i="94"/>
  <c r="G6" i="94"/>
  <c r="H6" i="94"/>
  <c r="I6" i="94"/>
  <c r="B5" i="94"/>
  <c r="C5" i="94"/>
  <c r="E5" i="94"/>
  <c r="F5" i="94"/>
  <c r="G5" i="94"/>
  <c r="H5" i="94"/>
  <c r="I5" i="94"/>
  <c r="B4" i="94"/>
  <c r="C4" i="94"/>
  <c r="E4" i="94"/>
  <c r="F4" i="94"/>
  <c r="G4" i="94"/>
  <c r="H4" i="94"/>
  <c r="I4" i="94"/>
  <c r="B3" i="94"/>
  <c r="C3" i="94"/>
  <c r="E3" i="94"/>
  <c r="F3" i="94"/>
  <c r="G3" i="94"/>
  <c r="H3" i="94"/>
  <c r="I3" i="94"/>
  <c r="I2" i="94"/>
  <c r="H2" i="94"/>
  <c r="G2" i="94"/>
  <c r="F2" i="94"/>
  <c r="E2" i="94"/>
  <c r="C2" i="94"/>
  <c r="B2" i="94"/>
  <c r="I26" i="94" l="1"/>
  <c r="B31" i="93"/>
  <c r="C31" i="93"/>
  <c r="E31" i="93"/>
  <c r="F31" i="93"/>
  <c r="G31" i="93"/>
  <c r="H31" i="93"/>
  <c r="I31" i="93"/>
  <c r="E134" i="21"/>
  <c r="B30" i="93"/>
  <c r="C30" i="93"/>
  <c r="E30" i="93"/>
  <c r="F30" i="93"/>
  <c r="G30" i="93"/>
  <c r="H30" i="93"/>
  <c r="I30" i="93"/>
  <c r="B29" i="93"/>
  <c r="C29" i="93"/>
  <c r="E29" i="93"/>
  <c r="F29" i="93"/>
  <c r="G29" i="93"/>
  <c r="H29" i="93"/>
  <c r="I29" i="93"/>
  <c r="B28" i="93"/>
  <c r="C28" i="93"/>
  <c r="E28" i="93"/>
  <c r="F28" i="93"/>
  <c r="G28" i="93"/>
  <c r="H28" i="93"/>
  <c r="I28" i="93"/>
  <c r="B21" i="93"/>
  <c r="C21" i="93"/>
  <c r="E21" i="93"/>
  <c r="F21" i="93"/>
  <c r="G21" i="93"/>
  <c r="H21" i="93"/>
  <c r="I21" i="93"/>
  <c r="B22" i="93"/>
  <c r="C22" i="93"/>
  <c r="E22" i="93"/>
  <c r="F22" i="93"/>
  <c r="G22" i="93"/>
  <c r="H22" i="93"/>
  <c r="I22" i="93"/>
  <c r="B23" i="93"/>
  <c r="C23" i="93"/>
  <c r="E23" i="93"/>
  <c r="F23" i="93"/>
  <c r="G23" i="93"/>
  <c r="H23" i="93"/>
  <c r="I23" i="93"/>
  <c r="B24" i="93"/>
  <c r="C24" i="93"/>
  <c r="E24" i="93"/>
  <c r="F24" i="93"/>
  <c r="G24" i="93"/>
  <c r="H24" i="93"/>
  <c r="I24" i="93"/>
  <c r="B25" i="93"/>
  <c r="C25" i="93"/>
  <c r="E25" i="93"/>
  <c r="F25" i="93"/>
  <c r="G25" i="93"/>
  <c r="H25" i="93"/>
  <c r="I25" i="93"/>
  <c r="B26" i="93"/>
  <c r="C26" i="93"/>
  <c r="E26" i="93"/>
  <c r="F26" i="93"/>
  <c r="G26" i="93"/>
  <c r="H26" i="93"/>
  <c r="I26" i="93"/>
  <c r="B27" i="93"/>
  <c r="C27" i="93"/>
  <c r="E27" i="93"/>
  <c r="F27" i="93"/>
  <c r="G27" i="93"/>
  <c r="H27" i="93"/>
  <c r="I27" i="93"/>
  <c r="E131" i="21"/>
  <c r="E130" i="21"/>
  <c r="B19" i="93" l="1"/>
  <c r="C19" i="93"/>
  <c r="E19" i="93"/>
  <c r="F19" i="93"/>
  <c r="G19" i="93"/>
  <c r="H19" i="93"/>
  <c r="I19" i="93"/>
  <c r="B20" i="93"/>
  <c r="C20" i="93"/>
  <c r="E20" i="93"/>
  <c r="F20" i="93"/>
  <c r="G20" i="93"/>
  <c r="H20" i="93"/>
  <c r="I20" i="93"/>
  <c r="E132" i="21"/>
  <c r="B18" i="93" l="1"/>
  <c r="C18" i="93"/>
  <c r="E18" i="93"/>
  <c r="F18" i="93"/>
  <c r="G18" i="93"/>
  <c r="H18" i="93"/>
  <c r="I18" i="93"/>
  <c r="B14" i="93" l="1"/>
  <c r="C14" i="93"/>
  <c r="E14" i="93"/>
  <c r="F14" i="93"/>
  <c r="G14" i="93"/>
  <c r="H14" i="93"/>
  <c r="I14" i="93"/>
  <c r="B15" i="93"/>
  <c r="C15" i="93"/>
  <c r="E15" i="93"/>
  <c r="F15" i="93"/>
  <c r="G15" i="93"/>
  <c r="H15" i="93"/>
  <c r="I15" i="93"/>
  <c r="B16" i="93"/>
  <c r="C16" i="93"/>
  <c r="E16" i="93"/>
  <c r="F16" i="93"/>
  <c r="G16" i="93"/>
  <c r="H16" i="93"/>
  <c r="I16" i="93"/>
  <c r="B17" i="93"/>
  <c r="C17" i="93"/>
  <c r="E17" i="93"/>
  <c r="F17" i="93"/>
  <c r="G17" i="93"/>
  <c r="H17" i="93"/>
  <c r="I17" i="93"/>
  <c r="E136" i="21"/>
  <c r="E137" i="21"/>
  <c r="E140" i="21"/>
  <c r="B12" i="93" l="1"/>
  <c r="C12" i="93"/>
  <c r="E12" i="93"/>
  <c r="F12" i="93"/>
  <c r="G12" i="93"/>
  <c r="H12" i="93"/>
  <c r="I12" i="93"/>
  <c r="B13" i="93"/>
  <c r="C13" i="93"/>
  <c r="E13" i="93"/>
  <c r="F13" i="93"/>
  <c r="G13" i="93"/>
  <c r="H13" i="93"/>
  <c r="I13" i="93"/>
  <c r="B10" i="93" l="1"/>
  <c r="C10" i="93"/>
  <c r="E10" i="93"/>
  <c r="F10" i="93"/>
  <c r="G10" i="93"/>
  <c r="H10" i="93"/>
  <c r="I10" i="93"/>
  <c r="B11" i="93"/>
  <c r="C11" i="93"/>
  <c r="E11" i="93"/>
  <c r="F11" i="93"/>
  <c r="G11" i="93"/>
  <c r="H11" i="93"/>
  <c r="I11" i="93"/>
  <c r="B8" i="93" l="1"/>
  <c r="C8" i="93"/>
  <c r="E8" i="93"/>
  <c r="F8" i="93"/>
  <c r="G8" i="93"/>
  <c r="H8" i="93"/>
  <c r="I8" i="93"/>
  <c r="B9" i="93"/>
  <c r="C9" i="93"/>
  <c r="E9" i="93"/>
  <c r="F9" i="93"/>
  <c r="G9" i="93"/>
  <c r="H9" i="93"/>
  <c r="I9" i="93"/>
  <c r="B5" i="93" l="1"/>
  <c r="C5" i="93"/>
  <c r="E5" i="93"/>
  <c r="F5" i="93"/>
  <c r="G5" i="93"/>
  <c r="H5" i="93"/>
  <c r="I5" i="93"/>
  <c r="B6" i="93"/>
  <c r="C6" i="93"/>
  <c r="E6" i="93"/>
  <c r="F6" i="93"/>
  <c r="G6" i="93"/>
  <c r="H6" i="93"/>
  <c r="I6" i="93"/>
  <c r="B7" i="93"/>
  <c r="C7" i="93"/>
  <c r="E7" i="93"/>
  <c r="F7" i="93"/>
  <c r="G7" i="93"/>
  <c r="H7" i="93"/>
  <c r="I7" i="93"/>
  <c r="AA116" i="21"/>
  <c r="B3" i="93" l="1"/>
  <c r="C3" i="93"/>
  <c r="E3" i="93"/>
  <c r="F3" i="93"/>
  <c r="G3" i="93"/>
  <c r="H3" i="93"/>
  <c r="I3" i="93"/>
  <c r="B4" i="93"/>
  <c r="C4" i="93"/>
  <c r="E4" i="93"/>
  <c r="F4" i="93"/>
  <c r="G4" i="93"/>
  <c r="H4" i="93"/>
  <c r="I4" i="93"/>
  <c r="I2" i="93"/>
  <c r="H2" i="93"/>
  <c r="G2" i="93"/>
  <c r="F2" i="93"/>
  <c r="E2" i="93"/>
  <c r="C2" i="93"/>
  <c r="B2" i="93"/>
  <c r="I32" i="93" l="1"/>
  <c r="U117" i="21"/>
  <c r="B39" i="92" l="1"/>
  <c r="C39" i="92"/>
  <c r="E39" i="92"/>
  <c r="F39" i="92"/>
  <c r="G39" i="92"/>
  <c r="H39" i="92"/>
  <c r="I39" i="92"/>
  <c r="B40" i="92"/>
  <c r="C40" i="92"/>
  <c r="E40" i="92"/>
  <c r="F40" i="92"/>
  <c r="G40" i="92"/>
  <c r="H40" i="92"/>
  <c r="I40" i="92"/>
  <c r="B41" i="92"/>
  <c r="C41" i="92"/>
  <c r="E41" i="92"/>
  <c r="F41" i="92"/>
  <c r="G41" i="92"/>
  <c r="H41" i="92"/>
  <c r="I41" i="92"/>
  <c r="B42" i="92"/>
  <c r="C42" i="92"/>
  <c r="E42" i="92"/>
  <c r="F42" i="92"/>
  <c r="G42" i="92"/>
  <c r="H42" i="92"/>
  <c r="I42" i="92"/>
  <c r="K42" i="12"/>
  <c r="J42" i="12"/>
  <c r="I54" i="4"/>
  <c r="H54" i="4"/>
  <c r="AA111" i="21"/>
  <c r="AA118" i="21"/>
  <c r="G76" i="4"/>
  <c r="M76" i="4" s="1"/>
  <c r="Z142" i="21"/>
  <c r="Y142" i="21"/>
  <c r="X142" i="21"/>
  <c r="V142" i="21"/>
  <c r="T142" i="21"/>
  <c r="R142" i="21"/>
  <c r="P142" i="21"/>
  <c r="N142" i="21"/>
  <c r="M142" i="21"/>
  <c r="L142" i="21"/>
  <c r="J142" i="21"/>
  <c r="H142" i="21"/>
  <c r="F142" i="21"/>
  <c r="D142" i="21"/>
  <c r="AC141" i="21"/>
  <c r="G64" i="12" s="1"/>
  <c r="AB141" i="21"/>
  <c r="F64" i="12" s="1"/>
  <c r="AC140" i="21"/>
  <c r="G63" i="12" s="1"/>
  <c r="AB140" i="21"/>
  <c r="F63" i="12" s="1"/>
  <c r="G142" i="21"/>
  <c r="AC139" i="21"/>
  <c r="G62" i="12" s="1"/>
  <c r="AB139" i="21"/>
  <c r="F62" i="12" s="1"/>
  <c r="AC138" i="21"/>
  <c r="G61" i="12" s="1"/>
  <c r="M61" i="12" s="1"/>
  <c r="AB138" i="21"/>
  <c r="F61" i="12" s="1"/>
  <c r="L61" i="12" s="1"/>
  <c r="AC137" i="21"/>
  <c r="G60" i="12" s="1"/>
  <c r="AB137" i="21"/>
  <c r="F60" i="12" s="1"/>
  <c r="AB136" i="21"/>
  <c r="F59" i="12" s="1"/>
  <c r="AC136" i="21"/>
  <c r="G59" i="12" s="1"/>
  <c r="AB135" i="21"/>
  <c r="F58" i="12" s="1"/>
  <c r="AC135" i="21"/>
  <c r="G58" i="12" s="1"/>
  <c r="AB134" i="21"/>
  <c r="F57" i="12" s="1"/>
  <c r="AC134" i="21"/>
  <c r="G57" i="12" s="1"/>
  <c r="AB133" i="21"/>
  <c r="F56" i="12" s="1"/>
  <c r="AC133" i="21"/>
  <c r="G56" i="12" s="1"/>
  <c r="AB132" i="21"/>
  <c r="F55" i="12" s="1"/>
  <c r="AC132" i="21"/>
  <c r="G55" i="12" s="1"/>
  <c r="AB131" i="21"/>
  <c r="F54" i="12" s="1"/>
  <c r="AA142" i="21"/>
  <c r="AC131" i="21"/>
  <c r="G54" i="12" s="1"/>
  <c r="AB130" i="21"/>
  <c r="F53" i="12" s="1"/>
  <c r="W142" i="21"/>
  <c r="U142" i="21"/>
  <c r="S142" i="21"/>
  <c r="Q142" i="21"/>
  <c r="O142" i="21"/>
  <c r="K142" i="21"/>
  <c r="I142" i="21"/>
  <c r="E142" i="21"/>
  <c r="L64" i="12" l="1"/>
  <c r="L62" i="12"/>
  <c r="M64" i="12"/>
  <c r="M62" i="12"/>
  <c r="M55" i="12"/>
  <c r="L56" i="12"/>
  <c r="L55" i="12"/>
  <c r="L59" i="12"/>
  <c r="M56" i="12"/>
  <c r="M59" i="12"/>
  <c r="L53" i="12"/>
  <c r="M63" i="12"/>
  <c r="L63" i="12"/>
  <c r="M60" i="12"/>
  <c r="L60" i="12"/>
  <c r="M58" i="12"/>
  <c r="L58" i="12"/>
  <c r="M54" i="12"/>
  <c r="L54" i="12"/>
  <c r="M57" i="12"/>
  <c r="L57" i="12"/>
  <c r="I66" i="4"/>
  <c r="H66" i="4"/>
  <c r="I65" i="4"/>
  <c r="I74" i="4"/>
  <c r="I71" i="4"/>
  <c r="H74" i="4"/>
  <c r="H71" i="4"/>
  <c r="I73" i="4"/>
  <c r="H68" i="4"/>
  <c r="H65" i="4"/>
  <c r="AB142" i="21"/>
  <c r="F65" i="12" s="1"/>
  <c r="L65" i="12" s="1"/>
  <c r="AC142" i="21"/>
  <c r="G65" i="12" s="1"/>
  <c r="M65" i="12" s="1"/>
  <c r="AC130" i="21"/>
  <c r="G53" i="12" s="1"/>
  <c r="B37" i="92"/>
  <c r="C37" i="92"/>
  <c r="E37" i="92"/>
  <c r="F37" i="92"/>
  <c r="G37" i="92"/>
  <c r="H37" i="92"/>
  <c r="I37" i="92"/>
  <c r="B38" i="92"/>
  <c r="C38" i="92"/>
  <c r="E38" i="92"/>
  <c r="F38" i="92"/>
  <c r="G38" i="92"/>
  <c r="H38" i="92"/>
  <c r="I38" i="92"/>
  <c r="M53" i="12" l="1"/>
  <c r="B34" i="92"/>
  <c r="C34" i="92"/>
  <c r="E34" i="92"/>
  <c r="F34" i="92"/>
  <c r="G34" i="92"/>
  <c r="H34" i="92"/>
  <c r="I34" i="92"/>
  <c r="B35" i="92"/>
  <c r="C35" i="92"/>
  <c r="E35" i="92"/>
  <c r="F35" i="92"/>
  <c r="G35" i="92"/>
  <c r="H35" i="92"/>
  <c r="I35" i="92"/>
  <c r="B36" i="92"/>
  <c r="C36" i="92"/>
  <c r="E36" i="92"/>
  <c r="F36" i="92"/>
  <c r="G36" i="92"/>
  <c r="H36" i="92"/>
  <c r="I36" i="92"/>
  <c r="B4" i="92" l="1"/>
  <c r="C4" i="92"/>
  <c r="E4" i="92"/>
  <c r="F4" i="92"/>
  <c r="G4" i="92"/>
  <c r="H4" i="92"/>
  <c r="I4" i="92"/>
  <c r="B5" i="92"/>
  <c r="C5" i="92"/>
  <c r="E5" i="92"/>
  <c r="F5" i="92"/>
  <c r="G5" i="92"/>
  <c r="H5" i="92"/>
  <c r="I5" i="92"/>
  <c r="B6" i="92"/>
  <c r="C6" i="92"/>
  <c r="E6" i="92"/>
  <c r="F6" i="92"/>
  <c r="G6" i="92"/>
  <c r="H6" i="92"/>
  <c r="I6" i="92"/>
  <c r="B7" i="92"/>
  <c r="C7" i="92"/>
  <c r="E7" i="92"/>
  <c r="F7" i="92"/>
  <c r="G7" i="92"/>
  <c r="H7" i="92"/>
  <c r="I7" i="92"/>
  <c r="B8" i="92"/>
  <c r="C8" i="92"/>
  <c r="E8" i="92"/>
  <c r="F8" i="92"/>
  <c r="G8" i="92"/>
  <c r="H8" i="92"/>
  <c r="I8" i="92"/>
  <c r="B9" i="92"/>
  <c r="C9" i="92"/>
  <c r="E9" i="92"/>
  <c r="F9" i="92"/>
  <c r="G9" i="92"/>
  <c r="H9" i="92"/>
  <c r="I9" i="92"/>
  <c r="B10" i="92"/>
  <c r="C10" i="92"/>
  <c r="E10" i="92"/>
  <c r="F10" i="92"/>
  <c r="G10" i="92"/>
  <c r="H10" i="92"/>
  <c r="I10" i="92"/>
  <c r="B11" i="92"/>
  <c r="C11" i="92"/>
  <c r="E11" i="92"/>
  <c r="F11" i="92"/>
  <c r="G11" i="92"/>
  <c r="H11" i="92"/>
  <c r="I11" i="92"/>
  <c r="B12" i="92"/>
  <c r="C12" i="92"/>
  <c r="E12" i="92"/>
  <c r="F12" i="92"/>
  <c r="G12" i="92"/>
  <c r="H12" i="92"/>
  <c r="I12" i="92"/>
  <c r="B13" i="92"/>
  <c r="C13" i="92"/>
  <c r="E13" i="92"/>
  <c r="F13" i="92"/>
  <c r="G13" i="92"/>
  <c r="H13" i="92"/>
  <c r="I13" i="92"/>
  <c r="B14" i="92"/>
  <c r="C14" i="92"/>
  <c r="E14" i="92"/>
  <c r="F14" i="92"/>
  <c r="G14" i="92"/>
  <c r="H14" i="92"/>
  <c r="I14" i="92"/>
  <c r="B15" i="92"/>
  <c r="C15" i="92"/>
  <c r="E15" i="92"/>
  <c r="F15" i="92"/>
  <c r="G15" i="92"/>
  <c r="H15" i="92"/>
  <c r="I15" i="92"/>
  <c r="B16" i="92"/>
  <c r="C16" i="92"/>
  <c r="E16" i="92"/>
  <c r="F16" i="92"/>
  <c r="G16" i="92"/>
  <c r="H16" i="92"/>
  <c r="I16" i="92"/>
  <c r="B17" i="92"/>
  <c r="C17" i="92"/>
  <c r="E17" i="92"/>
  <c r="F17" i="92"/>
  <c r="G17" i="92"/>
  <c r="H17" i="92"/>
  <c r="I17" i="92"/>
  <c r="B18" i="92"/>
  <c r="C18" i="92"/>
  <c r="E18" i="92"/>
  <c r="F18" i="92"/>
  <c r="G18" i="92"/>
  <c r="H18" i="92"/>
  <c r="I18" i="92"/>
  <c r="B19" i="92"/>
  <c r="C19" i="92"/>
  <c r="E19" i="92"/>
  <c r="F19" i="92"/>
  <c r="G19" i="92"/>
  <c r="H19" i="92"/>
  <c r="I19" i="92"/>
  <c r="B20" i="92"/>
  <c r="C20" i="92"/>
  <c r="E20" i="92"/>
  <c r="F20" i="92"/>
  <c r="G20" i="92"/>
  <c r="H20" i="92"/>
  <c r="I20" i="92"/>
  <c r="B21" i="92"/>
  <c r="C21" i="92"/>
  <c r="E21" i="92"/>
  <c r="F21" i="92"/>
  <c r="G21" i="92"/>
  <c r="H21" i="92"/>
  <c r="I21" i="92"/>
  <c r="B22" i="92"/>
  <c r="C22" i="92"/>
  <c r="E22" i="92"/>
  <c r="F22" i="92"/>
  <c r="G22" i="92"/>
  <c r="H22" i="92"/>
  <c r="I22" i="92"/>
  <c r="B23" i="92"/>
  <c r="C23" i="92"/>
  <c r="E23" i="92"/>
  <c r="F23" i="92"/>
  <c r="G23" i="92"/>
  <c r="H23" i="92"/>
  <c r="I23" i="92"/>
  <c r="B24" i="92"/>
  <c r="C24" i="92"/>
  <c r="E24" i="92"/>
  <c r="F24" i="92"/>
  <c r="G24" i="92"/>
  <c r="H24" i="92"/>
  <c r="I24" i="92"/>
  <c r="B25" i="92"/>
  <c r="C25" i="92"/>
  <c r="E25" i="92"/>
  <c r="F25" i="92"/>
  <c r="G25" i="92"/>
  <c r="H25" i="92"/>
  <c r="I25" i="92"/>
  <c r="B26" i="92"/>
  <c r="C26" i="92"/>
  <c r="E26" i="92"/>
  <c r="F26" i="92"/>
  <c r="G26" i="92"/>
  <c r="H26" i="92"/>
  <c r="I26" i="92"/>
  <c r="B27" i="92"/>
  <c r="C27" i="92"/>
  <c r="E27" i="92"/>
  <c r="F27" i="92"/>
  <c r="G27" i="92"/>
  <c r="H27" i="92"/>
  <c r="I27" i="92"/>
  <c r="B28" i="92"/>
  <c r="C28" i="92"/>
  <c r="E28" i="92"/>
  <c r="F28" i="92"/>
  <c r="G28" i="92"/>
  <c r="H28" i="92"/>
  <c r="I28" i="92"/>
  <c r="B29" i="92"/>
  <c r="C29" i="92"/>
  <c r="E29" i="92"/>
  <c r="F29" i="92"/>
  <c r="G29" i="92"/>
  <c r="H29" i="92"/>
  <c r="I29" i="92"/>
  <c r="B30" i="92"/>
  <c r="C30" i="92"/>
  <c r="E30" i="92"/>
  <c r="F30" i="92"/>
  <c r="G30" i="92"/>
  <c r="H30" i="92"/>
  <c r="I30" i="92"/>
  <c r="B31" i="92"/>
  <c r="C31" i="92"/>
  <c r="E31" i="92"/>
  <c r="F31" i="92"/>
  <c r="G31" i="92"/>
  <c r="H31" i="92"/>
  <c r="I31" i="92"/>
  <c r="B32" i="92"/>
  <c r="C32" i="92"/>
  <c r="E32" i="92"/>
  <c r="F32" i="92"/>
  <c r="G32" i="92"/>
  <c r="H32" i="92"/>
  <c r="I32" i="92"/>
  <c r="B33" i="92"/>
  <c r="C33" i="92"/>
  <c r="E33" i="92"/>
  <c r="F33" i="92"/>
  <c r="G33" i="92"/>
  <c r="H33" i="92"/>
  <c r="I33" i="92"/>
  <c r="AA112" i="21"/>
  <c r="B3" i="92" l="1"/>
  <c r="C3" i="92"/>
  <c r="E3" i="92"/>
  <c r="F3" i="92"/>
  <c r="G3" i="92"/>
  <c r="H3" i="92"/>
  <c r="I3" i="92"/>
  <c r="I2" i="92" l="1"/>
  <c r="I43" i="92" s="1"/>
  <c r="H2" i="92"/>
  <c r="G2" i="92"/>
  <c r="F2" i="92"/>
  <c r="E2" i="92"/>
  <c r="C2" i="92"/>
  <c r="B2" i="92"/>
  <c r="B5" i="91" l="1"/>
  <c r="C5" i="91"/>
  <c r="E5" i="91"/>
  <c r="F5" i="91"/>
  <c r="G5" i="91"/>
  <c r="H5" i="91"/>
  <c r="I5" i="91"/>
  <c r="B6" i="91"/>
  <c r="C6" i="91"/>
  <c r="E6" i="91"/>
  <c r="F6" i="91"/>
  <c r="G6" i="91"/>
  <c r="H6" i="91"/>
  <c r="I6" i="91"/>
  <c r="Y111" i="21"/>
  <c r="B3" i="91" l="1"/>
  <c r="C3" i="91"/>
  <c r="E3" i="91"/>
  <c r="F3" i="91"/>
  <c r="G3" i="91"/>
  <c r="H3" i="91"/>
  <c r="I3" i="91"/>
  <c r="B4" i="91"/>
  <c r="C4" i="91"/>
  <c r="E4" i="91"/>
  <c r="F4" i="91"/>
  <c r="G4" i="91"/>
  <c r="H4" i="91"/>
  <c r="I4" i="91"/>
  <c r="I2" i="91" l="1"/>
  <c r="I7" i="91" s="1"/>
  <c r="H2" i="91"/>
  <c r="G2" i="91"/>
  <c r="F2" i="91"/>
  <c r="E2" i="91"/>
  <c r="C2" i="91"/>
  <c r="B2" i="91"/>
  <c r="B33" i="90" l="1"/>
  <c r="C33" i="90"/>
  <c r="E33" i="90"/>
  <c r="F33" i="90"/>
  <c r="G33" i="90"/>
  <c r="H33" i="90"/>
  <c r="I33" i="90"/>
  <c r="B32" i="90"/>
  <c r="C32" i="90"/>
  <c r="E32" i="90"/>
  <c r="F32" i="90"/>
  <c r="G32" i="90"/>
  <c r="H32" i="90"/>
  <c r="I32" i="90"/>
  <c r="W112" i="21"/>
  <c r="B31" i="90" l="1"/>
  <c r="C31" i="90"/>
  <c r="E31" i="90"/>
  <c r="F31" i="90"/>
  <c r="G31" i="90"/>
  <c r="H31" i="90"/>
  <c r="I31" i="90"/>
  <c r="W113" i="21"/>
  <c r="B30" i="90"/>
  <c r="C30" i="90"/>
  <c r="E30" i="90"/>
  <c r="F30" i="90"/>
  <c r="G30" i="90"/>
  <c r="H30" i="90"/>
  <c r="I30" i="90"/>
  <c r="B29" i="90" l="1"/>
  <c r="C29" i="90"/>
  <c r="E29" i="90"/>
  <c r="F29" i="90"/>
  <c r="G29" i="90"/>
  <c r="H29" i="90"/>
  <c r="I29" i="90"/>
  <c r="B28" i="90"/>
  <c r="C28" i="90"/>
  <c r="E28" i="90"/>
  <c r="F28" i="90"/>
  <c r="G28" i="90"/>
  <c r="H28" i="90"/>
  <c r="I28" i="90"/>
  <c r="B27" i="90" l="1"/>
  <c r="C27" i="90"/>
  <c r="E27" i="90"/>
  <c r="F27" i="90"/>
  <c r="G27" i="90"/>
  <c r="H27" i="90"/>
  <c r="I27" i="90"/>
  <c r="W116" i="21"/>
  <c r="AC116" i="21" s="1"/>
  <c r="E58" i="12" s="1"/>
  <c r="K58" i="12" s="1"/>
  <c r="B26" i="90"/>
  <c r="C26" i="90"/>
  <c r="E26" i="90"/>
  <c r="F26" i="90"/>
  <c r="G26" i="90"/>
  <c r="H26" i="90"/>
  <c r="I26" i="90"/>
  <c r="B25" i="90"/>
  <c r="C25" i="90"/>
  <c r="E25" i="90"/>
  <c r="F25" i="90"/>
  <c r="G25" i="90"/>
  <c r="H25" i="90"/>
  <c r="I25" i="90"/>
  <c r="B24" i="90"/>
  <c r="C24" i="90"/>
  <c r="E24" i="90"/>
  <c r="F24" i="90"/>
  <c r="G24" i="90"/>
  <c r="H24" i="90"/>
  <c r="I24" i="90"/>
  <c r="B23" i="90"/>
  <c r="C23" i="90"/>
  <c r="E23" i="90"/>
  <c r="F23" i="90"/>
  <c r="G23" i="90"/>
  <c r="H23" i="90"/>
  <c r="I23" i="90"/>
  <c r="B22" i="90"/>
  <c r="C22" i="90"/>
  <c r="E22" i="90"/>
  <c r="F22" i="90"/>
  <c r="G22" i="90"/>
  <c r="H22" i="90"/>
  <c r="I22" i="90"/>
  <c r="B21" i="90"/>
  <c r="C21" i="90"/>
  <c r="E21" i="90"/>
  <c r="F21" i="90"/>
  <c r="G21" i="90"/>
  <c r="H21" i="90"/>
  <c r="I21" i="90"/>
  <c r="B20" i="90"/>
  <c r="C20" i="90"/>
  <c r="E20" i="90"/>
  <c r="F20" i="90"/>
  <c r="G20" i="90"/>
  <c r="H20" i="90"/>
  <c r="I20" i="90"/>
  <c r="B19" i="90"/>
  <c r="C19" i="90"/>
  <c r="E19" i="90"/>
  <c r="F19" i="90"/>
  <c r="G19" i="90"/>
  <c r="H19" i="90"/>
  <c r="I19" i="90"/>
  <c r="B18" i="90"/>
  <c r="C18" i="90"/>
  <c r="E18" i="90"/>
  <c r="F18" i="90"/>
  <c r="G18" i="90"/>
  <c r="H18" i="90"/>
  <c r="I18" i="90"/>
  <c r="B17" i="90"/>
  <c r="C17" i="90"/>
  <c r="E17" i="90"/>
  <c r="F17" i="90"/>
  <c r="G17" i="90"/>
  <c r="H17" i="90"/>
  <c r="I17" i="90"/>
  <c r="B16" i="90"/>
  <c r="C16" i="90"/>
  <c r="E16" i="90"/>
  <c r="F16" i="90"/>
  <c r="G16" i="90"/>
  <c r="H16" i="90"/>
  <c r="I16" i="90"/>
  <c r="B15" i="90"/>
  <c r="C15" i="90"/>
  <c r="E15" i="90"/>
  <c r="F15" i="90"/>
  <c r="G15" i="90"/>
  <c r="H15" i="90"/>
  <c r="I15" i="90"/>
  <c r="B14" i="90"/>
  <c r="C14" i="90"/>
  <c r="E14" i="90"/>
  <c r="F14" i="90"/>
  <c r="G14" i="90"/>
  <c r="H14" i="90"/>
  <c r="I14" i="90"/>
  <c r="AB116" i="21"/>
  <c r="D58" i="12" s="1"/>
  <c r="J58" i="12" s="1"/>
  <c r="H42" i="12" l="1"/>
  <c r="L42" i="12" s="1"/>
  <c r="J54" i="4"/>
  <c r="K54" i="4"/>
  <c r="I42" i="12"/>
  <c r="M42" i="12" s="1"/>
  <c r="B13" i="90"/>
  <c r="C13" i="90"/>
  <c r="E13" i="90"/>
  <c r="F13" i="90"/>
  <c r="G13" i="90"/>
  <c r="H13" i="90"/>
  <c r="I13" i="90"/>
  <c r="W111" i="21"/>
  <c r="L54" i="4" l="1"/>
  <c r="M54" i="4"/>
  <c r="I69" i="4"/>
  <c r="B12" i="90"/>
  <c r="C12" i="90"/>
  <c r="E12" i="90"/>
  <c r="F12" i="90"/>
  <c r="G12" i="90"/>
  <c r="H12" i="90"/>
  <c r="I12" i="90"/>
  <c r="B11" i="90"/>
  <c r="C11" i="90"/>
  <c r="E11" i="90"/>
  <c r="F11" i="90"/>
  <c r="G11" i="90"/>
  <c r="H11" i="90"/>
  <c r="I11" i="90"/>
  <c r="B10" i="90"/>
  <c r="C10" i="90"/>
  <c r="E10" i="90"/>
  <c r="F10" i="90"/>
  <c r="G10" i="90"/>
  <c r="H10" i="90"/>
  <c r="I10" i="90"/>
  <c r="B9" i="90"/>
  <c r="C9" i="90"/>
  <c r="E9" i="90"/>
  <c r="F9" i="90"/>
  <c r="G9" i="90"/>
  <c r="H9" i="90"/>
  <c r="I9" i="90"/>
  <c r="B8" i="90"/>
  <c r="C8" i="90"/>
  <c r="E8" i="90"/>
  <c r="F8" i="90"/>
  <c r="G8" i="90"/>
  <c r="H8" i="90"/>
  <c r="I8" i="90"/>
  <c r="B5" i="90"/>
  <c r="C5" i="90"/>
  <c r="E5" i="90"/>
  <c r="F5" i="90"/>
  <c r="G5" i="90"/>
  <c r="H5" i="90"/>
  <c r="I5" i="90"/>
  <c r="B6" i="90"/>
  <c r="C6" i="90"/>
  <c r="E6" i="90"/>
  <c r="F6" i="90"/>
  <c r="G6" i="90"/>
  <c r="H6" i="90"/>
  <c r="I6" i="90"/>
  <c r="B7" i="90"/>
  <c r="C7" i="90"/>
  <c r="E7" i="90"/>
  <c r="F7" i="90"/>
  <c r="G7" i="90"/>
  <c r="H7" i="90"/>
  <c r="I7" i="90"/>
  <c r="W118" i="21"/>
  <c r="H69" i="4" l="1"/>
  <c r="B3" i="90"/>
  <c r="C3" i="90"/>
  <c r="E3" i="90"/>
  <c r="F3" i="90"/>
  <c r="G3" i="90"/>
  <c r="H3" i="90"/>
  <c r="I3" i="90"/>
  <c r="B4" i="90"/>
  <c r="C4" i="90"/>
  <c r="E4" i="90"/>
  <c r="F4" i="90"/>
  <c r="G4" i="90"/>
  <c r="H4" i="90"/>
  <c r="I4" i="90"/>
  <c r="I2" i="90" l="1"/>
  <c r="I34" i="90" s="1"/>
  <c r="H2" i="90"/>
  <c r="G2" i="90"/>
  <c r="F2" i="90"/>
  <c r="E2" i="90"/>
  <c r="C2" i="90"/>
  <c r="B2" i="90"/>
  <c r="B23" i="89" l="1"/>
  <c r="C23" i="89"/>
  <c r="E23" i="89"/>
  <c r="F23" i="89"/>
  <c r="G23" i="89"/>
  <c r="H23" i="89"/>
  <c r="I23" i="89"/>
  <c r="B22" i="89" l="1"/>
  <c r="C22" i="89"/>
  <c r="E22" i="89"/>
  <c r="F22" i="89"/>
  <c r="G22" i="89"/>
  <c r="H22" i="89"/>
  <c r="I22" i="89"/>
  <c r="U111" i="21"/>
  <c r="B21" i="89" l="1"/>
  <c r="C21" i="89"/>
  <c r="E21" i="89"/>
  <c r="F21" i="89"/>
  <c r="G21" i="89"/>
  <c r="H21" i="89"/>
  <c r="I21" i="89"/>
  <c r="B20" i="89" l="1"/>
  <c r="C20" i="89"/>
  <c r="E20" i="89"/>
  <c r="F20" i="89"/>
  <c r="G20" i="89"/>
  <c r="H20" i="89"/>
  <c r="I20" i="89"/>
  <c r="U121" i="21"/>
  <c r="B19" i="89"/>
  <c r="C19" i="89"/>
  <c r="E19" i="89"/>
  <c r="F19" i="89"/>
  <c r="G19" i="89"/>
  <c r="H19" i="89"/>
  <c r="I19" i="89"/>
  <c r="B18" i="89"/>
  <c r="C18" i="89"/>
  <c r="E18" i="89"/>
  <c r="F18" i="89"/>
  <c r="G18" i="89"/>
  <c r="H18" i="89"/>
  <c r="I18" i="89"/>
  <c r="B17" i="89" l="1"/>
  <c r="C17" i="89"/>
  <c r="E17" i="89"/>
  <c r="F17" i="89"/>
  <c r="G17" i="89"/>
  <c r="H17" i="89"/>
  <c r="I17" i="89"/>
  <c r="B16" i="89"/>
  <c r="C16" i="89"/>
  <c r="E16" i="89"/>
  <c r="F16" i="89"/>
  <c r="G16" i="89"/>
  <c r="H16" i="89"/>
  <c r="I16" i="89"/>
  <c r="U118" i="21"/>
  <c r="B15" i="89"/>
  <c r="C15" i="89"/>
  <c r="E15" i="89"/>
  <c r="F15" i="89"/>
  <c r="G15" i="89"/>
  <c r="H15" i="89"/>
  <c r="I15" i="89"/>
  <c r="B14" i="89"/>
  <c r="C14" i="89"/>
  <c r="E14" i="89"/>
  <c r="F14" i="89"/>
  <c r="G14" i="89"/>
  <c r="H14" i="89"/>
  <c r="I14" i="89"/>
  <c r="B13" i="89"/>
  <c r="C13" i="89"/>
  <c r="E13" i="89"/>
  <c r="F13" i="89"/>
  <c r="G13" i="89"/>
  <c r="H13" i="89"/>
  <c r="I13" i="89"/>
  <c r="B12" i="89"/>
  <c r="C12" i="89"/>
  <c r="E12" i="89"/>
  <c r="F12" i="89"/>
  <c r="G12" i="89"/>
  <c r="H12" i="89"/>
  <c r="I12" i="89"/>
  <c r="B10" i="89"/>
  <c r="C10" i="89"/>
  <c r="E10" i="89"/>
  <c r="F10" i="89"/>
  <c r="G10" i="89"/>
  <c r="H10" i="89"/>
  <c r="I10" i="89"/>
  <c r="B11" i="89"/>
  <c r="C11" i="89"/>
  <c r="E11" i="89"/>
  <c r="F11" i="89"/>
  <c r="G11" i="89"/>
  <c r="H11" i="89"/>
  <c r="I11" i="89"/>
  <c r="B9" i="89" l="1"/>
  <c r="C9" i="89"/>
  <c r="E9" i="89"/>
  <c r="F9" i="89"/>
  <c r="G9" i="89"/>
  <c r="H9" i="89"/>
  <c r="I9" i="89"/>
  <c r="B8" i="89" l="1"/>
  <c r="C8" i="89"/>
  <c r="E8" i="89"/>
  <c r="F8" i="89"/>
  <c r="G8" i="89"/>
  <c r="H8" i="89"/>
  <c r="I8" i="89"/>
  <c r="B7" i="89" l="1"/>
  <c r="C7" i="89"/>
  <c r="E7" i="89"/>
  <c r="F7" i="89"/>
  <c r="G7" i="89"/>
  <c r="H7" i="89"/>
  <c r="I7" i="89"/>
  <c r="B6" i="89" l="1"/>
  <c r="C6" i="89"/>
  <c r="E6" i="89"/>
  <c r="F6" i="89"/>
  <c r="G6" i="89"/>
  <c r="H6" i="89"/>
  <c r="I6" i="89"/>
  <c r="B3" i="89" l="1"/>
  <c r="C3" i="89"/>
  <c r="E3" i="89"/>
  <c r="F3" i="89"/>
  <c r="G3" i="89"/>
  <c r="H3" i="89"/>
  <c r="I3" i="89"/>
  <c r="B4" i="89"/>
  <c r="C4" i="89"/>
  <c r="E4" i="89"/>
  <c r="F4" i="89"/>
  <c r="G4" i="89"/>
  <c r="H4" i="89"/>
  <c r="I4" i="89"/>
  <c r="B5" i="89"/>
  <c r="C5" i="89"/>
  <c r="E5" i="89"/>
  <c r="F5" i="89"/>
  <c r="G5" i="89"/>
  <c r="H5" i="89"/>
  <c r="I5" i="89"/>
  <c r="I2" i="89"/>
  <c r="H2" i="89"/>
  <c r="G2" i="89"/>
  <c r="F2" i="89"/>
  <c r="E2" i="89"/>
  <c r="C2" i="89"/>
  <c r="B2" i="89"/>
  <c r="I24" i="89" l="1"/>
  <c r="B7" i="88"/>
  <c r="C7" i="88"/>
  <c r="E7" i="88"/>
  <c r="F7" i="88"/>
  <c r="G7" i="88"/>
  <c r="H7" i="88"/>
  <c r="I7" i="88"/>
  <c r="B8" i="88"/>
  <c r="C8" i="88"/>
  <c r="E8" i="88"/>
  <c r="F8" i="88"/>
  <c r="G8" i="88"/>
  <c r="H8" i="88"/>
  <c r="I8" i="88"/>
  <c r="B9" i="88"/>
  <c r="C9" i="88"/>
  <c r="E9" i="88"/>
  <c r="F9" i="88"/>
  <c r="G9" i="88"/>
  <c r="H9" i="88"/>
  <c r="I9" i="88"/>
  <c r="B10" i="88"/>
  <c r="C10" i="88"/>
  <c r="E10" i="88"/>
  <c r="F10" i="88"/>
  <c r="G10" i="88"/>
  <c r="H10" i="88"/>
  <c r="I10" i="88"/>
  <c r="B11" i="88"/>
  <c r="C11" i="88"/>
  <c r="E11" i="88"/>
  <c r="F11" i="88"/>
  <c r="G11" i="88"/>
  <c r="H11" i="88"/>
  <c r="I11" i="88"/>
  <c r="B12" i="88"/>
  <c r="C12" i="88"/>
  <c r="E12" i="88"/>
  <c r="F12" i="88"/>
  <c r="G12" i="88"/>
  <c r="H12" i="88"/>
  <c r="I12" i="88"/>
  <c r="B13" i="88"/>
  <c r="C13" i="88"/>
  <c r="E13" i="88"/>
  <c r="F13" i="88"/>
  <c r="G13" i="88"/>
  <c r="H13" i="88"/>
  <c r="I13" i="88"/>
  <c r="B14" i="88"/>
  <c r="C14" i="88"/>
  <c r="E14" i="88"/>
  <c r="F14" i="88"/>
  <c r="G14" i="88"/>
  <c r="H14" i="88"/>
  <c r="I14" i="88"/>
  <c r="B15" i="88"/>
  <c r="C15" i="88"/>
  <c r="E15" i="88"/>
  <c r="F15" i="88"/>
  <c r="G15" i="88"/>
  <c r="H15" i="88"/>
  <c r="I15" i="88"/>
  <c r="B16" i="88"/>
  <c r="C16" i="88"/>
  <c r="E16" i="88"/>
  <c r="F16" i="88"/>
  <c r="G16" i="88"/>
  <c r="H16" i="88"/>
  <c r="I16" i="88"/>
  <c r="B17" i="88"/>
  <c r="C17" i="88"/>
  <c r="E17" i="88"/>
  <c r="F17" i="88"/>
  <c r="G17" i="88"/>
  <c r="H17" i="88"/>
  <c r="I17" i="88"/>
  <c r="B18" i="88"/>
  <c r="C18" i="88"/>
  <c r="E18" i="88"/>
  <c r="F18" i="88"/>
  <c r="G18" i="88"/>
  <c r="H18" i="88"/>
  <c r="I18" i="88"/>
  <c r="B19" i="88"/>
  <c r="C19" i="88"/>
  <c r="E19" i="88"/>
  <c r="F19" i="88"/>
  <c r="G19" i="88"/>
  <c r="H19" i="88"/>
  <c r="I19" i="88"/>
  <c r="B20" i="88"/>
  <c r="C20" i="88"/>
  <c r="E20" i="88"/>
  <c r="F20" i="88"/>
  <c r="G20" i="88"/>
  <c r="H20" i="88"/>
  <c r="I20" i="88"/>
  <c r="B21" i="88"/>
  <c r="C21" i="88"/>
  <c r="E21" i="88"/>
  <c r="F21" i="88"/>
  <c r="G21" i="88"/>
  <c r="H21" i="88"/>
  <c r="I21" i="88"/>
  <c r="S112" i="21"/>
  <c r="S121" i="21"/>
  <c r="S111" i="21"/>
  <c r="B4" i="88" l="1"/>
  <c r="C4" i="88"/>
  <c r="E4" i="88"/>
  <c r="F4" i="88"/>
  <c r="G4" i="88"/>
  <c r="H4" i="88"/>
  <c r="I4" i="88"/>
  <c r="B5" i="88"/>
  <c r="C5" i="88"/>
  <c r="E5" i="88"/>
  <c r="F5" i="88"/>
  <c r="G5" i="88"/>
  <c r="H5" i="88"/>
  <c r="I5" i="88"/>
  <c r="B6" i="88"/>
  <c r="C6" i="88"/>
  <c r="E6" i="88"/>
  <c r="F6" i="88"/>
  <c r="G6" i="88"/>
  <c r="H6" i="88"/>
  <c r="I6" i="88"/>
  <c r="B3" i="88" l="1"/>
  <c r="C3" i="88"/>
  <c r="E3" i="88"/>
  <c r="F3" i="88"/>
  <c r="G3" i="88"/>
  <c r="H3" i="88"/>
  <c r="I3" i="88"/>
  <c r="I2" i="88"/>
  <c r="H2" i="88"/>
  <c r="G2" i="88"/>
  <c r="F2" i="88"/>
  <c r="E2" i="88"/>
  <c r="C2" i="88"/>
  <c r="B2" i="88"/>
  <c r="I22" i="88" l="1"/>
  <c r="B17" i="87"/>
  <c r="C17" i="87"/>
  <c r="E17" i="87"/>
  <c r="F17" i="87"/>
  <c r="G17" i="87"/>
  <c r="H17" i="87"/>
  <c r="I17" i="87"/>
  <c r="Q115" i="21"/>
  <c r="B16" i="87" l="1"/>
  <c r="C16" i="87"/>
  <c r="E16" i="87"/>
  <c r="F16" i="87"/>
  <c r="G16" i="87"/>
  <c r="H16" i="87"/>
  <c r="I16" i="87"/>
  <c r="Q111" i="21"/>
  <c r="B12" i="87" l="1"/>
  <c r="C12" i="87"/>
  <c r="E12" i="87"/>
  <c r="F12" i="87"/>
  <c r="G12" i="87"/>
  <c r="H12" i="87"/>
  <c r="I12" i="87"/>
  <c r="B13" i="87"/>
  <c r="C13" i="87"/>
  <c r="E13" i="87"/>
  <c r="F13" i="87"/>
  <c r="G13" i="87"/>
  <c r="H13" i="87"/>
  <c r="I13" i="87"/>
  <c r="B14" i="87"/>
  <c r="C14" i="87"/>
  <c r="E14" i="87"/>
  <c r="F14" i="87"/>
  <c r="G14" i="87"/>
  <c r="H14" i="87"/>
  <c r="I14" i="87"/>
  <c r="B15" i="87"/>
  <c r="C15" i="87"/>
  <c r="E15" i="87"/>
  <c r="F15" i="87"/>
  <c r="G15" i="87"/>
  <c r="H15" i="87"/>
  <c r="I15" i="87"/>
  <c r="D68" i="21" l="1"/>
  <c r="Q123" i="21"/>
  <c r="U58" i="21"/>
  <c r="B11" i="87" l="1"/>
  <c r="C11" i="87"/>
  <c r="E11" i="87"/>
  <c r="F11" i="87"/>
  <c r="G11" i="87"/>
  <c r="H11" i="87"/>
  <c r="I11" i="87"/>
  <c r="I93" i="21" l="1"/>
  <c r="G111" i="21"/>
  <c r="B9" i="87" l="1"/>
  <c r="C9" i="87"/>
  <c r="E9" i="87"/>
  <c r="F9" i="87"/>
  <c r="G9" i="87"/>
  <c r="H9" i="87"/>
  <c r="I9" i="87"/>
  <c r="B10" i="87"/>
  <c r="C10" i="87"/>
  <c r="E10" i="87"/>
  <c r="F10" i="87"/>
  <c r="G10" i="87"/>
  <c r="H10" i="87"/>
  <c r="I10" i="87"/>
  <c r="B4" i="87" l="1"/>
  <c r="C4" i="87"/>
  <c r="E4" i="87"/>
  <c r="F4" i="87"/>
  <c r="G4" i="87"/>
  <c r="H4" i="87"/>
  <c r="I4" i="87"/>
  <c r="B5" i="87"/>
  <c r="C5" i="87"/>
  <c r="E5" i="87"/>
  <c r="F5" i="87"/>
  <c r="G5" i="87"/>
  <c r="H5" i="87"/>
  <c r="I5" i="87"/>
  <c r="B6" i="87"/>
  <c r="C6" i="87"/>
  <c r="E6" i="87"/>
  <c r="F6" i="87"/>
  <c r="G6" i="87"/>
  <c r="H6" i="87"/>
  <c r="I6" i="87"/>
  <c r="B7" i="87"/>
  <c r="C7" i="87"/>
  <c r="E7" i="87"/>
  <c r="F7" i="87"/>
  <c r="G7" i="87"/>
  <c r="H7" i="87"/>
  <c r="I7" i="87"/>
  <c r="B8" i="87"/>
  <c r="C8" i="87"/>
  <c r="E8" i="87"/>
  <c r="F8" i="87"/>
  <c r="G8" i="87"/>
  <c r="H8" i="87"/>
  <c r="I8" i="87"/>
  <c r="B3" i="87" l="1"/>
  <c r="C3" i="87"/>
  <c r="E3" i="87"/>
  <c r="F3" i="87"/>
  <c r="G3" i="87"/>
  <c r="H3" i="87"/>
  <c r="I3" i="87"/>
  <c r="I2" i="87"/>
  <c r="H2" i="87"/>
  <c r="G2" i="87"/>
  <c r="F2" i="87"/>
  <c r="E2" i="87"/>
  <c r="C2" i="87"/>
  <c r="B2" i="87"/>
  <c r="I18" i="87" l="1"/>
  <c r="B22" i="86"/>
  <c r="C22" i="86"/>
  <c r="E22" i="86"/>
  <c r="F22" i="86"/>
  <c r="G22" i="86"/>
  <c r="H22" i="86"/>
  <c r="I22" i="86"/>
  <c r="B23" i="86"/>
  <c r="C23" i="86"/>
  <c r="E23" i="86"/>
  <c r="F23" i="86"/>
  <c r="G23" i="86"/>
  <c r="H23" i="86"/>
  <c r="I23" i="86"/>
  <c r="O111" i="21"/>
  <c r="B21" i="86" l="1"/>
  <c r="C21" i="86"/>
  <c r="E21" i="86"/>
  <c r="F21" i="86"/>
  <c r="G21" i="86"/>
  <c r="H21" i="86"/>
  <c r="I21" i="86"/>
  <c r="O118" i="21"/>
  <c r="B20" i="86" l="1"/>
  <c r="C20" i="86"/>
  <c r="E20" i="86"/>
  <c r="F20" i="86"/>
  <c r="G20" i="86"/>
  <c r="H20" i="86"/>
  <c r="I20" i="86"/>
  <c r="B18" i="86" l="1"/>
  <c r="C18" i="86"/>
  <c r="E18" i="86"/>
  <c r="F18" i="86"/>
  <c r="G18" i="86"/>
  <c r="H18" i="86"/>
  <c r="I18" i="86"/>
  <c r="B19" i="86"/>
  <c r="C19" i="86"/>
  <c r="E19" i="86"/>
  <c r="F19" i="86"/>
  <c r="G19" i="86"/>
  <c r="H19" i="86"/>
  <c r="I19" i="86"/>
  <c r="B17" i="86" l="1"/>
  <c r="C17" i="86"/>
  <c r="E17" i="86"/>
  <c r="F17" i="86"/>
  <c r="G17" i="86"/>
  <c r="H17" i="86"/>
  <c r="I17" i="86"/>
  <c r="O112" i="21"/>
  <c r="B14" i="86" l="1"/>
  <c r="C14" i="86"/>
  <c r="E14" i="86"/>
  <c r="F14" i="86"/>
  <c r="G14" i="86"/>
  <c r="H14" i="86"/>
  <c r="I14" i="86"/>
  <c r="B15" i="86"/>
  <c r="C15" i="86"/>
  <c r="E15" i="86"/>
  <c r="F15" i="86"/>
  <c r="G15" i="86"/>
  <c r="H15" i="86"/>
  <c r="I15" i="86"/>
  <c r="B16" i="86"/>
  <c r="C16" i="86"/>
  <c r="E16" i="86"/>
  <c r="F16" i="86"/>
  <c r="G16" i="86"/>
  <c r="H16" i="86"/>
  <c r="I16" i="86"/>
  <c r="B13" i="86" l="1"/>
  <c r="C13" i="86"/>
  <c r="E13" i="86"/>
  <c r="F13" i="86"/>
  <c r="G13" i="86"/>
  <c r="H13" i="86"/>
  <c r="I13" i="86"/>
  <c r="B11" i="86" l="1"/>
  <c r="C11" i="86"/>
  <c r="E11" i="86"/>
  <c r="F11" i="86"/>
  <c r="G11" i="86"/>
  <c r="H11" i="86"/>
  <c r="I11" i="86"/>
  <c r="B12" i="86"/>
  <c r="C12" i="86"/>
  <c r="E12" i="86"/>
  <c r="F12" i="86"/>
  <c r="G12" i="86"/>
  <c r="H12" i="86"/>
  <c r="I12" i="86"/>
  <c r="B4" i="86" l="1"/>
  <c r="C4" i="86"/>
  <c r="E4" i="86"/>
  <c r="F4" i="86"/>
  <c r="G4" i="86"/>
  <c r="H4" i="86"/>
  <c r="I4" i="86"/>
  <c r="B5" i="86"/>
  <c r="C5" i="86"/>
  <c r="E5" i="86"/>
  <c r="F5" i="86"/>
  <c r="G5" i="86"/>
  <c r="H5" i="86"/>
  <c r="I5" i="86"/>
  <c r="B6" i="86"/>
  <c r="C6" i="86"/>
  <c r="E6" i="86"/>
  <c r="F6" i="86"/>
  <c r="G6" i="86"/>
  <c r="H6" i="86"/>
  <c r="I6" i="86"/>
  <c r="B7" i="86"/>
  <c r="C7" i="86"/>
  <c r="E7" i="86"/>
  <c r="F7" i="86"/>
  <c r="G7" i="86"/>
  <c r="H7" i="86"/>
  <c r="I7" i="86"/>
  <c r="B8" i="86"/>
  <c r="C8" i="86"/>
  <c r="E8" i="86"/>
  <c r="F8" i="86"/>
  <c r="G8" i="86"/>
  <c r="H8" i="86"/>
  <c r="I8" i="86"/>
  <c r="B9" i="86"/>
  <c r="C9" i="86"/>
  <c r="E9" i="86"/>
  <c r="F9" i="86"/>
  <c r="G9" i="86"/>
  <c r="H9" i="86"/>
  <c r="I9" i="86"/>
  <c r="B10" i="86"/>
  <c r="C10" i="86"/>
  <c r="E10" i="86"/>
  <c r="F10" i="86"/>
  <c r="G10" i="86"/>
  <c r="H10" i="86"/>
  <c r="I10" i="86"/>
  <c r="O121" i="21"/>
  <c r="B3" i="86" l="1"/>
  <c r="C3" i="86"/>
  <c r="E3" i="86"/>
  <c r="F3" i="86"/>
  <c r="G3" i="86"/>
  <c r="H3" i="86"/>
  <c r="I3" i="86"/>
  <c r="I2" i="86" l="1"/>
  <c r="I24" i="86" s="1"/>
  <c r="H2" i="86"/>
  <c r="G2" i="86"/>
  <c r="F2" i="86"/>
  <c r="E2" i="86"/>
  <c r="C2" i="86"/>
  <c r="B2" i="86"/>
  <c r="B6" i="85" l="1"/>
  <c r="C6" i="85"/>
  <c r="E6" i="85"/>
  <c r="F6" i="85"/>
  <c r="G6" i="85"/>
  <c r="H6" i="85"/>
  <c r="I6" i="85"/>
  <c r="B7" i="85"/>
  <c r="C7" i="85"/>
  <c r="E7" i="85"/>
  <c r="F7" i="85"/>
  <c r="G7" i="85"/>
  <c r="H7" i="85"/>
  <c r="I7" i="85"/>
  <c r="M121" i="21"/>
  <c r="B5" i="85" l="1"/>
  <c r="C5" i="85"/>
  <c r="E5" i="85"/>
  <c r="F5" i="85"/>
  <c r="G5" i="85"/>
  <c r="H5" i="85"/>
  <c r="I5" i="85"/>
  <c r="M111" i="21"/>
  <c r="B3" i="85" l="1"/>
  <c r="C3" i="85"/>
  <c r="E3" i="85"/>
  <c r="F3" i="85"/>
  <c r="G3" i="85"/>
  <c r="H3" i="85"/>
  <c r="I3" i="85"/>
  <c r="B4" i="85"/>
  <c r="C4" i="85"/>
  <c r="E4" i="85"/>
  <c r="F4" i="85"/>
  <c r="G4" i="85"/>
  <c r="H4" i="85"/>
  <c r="I4" i="85"/>
  <c r="I2" i="85" l="1"/>
  <c r="I8" i="85" s="1"/>
  <c r="H2" i="85"/>
  <c r="G2" i="85"/>
  <c r="F2" i="85"/>
  <c r="E2" i="85"/>
  <c r="C2" i="85"/>
  <c r="B2" i="85"/>
  <c r="B11" i="84" l="1"/>
  <c r="C11" i="84"/>
  <c r="E11" i="84"/>
  <c r="F11" i="84"/>
  <c r="G11" i="84"/>
  <c r="H11" i="84"/>
  <c r="I11" i="84"/>
  <c r="B12" i="84"/>
  <c r="C12" i="84"/>
  <c r="E12" i="84"/>
  <c r="F12" i="84"/>
  <c r="G12" i="84"/>
  <c r="H12" i="84"/>
  <c r="I12" i="84"/>
  <c r="K112" i="21"/>
  <c r="B10" i="84" l="1"/>
  <c r="C10" i="84"/>
  <c r="E10" i="84"/>
  <c r="F10" i="84"/>
  <c r="G10" i="84"/>
  <c r="H10" i="84"/>
  <c r="I10" i="84"/>
  <c r="B7" i="84" l="1"/>
  <c r="C7" i="84"/>
  <c r="E7" i="84"/>
  <c r="F7" i="84"/>
  <c r="G7" i="84"/>
  <c r="H7" i="84"/>
  <c r="I7" i="84"/>
  <c r="B8" i="84"/>
  <c r="C8" i="84"/>
  <c r="E8" i="84"/>
  <c r="F8" i="84"/>
  <c r="G8" i="84"/>
  <c r="H8" i="84"/>
  <c r="I8" i="84"/>
  <c r="B9" i="84"/>
  <c r="C9" i="84"/>
  <c r="E9" i="84"/>
  <c r="F9" i="84"/>
  <c r="G9" i="84"/>
  <c r="H9" i="84"/>
  <c r="I9" i="84"/>
  <c r="B6" i="84" l="1"/>
  <c r="C6" i="84"/>
  <c r="E6" i="84"/>
  <c r="F6" i="84"/>
  <c r="G6" i="84"/>
  <c r="H6" i="84"/>
  <c r="I6" i="84"/>
  <c r="K111" i="21"/>
  <c r="B4" i="84" l="1"/>
  <c r="C4" i="84"/>
  <c r="E4" i="84"/>
  <c r="F4" i="84"/>
  <c r="G4" i="84"/>
  <c r="H4" i="84"/>
  <c r="I4" i="84"/>
  <c r="B5" i="84"/>
  <c r="C5" i="84"/>
  <c r="E5" i="84"/>
  <c r="F5" i="84"/>
  <c r="G5" i="84"/>
  <c r="H5" i="84"/>
  <c r="I5" i="84"/>
  <c r="B3" i="84" l="1"/>
  <c r="C3" i="84"/>
  <c r="E3" i="84"/>
  <c r="F3" i="84"/>
  <c r="G3" i="84"/>
  <c r="H3" i="84"/>
  <c r="I3" i="84"/>
  <c r="I2" i="84"/>
  <c r="H2" i="84"/>
  <c r="G2" i="84"/>
  <c r="F2" i="84"/>
  <c r="E2" i="84"/>
  <c r="C2" i="84"/>
  <c r="B2" i="84"/>
  <c r="I13" i="84" l="1"/>
  <c r="B10" i="83"/>
  <c r="C10" i="83"/>
  <c r="E10" i="83"/>
  <c r="F10" i="83"/>
  <c r="G10" i="83"/>
  <c r="H10" i="83"/>
  <c r="I10" i="83"/>
  <c r="B11" i="83"/>
  <c r="C11" i="83"/>
  <c r="E11" i="83"/>
  <c r="F11" i="83"/>
  <c r="G11" i="83"/>
  <c r="H11" i="83"/>
  <c r="I11" i="83"/>
  <c r="B12" i="83"/>
  <c r="C12" i="83"/>
  <c r="E12" i="83"/>
  <c r="F12" i="83"/>
  <c r="G12" i="83"/>
  <c r="H12" i="83"/>
  <c r="I12" i="83"/>
  <c r="I111" i="21"/>
  <c r="B9" i="83" l="1"/>
  <c r="C9" i="83"/>
  <c r="E9" i="83"/>
  <c r="F9" i="83"/>
  <c r="G9" i="83"/>
  <c r="H9" i="83"/>
  <c r="I9" i="83"/>
  <c r="B7" i="83" l="1"/>
  <c r="C7" i="83"/>
  <c r="E7" i="83"/>
  <c r="F7" i="83"/>
  <c r="G7" i="83"/>
  <c r="H7" i="83"/>
  <c r="I7" i="83"/>
  <c r="B8" i="83"/>
  <c r="C8" i="83"/>
  <c r="E8" i="83"/>
  <c r="F8" i="83"/>
  <c r="G8" i="83"/>
  <c r="H8" i="83"/>
  <c r="I8" i="83"/>
  <c r="B6" i="83" l="1"/>
  <c r="C6" i="83"/>
  <c r="E6" i="83"/>
  <c r="F6" i="83"/>
  <c r="G6" i="83"/>
  <c r="H6" i="83"/>
  <c r="I6" i="83"/>
  <c r="B5" i="83" l="1"/>
  <c r="C5" i="83"/>
  <c r="E5" i="83"/>
  <c r="F5" i="83"/>
  <c r="G5" i="83"/>
  <c r="H5" i="83"/>
  <c r="I5" i="83"/>
  <c r="B4" i="83" l="1"/>
  <c r="C4" i="83"/>
  <c r="E4" i="83"/>
  <c r="F4" i="83"/>
  <c r="G4" i="83"/>
  <c r="H4" i="83"/>
  <c r="I4" i="83"/>
  <c r="B3" i="83" l="1"/>
  <c r="C3" i="83"/>
  <c r="E3" i="83"/>
  <c r="F3" i="83"/>
  <c r="G3" i="83"/>
  <c r="H3" i="83"/>
  <c r="I3" i="83"/>
  <c r="I2" i="83"/>
  <c r="H2" i="83"/>
  <c r="G2" i="83"/>
  <c r="F2" i="83"/>
  <c r="E2" i="83"/>
  <c r="C2" i="83"/>
  <c r="B2" i="83"/>
  <c r="I13" i="83" l="1"/>
  <c r="B31" i="82"/>
  <c r="C31" i="82"/>
  <c r="E31" i="82"/>
  <c r="F31" i="82"/>
  <c r="G31" i="82"/>
  <c r="H31" i="82"/>
  <c r="I31" i="82"/>
  <c r="B32" i="82"/>
  <c r="C32" i="82"/>
  <c r="E32" i="82"/>
  <c r="F32" i="82"/>
  <c r="G32" i="82"/>
  <c r="H32" i="82"/>
  <c r="I32" i="82"/>
  <c r="B33" i="82"/>
  <c r="C33" i="82"/>
  <c r="E33" i="82"/>
  <c r="F33" i="82"/>
  <c r="G33" i="82"/>
  <c r="H33" i="82"/>
  <c r="I33" i="82"/>
  <c r="G114" i="21"/>
  <c r="G113" i="21"/>
  <c r="B29" i="82" l="1"/>
  <c r="C29" i="82"/>
  <c r="E29" i="82"/>
  <c r="F29" i="82"/>
  <c r="G29" i="82"/>
  <c r="H29" i="82"/>
  <c r="I29" i="82"/>
  <c r="B30" i="82"/>
  <c r="C30" i="82"/>
  <c r="E30" i="82"/>
  <c r="F30" i="82"/>
  <c r="G30" i="82"/>
  <c r="H30" i="82"/>
  <c r="I30" i="82"/>
  <c r="B27" i="82" l="1"/>
  <c r="C27" i="82"/>
  <c r="E27" i="82"/>
  <c r="F27" i="82"/>
  <c r="G27" i="82"/>
  <c r="H27" i="82"/>
  <c r="I27" i="82"/>
  <c r="B28" i="82"/>
  <c r="C28" i="82"/>
  <c r="E28" i="82"/>
  <c r="F28" i="82"/>
  <c r="G28" i="82"/>
  <c r="H28" i="82"/>
  <c r="I28" i="82"/>
  <c r="B26" i="82" l="1"/>
  <c r="C26" i="82"/>
  <c r="E26" i="82"/>
  <c r="F26" i="82"/>
  <c r="G26" i="82"/>
  <c r="H26" i="82"/>
  <c r="I26" i="82"/>
  <c r="G118" i="21"/>
  <c r="B23" i="82" l="1"/>
  <c r="C23" i="82"/>
  <c r="E23" i="82"/>
  <c r="F23" i="82"/>
  <c r="G23" i="82"/>
  <c r="H23" i="82"/>
  <c r="I23" i="82"/>
  <c r="B24" i="82"/>
  <c r="C24" i="82"/>
  <c r="E24" i="82"/>
  <c r="F24" i="82"/>
  <c r="G24" i="82"/>
  <c r="H24" i="82"/>
  <c r="I24" i="82"/>
  <c r="B25" i="82"/>
  <c r="C25" i="82"/>
  <c r="E25" i="82"/>
  <c r="F25" i="82"/>
  <c r="G25" i="82"/>
  <c r="H25" i="82"/>
  <c r="I25" i="82"/>
  <c r="B21" i="82" l="1"/>
  <c r="C21" i="82"/>
  <c r="E21" i="82"/>
  <c r="F21" i="82"/>
  <c r="G21" i="82"/>
  <c r="H21" i="82"/>
  <c r="I21" i="82"/>
  <c r="B22" i="82"/>
  <c r="C22" i="82"/>
  <c r="E22" i="82"/>
  <c r="F22" i="82"/>
  <c r="G22" i="82"/>
  <c r="H22" i="82"/>
  <c r="I22" i="82"/>
  <c r="B17" i="82" l="1"/>
  <c r="C17" i="82"/>
  <c r="E17" i="82"/>
  <c r="F17" i="82"/>
  <c r="G17" i="82"/>
  <c r="H17" i="82"/>
  <c r="I17" i="82"/>
  <c r="B18" i="82"/>
  <c r="C18" i="82"/>
  <c r="E18" i="82"/>
  <c r="F18" i="82"/>
  <c r="G18" i="82"/>
  <c r="H18" i="82"/>
  <c r="I18" i="82"/>
  <c r="B19" i="82"/>
  <c r="C19" i="82"/>
  <c r="E19" i="82"/>
  <c r="F19" i="82"/>
  <c r="G19" i="82"/>
  <c r="H19" i="82"/>
  <c r="I19" i="82"/>
  <c r="B20" i="82"/>
  <c r="C20" i="82"/>
  <c r="E20" i="82"/>
  <c r="F20" i="82"/>
  <c r="G20" i="82"/>
  <c r="H20" i="82"/>
  <c r="I20" i="82"/>
  <c r="B13" i="82" l="1"/>
  <c r="C13" i="82"/>
  <c r="E13" i="82"/>
  <c r="F13" i="82"/>
  <c r="G13" i="82"/>
  <c r="H13" i="82"/>
  <c r="I13" i="82"/>
  <c r="B14" i="82"/>
  <c r="C14" i="82"/>
  <c r="E14" i="82"/>
  <c r="F14" i="82"/>
  <c r="G14" i="82"/>
  <c r="H14" i="82"/>
  <c r="I14" i="82"/>
  <c r="B15" i="82"/>
  <c r="C15" i="82"/>
  <c r="E15" i="82"/>
  <c r="F15" i="82"/>
  <c r="G15" i="82"/>
  <c r="H15" i="82"/>
  <c r="I15" i="82"/>
  <c r="B16" i="82"/>
  <c r="C16" i="82"/>
  <c r="E16" i="82"/>
  <c r="F16" i="82"/>
  <c r="G16" i="82"/>
  <c r="H16" i="82"/>
  <c r="I16" i="82"/>
  <c r="G121" i="21"/>
  <c r="G117" i="21"/>
  <c r="B10" i="82" l="1"/>
  <c r="C10" i="82"/>
  <c r="E10" i="82"/>
  <c r="F10" i="82"/>
  <c r="G10" i="82"/>
  <c r="H10" i="82"/>
  <c r="I10" i="82"/>
  <c r="B11" i="82"/>
  <c r="C11" i="82"/>
  <c r="E11" i="82"/>
  <c r="F11" i="82"/>
  <c r="G11" i="82"/>
  <c r="H11" i="82"/>
  <c r="I11" i="82"/>
  <c r="B12" i="82"/>
  <c r="C12" i="82"/>
  <c r="E12" i="82"/>
  <c r="F12" i="82"/>
  <c r="G12" i="82"/>
  <c r="H12" i="82"/>
  <c r="I12" i="82"/>
  <c r="B8" i="82" l="1"/>
  <c r="C8" i="82"/>
  <c r="E8" i="82"/>
  <c r="F8" i="82"/>
  <c r="G8" i="82"/>
  <c r="H8" i="82"/>
  <c r="I8" i="82"/>
  <c r="B9" i="82"/>
  <c r="C9" i="82"/>
  <c r="E9" i="82"/>
  <c r="F9" i="82"/>
  <c r="G9" i="82"/>
  <c r="H9" i="82"/>
  <c r="I9" i="82"/>
  <c r="B5" i="82" l="1"/>
  <c r="C5" i="82"/>
  <c r="E5" i="82"/>
  <c r="F5" i="82"/>
  <c r="G5" i="82"/>
  <c r="H5" i="82"/>
  <c r="I5" i="82"/>
  <c r="B6" i="82"/>
  <c r="C6" i="82"/>
  <c r="E6" i="82"/>
  <c r="F6" i="82"/>
  <c r="G6" i="82"/>
  <c r="H6" i="82"/>
  <c r="I6" i="82"/>
  <c r="B7" i="82"/>
  <c r="C7" i="82"/>
  <c r="E7" i="82"/>
  <c r="F7" i="82"/>
  <c r="G7" i="82"/>
  <c r="H7" i="82"/>
  <c r="I7" i="82"/>
  <c r="B4" i="82" l="1"/>
  <c r="C4" i="82"/>
  <c r="E4" i="82"/>
  <c r="F4" i="82"/>
  <c r="G4" i="82"/>
  <c r="H4" i="82"/>
  <c r="I4" i="82"/>
  <c r="B2" i="82"/>
  <c r="C2" i="82"/>
  <c r="E2" i="82"/>
  <c r="F2" i="82"/>
  <c r="G2" i="82"/>
  <c r="H2" i="82"/>
  <c r="I2" i="82"/>
  <c r="B3" i="82"/>
  <c r="C3" i="82"/>
  <c r="E3" i="82"/>
  <c r="F3" i="82"/>
  <c r="G3" i="82"/>
  <c r="H3" i="82"/>
  <c r="I3" i="82"/>
  <c r="B17" i="81"/>
  <c r="C17" i="81"/>
  <c r="E17" i="81"/>
  <c r="F17" i="81"/>
  <c r="G17" i="81"/>
  <c r="H17" i="81"/>
  <c r="I17" i="81"/>
  <c r="B18" i="81"/>
  <c r="C18" i="81"/>
  <c r="E18" i="81"/>
  <c r="F18" i="81"/>
  <c r="G18" i="81"/>
  <c r="H18" i="81"/>
  <c r="I18" i="81"/>
  <c r="E121" i="21"/>
  <c r="E118" i="21"/>
  <c r="I34" i="82" l="1"/>
  <c r="B13" i="81"/>
  <c r="C13" i="81"/>
  <c r="E13" i="81"/>
  <c r="F13" i="81"/>
  <c r="G13" i="81"/>
  <c r="H13" i="81"/>
  <c r="I13" i="81"/>
  <c r="B14" i="81"/>
  <c r="C14" i="81"/>
  <c r="E14" i="81"/>
  <c r="F14" i="81"/>
  <c r="G14" i="81"/>
  <c r="H14" i="81"/>
  <c r="I14" i="81"/>
  <c r="B15" i="81"/>
  <c r="C15" i="81"/>
  <c r="E15" i="81"/>
  <c r="F15" i="81"/>
  <c r="G15" i="81"/>
  <c r="H15" i="81"/>
  <c r="I15" i="81"/>
  <c r="B16" i="81"/>
  <c r="C16" i="81"/>
  <c r="E16" i="81"/>
  <c r="F16" i="81"/>
  <c r="G16" i="81"/>
  <c r="H16" i="81"/>
  <c r="I16" i="81"/>
  <c r="E115" i="21"/>
  <c r="E111" i="21"/>
  <c r="B11" i="81" l="1"/>
  <c r="C11" i="81"/>
  <c r="E11" i="81"/>
  <c r="F11" i="81"/>
  <c r="G11" i="81"/>
  <c r="H11" i="81"/>
  <c r="I11" i="81"/>
  <c r="B12" i="81"/>
  <c r="C12" i="81"/>
  <c r="E12" i="81"/>
  <c r="F12" i="81"/>
  <c r="G12" i="81"/>
  <c r="H12" i="81"/>
  <c r="I12" i="81"/>
  <c r="B10" i="81" l="1"/>
  <c r="C10" i="81"/>
  <c r="E10" i="81"/>
  <c r="F10" i="81"/>
  <c r="G10" i="81"/>
  <c r="H10" i="81"/>
  <c r="I10" i="81"/>
  <c r="B9" i="81" l="1"/>
  <c r="C9" i="81"/>
  <c r="E9" i="81"/>
  <c r="F9" i="81"/>
  <c r="G9" i="81"/>
  <c r="H9" i="81"/>
  <c r="I9" i="81"/>
  <c r="B6" i="81" l="1"/>
  <c r="C6" i="81"/>
  <c r="E6" i="81"/>
  <c r="F6" i="81"/>
  <c r="G6" i="81"/>
  <c r="H6" i="81"/>
  <c r="I6" i="81"/>
  <c r="B7" i="81"/>
  <c r="C7" i="81"/>
  <c r="E7" i="81"/>
  <c r="F7" i="81"/>
  <c r="G7" i="81"/>
  <c r="H7" i="81"/>
  <c r="I7" i="81"/>
  <c r="B8" i="81"/>
  <c r="C8" i="81"/>
  <c r="E8" i="81"/>
  <c r="F8" i="81"/>
  <c r="G8" i="81"/>
  <c r="H8" i="81"/>
  <c r="I8" i="81"/>
  <c r="B5" i="81" l="1"/>
  <c r="C5" i="81"/>
  <c r="E5" i="81"/>
  <c r="F5" i="81"/>
  <c r="G5" i="81"/>
  <c r="H5" i="81"/>
  <c r="I5" i="81"/>
  <c r="I4" i="81" l="1"/>
  <c r="H4" i="81"/>
  <c r="G4" i="81"/>
  <c r="F4" i="81"/>
  <c r="E4" i="81"/>
  <c r="C4" i="81"/>
  <c r="B4" i="81"/>
  <c r="I3" i="81"/>
  <c r="H3" i="81"/>
  <c r="G3" i="81"/>
  <c r="F3" i="81"/>
  <c r="E3" i="81"/>
  <c r="C3" i="81"/>
  <c r="B3" i="81"/>
  <c r="I2" i="81"/>
  <c r="H2" i="81"/>
  <c r="G2" i="81"/>
  <c r="F2" i="81"/>
  <c r="E2" i="81"/>
  <c r="C2" i="81"/>
  <c r="B2" i="81"/>
  <c r="AC122" i="21"/>
  <c r="AB122" i="21"/>
  <c r="AC121" i="21"/>
  <c r="AB121" i="21"/>
  <c r="AC120" i="21"/>
  <c r="AB120" i="21"/>
  <c r="AC119" i="21"/>
  <c r="AB119" i="21"/>
  <c r="AC118" i="21"/>
  <c r="AB118" i="21"/>
  <c r="AC117" i="21"/>
  <c r="E59" i="12" s="1"/>
  <c r="K59" i="12" s="1"/>
  <c r="AB117" i="21"/>
  <c r="D59" i="12" s="1"/>
  <c r="J59" i="12" s="1"/>
  <c r="AC115" i="21"/>
  <c r="E57" i="12" s="1"/>
  <c r="K57" i="12" s="1"/>
  <c r="AB115" i="21"/>
  <c r="AC114" i="21"/>
  <c r="AB114" i="21"/>
  <c r="AC113" i="21"/>
  <c r="AB113" i="21"/>
  <c r="AC112" i="21"/>
  <c r="AB112" i="21"/>
  <c r="AC111" i="21"/>
  <c r="AB111" i="21"/>
  <c r="AA123" i="21"/>
  <c r="Z123" i="21"/>
  <c r="Y123" i="21"/>
  <c r="X123" i="21"/>
  <c r="W123" i="21"/>
  <c r="V123" i="21"/>
  <c r="U123" i="21"/>
  <c r="T123" i="21"/>
  <c r="S123" i="21"/>
  <c r="R123" i="21"/>
  <c r="P123" i="21"/>
  <c r="O123" i="21"/>
  <c r="N123" i="21"/>
  <c r="M123" i="21"/>
  <c r="L123" i="21"/>
  <c r="K123" i="21"/>
  <c r="J123" i="21"/>
  <c r="I123" i="21"/>
  <c r="H123" i="21"/>
  <c r="G123" i="21"/>
  <c r="F123" i="21"/>
  <c r="D123" i="21"/>
  <c r="E123" i="21"/>
  <c r="E53" i="12" l="1"/>
  <c r="K53" i="12" s="1"/>
  <c r="K49" i="4"/>
  <c r="I37" i="12"/>
  <c r="E63" i="12"/>
  <c r="K63" i="12" s="1"/>
  <c r="I47" i="12"/>
  <c r="K59" i="4"/>
  <c r="M59" i="4" s="1"/>
  <c r="D54" i="12"/>
  <c r="J54" i="12" s="1"/>
  <c r="J50" i="4"/>
  <c r="L50" i="4" s="1"/>
  <c r="H38" i="12"/>
  <c r="D57" i="12"/>
  <c r="J57" i="12" s="1"/>
  <c r="J53" i="4"/>
  <c r="L53" i="4" s="1"/>
  <c r="H41" i="12"/>
  <c r="D61" i="12"/>
  <c r="J61" i="12" s="1"/>
  <c r="J57" i="4"/>
  <c r="D72" i="4" s="1"/>
  <c r="H45" i="12"/>
  <c r="D64" i="12"/>
  <c r="J64" i="12" s="1"/>
  <c r="H48" i="12"/>
  <c r="J60" i="4"/>
  <c r="D75" i="4" s="1"/>
  <c r="E56" i="12"/>
  <c r="K56" i="12" s="1"/>
  <c r="K52" i="4"/>
  <c r="I40" i="12"/>
  <c r="E54" i="12"/>
  <c r="K54" i="12" s="1"/>
  <c r="I38" i="12"/>
  <c r="K50" i="4"/>
  <c r="M50" i="4" s="1"/>
  <c r="E61" i="12"/>
  <c r="K61" i="12" s="1"/>
  <c r="I45" i="12"/>
  <c r="K57" i="4"/>
  <c r="E72" i="4" s="1"/>
  <c r="I72" i="4" s="1"/>
  <c r="D55" i="12"/>
  <c r="J55" i="12" s="1"/>
  <c r="H39" i="12"/>
  <c r="J51" i="4"/>
  <c r="L51" i="4" s="1"/>
  <c r="D62" i="12"/>
  <c r="J62" i="12" s="1"/>
  <c r="J58" i="4"/>
  <c r="H46" i="12"/>
  <c r="E60" i="12"/>
  <c r="K60" i="12" s="1"/>
  <c r="I44" i="12"/>
  <c r="K56" i="4"/>
  <c r="M56" i="4" s="1"/>
  <c r="E64" i="12"/>
  <c r="K64" i="12" s="1"/>
  <c r="I48" i="12"/>
  <c r="E62" i="12"/>
  <c r="K62" i="12" s="1"/>
  <c r="K58" i="4"/>
  <c r="M58" i="4" s="1"/>
  <c r="I46" i="12"/>
  <c r="E55" i="12"/>
  <c r="K55" i="12" s="1"/>
  <c r="I39" i="12"/>
  <c r="K51" i="4"/>
  <c r="M51" i="4" s="1"/>
  <c r="D53" i="12"/>
  <c r="J53" i="12" s="1"/>
  <c r="J49" i="4"/>
  <c r="H37" i="12"/>
  <c r="D56" i="12"/>
  <c r="J56" i="12" s="1"/>
  <c r="H40" i="12"/>
  <c r="J52" i="4"/>
  <c r="D60" i="12"/>
  <c r="J60" i="12" s="1"/>
  <c r="H44" i="12"/>
  <c r="J56" i="4"/>
  <c r="L56" i="4" s="1"/>
  <c r="D63" i="12"/>
  <c r="J63" i="12" s="1"/>
  <c r="H47" i="12"/>
  <c r="J59" i="4"/>
  <c r="L59" i="4" s="1"/>
  <c r="H43" i="12"/>
  <c r="J55" i="4"/>
  <c r="K55" i="4"/>
  <c r="I43" i="12"/>
  <c r="I41" i="12"/>
  <c r="K53" i="4"/>
  <c r="I19" i="81"/>
  <c r="AB123" i="21"/>
  <c r="AC123" i="21"/>
  <c r="B8" i="80"/>
  <c r="C8" i="80"/>
  <c r="E8" i="80"/>
  <c r="F8" i="80"/>
  <c r="G8" i="80"/>
  <c r="H8" i="80"/>
  <c r="I8" i="80"/>
  <c r="B9" i="80"/>
  <c r="C9" i="80"/>
  <c r="E9" i="80"/>
  <c r="F9" i="80"/>
  <c r="G9" i="80"/>
  <c r="H9" i="80"/>
  <c r="I9" i="80"/>
  <c r="B10" i="80"/>
  <c r="C10" i="80"/>
  <c r="E10" i="80"/>
  <c r="F10" i="80"/>
  <c r="G10" i="80"/>
  <c r="H10" i="80"/>
  <c r="I10" i="80"/>
  <c r="B11" i="80"/>
  <c r="C11" i="80"/>
  <c r="E11" i="80"/>
  <c r="F11" i="80"/>
  <c r="G11" i="80"/>
  <c r="H11" i="80"/>
  <c r="I11" i="80"/>
  <c r="AA97" i="21"/>
  <c r="AA93" i="21"/>
  <c r="J65" i="12" l="1"/>
  <c r="H49" i="12"/>
  <c r="D65" i="12"/>
  <c r="H67" i="4"/>
  <c r="L52" i="4"/>
  <c r="I49" i="12"/>
  <c r="E65" i="12"/>
  <c r="H73" i="4"/>
  <c r="L58" i="4"/>
  <c r="I67" i="4"/>
  <c r="M52" i="4"/>
  <c r="H72" i="4"/>
  <c r="D76" i="4"/>
  <c r="K65" i="12"/>
  <c r="L55" i="4"/>
  <c r="H70" i="4"/>
  <c r="I70" i="4"/>
  <c r="M55" i="4"/>
  <c r="I68" i="4"/>
  <c r="M53" i="4"/>
  <c r="I64" i="4"/>
  <c r="M49" i="4"/>
  <c r="L49" i="4"/>
  <c r="H64" i="4"/>
  <c r="M57" i="4"/>
  <c r="L57" i="4"/>
  <c r="M60" i="4"/>
  <c r="K61" i="4"/>
  <c r="L60" i="4"/>
  <c r="J61" i="4"/>
  <c r="B7" i="80"/>
  <c r="C7" i="80"/>
  <c r="E7" i="80"/>
  <c r="F7" i="80"/>
  <c r="G7" i="80"/>
  <c r="H7" i="80"/>
  <c r="I7" i="80"/>
  <c r="I76" i="4" l="1"/>
  <c r="E76" i="4"/>
  <c r="H75" i="4"/>
  <c r="H76" i="4"/>
  <c r="B3" i="80"/>
  <c r="C3" i="80"/>
  <c r="E3" i="80"/>
  <c r="F3" i="80"/>
  <c r="G3" i="80"/>
  <c r="H3" i="80"/>
  <c r="I3" i="80"/>
  <c r="B4" i="80"/>
  <c r="C4" i="80"/>
  <c r="E4" i="80"/>
  <c r="F4" i="80"/>
  <c r="G4" i="80"/>
  <c r="H4" i="80"/>
  <c r="I4" i="80"/>
  <c r="B5" i="80"/>
  <c r="C5" i="80"/>
  <c r="E5" i="80"/>
  <c r="F5" i="80"/>
  <c r="G5" i="80"/>
  <c r="H5" i="80"/>
  <c r="I5" i="80"/>
  <c r="B6" i="80"/>
  <c r="C6" i="80"/>
  <c r="E6" i="80"/>
  <c r="F6" i="80"/>
  <c r="G6" i="80"/>
  <c r="H6" i="80"/>
  <c r="I6" i="80"/>
  <c r="AA94" i="21"/>
  <c r="I2" i="80" l="1"/>
  <c r="I12" i="80" s="1"/>
  <c r="H2" i="80"/>
  <c r="G2" i="80"/>
  <c r="F2" i="80"/>
  <c r="E2" i="80"/>
  <c r="C2" i="80"/>
  <c r="B2" i="80"/>
  <c r="B11" i="79" l="1"/>
  <c r="C11" i="79"/>
  <c r="E11" i="79"/>
  <c r="F11" i="79"/>
  <c r="G11" i="79"/>
  <c r="H11" i="79"/>
  <c r="I11" i="79"/>
  <c r="B12" i="79"/>
  <c r="C12" i="79"/>
  <c r="E12" i="79"/>
  <c r="F12" i="79"/>
  <c r="G12" i="79"/>
  <c r="H12" i="79"/>
  <c r="I12" i="79"/>
  <c r="Y93" i="21"/>
  <c r="B10" i="79" l="1"/>
  <c r="C10" i="79"/>
  <c r="E10" i="79"/>
  <c r="F10" i="79"/>
  <c r="G10" i="79"/>
  <c r="H10" i="79"/>
  <c r="I10" i="79"/>
  <c r="B3" i="79"/>
  <c r="B4" i="79"/>
  <c r="B5" i="79"/>
  <c r="B6" i="79"/>
  <c r="B7" i="79"/>
  <c r="B8" i="79"/>
  <c r="B9" i="79"/>
  <c r="C9" i="79"/>
  <c r="E9" i="79"/>
  <c r="F9" i="79"/>
  <c r="G9" i="79"/>
  <c r="H9" i="79"/>
  <c r="I9" i="79"/>
  <c r="C7" i="79" l="1"/>
  <c r="E7" i="79"/>
  <c r="F7" i="79"/>
  <c r="G7" i="79"/>
  <c r="H7" i="79"/>
  <c r="I7" i="79"/>
  <c r="C8" i="79"/>
  <c r="E8" i="79"/>
  <c r="F8" i="79"/>
  <c r="G8" i="79"/>
  <c r="H8" i="79"/>
  <c r="I8" i="79"/>
  <c r="Y94" i="21"/>
  <c r="C3" i="79" l="1"/>
  <c r="E3" i="79"/>
  <c r="F3" i="79"/>
  <c r="G3" i="79"/>
  <c r="H3" i="79"/>
  <c r="I3" i="79"/>
  <c r="C4" i="79"/>
  <c r="E4" i="79"/>
  <c r="F4" i="79"/>
  <c r="G4" i="79"/>
  <c r="H4" i="79"/>
  <c r="I4" i="79"/>
  <c r="C5" i="79"/>
  <c r="E5" i="79"/>
  <c r="F5" i="79"/>
  <c r="G5" i="79"/>
  <c r="H5" i="79"/>
  <c r="I5" i="79"/>
  <c r="C6" i="79"/>
  <c r="E6" i="79"/>
  <c r="F6" i="79"/>
  <c r="G6" i="79"/>
  <c r="H6" i="79"/>
  <c r="I6" i="79"/>
  <c r="Y99" i="21"/>
  <c r="Y104" i="21" s="1"/>
  <c r="I2" i="79"/>
  <c r="H2" i="79"/>
  <c r="G2" i="79"/>
  <c r="F2" i="79"/>
  <c r="E2" i="79"/>
  <c r="C2" i="79"/>
  <c r="B2" i="79"/>
  <c r="W99" i="21"/>
  <c r="I12" i="78"/>
  <c r="B8" i="78"/>
  <c r="C8" i="78"/>
  <c r="E8" i="78"/>
  <c r="F8" i="78"/>
  <c r="G8" i="78"/>
  <c r="H8" i="78"/>
  <c r="B9" i="78"/>
  <c r="C9" i="78"/>
  <c r="E9" i="78"/>
  <c r="F9" i="78"/>
  <c r="G9" i="78"/>
  <c r="H9" i="78"/>
  <c r="B10" i="78"/>
  <c r="C10" i="78"/>
  <c r="E10" i="78"/>
  <c r="F10" i="78"/>
  <c r="G10" i="78"/>
  <c r="H10" i="78"/>
  <c r="B11" i="78"/>
  <c r="C11" i="78"/>
  <c r="E11" i="78"/>
  <c r="F11" i="78"/>
  <c r="G11" i="78"/>
  <c r="H11" i="78"/>
  <c r="B6" i="78"/>
  <c r="C6" i="78"/>
  <c r="E6" i="78"/>
  <c r="F6" i="78"/>
  <c r="G6" i="78"/>
  <c r="H6" i="78"/>
  <c r="B7" i="78"/>
  <c r="C7" i="78"/>
  <c r="E7" i="78"/>
  <c r="F7" i="78"/>
  <c r="G7" i="78"/>
  <c r="H7" i="78"/>
  <c r="B5" i="78"/>
  <c r="C5" i="78"/>
  <c r="E5" i="78"/>
  <c r="F5" i="78"/>
  <c r="G5" i="78"/>
  <c r="H5" i="78"/>
  <c r="W93" i="21"/>
  <c r="B3" i="78"/>
  <c r="C3" i="78"/>
  <c r="E3" i="78"/>
  <c r="F3" i="78"/>
  <c r="G3" i="78"/>
  <c r="H3" i="78"/>
  <c r="B4" i="78"/>
  <c r="C4" i="78"/>
  <c r="E4" i="78"/>
  <c r="F4" i="78"/>
  <c r="G4" i="78"/>
  <c r="H4" i="78"/>
  <c r="H2" i="78"/>
  <c r="G2" i="78"/>
  <c r="F2" i="78"/>
  <c r="E2" i="78"/>
  <c r="C2" i="78"/>
  <c r="B2" i="78"/>
  <c r="U94" i="21"/>
  <c r="I15" i="77"/>
  <c r="B14" i="77"/>
  <c r="C14" i="77"/>
  <c r="E14" i="77"/>
  <c r="F14" i="77"/>
  <c r="G14" i="77"/>
  <c r="H14" i="77"/>
  <c r="B13" i="77"/>
  <c r="C13" i="77"/>
  <c r="E13" i="77"/>
  <c r="F13" i="77"/>
  <c r="G13" i="77"/>
  <c r="H13" i="77"/>
  <c r="B10" i="77"/>
  <c r="C10" i="77"/>
  <c r="E10" i="77"/>
  <c r="F10" i="77"/>
  <c r="G10" i="77"/>
  <c r="H10" i="77"/>
  <c r="B11" i="77"/>
  <c r="C11" i="77"/>
  <c r="E11" i="77"/>
  <c r="F11" i="77"/>
  <c r="G11" i="77"/>
  <c r="H11" i="77"/>
  <c r="B12" i="77"/>
  <c r="C12" i="77"/>
  <c r="E12" i="77"/>
  <c r="F12" i="77"/>
  <c r="G12" i="77"/>
  <c r="H12" i="77"/>
  <c r="U99" i="21"/>
  <c r="U97" i="21"/>
  <c r="B9" i="77"/>
  <c r="C9" i="77"/>
  <c r="E9" i="77"/>
  <c r="F9" i="77"/>
  <c r="G9" i="77"/>
  <c r="H9" i="77"/>
  <c r="B8" i="77"/>
  <c r="C8" i="77"/>
  <c r="E8" i="77"/>
  <c r="F8" i="77"/>
  <c r="G8" i="77"/>
  <c r="H8" i="77"/>
  <c r="B7" i="77"/>
  <c r="C7" i="77"/>
  <c r="E7" i="77"/>
  <c r="F7" i="77"/>
  <c r="G7" i="77"/>
  <c r="H7" i="77"/>
  <c r="U95" i="21"/>
  <c r="B5" i="77"/>
  <c r="C5" i="77"/>
  <c r="E5" i="77"/>
  <c r="F5" i="77"/>
  <c r="G5" i="77"/>
  <c r="H5" i="77"/>
  <c r="B6" i="77"/>
  <c r="C6" i="77"/>
  <c r="E6" i="77"/>
  <c r="F6" i="77"/>
  <c r="G6" i="77"/>
  <c r="H6" i="77"/>
  <c r="B4" i="77"/>
  <c r="C4" i="77"/>
  <c r="E4" i="77"/>
  <c r="F4" i="77"/>
  <c r="G4" i="77"/>
  <c r="H4" i="77"/>
  <c r="B3" i="77"/>
  <c r="C3" i="77"/>
  <c r="E3" i="77"/>
  <c r="F3" i="77"/>
  <c r="G3" i="77"/>
  <c r="H3" i="77"/>
  <c r="H2" i="77"/>
  <c r="G2" i="77"/>
  <c r="F2" i="77"/>
  <c r="E2" i="77"/>
  <c r="C2" i="77"/>
  <c r="B2" i="77"/>
  <c r="I5" i="76"/>
  <c r="B4" i="76"/>
  <c r="C4" i="76"/>
  <c r="E4" i="76"/>
  <c r="F4" i="76"/>
  <c r="G4" i="76"/>
  <c r="H4" i="76"/>
  <c r="B3" i="76"/>
  <c r="C3" i="76"/>
  <c r="E3" i="76"/>
  <c r="F3" i="76"/>
  <c r="G3" i="76"/>
  <c r="H3" i="76"/>
  <c r="H2" i="76"/>
  <c r="G2" i="76"/>
  <c r="F2" i="76"/>
  <c r="E2" i="76"/>
  <c r="C2" i="76"/>
  <c r="B2" i="76"/>
  <c r="Q97" i="21"/>
  <c r="I57" i="75"/>
  <c r="B55" i="75"/>
  <c r="C55" i="75"/>
  <c r="E55" i="75"/>
  <c r="F55" i="75"/>
  <c r="G55" i="75"/>
  <c r="H55" i="75"/>
  <c r="B56" i="75"/>
  <c r="C56" i="75"/>
  <c r="E56" i="75"/>
  <c r="F56" i="75"/>
  <c r="G56" i="75"/>
  <c r="H56" i="75"/>
  <c r="B54" i="75"/>
  <c r="C54" i="75"/>
  <c r="E54" i="75"/>
  <c r="F54" i="75"/>
  <c r="G54" i="75"/>
  <c r="H54" i="75"/>
  <c r="Q94" i="21"/>
  <c r="B51" i="75"/>
  <c r="C51" i="75"/>
  <c r="E51" i="75"/>
  <c r="F51" i="75"/>
  <c r="G51" i="75"/>
  <c r="H51" i="75"/>
  <c r="B52" i="75"/>
  <c r="C52" i="75"/>
  <c r="E52" i="75"/>
  <c r="F52" i="75"/>
  <c r="G52" i="75"/>
  <c r="H52" i="75"/>
  <c r="B53" i="75"/>
  <c r="C53" i="75"/>
  <c r="E53" i="75"/>
  <c r="F53" i="75"/>
  <c r="G53" i="75"/>
  <c r="H53" i="75"/>
  <c r="Q102" i="21"/>
  <c r="Q99" i="21"/>
  <c r="Q93" i="21"/>
  <c r="B48" i="75"/>
  <c r="C48" i="75"/>
  <c r="E48" i="75"/>
  <c r="F48" i="75"/>
  <c r="G48" i="75"/>
  <c r="H48" i="75"/>
  <c r="B49" i="75"/>
  <c r="C49" i="75"/>
  <c r="E49" i="75"/>
  <c r="F49" i="75"/>
  <c r="G49" i="75"/>
  <c r="H49" i="75"/>
  <c r="B50" i="75"/>
  <c r="C50" i="75"/>
  <c r="E50" i="75"/>
  <c r="F50" i="75"/>
  <c r="G50" i="75"/>
  <c r="H50" i="75"/>
  <c r="B46" i="75"/>
  <c r="C46" i="75"/>
  <c r="E46" i="75"/>
  <c r="F46" i="75"/>
  <c r="G46" i="75"/>
  <c r="H46" i="75"/>
  <c r="B47" i="75"/>
  <c r="C47" i="75"/>
  <c r="E47" i="75"/>
  <c r="F47" i="75"/>
  <c r="G47" i="75"/>
  <c r="H47" i="75"/>
  <c r="Q98" i="21"/>
  <c r="B45" i="75"/>
  <c r="C45" i="75"/>
  <c r="E45" i="75"/>
  <c r="F45" i="75"/>
  <c r="G45" i="75"/>
  <c r="H45" i="75"/>
  <c r="B42" i="75"/>
  <c r="C42" i="75"/>
  <c r="E42" i="75"/>
  <c r="F42" i="75"/>
  <c r="G42" i="75"/>
  <c r="H42" i="75"/>
  <c r="B43" i="75"/>
  <c r="C43" i="75"/>
  <c r="E43" i="75"/>
  <c r="F43" i="75"/>
  <c r="G43" i="75"/>
  <c r="H43" i="75"/>
  <c r="B44" i="75"/>
  <c r="C44" i="75"/>
  <c r="E44" i="75"/>
  <c r="F44" i="75"/>
  <c r="G44" i="75"/>
  <c r="H44" i="75"/>
  <c r="B40" i="75"/>
  <c r="C40" i="75"/>
  <c r="E40" i="75"/>
  <c r="F40" i="75"/>
  <c r="G40" i="75"/>
  <c r="H40" i="75"/>
  <c r="B41" i="75"/>
  <c r="C41" i="75"/>
  <c r="E41" i="75"/>
  <c r="F41" i="75"/>
  <c r="G41" i="75"/>
  <c r="H41" i="75"/>
  <c r="Q96" i="21"/>
  <c r="AC96" i="21" s="1"/>
  <c r="G40" i="12" s="1"/>
  <c r="M40" i="12" s="1"/>
  <c r="B38" i="75"/>
  <c r="C38" i="75"/>
  <c r="E38" i="75"/>
  <c r="F38" i="75"/>
  <c r="G38" i="75"/>
  <c r="H38" i="75"/>
  <c r="B39" i="75"/>
  <c r="C39" i="75"/>
  <c r="E39" i="75"/>
  <c r="F39" i="75"/>
  <c r="G39" i="75"/>
  <c r="H39" i="75"/>
  <c r="B37" i="75"/>
  <c r="C37" i="75"/>
  <c r="E37" i="75"/>
  <c r="F37" i="75"/>
  <c r="G37" i="75"/>
  <c r="H37" i="75"/>
  <c r="B34" i="75"/>
  <c r="C34" i="75"/>
  <c r="E34" i="75"/>
  <c r="F34" i="75"/>
  <c r="G34" i="75"/>
  <c r="H34" i="75"/>
  <c r="B35" i="75"/>
  <c r="C35" i="75"/>
  <c r="E35" i="75"/>
  <c r="F35" i="75"/>
  <c r="G35" i="75"/>
  <c r="H35" i="75"/>
  <c r="B36" i="75"/>
  <c r="C36" i="75"/>
  <c r="E36" i="75"/>
  <c r="F36" i="75"/>
  <c r="G36" i="75"/>
  <c r="H36" i="75"/>
  <c r="B26" i="75"/>
  <c r="C26" i="75"/>
  <c r="E26" i="75"/>
  <c r="F26" i="75"/>
  <c r="G26" i="75"/>
  <c r="H26" i="75"/>
  <c r="B27" i="75"/>
  <c r="C27" i="75"/>
  <c r="E27" i="75"/>
  <c r="F27" i="75"/>
  <c r="G27" i="75"/>
  <c r="H27" i="75"/>
  <c r="B28" i="75"/>
  <c r="C28" i="75"/>
  <c r="E28" i="75"/>
  <c r="F28" i="75"/>
  <c r="G28" i="75"/>
  <c r="H28" i="75"/>
  <c r="B29" i="75"/>
  <c r="C29" i="75"/>
  <c r="E29" i="75"/>
  <c r="F29" i="75"/>
  <c r="G29" i="75"/>
  <c r="H29" i="75"/>
  <c r="B30" i="75"/>
  <c r="C30" i="75"/>
  <c r="E30" i="75"/>
  <c r="F30" i="75"/>
  <c r="G30" i="75"/>
  <c r="H30" i="75"/>
  <c r="B31" i="75"/>
  <c r="C31" i="75"/>
  <c r="E31" i="75"/>
  <c r="F31" i="75"/>
  <c r="G31" i="75"/>
  <c r="H31" i="75"/>
  <c r="B32" i="75"/>
  <c r="C32" i="75"/>
  <c r="E32" i="75"/>
  <c r="F32" i="75"/>
  <c r="G32" i="75"/>
  <c r="H32" i="75"/>
  <c r="B33" i="75"/>
  <c r="C33" i="75"/>
  <c r="E33" i="75"/>
  <c r="F33" i="75"/>
  <c r="G33" i="75"/>
  <c r="H33" i="75"/>
  <c r="B24" i="75"/>
  <c r="C24" i="75"/>
  <c r="E24" i="75"/>
  <c r="F24" i="75"/>
  <c r="G24" i="75"/>
  <c r="H24" i="75"/>
  <c r="B25" i="75"/>
  <c r="C25" i="75"/>
  <c r="E25" i="75"/>
  <c r="F25" i="75"/>
  <c r="G25" i="75"/>
  <c r="H25" i="75"/>
  <c r="B14" i="75"/>
  <c r="C14" i="75"/>
  <c r="E14" i="75"/>
  <c r="F14" i="75"/>
  <c r="G14" i="75"/>
  <c r="H14" i="75"/>
  <c r="B15" i="75"/>
  <c r="C15" i="75"/>
  <c r="E15" i="75"/>
  <c r="F15" i="75"/>
  <c r="G15" i="75"/>
  <c r="H15" i="75"/>
  <c r="B16" i="75"/>
  <c r="C16" i="75"/>
  <c r="E16" i="75"/>
  <c r="F16" i="75"/>
  <c r="G16" i="75"/>
  <c r="H16" i="75"/>
  <c r="B17" i="75"/>
  <c r="C17" i="75"/>
  <c r="E17" i="75"/>
  <c r="F17" i="75"/>
  <c r="G17" i="75"/>
  <c r="H17" i="75"/>
  <c r="B18" i="75"/>
  <c r="C18" i="75"/>
  <c r="E18" i="75"/>
  <c r="F18" i="75"/>
  <c r="G18" i="75"/>
  <c r="H18" i="75"/>
  <c r="B19" i="75"/>
  <c r="C19" i="75"/>
  <c r="E19" i="75"/>
  <c r="F19" i="75"/>
  <c r="G19" i="75"/>
  <c r="H19" i="75"/>
  <c r="B20" i="75"/>
  <c r="C20" i="75"/>
  <c r="E20" i="75"/>
  <c r="F20" i="75"/>
  <c r="G20" i="75"/>
  <c r="H20" i="75"/>
  <c r="B21" i="75"/>
  <c r="C21" i="75"/>
  <c r="E21" i="75"/>
  <c r="F21" i="75"/>
  <c r="G21" i="75"/>
  <c r="H21" i="75"/>
  <c r="B22" i="75"/>
  <c r="C22" i="75"/>
  <c r="E22" i="75"/>
  <c r="F22" i="75"/>
  <c r="G22" i="75"/>
  <c r="H22" i="75"/>
  <c r="B23" i="75"/>
  <c r="C23" i="75"/>
  <c r="E23" i="75"/>
  <c r="F23" i="75"/>
  <c r="G23" i="75"/>
  <c r="H23" i="75"/>
  <c r="H5" i="12"/>
  <c r="B7" i="75"/>
  <c r="C7" i="75"/>
  <c r="E7" i="75"/>
  <c r="F7" i="75"/>
  <c r="G7" i="75"/>
  <c r="H7" i="75"/>
  <c r="B8" i="75"/>
  <c r="C8" i="75"/>
  <c r="E8" i="75"/>
  <c r="F8" i="75"/>
  <c r="G8" i="75"/>
  <c r="H8" i="75"/>
  <c r="B9" i="75"/>
  <c r="C9" i="75"/>
  <c r="E9" i="75"/>
  <c r="F9" i="75"/>
  <c r="G9" i="75"/>
  <c r="H9" i="75"/>
  <c r="B10" i="75"/>
  <c r="C10" i="75"/>
  <c r="E10" i="75"/>
  <c r="F10" i="75"/>
  <c r="G10" i="75"/>
  <c r="H10" i="75"/>
  <c r="B11" i="75"/>
  <c r="C11" i="75"/>
  <c r="E11" i="75"/>
  <c r="F11" i="75"/>
  <c r="G11" i="75"/>
  <c r="H11" i="75"/>
  <c r="B12" i="75"/>
  <c r="C12" i="75"/>
  <c r="E12" i="75"/>
  <c r="F12" i="75"/>
  <c r="G12" i="75"/>
  <c r="H12" i="75"/>
  <c r="B13" i="75"/>
  <c r="C13" i="75"/>
  <c r="E13" i="75"/>
  <c r="F13" i="75"/>
  <c r="G13" i="75"/>
  <c r="H13" i="75"/>
  <c r="B4" i="75"/>
  <c r="C4" i="75"/>
  <c r="E4" i="75"/>
  <c r="F4" i="75"/>
  <c r="G4" i="75"/>
  <c r="H4" i="75"/>
  <c r="B5" i="75"/>
  <c r="C5" i="75"/>
  <c r="E5" i="75"/>
  <c r="F5" i="75"/>
  <c r="G5" i="75"/>
  <c r="H5" i="75"/>
  <c r="B6" i="75"/>
  <c r="C6" i="75"/>
  <c r="E6" i="75"/>
  <c r="F6" i="75"/>
  <c r="G6" i="75"/>
  <c r="H6" i="75"/>
  <c r="B3" i="75"/>
  <c r="C3" i="75"/>
  <c r="E3" i="75"/>
  <c r="F3" i="75"/>
  <c r="G3" i="75"/>
  <c r="H3" i="75"/>
  <c r="H2" i="75"/>
  <c r="G2" i="75"/>
  <c r="F2" i="75"/>
  <c r="E2" i="75"/>
  <c r="C2" i="75"/>
  <c r="B2" i="75"/>
  <c r="I13" i="74"/>
  <c r="B12" i="74"/>
  <c r="C12" i="74"/>
  <c r="E12" i="74"/>
  <c r="F12" i="74"/>
  <c r="G12" i="74"/>
  <c r="H12" i="74"/>
  <c r="B11" i="74"/>
  <c r="C11" i="74"/>
  <c r="E11" i="74"/>
  <c r="F11" i="74"/>
  <c r="G11" i="74"/>
  <c r="H11" i="74"/>
  <c r="B10" i="74"/>
  <c r="C10" i="74"/>
  <c r="E10" i="74"/>
  <c r="F10" i="74"/>
  <c r="G10" i="74"/>
  <c r="H10" i="74"/>
  <c r="O94" i="21"/>
  <c r="B6" i="74"/>
  <c r="C6" i="74"/>
  <c r="E6" i="74"/>
  <c r="F6" i="74"/>
  <c r="G6" i="74"/>
  <c r="H6" i="74"/>
  <c r="B7" i="74"/>
  <c r="C7" i="74"/>
  <c r="E7" i="74"/>
  <c r="F7" i="74"/>
  <c r="G7" i="74"/>
  <c r="H7" i="74"/>
  <c r="B8" i="74"/>
  <c r="C8" i="74"/>
  <c r="E8" i="74"/>
  <c r="F8" i="74"/>
  <c r="G8" i="74"/>
  <c r="H8" i="74"/>
  <c r="B9" i="74"/>
  <c r="C9" i="74"/>
  <c r="E9" i="74"/>
  <c r="F9" i="74"/>
  <c r="G9" i="74"/>
  <c r="H9" i="74"/>
  <c r="O95" i="21"/>
  <c r="I28" i="73"/>
  <c r="B2" i="74"/>
  <c r="C2" i="74"/>
  <c r="E2" i="74"/>
  <c r="F2" i="74"/>
  <c r="G2" i="74"/>
  <c r="H2" i="74"/>
  <c r="B3" i="74"/>
  <c r="C3" i="74"/>
  <c r="E3" i="74"/>
  <c r="F3" i="74"/>
  <c r="G3" i="74"/>
  <c r="H3" i="74"/>
  <c r="B4" i="74"/>
  <c r="C4" i="74"/>
  <c r="E4" i="74"/>
  <c r="F4" i="74"/>
  <c r="G4" i="74"/>
  <c r="H4" i="74"/>
  <c r="B5" i="74"/>
  <c r="C5" i="74"/>
  <c r="E5" i="74"/>
  <c r="F5" i="74"/>
  <c r="G5" i="74"/>
  <c r="H5" i="74"/>
  <c r="B27" i="73"/>
  <c r="C27" i="73"/>
  <c r="E27" i="73"/>
  <c r="F27" i="73"/>
  <c r="G27" i="73"/>
  <c r="H27" i="73"/>
  <c r="M97" i="21"/>
  <c r="B25" i="73"/>
  <c r="C25" i="73"/>
  <c r="E25" i="73"/>
  <c r="F25" i="73"/>
  <c r="G25" i="73"/>
  <c r="H25" i="73"/>
  <c r="B26" i="73"/>
  <c r="C26" i="73"/>
  <c r="E26" i="73"/>
  <c r="F26" i="73"/>
  <c r="G26" i="73"/>
  <c r="H26" i="73"/>
  <c r="M93" i="21"/>
  <c r="B22" i="73"/>
  <c r="C22" i="73"/>
  <c r="E22" i="73"/>
  <c r="F22" i="73"/>
  <c r="G22" i="73"/>
  <c r="H22" i="73"/>
  <c r="B23" i="73"/>
  <c r="C23" i="73"/>
  <c r="E23" i="73"/>
  <c r="F23" i="73"/>
  <c r="G23" i="73"/>
  <c r="H23" i="73"/>
  <c r="B24" i="73"/>
  <c r="C24" i="73"/>
  <c r="E24" i="73"/>
  <c r="F24" i="73"/>
  <c r="G24" i="73"/>
  <c r="H24" i="73"/>
  <c r="M94" i="21"/>
  <c r="B19" i="73"/>
  <c r="C19" i="73"/>
  <c r="E19" i="73"/>
  <c r="F19" i="73"/>
  <c r="G19" i="73"/>
  <c r="H19" i="73"/>
  <c r="B20" i="73"/>
  <c r="C20" i="73"/>
  <c r="E20" i="73"/>
  <c r="F20" i="73"/>
  <c r="G20" i="73"/>
  <c r="H20" i="73"/>
  <c r="B21" i="73"/>
  <c r="C21" i="73"/>
  <c r="E21" i="73"/>
  <c r="F21" i="73"/>
  <c r="G21" i="73"/>
  <c r="H21" i="73"/>
  <c r="M99" i="21"/>
  <c r="M102" i="21"/>
  <c r="B15" i="73"/>
  <c r="C15" i="73"/>
  <c r="E15" i="73"/>
  <c r="F15" i="73"/>
  <c r="G15" i="73"/>
  <c r="H15" i="73"/>
  <c r="B16" i="73"/>
  <c r="C16" i="73"/>
  <c r="E16" i="73"/>
  <c r="F16" i="73"/>
  <c r="G16" i="73"/>
  <c r="H16" i="73"/>
  <c r="B17" i="73"/>
  <c r="C17" i="73"/>
  <c r="E17" i="73"/>
  <c r="F17" i="73"/>
  <c r="G17" i="73"/>
  <c r="H17" i="73"/>
  <c r="B18" i="73"/>
  <c r="C18" i="73"/>
  <c r="E18" i="73"/>
  <c r="F18" i="73"/>
  <c r="G18" i="73"/>
  <c r="H18" i="73"/>
  <c r="B12" i="73"/>
  <c r="C12" i="73"/>
  <c r="E12" i="73"/>
  <c r="F12" i="73"/>
  <c r="G12" i="73"/>
  <c r="H12" i="73"/>
  <c r="B13" i="73"/>
  <c r="C13" i="73"/>
  <c r="E13" i="73"/>
  <c r="F13" i="73"/>
  <c r="G13" i="73"/>
  <c r="H13" i="73"/>
  <c r="B14" i="73"/>
  <c r="C14" i="73"/>
  <c r="E14" i="73"/>
  <c r="F14" i="73"/>
  <c r="G14" i="73"/>
  <c r="H14" i="73"/>
  <c r="B8" i="73"/>
  <c r="C8" i="73"/>
  <c r="E8" i="73"/>
  <c r="F8" i="73"/>
  <c r="G8" i="73"/>
  <c r="H8" i="73"/>
  <c r="B9" i="73"/>
  <c r="C9" i="73"/>
  <c r="E9" i="73"/>
  <c r="F9" i="73"/>
  <c r="G9" i="73"/>
  <c r="H9" i="73"/>
  <c r="B10" i="73"/>
  <c r="C10" i="73"/>
  <c r="E10" i="73"/>
  <c r="F10" i="73"/>
  <c r="G10" i="73"/>
  <c r="H10" i="73"/>
  <c r="B11" i="73"/>
  <c r="C11" i="73"/>
  <c r="E11" i="73"/>
  <c r="F11" i="73"/>
  <c r="G11" i="73"/>
  <c r="H11" i="73"/>
  <c r="B3" i="73"/>
  <c r="C3" i="73"/>
  <c r="E3" i="73"/>
  <c r="F3" i="73"/>
  <c r="G3" i="73"/>
  <c r="H3" i="73"/>
  <c r="B4" i="73"/>
  <c r="C4" i="73"/>
  <c r="E4" i="73"/>
  <c r="F4" i="73"/>
  <c r="G4" i="73"/>
  <c r="H4" i="73"/>
  <c r="B5" i="73"/>
  <c r="C5" i="73"/>
  <c r="E5" i="73"/>
  <c r="F5" i="73"/>
  <c r="G5" i="73"/>
  <c r="H5" i="73"/>
  <c r="B6" i="73"/>
  <c r="C6" i="73"/>
  <c r="E6" i="73"/>
  <c r="F6" i="73"/>
  <c r="G6" i="73"/>
  <c r="H6" i="73"/>
  <c r="B7" i="73"/>
  <c r="C7" i="73"/>
  <c r="E7" i="73"/>
  <c r="F7" i="73"/>
  <c r="G7" i="73"/>
  <c r="H7" i="73"/>
  <c r="H2" i="73"/>
  <c r="G2" i="73"/>
  <c r="F2" i="73"/>
  <c r="E2" i="73"/>
  <c r="C2" i="73"/>
  <c r="B2" i="73"/>
  <c r="I19" i="72"/>
  <c r="B16" i="72"/>
  <c r="C16" i="72"/>
  <c r="E16" i="72"/>
  <c r="F16" i="72"/>
  <c r="G16" i="72"/>
  <c r="H16" i="72"/>
  <c r="B17" i="72"/>
  <c r="C17" i="72"/>
  <c r="E17" i="72"/>
  <c r="F17" i="72"/>
  <c r="G17" i="72"/>
  <c r="H17" i="72"/>
  <c r="B18" i="72"/>
  <c r="C18" i="72"/>
  <c r="E18" i="72"/>
  <c r="F18" i="72"/>
  <c r="G18" i="72"/>
  <c r="H18" i="72"/>
  <c r="K98" i="21"/>
  <c r="K99" i="21"/>
  <c r="K93" i="21"/>
  <c r="B15" i="72"/>
  <c r="C15" i="72"/>
  <c r="E15" i="72"/>
  <c r="F15" i="72"/>
  <c r="G15" i="72"/>
  <c r="H15" i="72"/>
  <c r="K94" i="21"/>
  <c r="B14" i="72"/>
  <c r="C14" i="72"/>
  <c r="E14" i="72"/>
  <c r="F14" i="72"/>
  <c r="G14" i="72"/>
  <c r="H14" i="72"/>
  <c r="B13" i="72"/>
  <c r="C13" i="72"/>
  <c r="E13" i="72"/>
  <c r="F13" i="72"/>
  <c r="G13" i="72"/>
  <c r="H13" i="72"/>
  <c r="K97" i="21"/>
  <c r="B11" i="72"/>
  <c r="C11" i="72"/>
  <c r="E11" i="72"/>
  <c r="F11" i="72"/>
  <c r="G11" i="72"/>
  <c r="H11" i="72"/>
  <c r="B12" i="72"/>
  <c r="C12" i="72"/>
  <c r="E12" i="72"/>
  <c r="F12" i="72"/>
  <c r="G12" i="72"/>
  <c r="H12" i="72"/>
  <c r="B10" i="72"/>
  <c r="C10" i="72"/>
  <c r="E10" i="72"/>
  <c r="F10" i="72"/>
  <c r="G10" i="72"/>
  <c r="H10" i="72"/>
  <c r="B9" i="72"/>
  <c r="C9" i="72"/>
  <c r="E9" i="72"/>
  <c r="F9" i="72"/>
  <c r="G9" i="72"/>
  <c r="H9" i="72"/>
  <c r="B7" i="72"/>
  <c r="C7" i="72"/>
  <c r="E7" i="72"/>
  <c r="F7" i="72"/>
  <c r="G7" i="72"/>
  <c r="H7" i="72"/>
  <c r="B8" i="72"/>
  <c r="C8" i="72"/>
  <c r="E8" i="72"/>
  <c r="F8" i="72"/>
  <c r="G8" i="72"/>
  <c r="H8" i="72"/>
  <c r="B6" i="72"/>
  <c r="C6" i="72"/>
  <c r="E6" i="72"/>
  <c r="F6" i="72"/>
  <c r="G6" i="72"/>
  <c r="H6" i="72"/>
  <c r="B5" i="72"/>
  <c r="C5" i="72"/>
  <c r="E5" i="72"/>
  <c r="F5" i="72"/>
  <c r="G5" i="72"/>
  <c r="H5" i="72"/>
  <c r="B3" i="72"/>
  <c r="C3" i="72"/>
  <c r="E3" i="72"/>
  <c r="F3" i="72"/>
  <c r="G3" i="72"/>
  <c r="H3" i="72"/>
  <c r="B4" i="72"/>
  <c r="C4" i="72"/>
  <c r="E4" i="72"/>
  <c r="F4" i="72"/>
  <c r="G4" i="72"/>
  <c r="H4" i="72"/>
  <c r="H2" i="72"/>
  <c r="G2" i="72"/>
  <c r="F2" i="72"/>
  <c r="E2" i="72"/>
  <c r="C2" i="72"/>
  <c r="B2" i="72"/>
  <c r="B25" i="71"/>
  <c r="C25" i="71"/>
  <c r="E25" i="71"/>
  <c r="F25" i="71"/>
  <c r="G25" i="71"/>
  <c r="H25" i="71"/>
  <c r="B26" i="71"/>
  <c r="C26" i="71"/>
  <c r="E26" i="71"/>
  <c r="F26" i="71"/>
  <c r="G26" i="71"/>
  <c r="H26" i="71"/>
  <c r="I27" i="71"/>
  <c r="I102" i="21"/>
  <c r="B24" i="71"/>
  <c r="C24" i="71"/>
  <c r="E24" i="71"/>
  <c r="F24" i="71"/>
  <c r="G24" i="71"/>
  <c r="H24" i="71"/>
  <c r="I99" i="21"/>
  <c r="B23" i="71"/>
  <c r="C23" i="71"/>
  <c r="E23" i="71"/>
  <c r="F23" i="71"/>
  <c r="G23" i="71"/>
  <c r="H23" i="71"/>
  <c r="B22" i="71"/>
  <c r="C22" i="71"/>
  <c r="E22" i="71"/>
  <c r="F22" i="71"/>
  <c r="G22" i="71"/>
  <c r="H22" i="71"/>
  <c r="B21" i="71"/>
  <c r="C21" i="71"/>
  <c r="E21" i="71"/>
  <c r="F21" i="71"/>
  <c r="G21" i="71"/>
  <c r="H21" i="71"/>
  <c r="B20" i="71"/>
  <c r="C20" i="71"/>
  <c r="E20" i="71"/>
  <c r="F20" i="71"/>
  <c r="G20" i="71"/>
  <c r="H20" i="71"/>
  <c r="B19" i="71"/>
  <c r="C19" i="71"/>
  <c r="E19" i="71"/>
  <c r="F19" i="71"/>
  <c r="G19" i="71"/>
  <c r="H19" i="71"/>
  <c r="B16" i="71"/>
  <c r="C16" i="71"/>
  <c r="E16" i="71"/>
  <c r="F16" i="71"/>
  <c r="G16" i="71"/>
  <c r="H16" i="71"/>
  <c r="B17" i="71"/>
  <c r="C17" i="71"/>
  <c r="E17" i="71"/>
  <c r="F17" i="71"/>
  <c r="G17" i="71"/>
  <c r="H17" i="71"/>
  <c r="B18" i="71"/>
  <c r="C18" i="71"/>
  <c r="E18" i="71"/>
  <c r="F18" i="71"/>
  <c r="G18" i="71"/>
  <c r="H18" i="71"/>
  <c r="B12" i="71"/>
  <c r="C12" i="71"/>
  <c r="E12" i="71"/>
  <c r="F12" i="71"/>
  <c r="G12" i="71"/>
  <c r="H12" i="71"/>
  <c r="B13" i="71"/>
  <c r="C13" i="71"/>
  <c r="E13" i="71"/>
  <c r="F13" i="71"/>
  <c r="G13" i="71"/>
  <c r="H13" i="71"/>
  <c r="B14" i="71"/>
  <c r="C14" i="71"/>
  <c r="E14" i="71"/>
  <c r="F14" i="71"/>
  <c r="G14" i="71"/>
  <c r="H14" i="71"/>
  <c r="B15" i="71"/>
  <c r="C15" i="71"/>
  <c r="E15" i="71"/>
  <c r="F15" i="71"/>
  <c r="G15" i="71"/>
  <c r="H15" i="71"/>
  <c r="I94" i="21"/>
  <c r="I95" i="21"/>
  <c r="B9" i="71"/>
  <c r="C9" i="71"/>
  <c r="E9" i="71"/>
  <c r="F9" i="71"/>
  <c r="G9" i="71"/>
  <c r="H9" i="71"/>
  <c r="B10" i="71"/>
  <c r="C10" i="71"/>
  <c r="E10" i="71"/>
  <c r="F10" i="71"/>
  <c r="G10" i="71"/>
  <c r="H10" i="71"/>
  <c r="B11" i="71"/>
  <c r="C11" i="71"/>
  <c r="E11" i="71"/>
  <c r="F11" i="71"/>
  <c r="G11" i="71"/>
  <c r="H11" i="71"/>
  <c r="B8" i="71"/>
  <c r="C8" i="71"/>
  <c r="E8" i="71"/>
  <c r="F8" i="71"/>
  <c r="G8" i="71"/>
  <c r="H8" i="71"/>
  <c r="B6" i="71"/>
  <c r="C6" i="71"/>
  <c r="E6" i="71"/>
  <c r="F6" i="71"/>
  <c r="G6" i="71"/>
  <c r="H6" i="71"/>
  <c r="B7" i="71"/>
  <c r="C7" i="71"/>
  <c r="E7" i="71"/>
  <c r="F7" i="71"/>
  <c r="G7" i="71"/>
  <c r="H7" i="71"/>
  <c r="B5" i="71"/>
  <c r="C5" i="71"/>
  <c r="E5" i="71"/>
  <c r="F5" i="71"/>
  <c r="G5" i="71"/>
  <c r="H5" i="71"/>
  <c r="B3" i="71"/>
  <c r="C3" i="71"/>
  <c r="E3" i="71"/>
  <c r="F3" i="71"/>
  <c r="G3" i="71"/>
  <c r="H3" i="71"/>
  <c r="B4" i="71"/>
  <c r="C4" i="71"/>
  <c r="E4" i="71"/>
  <c r="F4" i="71"/>
  <c r="G4" i="71"/>
  <c r="H4" i="71"/>
  <c r="B2" i="71"/>
  <c r="C2" i="71"/>
  <c r="E2" i="71"/>
  <c r="F2" i="71"/>
  <c r="G2" i="71"/>
  <c r="H2" i="71"/>
  <c r="I14" i="70"/>
  <c r="B12" i="70"/>
  <c r="C12" i="70"/>
  <c r="E12" i="70"/>
  <c r="F12" i="70"/>
  <c r="G12" i="70"/>
  <c r="H12" i="70"/>
  <c r="B13" i="70"/>
  <c r="C13" i="70"/>
  <c r="E13" i="70"/>
  <c r="F13" i="70"/>
  <c r="G13" i="70"/>
  <c r="H13" i="70"/>
  <c r="G94" i="21"/>
  <c r="G93" i="21"/>
  <c r="B11" i="70"/>
  <c r="C11" i="70"/>
  <c r="E11" i="70"/>
  <c r="F11" i="70"/>
  <c r="G11" i="70"/>
  <c r="H11" i="70"/>
  <c r="B10" i="70"/>
  <c r="C10" i="70"/>
  <c r="E10" i="70"/>
  <c r="F10" i="70"/>
  <c r="G10" i="70"/>
  <c r="H10" i="70"/>
  <c r="B7" i="70"/>
  <c r="C7" i="70"/>
  <c r="E7" i="70"/>
  <c r="F7" i="70"/>
  <c r="G7" i="70"/>
  <c r="H7" i="70"/>
  <c r="B8" i="70"/>
  <c r="C8" i="70"/>
  <c r="E8" i="70"/>
  <c r="F8" i="70"/>
  <c r="G8" i="70"/>
  <c r="H8" i="70"/>
  <c r="B9" i="70"/>
  <c r="C9" i="70"/>
  <c r="E9" i="70"/>
  <c r="F9" i="70"/>
  <c r="G9" i="70"/>
  <c r="H9" i="70"/>
  <c r="G99" i="21"/>
  <c r="B5" i="70"/>
  <c r="C5" i="70"/>
  <c r="E5" i="70"/>
  <c r="F5" i="70"/>
  <c r="G5" i="70"/>
  <c r="H5" i="70"/>
  <c r="B6" i="70"/>
  <c r="C6" i="70"/>
  <c r="E6" i="70"/>
  <c r="F6" i="70"/>
  <c r="G6" i="70"/>
  <c r="H6" i="70"/>
  <c r="B3" i="70"/>
  <c r="C3" i="70"/>
  <c r="E3" i="70"/>
  <c r="F3" i="70"/>
  <c r="G3" i="70"/>
  <c r="H3" i="70"/>
  <c r="B4" i="70"/>
  <c r="C4" i="70"/>
  <c r="E4" i="70"/>
  <c r="F4" i="70"/>
  <c r="G4" i="70"/>
  <c r="H4" i="70"/>
  <c r="I10" i="69"/>
  <c r="B2" i="70"/>
  <c r="C2" i="70"/>
  <c r="E2" i="70"/>
  <c r="F2" i="70"/>
  <c r="G2" i="70"/>
  <c r="H2" i="70"/>
  <c r="B8" i="69"/>
  <c r="C8" i="69"/>
  <c r="E8" i="69"/>
  <c r="F8" i="69"/>
  <c r="G8" i="69"/>
  <c r="H8" i="69"/>
  <c r="B9" i="69"/>
  <c r="C9" i="69"/>
  <c r="E9" i="69"/>
  <c r="F9" i="69"/>
  <c r="G9" i="69"/>
  <c r="H9" i="69"/>
  <c r="E102" i="21"/>
  <c r="B7" i="69"/>
  <c r="C7" i="69"/>
  <c r="E7" i="69"/>
  <c r="F7" i="69"/>
  <c r="G7" i="69"/>
  <c r="H7" i="69"/>
  <c r="E94" i="21"/>
  <c r="B5" i="69"/>
  <c r="C5" i="69"/>
  <c r="E5" i="69"/>
  <c r="F5" i="69"/>
  <c r="G5" i="69"/>
  <c r="H5" i="69"/>
  <c r="B6" i="69"/>
  <c r="C6" i="69"/>
  <c r="E6" i="69"/>
  <c r="F6" i="69"/>
  <c r="G6" i="69"/>
  <c r="H6" i="69"/>
  <c r="E99" i="21"/>
  <c r="B3" i="69"/>
  <c r="C3" i="69"/>
  <c r="E3" i="69"/>
  <c r="F3" i="69"/>
  <c r="G3" i="69"/>
  <c r="H3" i="69"/>
  <c r="B4" i="69"/>
  <c r="C4" i="69"/>
  <c r="E4" i="69"/>
  <c r="F4" i="69"/>
  <c r="G4" i="69"/>
  <c r="H4" i="69"/>
  <c r="H2" i="69"/>
  <c r="G2" i="69"/>
  <c r="F2" i="69"/>
  <c r="E2" i="69"/>
  <c r="C2" i="69"/>
  <c r="B2" i="69"/>
  <c r="E61" i="4"/>
  <c r="D61" i="4"/>
  <c r="G61" i="4"/>
  <c r="M61" i="4" s="1"/>
  <c r="F61" i="4"/>
  <c r="I60" i="4"/>
  <c r="H60" i="4"/>
  <c r="I59" i="4"/>
  <c r="H59" i="4"/>
  <c r="I58" i="4"/>
  <c r="I57" i="4"/>
  <c r="H57" i="4"/>
  <c r="I56" i="4"/>
  <c r="H56" i="4"/>
  <c r="I55" i="4"/>
  <c r="H55" i="4"/>
  <c r="I53" i="4"/>
  <c r="H53" i="4"/>
  <c r="I52" i="4"/>
  <c r="H52" i="4"/>
  <c r="I51" i="4"/>
  <c r="H51" i="4"/>
  <c r="I50" i="4"/>
  <c r="H50" i="4"/>
  <c r="I49" i="4"/>
  <c r="H49" i="4"/>
  <c r="Z104" i="21"/>
  <c r="X104" i="21"/>
  <c r="V104" i="21"/>
  <c r="T104" i="21"/>
  <c r="R104" i="21"/>
  <c r="P104" i="21"/>
  <c r="N104" i="21"/>
  <c r="L104" i="21"/>
  <c r="J104" i="21"/>
  <c r="H104" i="21"/>
  <c r="F104" i="21"/>
  <c r="D104" i="21"/>
  <c r="AC103" i="21"/>
  <c r="G48" i="12" s="1"/>
  <c r="M48" i="12" s="1"/>
  <c r="AB103" i="21"/>
  <c r="F48" i="12" s="1"/>
  <c r="L48" i="12" s="1"/>
  <c r="AB102" i="21"/>
  <c r="F47" i="12" s="1"/>
  <c r="L47" i="12" s="1"/>
  <c r="AC101" i="21"/>
  <c r="G46" i="12" s="1"/>
  <c r="M46" i="12" s="1"/>
  <c r="AB101" i="21"/>
  <c r="F46" i="12" s="1"/>
  <c r="L46" i="12" s="1"/>
  <c r="AC100" i="21"/>
  <c r="G45" i="12" s="1"/>
  <c r="M45" i="12" s="1"/>
  <c r="AB100" i="21"/>
  <c r="F45" i="12" s="1"/>
  <c r="L45" i="12" s="1"/>
  <c r="AB99" i="21"/>
  <c r="F44" i="12" s="1"/>
  <c r="L44" i="12" s="1"/>
  <c r="AB98" i="21"/>
  <c r="F43" i="12" s="1"/>
  <c r="L43" i="12" s="1"/>
  <c r="AB97" i="21"/>
  <c r="F41" i="12" s="1"/>
  <c r="L41" i="12" s="1"/>
  <c r="AA104" i="21"/>
  <c r="AB96" i="21"/>
  <c r="F40" i="12" s="1"/>
  <c r="L40" i="12" s="1"/>
  <c r="AB95" i="21"/>
  <c r="F39" i="12" s="1"/>
  <c r="L39" i="12" s="1"/>
  <c r="AB94" i="21"/>
  <c r="F38" i="12" s="1"/>
  <c r="L38" i="12" s="1"/>
  <c r="AB93" i="21"/>
  <c r="F37" i="12" s="1"/>
  <c r="L37" i="12" s="1"/>
  <c r="S104" i="21"/>
  <c r="B7" i="68"/>
  <c r="C7" i="68"/>
  <c r="E7" i="68"/>
  <c r="F7" i="68"/>
  <c r="G7" i="68"/>
  <c r="H7" i="68"/>
  <c r="I7" i="68"/>
  <c r="B8" i="68"/>
  <c r="C8" i="68"/>
  <c r="E8" i="68"/>
  <c r="F8" i="68"/>
  <c r="G8" i="68"/>
  <c r="H8" i="68"/>
  <c r="I8" i="68"/>
  <c r="AA79" i="21"/>
  <c r="B6" i="68"/>
  <c r="C6" i="68"/>
  <c r="E6" i="68"/>
  <c r="F6" i="68"/>
  <c r="G6" i="68"/>
  <c r="H6" i="68"/>
  <c r="I6" i="68"/>
  <c r="B5" i="68"/>
  <c r="C5" i="68"/>
  <c r="E5" i="68"/>
  <c r="F5" i="68"/>
  <c r="G5" i="68"/>
  <c r="H5" i="68"/>
  <c r="I5" i="68"/>
  <c r="B3" i="68"/>
  <c r="C3" i="68"/>
  <c r="E3" i="68"/>
  <c r="F3" i="68"/>
  <c r="G3" i="68"/>
  <c r="H3" i="68"/>
  <c r="I3" i="68"/>
  <c r="B4" i="68"/>
  <c r="C4" i="68"/>
  <c r="E4" i="68"/>
  <c r="F4" i="68"/>
  <c r="G4" i="68"/>
  <c r="H4" i="68"/>
  <c r="I4" i="68"/>
  <c r="AA80" i="21"/>
  <c r="Y81" i="21"/>
  <c r="I2" i="68"/>
  <c r="H2" i="68"/>
  <c r="G2" i="68"/>
  <c r="F2" i="68"/>
  <c r="E2" i="68"/>
  <c r="C2" i="68"/>
  <c r="B2" i="68"/>
  <c r="B10" i="67"/>
  <c r="C10" i="67"/>
  <c r="E10" i="67"/>
  <c r="F10" i="67"/>
  <c r="G10" i="67"/>
  <c r="H10" i="67"/>
  <c r="I10" i="67"/>
  <c r="Y80" i="21"/>
  <c r="B8" i="67"/>
  <c r="C8" i="67"/>
  <c r="E8" i="67"/>
  <c r="F8" i="67"/>
  <c r="G8" i="67"/>
  <c r="H8" i="67"/>
  <c r="I8" i="67"/>
  <c r="B9" i="67"/>
  <c r="C9" i="67"/>
  <c r="E9" i="67"/>
  <c r="F9" i="67"/>
  <c r="G9" i="67"/>
  <c r="H9" i="67"/>
  <c r="I9" i="67"/>
  <c r="Y84" i="21"/>
  <c r="B7" i="67"/>
  <c r="C7" i="67"/>
  <c r="E7" i="67"/>
  <c r="F7" i="67"/>
  <c r="G7" i="67"/>
  <c r="H7" i="67"/>
  <c r="I7" i="67"/>
  <c r="Y75" i="21"/>
  <c r="B5" i="67"/>
  <c r="C5" i="67"/>
  <c r="E5" i="67"/>
  <c r="F5" i="67"/>
  <c r="G5" i="67"/>
  <c r="H5" i="67"/>
  <c r="I5" i="67"/>
  <c r="B6" i="67"/>
  <c r="C6" i="67"/>
  <c r="E6" i="67"/>
  <c r="F6" i="67"/>
  <c r="G6" i="67"/>
  <c r="H6" i="67"/>
  <c r="I6" i="67"/>
  <c r="B3" i="67"/>
  <c r="C3" i="67"/>
  <c r="E3" i="67"/>
  <c r="F3" i="67"/>
  <c r="G3" i="67"/>
  <c r="H3" i="67"/>
  <c r="I3" i="67"/>
  <c r="B4" i="67"/>
  <c r="C4" i="67"/>
  <c r="E4" i="67"/>
  <c r="F4" i="67"/>
  <c r="G4" i="67"/>
  <c r="H4" i="67"/>
  <c r="I4" i="67"/>
  <c r="I2" i="67"/>
  <c r="H2" i="67"/>
  <c r="G2" i="67"/>
  <c r="F2" i="67"/>
  <c r="E2" i="67"/>
  <c r="C2" i="67"/>
  <c r="B2" i="67"/>
  <c r="B14" i="66"/>
  <c r="C14" i="66"/>
  <c r="E14" i="66"/>
  <c r="F14" i="66"/>
  <c r="G14" i="66"/>
  <c r="H14" i="66"/>
  <c r="I14" i="66"/>
  <c r="B13" i="66"/>
  <c r="C13" i="66"/>
  <c r="E13" i="66"/>
  <c r="F13" i="66"/>
  <c r="G13" i="66"/>
  <c r="H13" i="66"/>
  <c r="I13" i="66"/>
  <c r="W79" i="21"/>
  <c r="M35" i="4"/>
  <c r="H61" i="4" l="1"/>
  <c r="L61" i="4"/>
  <c r="L49" i="12"/>
  <c r="I13" i="79"/>
  <c r="AC99" i="21"/>
  <c r="G44" i="12" s="1"/>
  <c r="M44" i="12" s="1"/>
  <c r="W104" i="21"/>
  <c r="U104" i="21"/>
  <c r="Q104" i="21"/>
  <c r="AC102" i="21"/>
  <c r="G47" i="12" s="1"/>
  <c r="M47" i="12" s="1"/>
  <c r="AC95" i="21"/>
  <c r="G39" i="12" s="1"/>
  <c r="M39" i="12" s="1"/>
  <c r="AC97" i="21"/>
  <c r="G41" i="12" s="1"/>
  <c r="M41" i="12" s="1"/>
  <c r="K104" i="21"/>
  <c r="AC98" i="21"/>
  <c r="G43" i="12" s="1"/>
  <c r="M43" i="12" s="1"/>
  <c r="I104" i="21"/>
  <c r="E104" i="21"/>
  <c r="AC94" i="21"/>
  <c r="G38" i="12" s="1"/>
  <c r="M38" i="12" s="1"/>
  <c r="I61" i="4"/>
  <c r="AB104" i="21"/>
  <c r="F49" i="12" s="1"/>
  <c r="M104" i="21"/>
  <c r="AC93" i="21"/>
  <c r="G37" i="12" s="1"/>
  <c r="M37" i="12" s="1"/>
  <c r="G104" i="21"/>
  <c r="O104" i="21"/>
  <c r="I9" i="68"/>
  <c r="I11" i="67"/>
  <c r="B12" i="66"/>
  <c r="C12" i="66"/>
  <c r="E12" i="66"/>
  <c r="F12" i="66"/>
  <c r="G12" i="66"/>
  <c r="H12" i="66"/>
  <c r="I12" i="66"/>
  <c r="B10" i="66"/>
  <c r="C10" i="66"/>
  <c r="E10" i="66"/>
  <c r="F10" i="66"/>
  <c r="G10" i="66"/>
  <c r="H10" i="66"/>
  <c r="I10" i="66"/>
  <c r="B11" i="66"/>
  <c r="C11" i="66"/>
  <c r="E11" i="66"/>
  <c r="F11" i="66"/>
  <c r="G11" i="66"/>
  <c r="H11" i="66"/>
  <c r="I11" i="66"/>
  <c r="W81" i="21"/>
  <c r="W80" i="21"/>
  <c r="B9" i="66"/>
  <c r="C9" i="66"/>
  <c r="E9" i="66"/>
  <c r="F9" i="66"/>
  <c r="G9" i="66"/>
  <c r="H9" i="66"/>
  <c r="I9" i="66"/>
  <c r="I8" i="66"/>
  <c r="H8" i="66"/>
  <c r="G8" i="66"/>
  <c r="F8" i="66"/>
  <c r="E8" i="66"/>
  <c r="C8" i="66"/>
  <c r="B8" i="66"/>
  <c r="I13" i="65"/>
  <c r="H12" i="65"/>
  <c r="G12" i="65"/>
  <c r="F12" i="65"/>
  <c r="E12" i="65"/>
  <c r="C12" i="65"/>
  <c r="B12" i="65"/>
  <c r="AC85" i="21"/>
  <c r="E48" i="12" s="1"/>
  <c r="AB85" i="21"/>
  <c r="D48" i="12" s="1"/>
  <c r="E46" i="4"/>
  <c r="D46" i="4"/>
  <c r="J46" i="4"/>
  <c r="K46" i="4"/>
  <c r="G46" i="4"/>
  <c r="F46" i="4"/>
  <c r="M45" i="4"/>
  <c r="L45" i="4"/>
  <c r="H45" i="4"/>
  <c r="I45" i="4"/>
  <c r="AA86" i="21"/>
  <c r="Z86" i="21"/>
  <c r="Y86" i="21"/>
  <c r="X86" i="21"/>
  <c r="V86" i="21"/>
  <c r="T86" i="21"/>
  <c r="R86" i="21"/>
  <c r="Q86" i="21"/>
  <c r="P86" i="21"/>
  <c r="N86" i="21"/>
  <c r="L86" i="21"/>
  <c r="J86" i="21"/>
  <c r="H86" i="21"/>
  <c r="F86" i="21"/>
  <c r="E86" i="21"/>
  <c r="D86" i="21"/>
  <c r="B7" i="66"/>
  <c r="C7" i="66"/>
  <c r="E7" i="66"/>
  <c r="F7" i="66"/>
  <c r="G7" i="66"/>
  <c r="H7" i="66"/>
  <c r="I7" i="66"/>
  <c r="B5" i="66"/>
  <c r="C5" i="66"/>
  <c r="E5" i="66"/>
  <c r="F5" i="66"/>
  <c r="G5" i="66"/>
  <c r="H5" i="66"/>
  <c r="I5" i="66"/>
  <c r="B6" i="66"/>
  <c r="C6" i="66"/>
  <c r="E6" i="66"/>
  <c r="F6" i="66"/>
  <c r="G6" i="66"/>
  <c r="H6" i="66"/>
  <c r="I6" i="66"/>
  <c r="W84" i="21"/>
  <c r="B4" i="66"/>
  <c r="C4" i="66"/>
  <c r="E4" i="66"/>
  <c r="F4" i="66"/>
  <c r="G4" i="66"/>
  <c r="H4" i="66"/>
  <c r="I4" i="66"/>
  <c r="B3" i="66"/>
  <c r="C3" i="66"/>
  <c r="E3" i="66"/>
  <c r="F3" i="66"/>
  <c r="G3" i="66"/>
  <c r="H3" i="66"/>
  <c r="I3" i="66"/>
  <c r="I2" i="66"/>
  <c r="H2" i="66"/>
  <c r="G2" i="66"/>
  <c r="F2" i="66"/>
  <c r="E2" i="66"/>
  <c r="C2" i="66"/>
  <c r="B2" i="66"/>
  <c r="AB75" i="21"/>
  <c r="B7" i="65"/>
  <c r="M49" i="12" l="1"/>
  <c r="H22" i="12"/>
  <c r="C11" i="65" s="1"/>
  <c r="D37" i="12"/>
  <c r="J37" i="12" s="1"/>
  <c r="I32" i="12"/>
  <c r="M32" i="12" s="1"/>
  <c r="K48" i="12"/>
  <c r="H32" i="12"/>
  <c r="L32" i="12" s="1"/>
  <c r="J48" i="12"/>
  <c r="AC104" i="21"/>
  <c r="G49" i="12" s="1"/>
  <c r="I15" i="66"/>
  <c r="W86" i="21"/>
  <c r="G10" i="65" l="1"/>
  <c r="G11" i="65"/>
  <c r="F10" i="65"/>
  <c r="F11" i="65"/>
  <c r="E10" i="65"/>
  <c r="E11" i="65"/>
  <c r="C10" i="65"/>
  <c r="B10" i="65"/>
  <c r="B11" i="65"/>
  <c r="U75" i="21"/>
  <c r="B8" i="65"/>
  <c r="C8" i="65"/>
  <c r="E8" i="65"/>
  <c r="F8" i="65"/>
  <c r="G8" i="65"/>
  <c r="B9" i="65"/>
  <c r="C9" i="65"/>
  <c r="E9" i="65"/>
  <c r="F9" i="65"/>
  <c r="G9" i="65"/>
  <c r="C7" i="65"/>
  <c r="E7" i="65"/>
  <c r="F7" i="65"/>
  <c r="G7" i="65"/>
  <c r="U79" i="21"/>
  <c r="G3" i="65"/>
  <c r="G4" i="65"/>
  <c r="G5" i="65"/>
  <c r="G6" i="65"/>
  <c r="F3" i="65"/>
  <c r="F4" i="65"/>
  <c r="F5" i="65"/>
  <c r="F6" i="65"/>
  <c r="E3" i="65"/>
  <c r="E4" i="65"/>
  <c r="E5" i="65"/>
  <c r="E6" i="65"/>
  <c r="C3" i="65"/>
  <c r="C4" i="65"/>
  <c r="C5" i="65"/>
  <c r="C6" i="65"/>
  <c r="G2" i="65"/>
  <c r="F2" i="65"/>
  <c r="E2" i="65"/>
  <c r="C2" i="65"/>
  <c r="B6" i="65"/>
  <c r="B3" i="65"/>
  <c r="B4" i="65"/>
  <c r="B5" i="65"/>
  <c r="B2" i="65"/>
  <c r="I6" i="64"/>
  <c r="G5" i="64"/>
  <c r="F5" i="64"/>
  <c r="E5" i="64"/>
  <c r="C5" i="64"/>
  <c r="B5" i="64"/>
  <c r="G3" i="64"/>
  <c r="G4" i="64"/>
  <c r="F3" i="64"/>
  <c r="F4" i="64"/>
  <c r="E3" i="64"/>
  <c r="E4" i="64"/>
  <c r="C3" i="64"/>
  <c r="C4" i="64"/>
  <c r="B3" i="64"/>
  <c r="B4" i="64"/>
  <c r="S75" i="21"/>
  <c r="S86" i="21" s="1"/>
  <c r="G2" i="64"/>
  <c r="F2" i="64"/>
  <c r="E2" i="64"/>
  <c r="C2" i="64"/>
  <c r="B2" i="64"/>
  <c r="G2" i="63"/>
  <c r="F2" i="63"/>
  <c r="E2" i="63"/>
  <c r="C2" i="63"/>
  <c r="B2" i="63"/>
  <c r="I3" i="63"/>
  <c r="B5" i="62"/>
  <c r="C5" i="62"/>
  <c r="E5" i="62"/>
  <c r="F5" i="62"/>
  <c r="G5" i="62"/>
  <c r="H5" i="62"/>
  <c r="I5" i="62"/>
  <c r="O77" i="21"/>
  <c r="O86" i="21" s="1"/>
  <c r="B4" i="62"/>
  <c r="C4" i="62"/>
  <c r="E4" i="62"/>
  <c r="F4" i="62"/>
  <c r="G4" i="62"/>
  <c r="H4" i="62"/>
  <c r="I4" i="62"/>
  <c r="I3" i="62"/>
  <c r="H3" i="62"/>
  <c r="F3" i="62"/>
  <c r="E3" i="62"/>
  <c r="C3" i="62"/>
  <c r="B3" i="62"/>
  <c r="I2" i="62"/>
  <c r="H2" i="62"/>
  <c r="G3" i="62"/>
  <c r="F2" i="62"/>
  <c r="E2" i="62"/>
  <c r="C2" i="62"/>
  <c r="B2" i="62"/>
  <c r="M75" i="21"/>
  <c r="F10" i="61"/>
  <c r="G10" i="61"/>
  <c r="H10" i="61"/>
  <c r="I10" i="61"/>
  <c r="E10" i="61"/>
  <c r="C10" i="61"/>
  <c r="B10" i="61"/>
  <c r="M76" i="21"/>
  <c r="I8" i="61"/>
  <c r="I9" i="61"/>
  <c r="H8" i="61"/>
  <c r="H9" i="61"/>
  <c r="G8" i="61"/>
  <c r="G9" i="61"/>
  <c r="F8" i="61"/>
  <c r="F9" i="61"/>
  <c r="E8" i="61"/>
  <c r="E9" i="61"/>
  <c r="C8" i="61"/>
  <c r="C9" i="61"/>
  <c r="B9" i="61"/>
  <c r="B8" i="61"/>
  <c r="I7" i="61"/>
  <c r="H7" i="61"/>
  <c r="G7" i="61"/>
  <c r="F7" i="61"/>
  <c r="E7" i="61"/>
  <c r="C7" i="61"/>
  <c r="B7" i="61"/>
  <c r="I6" i="61"/>
  <c r="H6" i="61"/>
  <c r="G6" i="61"/>
  <c r="F6" i="61"/>
  <c r="E6" i="61"/>
  <c r="C6" i="61"/>
  <c r="B6" i="61"/>
  <c r="I5" i="61"/>
  <c r="H5" i="61"/>
  <c r="G5" i="61"/>
  <c r="F5" i="61"/>
  <c r="E5" i="61"/>
  <c r="C5" i="61"/>
  <c r="B5" i="61"/>
  <c r="I3" i="61"/>
  <c r="I4" i="61"/>
  <c r="H3" i="61"/>
  <c r="H4" i="61"/>
  <c r="G3" i="61"/>
  <c r="G4" i="61"/>
  <c r="F3" i="61"/>
  <c r="F4" i="61"/>
  <c r="E3" i="61"/>
  <c r="E4" i="61"/>
  <c r="C3" i="61"/>
  <c r="C4" i="61"/>
  <c r="B3" i="61"/>
  <c r="B4" i="61"/>
  <c r="I2" i="61"/>
  <c r="H2" i="61"/>
  <c r="G2" i="61"/>
  <c r="F2" i="61"/>
  <c r="E2" i="61"/>
  <c r="C2" i="61"/>
  <c r="B2" i="61"/>
  <c r="K81" i="21"/>
  <c r="K86" i="21" s="1"/>
  <c r="I6" i="60"/>
  <c r="H6" i="60"/>
  <c r="G6" i="60"/>
  <c r="F6" i="60"/>
  <c r="E6" i="60"/>
  <c r="C6" i="60"/>
  <c r="B6" i="60"/>
  <c r="I5" i="60"/>
  <c r="H5" i="60"/>
  <c r="G5" i="60"/>
  <c r="F5" i="60"/>
  <c r="E5" i="60"/>
  <c r="C5" i="60"/>
  <c r="B5" i="60"/>
  <c r="I4" i="60"/>
  <c r="H4" i="60"/>
  <c r="G4" i="60"/>
  <c r="F4" i="60"/>
  <c r="E4" i="60"/>
  <c r="C4" i="60"/>
  <c r="B4" i="60"/>
  <c r="I3" i="60"/>
  <c r="H3" i="60"/>
  <c r="G3" i="60"/>
  <c r="F3" i="60"/>
  <c r="E3" i="60"/>
  <c r="C3" i="60"/>
  <c r="I2" i="60"/>
  <c r="H2" i="60"/>
  <c r="G2" i="60"/>
  <c r="F2" i="60"/>
  <c r="E2" i="60"/>
  <c r="C2" i="60"/>
  <c r="B3" i="60"/>
  <c r="B2" i="60"/>
  <c r="I86" i="21"/>
  <c r="I10" i="59"/>
  <c r="H10" i="59"/>
  <c r="G10" i="59"/>
  <c r="F10" i="59"/>
  <c r="E10" i="59"/>
  <c r="C10" i="59"/>
  <c r="B10" i="59"/>
  <c r="I9" i="59"/>
  <c r="H9" i="59"/>
  <c r="G9" i="59"/>
  <c r="F9" i="59"/>
  <c r="E9" i="59"/>
  <c r="C9" i="59"/>
  <c r="B9" i="59"/>
  <c r="I7" i="59"/>
  <c r="I6" i="59"/>
  <c r="I5" i="59"/>
  <c r="I4" i="59"/>
  <c r="I3" i="59"/>
  <c r="I2" i="59"/>
  <c r="I8" i="59"/>
  <c r="H8" i="59"/>
  <c r="G8" i="59"/>
  <c r="F8" i="59"/>
  <c r="E8" i="59"/>
  <c r="C8" i="59"/>
  <c r="B8" i="59"/>
  <c r="G75" i="21"/>
  <c r="I10" i="58"/>
  <c r="H35" i="4"/>
  <c r="L36" i="4"/>
  <c r="L37" i="4"/>
  <c r="L38" i="4"/>
  <c r="L39" i="4"/>
  <c r="L40" i="4"/>
  <c r="L41" i="4"/>
  <c r="L42" i="4"/>
  <c r="L43" i="4"/>
  <c r="L44" i="4"/>
  <c r="L35" i="4"/>
  <c r="M44" i="4"/>
  <c r="M43" i="4"/>
  <c r="M42" i="4"/>
  <c r="M41" i="4"/>
  <c r="M40" i="4"/>
  <c r="M39" i="4"/>
  <c r="M38" i="4"/>
  <c r="M37" i="4"/>
  <c r="M36" i="4"/>
  <c r="M86" i="21" l="1"/>
  <c r="U86" i="21"/>
  <c r="I6" i="62"/>
  <c r="I11" i="61"/>
  <c r="I7" i="60"/>
  <c r="I11" i="59"/>
  <c r="G79" i="21"/>
  <c r="G86" i="21" s="1"/>
  <c r="I5" i="57"/>
  <c r="AC84" i="21"/>
  <c r="E47" i="12" s="1"/>
  <c r="AB84" i="21"/>
  <c r="D47" i="12" s="1"/>
  <c r="AC83" i="21"/>
  <c r="E46" i="12" s="1"/>
  <c r="AB83" i="21"/>
  <c r="D46" i="12" s="1"/>
  <c r="AC82" i="21"/>
  <c r="E45" i="12" s="1"/>
  <c r="AB82" i="21"/>
  <c r="D45" i="12" s="1"/>
  <c r="AC81" i="21"/>
  <c r="E44" i="12" s="1"/>
  <c r="AB81" i="21"/>
  <c r="D44" i="12" s="1"/>
  <c r="AC80" i="21"/>
  <c r="E43" i="12" s="1"/>
  <c r="AB80" i="21"/>
  <c r="D43" i="12" s="1"/>
  <c r="AB79" i="21"/>
  <c r="D41" i="12" s="1"/>
  <c r="AC78" i="21"/>
  <c r="AB78" i="21"/>
  <c r="D40" i="12" s="1"/>
  <c r="AC77" i="21"/>
  <c r="AB77" i="21"/>
  <c r="D39" i="12" s="1"/>
  <c r="AC76" i="21"/>
  <c r="AB76" i="21"/>
  <c r="D38" i="12" s="1"/>
  <c r="AC75" i="21"/>
  <c r="AC67" i="21"/>
  <c r="G31" i="12" s="1"/>
  <c r="AB67" i="21"/>
  <c r="F31" i="12" s="1"/>
  <c r="AC66" i="21"/>
  <c r="G30" i="12" s="1"/>
  <c r="AB66" i="21"/>
  <c r="F30" i="12" s="1"/>
  <c r="AC65" i="21"/>
  <c r="G29" i="12" s="1"/>
  <c r="AB65" i="21"/>
  <c r="F29" i="12" s="1"/>
  <c r="AC64" i="21"/>
  <c r="G28" i="12" s="1"/>
  <c r="AB64" i="21"/>
  <c r="F28" i="12" s="1"/>
  <c r="AC63" i="21"/>
  <c r="G27" i="12" s="1"/>
  <c r="AB63" i="21"/>
  <c r="F27" i="12" s="1"/>
  <c r="AC62" i="21"/>
  <c r="G26" i="12" s="1"/>
  <c r="AB62" i="21"/>
  <c r="F26" i="12" s="1"/>
  <c r="AC61" i="21"/>
  <c r="G25" i="12" s="1"/>
  <c r="AB61" i="21"/>
  <c r="F25" i="12" s="1"/>
  <c r="AC60" i="21"/>
  <c r="G24" i="12" s="1"/>
  <c r="AB60" i="21"/>
  <c r="F24" i="12" s="1"/>
  <c r="AC59" i="21"/>
  <c r="G23" i="12" s="1"/>
  <c r="AB59" i="21"/>
  <c r="F23" i="12" s="1"/>
  <c r="AC58" i="21"/>
  <c r="G22" i="12" s="1"/>
  <c r="AB58" i="21"/>
  <c r="F22" i="12" s="1"/>
  <c r="AC50" i="21"/>
  <c r="AB50" i="21"/>
  <c r="AC49" i="21"/>
  <c r="AB49" i="21"/>
  <c r="AC48" i="21"/>
  <c r="E32" i="12" s="1"/>
  <c r="K32" i="12" s="1"/>
  <c r="AB48" i="21"/>
  <c r="D32" i="12" s="1"/>
  <c r="J32" i="12" s="1"/>
  <c r="AC47" i="21"/>
  <c r="E31" i="12" s="1"/>
  <c r="AB47" i="21"/>
  <c r="D31" i="12" s="1"/>
  <c r="AC46" i="21"/>
  <c r="E30" i="12" s="1"/>
  <c r="AB46" i="21"/>
  <c r="D30" i="12" s="1"/>
  <c r="AC45" i="21"/>
  <c r="E29" i="12" s="1"/>
  <c r="AB45" i="21"/>
  <c r="D29" i="12" s="1"/>
  <c r="AC44" i="21"/>
  <c r="E28" i="12" s="1"/>
  <c r="AB44" i="21"/>
  <c r="D28" i="12" s="1"/>
  <c r="AC43" i="21"/>
  <c r="E27" i="12" s="1"/>
  <c r="AB43" i="21"/>
  <c r="D27" i="12" s="1"/>
  <c r="AC42" i="21"/>
  <c r="E26" i="12" s="1"/>
  <c r="AB42" i="21"/>
  <c r="D26" i="12" s="1"/>
  <c r="AC41" i="21"/>
  <c r="E25" i="12" s="1"/>
  <c r="AB41" i="21"/>
  <c r="D25" i="12" s="1"/>
  <c r="AC24" i="21"/>
  <c r="AB24" i="21"/>
  <c r="AC7" i="21"/>
  <c r="AB7" i="21"/>
  <c r="AC40" i="21"/>
  <c r="E24" i="12" s="1"/>
  <c r="AB40" i="21"/>
  <c r="D24" i="12" s="1"/>
  <c r="AC39" i="21"/>
  <c r="E23" i="12" s="1"/>
  <c r="AB39" i="21"/>
  <c r="D23" i="12" s="1"/>
  <c r="AC38" i="21"/>
  <c r="E22" i="12" s="1"/>
  <c r="AB38" i="21"/>
  <c r="D22" i="12" s="1"/>
  <c r="AC32" i="21"/>
  <c r="AB32" i="21"/>
  <c r="AC31" i="21"/>
  <c r="AB31" i="21"/>
  <c r="AC30" i="21"/>
  <c r="AB30" i="21"/>
  <c r="AC29" i="21"/>
  <c r="AB29" i="21"/>
  <c r="AC28" i="21"/>
  <c r="AB28" i="21"/>
  <c r="AC27" i="21"/>
  <c r="AB27" i="21"/>
  <c r="AC26" i="21"/>
  <c r="AB26" i="21"/>
  <c r="AC25" i="21"/>
  <c r="AB25" i="21"/>
  <c r="AC23" i="21"/>
  <c r="AB23" i="21"/>
  <c r="AC15" i="21"/>
  <c r="AB15" i="21"/>
  <c r="AC14" i="21"/>
  <c r="AB14" i="21"/>
  <c r="AC13" i="21"/>
  <c r="AB13" i="21"/>
  <c r="AC12" i="21"/>
  <c r="AB12" i="21"/>
  <c r="AC11" i="21"/>
  <c r="AB11" i="21"/>
  <c r="AC10" i="21"/>
  <c r="AB10" i="21"/>
  <c r="AC9" i="21"/>
  <c r="AB9" i="21"/>
  <c r="AC8" i="21"/>
  <c r="AB8" i="21"/>
  <c r="AC6" i="21"/>
  <c r="AB6" i="21"/>
  <c r="AC5" i="21"/>
  <c r="AB5" i="21"/>
  <c r="AC4" i="21"/>
  <c r="AB4" i="21"/>
  <c r="I5" i="56"/>
  <c r="D4" i="56"/>
  <c r="D3" i="56"/>
  <c r="D2" i="56"/>
  <c r="I12" i="55"/>
  <c r="D11" i="55"/>
  <c r="D10" i="55"/>
  <c r="D9" i="55"/>
  <c r="D8" i="55"/>
  <c r="B8" i="55"/>
  <c r="D4" i="55"/>
  <c r="D34" i="15"/>
  <c r="D7" i="55"/>
  <c r="D6" i="55"/>
  <c r="D5" i="55"/>
  <c r="D3" i="55"/>
  <c r="D2" i="55"/>
  <c r="E3" i="50"/>
  <c r="H9" i="53"/>
  <c r="I9" i="54"/>
  <c r="D8" i="54"/>
  <c r="D7" i="54"/>
  <c r="D6" i="54"/>
  <c r="D5" i="54"/>
  <c r="D4" i="54"/>
  <c r="D3" i="54"/>
  <c r="D2" i="54"/>
  <c r="C9" i="53"/>
  <c r="D9" i="53"/>
  <c r="E9" i="53"/>
  <c r="G9" i="53"/>
  <c r="I9" i="53"/>
  <c r="B9" i="53"/>
  <c r="C8" i="53"/>
  <c r="D8" i="53"/>
  <c r="E8" i="53"/>
  <c r="F8" i="53"/>
  <c r="G8" i="53"/>
  <c r="H8" i="53"/>
  <c r="I8" i="53"/>
  <c r="B8" i="53"/>
  <c r="C7" i="53"/>
  <c r="D7" i="53"/>
  <c r="E7" i="53"/>
  <c r="F7" i="53"/>
  <c r="G7" i="53"/>
  <c r="H7" i="53"/>
  <c r="I7" i="53"/>
  <c r="B7" i="53"/>
  <c r="C3" i="53"/>
  <c r="D3" i="53"/>
  <c r="E3" i="53"/>
  <c r="F3" i="53"/>
  <c r="G3" i="53"/>
  <c r="H3" i="53"/>
  <c r="I3" i="53"/>
  <c r="C4" i="53"/>
  <c r="D4" i="53"/>
  <c r="E4" i="53"/>
  <c r="F4" i="53"/>
  <c r="G4" i="53"/>
  <c r="H4" i="53"/>
  <c r="I4" i="53"/>
  <c r="C5" i="53"/>
  <c r="D5" i="53"/>
  <c r="E5" i="53"/>
  <c r="F5" i="53"/>
  <c r="G5" i="53"/>
  <c r="H5" i="53"/>
  <c r="I5" i="53"/>
  <c r="C6" i="53"/>
  <c r="D6" i="53"/>
  <c r="E6" i="53"/>
  <c r="F6" i="53"/>
  <c r="G6" i="53"/>
  <c r="H6" i="53"/>
  <c r="I6" i="53"/>
  <c r="B3" i="53"/>
  <c r="B4" i="53"/>
  <c r="B5" i="53"/>
  <c r="B6" i="53"/>
  <c r="I2" i="53"/>
  <c r="H2" i="53"/>
  <c r="G2" i="53"/>
  <c r="F2" i="53"/>
  <c r="E2" i="53"/>
  <c r="D2" i="53"/>
  <c r="C2" i="53"/>
  <c r="B2" i="53"/>
  <c r="A600" i="1"/>
  <c r="A601" i="1" s="1"/>
  <c r="A602" i="1" s="1"/>
  <c r="A603" i="1" s="1"/>
  <c r="A604" i="1" s="1"/>
  <c r="A605"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C2" i="50"/>
  <c r="D2" i="50"/>
  <c r="E2" i="50"/>
  <c r="F2" i="50"/>
  <c r="G2" i="50"/>
  <c r="H2" i="50"/>
  <c r="I2" i="50"/>
  <c r="C3" i="50"/>
  <c r="D3" i="50"/>
  <c r="F3" i="50"/>
  <c r="G3" i="50"/>
  <c r="H3" i="50"/>
  <c r="I3" i="50"/>
  <c r="B3" i="50"/>
  <c r="B2" i="50"/>
  <c r="A3" i="50"/>
  <c r="A4" i="50" s="1"/>
  <c r="A5" i="50" s="1"/>
  <c r="A6" i="50" s="1"/>
  <c r="A7" i="50" s="1"/>
  <c r="A8" i="50" s="1"/>
  <c r="A9" i="50" s="1"/>
  <c r="A10" i="50" s="1"/>
  <c r="A11" i="50" s="1"/>
  <c r="A12" i="50" s="1"/>
  <c r="A13" i="50" s="1"/>
  <c r="A597" i="1"/>
  <c r="AC79" i="21" l="1"/>
  <c r="D33" i="12"/>
  <c r="E33" i="12"/>
  <c r="I22" i="12"/>
  <c r="M22" i="12" s="1"/>
  <c r="E37" i="12"/>
  <c r="K37" i="12" s="1"/>
  <c r="I23" i="12"/>
  <c r="M23" i="12" s="1"/>
  <c r="E38" i="12"/>
  <c r="K38" i="12" s="1"/>
  <c r="I25" i="12"/>
  <c r="M25" i="12" s="1"/>
  <c r="E40" i="12"/>
  <c r="K40" i="12" s="1"/>
  <c r="I26" i="12"/>
  <c r="M26" i="12" s="1"/>
  <c r="E41" i="12"/>
  <c r="K41" i="12" s="1"/>
  <c r="I27" i="12"/>
  <c r="M27" i="12" s="1"/>
  <c r="K43" i="12"/>
  <c r="I29" i="12"/>
  <c r="M29" i="12" s="1"/>
  <c r="K45" i="12"/>
  <c r="I30" i="12"/>
  <c r="M30" i="12" s="1"/>
  <c r="K46" i="12"/>
  <c r="I31" i="12"/>
  <c r="M31" i="12" s="1"/>
  <c r="K47" i="12"/>
  <c r="J23" i="12"/>
  <c r="J24" i="12"/>
  <c r="J25" i="12"/>
  <c r="J26" i="12"/>
  <c r="J27" i="12"/>
  <c r="J28" i="12"/>
  <c r="J29" i="12"/>
  <c r="J30" i="12"/>
  <c r="J31" i="12"/>
  <c r="H23" i="12"/>
  <c r="L23" i="12" s="1"/>
  <c r="J38" i="12"/>
  <c r="H24" i="12"/>
  <c r="L24" i="12" s="1"/>
  <c r="J39" i="12"/>
  <c r="H25" i="12"/>
  <c r="L25" i="12" s="1"/>
  <c r="J40" i="12"/>
  <c r="H26" i="12"/>
  <c r="L26" i="12" s="1"/>
  <c r="J41" i="12"/>
  <c r="H27" i="12"/>
  <c r="L27" i="12" s="1"/>
  <c r="J43" i="12"/>
  <c r="H28" i="12"/>
  <c r="L28" i="12" s="1"/>
  <c r="J44" i="12"/>
  <c r="H29" i="12"/>
  <c r="L29" i="12" s="1"/>
  <c r="J45" i="12"/>
  <c r="H30" i="12"/>
  <c r="L30" i="12" s="1"/>
  <c r="J46" i="12"/>
  <c r="H31" i="12"/>
  <c r="L31" i="12" s="1"/>
  <c r="J47" i="12"/>
  <c r="K22" i="12"/>
  <c r="K23" i="12"/>
  <c r="K24" i="12"/>
  <c r="K25" i="12"/>
  <c r="K26" i="12"/>
  <c r="K27" i="12"/>
  <c r="K28" i="12"/>
  <c r="K29" i="12"/>
  <c r="K30" i="12"/>
  <c r="K31" i="12"/>
  <c r="I24" i="12"/>
  <c r="M24" i="12" s="1"/>
  <c r="E39" i="12"/>
  <c r="K39" i="12" s="1"/>
  <c r="I28" i="12"/>
  <c r="M28" i="12" s="1"/>
  <c r="K44" i="12"/>
  <c r="L22" i="12"/>
  <c r="J22" i="12"/>
  <c r="AB86" i="21"/>
  <c r="AC86" i="21"/>
  <c r="I14" i="50"/>
  <c r="I10" i="53"/>
  <c r="B3" i="49"/>
  <c r="C3" i="49"/>
  <c r="D3" i="49"/>
  <c r="E3" i="49"/>
  <c r="F3" i="49"/>
  <c r="G3" i="49"/>
  <c r="H3" i="49"/>
  <c r="I3" i="49"/>
  <c r="B4" i="49"/>
  <c r="C4" i="49"/>
  <c r="D4" i="49"/>
  <c r="E4" i="49"/>
  <c r="F4" i="49"/>
  <c r="G4" i="49"/>
  <c r="H4" i="49"/>
  <c r="I4" i="49"/>
  <c r="C2" i="49"/>
  <c r="D2" i="49"/>
  <c r="E2" i="49"/>
  <c r="F2" i="49"/>
  <c r="G2" i="49"/>
  <c r="H2" i="49"/>
  <c r="I2" i="49"/>
  <c r="B2" i="49"/>
  <c r="A3" i="49"/>
  <c r="A4" i="49" s="1"/>
  <c r="A5" i="49" s="1"/>
  <c r="A6" i="49" s="1"/>
  <c r="A7" i="49" s="1"/>
  <c r="A8" i="49" s="1"/>
  <c r="A9" i="49" s="1"/>
  <c r="A10" i="49" s="1"/>
  <c r="A11" i="49" s="1"/>
  <c r="A12" i="49" s="1"/>
  <c r="A13" i="49" s="1"/>
  <c r="A14" i="49" s="1"/>
  <c r="M46" i="4"/>
  <c r="I2" i="48"/>
  <c r="I3" i="48"/>
  <c r="I4" i="48"/>
  <c r="B3" i="48"/>
  <c r="C3" i="48"/>
  <c r="D3" i="48"/>
  <c r="E3" i="48"/>
  <c r="F3" i="48"/>
  <c r="G3" i="48"/>
  <c r="H3" i="48"/>
  <c r="B4" i="48"/>
  <c r="C4" i="48"/>
  <c r="D4" i="48"/>
  <c r="E4" i="48"/>
  <c r="F4" i="48"/>
  <c r="G4" i="48"/>
  <c r="H4" i="48"/>
  <c r="C2" i="48"/>
  <c r="D2" i="48"/>
  <c r="E2" i="48"/>
  <c r="F2" i="48"/>
  <c r="G2" i="48"/>
  <c r="H2" i="48"/>
  <c r="B2" i="48"/>
  <c r="A3" i="48"/>
  <c r="A4" i="48" s="1"/>
  <c r="A5" i="48" s="1"/>
  <c r="A6" i="48" s="1"/>
  <c r="A7" i="48" s="1"/>
  <c r="A8" i="48" s="1"/>
  <c r="A9" i="48" s="1"/>
  <c r="A10" i="48" s="1"/>
  <c r="A11" i="48" s="1"/>
  <c r="A12" i="48" s="1"/>
  <c r="A13" i="48" s="1"/>
  <c r="A14" i="48" s="1"/>
  <c r="B5" i="47"/>
  <c r="C5" i="47"/>
  <c r="D5" i="47"/>
  <c r="E5" i="47"/>
  <c r="F5" i="47"/>
  <c r="G5" i="47"/>
  <c r="H5" i="47"/>
  <c r="I5" i="47"/>
  <c r="B6" i="47"/>
  <c r="C6" i="47"/>
  <c r="D6" i="47"/>
  <c r="E6" i="47"/>
  <c r="F6" i="47"/>
  <c r="G6" i="47"/>
  <c r="H6" i="47"/>
  <c r="I6" i="47"/>
  <c r="B4" i="47"/>
  <c r="C4" i="47"/>
  <c r="D4" i="47"/>
  <c r="E4" i="47"/>
  <c r="F4" i="47"/>
  <c r="G4" i="47"/>
  <c r="H4" i="47"/>
  <c r="I4" i="47"/>
  <c r="B3" i="47"/>
  <c r="C3" i="47"/>
  <c r="D3" i="47"/>
  <c r="E3" i="47"/>
  <c r="F3" i="47"/>
  <c r="G3" i="47"/>
  <c r="H3" i="47"/>
  <c r="I3" i="47"/>
  <c r="C2" i="47"/>
  <c r="D2" i="47"/>
  <c r="E2" i="47"/>
  <c r="F2" i="47"/>
  <c r="G2" i="47"/>
  <c r="H2" i="47"/>
  <c r="I2" i="47"/>
  <c r="B2" i="47"/>
  <c r="A3" i="47"/>
  <c r="A4" i="47" s="1"/>
  <c r="A5" i="47" s="1"/>
  <c r="A6" i="47" s="1"/>
  <c r="A7" i="47" s="1"/>
  <c r="A8" i="47" s="1"/>
  <c r="A9" i="47" s="1"/>
  <c r="A10" i="47" s="1"/>
  <c r="A11" i="47" s="1"/>
  <c r="A12" i="47" s="1"/>
  <c r="A13" i="47" s="1"/>
  <c r="A14" i="47" s="1"/>
  <c r="B6" i="46"/>
  <c r="C6" i="46"/>
  <c r="D6" i="46"/>
  <c r="E6" i="46"/>
  <c r="F6" i="46"/>
  <c r="G6" i="46"/>
  <c r="H6" i="46"/>
  <c r="I6" i="46"/>
  <c r="B5" i="46"/>
  <c r="C5" i="46"/>
  <c r="D5" i="46"/>
  <c r="E5" i="46"/>
  <c r="F5" i="46"/>
  <c r="G5" i="46"/>
  <c r="H5" i="46"/>
  <c r="I5" i="46"/>
  <c r="B4" i="46"/>
  <c r="C4" i="46"/>
  <c r="D4" i="46"/>
  <c r="E4" i="46"/>
  <c r="F4" i="46"/>
  <c r="G4" i="46"/>
  <c r="H4" i="46"/>
  <c r="I4" i="46"/>
  <c r="B3" i="46"/>
  <c r="C3" i="46"/>
  <c r="D3" i="46"/>
  <c r="E3" i="46"/>
  <c r="F3" i="46"/>
  <c r="G3" i="46"/>
  <c r="H3" i="46"/>
  <c r="I3" i="46"/>
  <c r="C2" i="46"/>
  <c r="D2" i="46"/>
  <c r="E2" i="46"/>
  <c r="F2" i="46"/>
  <c r="G2" i="46"/>
  <c r="H2" i="46"/>
  <c r="I2" i="46"/>
  <c r="B2" i="46"/>
  <c r="A3" i="46"/>
  <c r="A4" i="46" s="1"/>
  <c r="A5" i="46" s="1"/>
  <c r="A6" i="46" s="1"/>
  <c r="A7" i="46" s="1"/>
  <c r="A8" i="46" s="1"/>
  <c r="A9" i="46" s="1"/>
  <c r="A10" i="46" s="1"/>
  <c r="A11" i="46" s="1"/>
  <c r="A12" i="46" s="1"/>
  <c r="A13" i="46" s="1"/>
  <c r="A14" i="46" s="1"/>
  <c r="H8" i="12"/>
  <c r="B7" i="45"/>
  <c r="C7" i="45"/>
  <c r="D7" i="45"/>
  <c r="E7" i="45"/>
  <c r="F7" i="45"/>
  <c r="G7" i="45"/>
  <c r="H7" i="45"/>
  <c r="I7" i="45"/>
  <c r="B6" i="45"/>
  <c r="C6" i="45"/>
  <c r="D6" i="45"/>
  <c r="E6" i="45"/>
  <c r="F6" i="45"/>
  <c r="G6" i="45"/>
  <c r="H6" i="45"/>
  <c r="I6" i="45"/>
  <c r="B4" i="45"/>
  <c r="C4" i="45"/>
  <c r="D4" i="45"/>
  <c r="E4" i="45"/>
  <c r="F4" i="45"/>
  <c r="G4" i="45"/>
  <c r="H4" i="45"/>
  <c r="I4" i="45"/>
  <c r="B5" i="45"/>
  <c r="C5" i="45"/>
  <c r="D5" i="45"/>
  <c r="E5" i="45"/>
  <c r="F5" i="45"/>
  <c r="G5" i="45"/>
  <c r="H5" i="45"/>
  <c r="I5" i="45"/>
  <c r="B3" i="45"/>
  <c r="C3" i="45"/>
  <c r="D3" i="45"/>
  <c r="E3" i="45"/>
  <c r="F3" i="45"/>
  <c r="G3" i="45"/>
  <c r="H3" i="45"/>
  <c r="I3" i="45"/>
  <c r="C2" i="45"/>
  <c r="D2" i="45"/>
  <c r="E2" i="45"/>
  <c r="F2" i="45"/>
  <c r="G2" i="45"/>
  <c r="H2" i="45"/>
  <c r="I2" i="45"/>
  <c r="B2" i="45"/>
  <c r="A3" i="45"/>
  <c r="A4" i="45" s="1"/>
  <c r="A5" i="45" s="1"/>
  <c r="A6" i="45" s="1"/>
  <c r="A7" i="45" s="1"/>
  <c r="A8" i="45" s="1"/>
  <c r="A9" i="45" s="1"/>
  <c r="A10" i="45" s="1"/>
  <c r="A11" i="45" s="1"/>
  <c r="A12" i="45" s="1"/>
  <c r="A13" i="45" s="1"/>
  <c r="A14" i="45" s="1"/>
  <c r="L46" i="4"/>
  <c r="I36" i="4"/>
  <c r="I37" i="4"/>
  <c r="I38" i="4"/>
  <c r="I39" i="4"/>
  <c r="I40" i="4"/>
  <c r="I41" i="4"/>
  <c r="I42" i="4"/>
  <c r="I43" i="4"/>
  <c r="I44" i="4"/>
  <c r="H44" i="4"/>
  <c r="H42" i="4"/>
  <c r="H41" i="4"/>
  <c r="H40" i="4"/>
  <c r="H39" i="4"/>
  <c r="H38" i="4"/>
  <c r="H37" i="4"/>
  <c r="H36" i="4"/>
  <c r="I6" i="12"/>
  <c r="I7" i="12"/>
  <c r="I8" i="12"/>
  <c r="I9" i="12"/>
  <c r="I10" i="12"/>
  <c r="I11" i="12"/>
  <c r="I12" i="12"/>
  <c r="I13" i="12"/>
  <c r="I14" i="12"/>
  <c r="I5" i="12"/>
  <c r="H6" i="12"/>
  <c r="H7" i="12"/>
  <c r="H9" i="12"/>
  <c r="H10" i="12"/>
  <c r="H11" i="12"/>
  <c r="H12" i="12"/>
  <c r="H13" i="12"/>
  <c r="H14" i="12"/>
  <c r="G5" i="12"/>
  <c r="G15" i="12"/>
  <c r="F5" i="12"/>
  <c r="F15" i="12"/>
  <c r="E6" i="12"/>
  <c r="E16" i="12"/>
  <c r="K16" i="12" s="1"/>
  <c r="E7" i="12"/>
  <c r="K7" i="12" s="1"/>
  <c r="E17" i="12"/>
  <c r="K17" i="12" s="1"/>
  <c r="E5" i="12"/>
  <c r="E15" i="12"/>
  <c r="D6" i="12"/>
  <c r="J6" i="12" s="1"/>
  <c r="D16" i="12"/>
  <c r="D7" i="12"/>
  <c r="D17" i="12"/>
  <c r="J17" i="12" s="1"/>
  <c r="D5" i="12"/>
  <c r="D15" i="12"/>
  <c r="AA68" i="21"/>
  <c r="Z68" i="21"/>
  <c r="Y68" i="21"/>
  <c r="X68" i="21"/>
  <c r="W68" i="21"/>
  <c r="V68" i="21"/>
  <c r="U68" i="21"/>
  <c r="T68" i="21"/>
  <c r="S68" i="21"/>
  <c r="R68" i="21"/>
  <c r="Q68" i="21"/>
  <c r="P68" i="21"/>
  <c r="O68" i="21"/>
  <c r="N68" i="21"/>
  <c r="M68" i="21"/>
  <c r="L68" i="21"/>
  <c r="K68" i="21"/>
  <c r="J68" i="21"/>
  <c r="I68" i="21"/>
  <c r="H68" i="21"/>
  <c r="G68" i="21"/>
  <c r="F68" i="21"/>
  <c r="E68" i="21"/>
  <c r="B3" i="44"/>
  <c r="C3" i="44"/>
  <c r="D3" i="44"/>
  <c r="E3" i="44"/>
  <c r="F3" i="44"/>
  <c r="G3" i="44"/>
  <c r="H3" i="44"/>
  <c r="I3" i="44"/>
  <c r="C2" i="44"/>
  <c r="D2" i="44"/>
  <c r="E2" i="44"/>
  <c r="F2" i="44"/>
  <c r="G2" i="44"/>
  <c r="H2" i="44"/>
  <c r="I2" i="44"/>
  <c r="B2" i="44"/>
  <c r="A3" i="44"/>
  <c r="A4" i="44" s="1"/>
  <c r="A5" i="44" s="1"/>
  <c r="A6" i="44" s="1"/>
  <c r="A7" i="44" s="1"/>
  <c r="A8" i="44" s="1"/>
  <c r="A9" i="44" s="1"/>
  <c r="A10" i="44" s="1"/>
  <c r="A11" i="44" s="1"/>
  <c r="A12" i="44" s="1"/>
  <c r="A13" i="44" s="1"/>
  <c r="A14" i="44" s="1"/>
  <c r="B6" i="43"/>
  <c r="C6" i="43"/>
  <c r="D6" i="43"/>
  <c r="E6" i="43"/>
  <c r="F6" i="43"/>
  <c r="G6" i="43"/>
  <c r="H6" i="43"/>
  <c r="I6" i="43"/>
  <c r="B5" i="43"/>
  <c r="C5" i="43"/>
  <c r="D5" i="43"/>
  <c r="E5" i="43"/>
  <c r="F5" i="43"/>
  <c r="G5" i="43"/>
  <c r="H5" i="43"/>
  <c r="I5" i="43"/>
  <c r="B3" i="43"/>
  <c r="C3" i="43"/>
  <c r="D3" i="43"/>
  <c r="E3" i="43"/>
  <c r="F3" i="43"/>
  <c r="G3" i="43"/>
  <c r="H3" i="43"/>
  <c r="I3" i="43"/>
  <c r="B4" i="43"/>
  <c r="C4" i="43"/>
  <c r="D4" i="43"/>
  <c r="E4" i="43"/>
  <c r="F4" i="43"/>
  <c r="G4" i="43"/>
  <c r="H4" i="43"/>
  <c r="I4" i="43"/>
  <c r="C2" i="43"/>
  <c r="D2" i="43"/>
  <c r="E2" i="43"/>
  <c r="F2" i="43"/>
  <c r="G2" i="43"/>
  <c r="H2" i="43"/>
  <c r="I2" i="43"/>
  <c r="B2" i="43"/>
  <c r="A3" i="43"/>
  <c r="A4" i="43" s="1"/>
  <c r="A5" i="43" s="1"/>
  <c r="A6" i="43" s="1"/>
  <c r="A7" i="43" s="1"/>
  <c r="A8" i="43" s="1"/>
  <c r="A9" i="43" s="1"/>
  <c r="A10" i="43" s="1"/>
  <c r="A11" i="43" s="1"/>
  <c r="A12" i="43" s="1"/>
  <c r="A13" i="43" s="1"/>
  <c r="A14" i="43" s="1"/>
  <c r="K28" i="4"/>
  <c r="J28" i="4"/>
  <c r="K19" i="4"/>
  <c r="M19" i="4" s="1"/>
  <c r="J19" i="4"/>
  <c r="L19" i="4" s="1"/>
  <c r="B6" i="42"/>
  <c r="C6" i="42"/>
  <c r="D6" i="42"/>
  <c r="E6" i="42"/>
  <c r="F6" i="42"/>
  <c r="G6" i="42"/>
  <c r="H6" i="42"/>
  <c r="I6" i="42"/>
  <c r="B3" i="42"/>
  <c r="C3" i="42"/>
  <c r="D3" i="42"/>
  <c r="E3" i="42"/>
  <c r="F3" i="42"/>
  <c r="G3" i="42"/>
  <c r="H3" i="42"/>
  <c r="I3" i="42"/>
  <c r="B4" i="42"/>
  <c r="C4" i="42"/>
  <c r="D4" i="42"/>
  <c r="E4" i="42"/>
  <c r="F4" i="42"/>
  <c r="G4" i="42"/>
  <c r="H4" i="42"/>
  <c r="I4" i="42"/>
  <c r="B5" i="42"/>
  <c r="C5" i="42"/>
  <c r="D5" i="42"/>
  <c r="E5" i="42"/>
  <c r="F5" i="42"/>
  <c r="G5" i="42"/>
  <c r="H5" i="42"/>
  <c r="I5" i="42"/>
  <c r="B2" i="42"/>
  <c r="C2" i="42"/>
  <c r="D2" i="42"/>
  <c r="E2" i="42"/>
  <c r="F2" i="42"/>
  <c r="G2" i="42"/>
  <c r="H2" i="42"/>
  <c r="I2" i="42"/>
  <c r="A3" i="42"/>
  <c r="A4" i="42" s="1"/>
  <c r="A5" i="42" s="1"/>
  <c r="A6" i="42" s="1"/>
  <c r="A7" i="42" s="1"/>
  <c r="A8" i="42" s="1"/>
  <c r="A9" i="42" s="1"/>
  <c r="A10" i="42" s="1"/>
  <c r="A11" i="42" s="1"/>
  <c r="A12" i="42" s="1"/>
  <c r="A13" i="42" s="1"/>
  <c r="A14" i="42" s="1"/>
  <c r="K23" i="4"/>
  <c r="J23" i="4"/>
  <c r="I2" i="41"/>
  <c r="I3" i="41"/>
  <c r="I4" i="41"/>
  <c r="I5" i="41"/>
  <c r="I6" i="41"/>
  <c r="I7" i="41"/>
  <c r="I8" i="41"/>
  <c r="I9" i="41"/>
  <c r="I10" i="41"/>
  <c r="I11" i="41"/>
  <c r="I12" i="41"/>
  <c r="I13" i="41"/>
  <c r="I14" i="41"/>
  <c r="B12" i="41"/>
  <c r="C12" i="41"/>
  <c r="D12" i="41"/>
  <c r="E12" i="41"/>
  <c r="F12" i="41"/>
  <c r="G12" i="41"/>
  <c r="H12" i="41"/>
  <c r="B13" i="41"/>
  <c r="C13" i="41"/>
  <c r="D13" i="41"/>
  <c r="E13" i="41"/>
  <c r="F13" i="41"/>
  <c r="G13" i="41"/>
  <c r="H13" i="41"/>
  <c r="B14" i="41"/>
  <c r="C14" i="41"/>
  <c r="D14" i="41"/>
  <c r="E14" i="41"/>
  <c r="F14" i="41"/>
  <c r="G14" i="41"/>
  <c r="H14" i="4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B8" i="41"/>
  <c r="C8" i="41"/>
  <c r="D8" i="41"/>
  <c r="E8" i="41"/>
  <c r="F8" i="41"/>
  <c r="G8" i="41"/>
  <c r="H8" i="41"/>
  <c r="B9" i="41"/>
  <c r="C9" i="41"/>
  <c r="D9" i="41"/>
  <c r="E9" i="41"/>
  <c r="F9" i="41"/>
  <c r="G9" i="41"/>
  <c r="H9" i="41"/>
  <c r="B10" i="41"/>
  <c r="C10" i="41"/>
  <c r="D10" i="41"/>
  <c r="E10" i="41"/>
  <c r="F10" i="41"/>
  <c r="G10" i="41"/>
  <c r="H10" i="41"/>
  <c r="B11" i="41"/>
  <c r="C11" i="41"/>
  <c r="D11" i="41"/>
  <c r="E11" i="41"/>
  <c r="F11" i="41"/>
  <c r="G11" i="41"/>
  <c r="H11" i="41"/>
  <c r="B6" i="41"/>
  <c r="C6" i="41"/>
  <c r="D6" i="41"/>
  <c r="E6" i="41"/>
  <c r="F6" i="41"/>
  <c r="G6" i="41"/>
  <c r="H6" i="41"/>
  <c r="B7" i="41"/>
  <c r="C7" i="41"/>
  <c r="D7" i="41"/>
  <c r="E7" i="41"/>
  <c r="F7" i="41"/>
  <c r="G7" i="41"/>
  <c r="H7" i="41"/>
  <c r="B5" i="41"/>
  <c r="C5" i="41"/>
  <c r="D5" i="41"/>
  <c r="E5" i="41"/>
  <c r="F5" i="41"/>
  <c r="G5" i="41"/>
  <c r="H5" i="41"/>
  <c r="B3" i="41"/>
  <c r="C3" i="41"/>
  <c r="D3" i="41"/>
  <c r="E3" i="41"/>
  <c r="F3" i="41"/>
  <c r="G3" i="41"/>
  <c r="H3" i="41"/>
  <c r="B4" i="41"/>
  <c r="C4" i="41"/>
  <c r="D4" i="41"/>
  <c r="E4" i="41"/>
  <c r="F4" i="41"/>
  <c r="G4" i="41"/>
  <c r="H4" i="41"/>
  <c r="C2" i="41"/>
  <c r="D2" i="41"/>
  <c r="E2" i="41"/>
  <c r="F2" i="41"/>
  <c r="G2" i="41"/>
  <c r="H2" i="41"/>
  <c r="B2" i="41"/>
  <c r="K20" i="4"/>
  <c r="J20" i="4"/>
  <c r="A3" i="41"/>
  <c r="A4" i="41" s="1"/>
  <c r="A5" i="41" s="1"/>
  <c r="A6" i="41" s="1"/>
  <c r="A7" i="41" s="1"/>
  <c r="A8" i="41" s="1"/>
  <c r="A9" i="41" s="1"/>
  <c r="A10" i="41" s="1"/>
  <c r="A11" i="41" s="1"/>
  <c r="A12" i="41" s="1"/>
  <c r="A13" i="41" s="1"/>
  <c r="A14" i="41" s="1"/>
  <c r="A15" i="41" s="1"/>
  <c r="B3" i="40"/>
  <c r="C3" i="40"/>
  <c r="D3" i="40"/>
  <c r="E3" i="40"/>
  <c r="F3" i="40"/>
  <c r="G3" i="40"/>
  <c r="H3" i="40"/>
  <c r="I3" i="40"/>
  <c r="B4" i="40"/>
  <c r="C4" i="40"/>
  <c r="D4" i="40"/>
  <c r="E4" i="40"/>
  <c r="F4" i="40"/>
  <c r="G4" i="40"/>
  <c r="H4" i="40"/>
  <c r="I4" i="40"/>
  <c r="C2" i="40"/>
  <c r="D2" i="40"/>
  <c r="E2" i="40"/>
  <c r="F2" i="40"/>
  <c r="G2" i="40"/>
  <c r="H2" i="40"/>
  <c r="I2" i="40"/>
  <c r="B2" i="40"/>
  <c r="B3" i="39"/>
  <c r="C3" i="39"/>
  <c r="D3" i="39"/>
  <c r="E3" i="39"/>
  <c r="F3" i="39"/>
  <c r="G3" i="39"/>
  <c r="H3" i="39"/>
  <c r="I3" i="39"/>
  <c r="C2" i="39"/>
  <c r="D2" i="39"/>
  <c r="E2" i="39"/>
  <c r="F2" i="39"/>
  <c r="G2" i="39"/>
  <c r="H2" i="39"/>
  <c r="I2" i="39"/>
  <c r="B2" i="39"/>
  <c r="A3" i="40"/>
  <c r="A4" i="40" s="1"/>
  <c r="A5" i="40" s="1"/>
  <c r="A6" i="40" s="1"/>
  <c r="A7" i="40" s="1"/>
  <c r="A8" i="40" s="1"/>
  <c r="A9" i="40" s="1"/>
  <c r="A10" i="40" s="1"/>
  <c r="A11" i="40" s="1"/>
  <c r="A12" i="40" s="1"/>
  <c r="A13" i="40" s="1"/>
  <c r="A14" i="40" s="1"/>
  <c r="A15" i="40" s="1"/>
  <c r="A3" i="39"/>
  <c r="A4" i="39" s="1"/>
  <c r="A5" i="39" s="1"/>
  <c r="A6" i="39" s="1"/>
  <c r="A7" i="39" s="1"/>
  <c r="A8" i="39" s="1"/>
  <c r="A9" i="39" s="1"/>
  <c r="A10" i="39" s="1"/>
  <c r="A11" i="39" s="1"/>
  <c r="A12" i="39" s="1"/>
  <c r="A13" i="39" s="1"/>
  <c r="A14" i="39" s="1"/>
  <c r="A15" i="39" s="1"/>
  <c r="L27" i="4"/>
  <c r="M27" i="4"/>
  <c r="J13" i="12"/>
  <c r="I27" i="4"/>
  <c r="K25" i="4"/>
  <c r="J25" i="4"/>
  <c r="B7" i="38"/>
  <c r="C7" i="38"/>
  <c r="D7" i="38"/>
  <c r="E7" i="38"/>
  <c r="F7" i="38"/>
  <c r="G7" i="38"/>
  <c r="H7" i="38"/>
  <c r="I7" i="38"/>
  <c r="B6" i="38"/>
  <c r="C6" i="38"/>
  <c r="D6" i="38"/>
  <c r="E6" i="38"/>
  <c r="F6" i="38"/>
  <c r="G6" i="38"/>
  <c r="H6" i="38"/>
  <c r="I6" i="38"/>
  <c r="B5" i="38"/>
  <c r="C5" i="38"/>
  <c r="D5" i="38"/>
  <c r="E5" i="38"/>
  <c r="F5" i="38"/>
  <c r="G5" i="38"/>
  <c r="H5" i="38"/>
  <c r="I5" i="38"/>
  <c r="B3" i="38"/>
  <c r="C3" i="38"/>
  <c r="D3" i="38"/>
  <c r="E3" i="38"/>
  <c r="F3" i="38"/>
  <c r="G3" i="38"/>
  <c r="H3" i="38"/>
  <c r="I3" i="38"/>
  <c r="B4" i="38"/>
  <c r="C4" i="38"/>
  <c r="D4" i="38"/>
  <c r="E4" i="38"/>
  <c r="F4" i="38"/>
  <c r="G4" i="38"/>
  <c r="H4" i="38"/>
  <c r="I4" i="38"/>
  <c r="C2" i="38"/>
  <c r="D2" i="38"/>
  <c r="E2" i="38"/>
  <c r="F2" i="38"/>
  <c r="G2" i="38"/>
  <c r="H2" i="38"/>
  <c r="I2" i="38"/>
  <c r="B2" i="38"/>
  <c r="A3" i="38"/>
  <c r="A4" i="38" s="1"/>
  <c r="A5" i="38" s="1"/>
  <c r="A6" i="38" s="1"/>
  <c r="A7" i="38" s="1"/>
  <c r="A8" i="38" s="1"/>
  <c r="A9" i="38" s="1"/>
  <c r="A10" i="38" s="1"/>
  <c r="A11" i="38" s="1"/>
  <c r="A12" i="38" s="1"/>
  <c r="A13" i="38" s="1"/>
  <c r="A14" i="38" s="1"/>
  <c r="A15" i="38" s="1"/>
  <c r="K13" i="12"/>
  <c r="B5" i="37"/>
  <c r="C5" i="37"/>
  <c r="D5" i="37"/>
  <c r="E5" i="37"/>
  <c r="F5" i="37"/>
  <c r="G5" i="37"/>
  <c r="H5" i="37"/>
  <c r="I5" i="37"/>
  <c r="B4" i="37"/>
  <c r="C4" i="37"/>
  <c r="D4" i="37"/>
  <c r="E4" i="37"/>
  <c r="F4" i="37"/>
  <c r="G4" i="37"/>
  <c r="H4" i="37"/>
  <c r="I4" i="37"/>
  <c r="B3" i="37"/>
  <c r="C3" i="37"/>
  <c r="D3" i="37"/>
  <c r="E3" i="37"/>
  <c r="F3" i="37"/>
  <c r="G3" i="37"/>
  <c r="H3" i="37"/>
  <c r="I3" i="37"/>
  <c r="C2" i="37"/>
  <c r="D2" i="37"/>
  <c r="E2" i="37"/>
  <c r="F2" i="37"/>
  <c r="G2" i="37"/>
  <c r="H2" i="37"/>
  <c r="I2" i="37"/>
  <c r="B2" i="37"/>
  <c r="A3" i="37"/>
  <c r="A4" i="37" s="1"/>
  <c r="A5" i="37" s="1"/>
  <c r="A6" i="37" s="1"/>
  <c r="A7" i="37" s="1"/>
  <c r="A8" i="37" s="1"/>
  <c r="A9" i="37" s="1"/>
  <c r="A10" i="37" s="1"/>
  <c r="A11" i="37" s="1"/>
  <c r="A12" i="37" s="1"/>
  <c r="A13" i="37" s="1"/>
  <c r="A14" i="37" s="1"/>
  <c r="A15" i="37" s="1"/>
  <c r="B4" i="36"/>
  <c r="C4" i="36"/>
  <c r="D4" i="36"/>
  <c r="E4" i="36"/>
  <c r="F4" i="36"/>
  <c r="G4" i="36"/>
  <c r="H4" i="36"/>
  <c r="I4" i="36"/>
  <c r="B5" i="36"/>
  <c r="C5" i="36"/>
  <c r="D5" i="36"/>
  <c r="E5" i="36"/>
  <c r="F5" i="36"/>
  <c r="G5" i="36"/>
  <c r="H5" i="36"/>
  <c r="I5" i="36"/>
  <c r="B6" i="36"/>
  <c r="C6" i="36"/>
  <c r="D6" i="36"/>
  <c r="E6" i="36"/>
  <c r="F6" i="36"/>
  <c r="G6" i="36"/>
  <c r="H6" i="36"/>
  <c r="I6" i="36"/>
  <c r="B7" i="36"/>
  <c r="C7" i="36"/>
  <c r="D7" i="36"/>
  <c r="E7" i="36"/>
  <c r="F7" i="36"/>
  <c r="G7" i="36"/>
  <c r="H7" i="36"/>
  <c r="I7" i="36"/>
  <c r="B3" i="36"/>
  <c r="C3" i="36"/>
  <c r="D3" i="36"/>
  <c r="E3" i="36"/>
  <c r="F3" i="36"/>
  <c r="G3" i="36"/>
  <c r="H3" i="36"/>
  <c r="I3" i="36"/>
  <c r="C2" i="36"/>
  <c r="D2" i="36"/>
  <c r="E2" i="36"/>
  <c r="F2" i="36"/>
  <c r="G2" i="36"/>
  <c r="H2" i="36"/>
  <c r="I2" i="36"/>
  <c r="B2" i="36"/>
  <c r="A3" i="36"/>
  <c r="A4" i="36" s="1"/>
  <c r="A5" i="36" s="1"/>
  <c r="A6" i="36" s="1"/>
  <c r="A7" i="36" s="1"/>
  <c r="A8" i="36" s="1"/>
  <c r="A9" i="36" s="1"/>
  <c r="A10" i="36" s="1"/>
  <c r="A11" i="36" s="1"/>
  <c r="A12" i="36" s="1"/>
  <c r="A13" i="36" s="1"/>
  <c r="A14" i="36" s="1"/>
  <c r="A15" i="36" s="1"/>
  <c r="B8" i="35"/>
  <c r="C8" i="35"/>
  <c r="D8" i="35"/>
  <c r="E8" i="35"/>
  <c r="F8" i="35"/>
  <c r="G8" i="35"/>
  <c r="H8" i="35"/>
  <c r="I8" i="35"/>
  <c r="B6" i="35"/>
  <c r="C6" i="35"/>
  <c r="D6" i="35"/>
  <c r="E6" i="35"/>
  <c r="F6" i="35"/>
  <c r="G6" i="35"/>
  <c r="H6" i="35"/>
  <c r="I6" i="35"/>
  <c r="B7" i="35"/>
  <c r="C7" i="35"/>
  <c r="D7" i="35"/>
  <c r="E7" i="35"/>
  <c r="F7" i="35"/>
  <c r="G7" i="35"/>
  <c r="H7" i="35"/>
  <c r="I7" i="35"/>
  <c r="B5" i="35"/>
  <c r="C5" i="35"/>
  <c r="D5" i="35"/>
  <c r="E5" i="35"/>
  <c r="F5" i="35"/>
  <c r="G5" i="35"/>
  <c r="H5" i="35"/>
  <c r="I5" i="35"/>
  <c r="B3" i="35"/>
  <c r="C3" i="35"/>
  <c r="D3" i="35"/>
  <c r="E3" i="35"/>
  <c r="F3" i="35"/>
  <c r="G3" i="35"/>
  <c r="H3" i="35"/>
  <c r="I3" i="35"/>
  <c r="B4" i="35"/>
  <c r="C4" i="35"/>
  <c r="D4" i="35"/>
  <c r="E4" i="35"/>
  <c r="F4" i="35"/>
  <c r="G4" i="35"/>
  <c r="H4" i="35"/>
  <c r="I4" i="35"/>
  <c r="C2" i="35"/>
  <c r="D2" i="35"/>
  <c r="E2" i="35"/>
  <c r="F2" i="35"/>
  <c r="G2" i="35"/>
  <c r="H2" i="35"/>
  <c r="I2" i="35"/>
  <c r="B2" i="35"/>
  <c r="A3" i="35"/>
  <c r="A4" i="35" s="1"/>
  <c r="A5" i="35" s="1"/>
  <c r="A6" i="35" s="1"/>
  <c r="A7" i="35" s="1"/>
  <c r="A8" i="35" s="1"/>
  <c r="A9" i="35" s="1"/>
  <c r="A10" i="35" s="1"/>
  <c r="A11" i="35" s="1"/>
  <c r="A12" i="35" s="1"/>
  <c r="A13" i="35" s="1"/>
  <c r="A14" i="35" s="1"/>
  <c r="A15" i="35" s="1"/>
  <c r="K29" i="4"/>
  <c r="J29" i="4"/>
  <c r="H15" i="12"/>
  <c r="I15" i="12"/>
  <c r="H16" i="12"/>
  <c r="L16" i="12" s="1"/>
  <c r="I16" i="12"/>
  <c r="M16" i="12" s="1"/>
  <c r="H17" i="12"/>
  <c r="L17" i="12" s="1"/>
  <c r="I17" i="12"/>
  <c r="M17" i="12" s="1"/>
  <c r="B8" i="34"/>
  <c r="C8" i="34"/>
  <c r="D8" i="34"/>
  <c r="E8" i="34"/>
  <c r="F8" i="34"/>
  <c r="G8" i="34"/>
  <c r="H8" i="34"/>
  <c r="I8" i="34"/>
  <c r="B6" i="34"/>
  <c r="C6" i="34"/>
  <c r="D6" i="34"/>
  <c r="E6" i="34"/>
  <c r="F6" i="34"/>
  <c r="G6" i="34"/>
  <c r="H6" i="34"/>
  <c r="I6" i="34"/>
  <c r="B7" i="34"/>
  <c r="C7" i="34"/>
  <c r="D7" i="34"/>
  <c r="E7" i="34"/>
  <c r="F7" i="34"/>
  <c r="G7" i="34"/>
  <c r="H7" i="34"/>
  <c r="I7" i="34"/>
  <c r="B5" i="34"/>
  <c r="C5" i="34"/>
  <c r="D5" i="34"/>
  <c r="E5" i="34"/>
  <c r="F5" i="34"/>
  <c r="G5" i="34"/>
  <c r="H5" i="34"/>
  <c r="I5" i="34"/>
  <c r="B4" i="34"/>
  <c r="C4" i="34"/>
  <c r="D4" i="34"/>
  <c r="E4" i="34"/>
  <c r="F4" i="34"/>
  <c r="G4" i="34"/>
  <c r="H4" i="34"/>
  <c r="I4" i="34"/>
  <c r="B3" i="34"/>
  <c r="C3" i="34"/>
  <c r="D3" i="34"/>
  <c r="E3" i="34"/>
  <c r="F3" i="34"/>
  <c r="G3" i="34"/>
  <c r="H3" i="34"/>
  <c r="I3" i="34"/>
  <c r="C2" i="34"/>
  <c r="D2" i="34"/>
  <c r="E2" i="34"/>
  <c r="F2" i="34"/>
  <c r="G2" i="34"/>
  <c r="H2" i="34"/>
  <c r="I2" i="34"/>
  <c r="B2" i="34"/>
  <c r="A3" i="34"/>
  <c r="A4" i="34" s="1"/>
  <c r="A5" i="34" s="1"/>
  <c r="A6" i="34" s="1"/>
  <c r="A7" i="34" s="1"/>
  <c r="A8" i="34" s="1"/>
  <c r="A9" i="34" s="1"/>
  <c r="A10" i="34" s="1"/>
  <c r="A11" i="34" s="1"/>
  <c r="A12" i="34" s="1"/>
  <c r="A13" i="34" s="1"/>
  <c r="A14" i="34" s="1"/>
  <c r="A15" i="34" s="1"/>
  <c r="B6" i="33"/>
  <c r="C6" i="33"/>
  <c r="D6" i="33"/>
  <c r="E6" i="33"/>
  <c r="F6" i="33"/>
  <c r="G6" i="33"/>
  <c r="H6" i="33"/>
  <c r="I6" i="33"/>
  <c r="G6" i="12"/>
  <c r="I2" i="28"/>
  <c r="I3" i="28"/>
  <c r="I4" i="28"/>
  <c r="I5" i="28"/>
  <c r="I6" i="28"/>
  <c r="I7" i="28"/>
  <c r="I8" i="28"/>
  <c r="B4" i="33"/>
  <c r="C4" i="33"/>
  <c r="D4" i="33"/>
  <c r="E4" i="33"/>
  <c r="F4" i="33"/>
  <c r="G4" i="33"/>
  <c r="H4" i="33"/>
  <c r="I4" i="33"/>
  <c r="B5" i="33"/>
  <c r="C5" i="33"/>
  <c r="D5" i="33"/>
  <c r="E5" i="33"/>
  <c r="F5" i="33"/>
  <c r="G5" i="33"/>
  <c r="H5" i="33"/>
  <c r="I5" i="33"/>
  <c r="G20" i="4"/>
  <c r="I20" i="4" s="1"/>
  <c r="G21" i="4"/>
  <c r="G23" i="4"/>
  <c r="G25" i="4"/>
  <c r="I25" i="4" s="1"/>
  <c r="G28" i="4"/>
  <c r="G29" i="4"/>
  <c r="I29" i="4" s="1"/>
  <c r="F20" i="4"/>
  <c r="F21" i="4"/>
  <c r="L21" i="4" s="1"/>
  <c r="F23" i="4"/>
  <c r="F25" i="4"/>
  <c r="L25" i="4" s="1"/>
  <c r="F28" i="4"/>
  <c r="F29" i="4"/>
  <c r="M31" i="4"/>
  <c r="L31" i="4"/>
  <c r="M30" i="4"/>
  <c r="L30" i="4"/>
  <c r="M26" i="4"/>
  <c r="L26" i="4"/>
  <c r="M24" i="4"/>
  <c r="L24" i="4"/>
  <c r="M22" i="4"/>
  <c r="L22" i="4"/>
  <c r="J8" i="12"/>
  <c r="G9" i="12"/>
  <c r="G11" i="12"/>
  <c r="G14" i="12"/>
  <c r="F11" i="12"/>
  <c r="F14" i="12"/>
  <c r="E8" i="12"/>
  <c r="K8" i="12" s="1"/>
  <c r="D9" i="12"/>
  <c r="J9" i="12" s="1"/>
  <c r="E9" i="12"/>
  <c r="D10" i="12"/>
  <c r="J10" i="12" s="1"/>
  <c r="E10" i="12"/>
  <c r="K10" i="12" s="1"/>
  <c r="D11" i="12"/>
  <c r="E11" i="12"/>
  <c r="J12" i="12"/>
  <c r="K12" i="12"/>
  <c r="D14" i="12"/>
  <c r="E14" i="12"/>
  <c r="AA51" i="21"/>
  <c r="Z51" i="21"/>
  <c r="Y51" i="21"/>
  <c r="X51" i="21"/>
  <c r="W51" i="21"/>
  <c r="V51" i="21"/>
  <c r="U51" i="21"/>
  <c r="T51" i="21"/>
  <c r="S51" i="21"/>
  <c r="R51" i="21"/>
  <c r="Q51" i="21"/>
  <c r="P51" i="21"/>
  <c r="O51" i="21"/>
  <c r="N51" i="21"/>
  <c r="M51" i="21"/>
  <c r="L51" i="21"/>
  <c r="K51" i="21"/>
  <c r="J51" i="21"/>
  <c r="I51" i="21"/>
  <c r="H51" i="21"/>
  <c r="G51" i="21"/>
  <c r="F51" i="21"/>
  <c r="E51" i="21"/>
  <c r="D51" i="21"/>
  <c r="I2" i="33"/>
  <c r="I3" i="33"/>
  <c r="B3" i="33"/>
  <c r="C3" i="33"/>
  <c r="D3" i="33"/>
  <c r="E3" i="33"/>
  <c r="F3" i="33"/>
  <c r="G3" i="33"/>
  <c r="H3" i="33"/>
  <c r="C2" i="33"/>
  <c r="D2" i="33"/>
  <c r="E2" i="33"/>
  <c r="F2" i="33"/>
  <c r="G2" i="33"/>
  <c r="H2" i="33"/>
  <c r="B2" i="33"/>
  <c r="A3" i="33"/>
  <c r="A4" i="33" s="1"/>
  <c r="A5" i="33" s="1"/>
  <c r="A6" i="33" s="1"/>
  <c r="A7" i="33" s="1"/>
  <c r="A8" i="33" s="1"/>
  <c r="A9" i="33" s="1"/>
  <c r="A10" i="33" s="1"/>
  <c r="A11" i="33" s="1"/>
  <c r="A12" i="33" s="1"/>
  <c r="A13" i="33" s="1"/>
  <c r="A14" i="33" s="1"/>
  <c r="A15" i="33" s="1"/>
  <c r="B3" i="32"/>
  <c r="C3" i="32"/>
  <c r="D3" i="32"/>
  <c r="E3" i="32"/>
  <c r="F3" i="32"/>
  <c r="G3" i="32"/>
  <c r="H3" i="32"/>
  <c r="I3" i="32"/>
  <c r="B4" i="32"/>
  <c r="C4" i="32"/>
  <c r="D4" i="32"/>
  <c r="E4" i="32"/>
  <c r="F4" i="32"/>
  <c r="G4" i="32"/>
  <c r="H4" i="32"/>
  <c r="I4" i="32"/>
  <c r="B5" i="32"/>
  <c r="C5" i="32"/>
  <c r="D5" i="32"/>
  <c r="E5" i="32"/>
  <c r="F5" i="32"/>
  <c r="G5" i="32"/>
  <c r="H5" i="32"/>
  <c r="I5" i="32"/>
  <c r="C2" i="32"/>
  <c r="D2" i="32"/>
  <c r="E2" i="32"/>
  <c r="F2" i="32"/>
  <c r="G2" i="32"/>
  <c r="H2" i="32"/>
  <c r="I2" i="32"/>
  <c r="B2" i="32"/>
  <c r="A3" i="32"/>
  <c r="A4" i="32" s="1"/>
  <c r="A5" i="32" s="1"/>
  <c r="A6" i="32" s="1"/>
  <c r="A7" i="32" s="1"/>
  <c r="A8" i="32" s="1"/>
  <c r="A9" i="32" s="1"/>
  <c r="A10" i="32" s="1"/>
  <c r="A11" i="32" s="1"/>
  <c r="A12" i="32" s="1"/>
  <c r="A13" i="32" s="1"/>
  <c r="A14" i="32" s="1"/>
  <c r="A15" i="32" s="1"/>
  <c r="AA33" i="21"/>
  <c r="Z33" i="21"/>
  <c r="AA16" i="21"/>
  <c r="Z16" i="21"/>
  <c r="I2" i="31"/>
  <c r="I3" i="31"/>
  <c r="I4" i="31"/>
  <c r="I5" i="31"/>
  <c r="I6" i="31"/>
  <c r="I7" i="31"/>
  <c r="I8" i="31"/>
  <c r="I9" i="31"/>
  <c r="I10" i="31"/>
  <c r="I11" i="31"/>
  <c r="I12" i="31"/>
  <c r="I13" i="31"/>
  <c r="I14" i="31"/>
  <c r="I15" i="31"/>
  <c r="B8" i="31"/>
  <c r="C8" i="31"/>
  <c r="D8" i="31"/>
  <c r="E8" i="31"/>
  <c r="F8" i="31"/>
  <c r="G8" i="31"/>
  <c r="H8" i="31"/>
  <c r="B9" i="31"/>
  <c r="C9" i="31"/>
  <c r="D9" i="31"/>
  <c r="E9" i="31"/>
  <c r="F9" i="31"/>
  <c r="G9" i="31"/>
  <c r="H9" i="31"/>
  <c r="B10" i="31"/>
  <c r="C10" i="31"/>
  <c r="D10" i="31"/>
  <c r="E10" i="31"/>
  <c r="F10" i="31"/>
  <c r="G10" i="31"/>
  <c r="H10" i="31"/>
  <c r="B11" i="31"/>
  <c r="C11" i="31"/>
  <c r="D11" i="31"/>
  <c r="E11" i="31"/>
  <c r="F11" i="31"/>
  <c r="G11" i="31"/>
  <c r="H11" i="31"/>
  <c r="B12" i="31"/>
  <c r="C12" i="31"/>
  <c r="D12" i="31"/>
  <c r="E12" i="31"/>
  <c r="F12" i="31"/>
  <c r="G12" i="31"/>
  <c r="H12" i="31"/>
  <c r="B13" i="31"/>
  <c r="C13" i="31"/>
  <c r="D13" i="31"/>
  <c r="E13" i="31"/>
  <c r="F13" i="31"/>
  <c r="G13" i="31"/>
  <c r="H13" i="31"/>
  <c r="B14" i="31"/>
  <c r="C14" i="31"/>
  <c r="D14" i="31"/>
  <c r="E14" i="31"/>
  <c r="F14" i="31"/>
  <c r="G14" i="31"/>
  <c r="H14" i="31"/>
  <c r="B15" i="31"/>
  <c r="C15" i="31"/>
  <c r="D15" i="31"/>
  <c r="E15" i="31"/>
  <c r="F15" i="31"/>
  <c r="G15" i="31"/>
  <c r="H15" i="31"/>
  <c r="Q21" i="21"/>
  <c r="AC21" i="21" s="1"/>
  <c r="P21" i="21"/>
  <c r="AB21" i="21" s="1"/>
  <c r="I2" i="26"/>
  <c r="I3" i="26"/>
  <c r="I4" i="26"/>
  <c r="I5" i="26"/>
  <c r="I6" i="26"/>
  <c r="I7" i="26"/>
  <c r="I8" i="26"/>
  <c r="I9" i="26"/>
  <c r="I10" i="26"/>
  <c r="I11" i="26"/>
  <c r="I12" i="26"/>
  <c r="I13" i="26"/>
  <c r="I14" i="26"/>
  <c r="I15" i="26"/>
  <c r="I16" i="26"/>
  <c r="I17" i="26"/>
  <c r="I18" i="26"/>
  <c r="I19" i="26"/>
  <c r="I20" i="26"/>
  <c r="I21" i="26"/>
  <c r="I22" i="26"/>
  <c r="I23" i="26"/>
  <c r="B7" i="31"/>
  <c r="C7" i="31"/>
  <c r="D7" i="31"/>
  <c r="E7" i="31"/>
  <c r="F7" i="31"/>
  <c r="G7" i="31"/>
  <c r="H7" i="31"/>
  <c r="B6" i="31"/>
  <c r="C6" i="31"/>
  <c r="D6" i="31"/>
  <c r="E6" i="31"/>
  <c r="F6" i="31"/>
  <c r="G6" i="31"/>
  <c r="H6" i="31"/>
  <c r="B3" i="31"/>
  <c r="C3" i="31"/>
  <c r="D3" i="31"/>
  <c r="E3" i="31"/>
  <c r="F3" i="31"/>
  <c r="G3" i="31"/>
  <c r="H3" i="31"/>
  <c r="B4" i="31"/>
  <c r="C4" i="31"/>
  <c r="D4" i="31"/>
  <c r="E4" i="31"/>
  <c r="F4" i="31"/>
  <c r="G4" i="31"/>
  <c r="H4" i="31"/>
  <c r="B5" i="31"/>
  <c r="C5" i="31"/>
  <c r="D5" i="31"/>
  <c r="E5" i="31"/>
  <c r="F5" i="31"/>
  <c r="G5" i="31"/>
  <c r="H5" i="31"/>
  <c r="Y33" i="21"/>
  <c r="X33" i="21"/>
  <c r="Y16" i="21"/>
  <c r="X16" i="21"/>
  <c r="C2" i="31"/>
  <c r="D2" i="31"/>
  <c r="E2" i="31"/>
  <c r="F2" i="31"/>
  <c r="G2" i="31"/>
  <c r="H2" i="31"/>
  <c r="B2" i="31"/>
  <c r="A3" i="31"/>
  <c r="A4" i="31" s="1"/>
  <c r="A5" i="31" s="1"/>
  <c r="A6" i="31" s="1"/>
  <c r="A7" i="31" s="1"/>
  <c r="A8" i="31" s="1"/>
  <c r="A9" i="31" s="1"/>
  <c r="A10" i="31" s="1"/>
  <c r="A11" i="31" s="1"/>
  <c r="A12" i="31" s="1"/>
  <c r="A13" i="31" s="1"/>
  <c r="A14" i="31" s="1"/>
  <c r="A15" i="31" s="1"/>
  <c r="I2" i="30"/>
  <c r="I3" i="30"/>
  <c r="I4" i="30"/>
  <c r="I5" i="30"/>
  <c r="I6" i="30"/>
  <c r="I7" i="30"/>
  <c r="B7" i="30"/>
  <c r="C7" i="30"/>
  <c r="D7" i="30"/>
  <c r="E7" i="30"/>
  <c r="F7" i="30"/>
  <c r="G7" i="30"/>
  <c r="H7" i="30"/>
  <c r="B5" i="30"/>
  <c r="C5" i="30"/>
  <c r="D5" i="30"/>
  <c r="E5" i="30"/>
  <c r="F5" i="30"/>
  <c r="G5" i="30"/>
  <c r="H5" i="30"/>
  <c r="B6" i="30"/>
  <c r="C6" i="30"/>
  <c r="D6" i="30"/>
  <c r="E6" i="30"/>
  <c r="F6" i="30"/>
  <c r="G6" i="30"/>
  <c r="H6" i="30"/>
  <c r="E4" i="30"/>
  <c r="B4" i="30"/>
  <c r="C4" i="30"/>
  <c r="D4" i="30"/>
  <c r="F4" i="30"/>
  <c r="G4" i="30"/>
  <c r="H4" i="30"/>
  <c r="B3" i="30"/>
  <c r="C3" i="30"/>
  <c r="D3" i="30"/>
  <c r="F3" i="30"/>
  <c r="G3" i="30"/>
  <c r="H3" i="30"/>
  <c r="C2" i="30"/>
  <c r="D2" i="30"/>
  <c r="F2" i="30"/>
  <c r="G2" i="30"/>
  <c r="H2" i="30"/>
  <c r="B2" i="30"/>
  <c r="A3" i="30"/>
  <c r="A4" i="30" s="1"/>
  <c r="A5" i="30" s="1"/>
  <c r="A6" i="30" s="1"/>
  <c r="A7" i="30" s="1"/>
  <c r="W33" i="21"/>
  <c r="V33" i="21"/>
  <c r="W16" i="21"/>
  <c r="V16" i="21"/>
  <c r="I2" i="29"/>
  <c r="I3" i="29"/>
  <c r="I4" i="29"/>
  <c r="I5" i="29"/>
  <c r="I6" i="29"/>
  <c r="I7" i="29"/>
  <c r="I8" i="29"/>
  <c r="I9" i="29"/>
  <c r="I10" i="29"/>
  <c r="B10" i="29"/>
  <c r="C10" i="29"/>
  <c r="D10" i="29"/>
  <c r="E10" i="29"/>
  <c r="F10" i="29"/>
  <c r="G10" i="29"/>
  <c r="H10" i="29"/>
  <c r="C2" i="29"/>
  <c r="B6" i="29"/>
  <c r="C6" i="29"/>
  <c r="D6" i="29"/>
  <c r="E6" i="29"/>
  <c r="F6" i="29"/>
  <c r="G6" i="29"/>
  <c r="H6" i="29"/>
  <c r="B7" i="29"/>
  <c r="C7" i="29"/>
  <c r="D7" i="29"/>
  <c r="E7" i="29"/>
  <c r="F7" i="29"/>
  <c r="G7" i="29"/>
  <c r="H7" i="29"/>
  <c r="B8" i="29"/>
  <c r="C8" i="29"/>
  <c r="D8" i="29"/>
  <c r="E8" i="29"/>
  <c r="F8" i="29"/>
  <c r="G8" i="29"/>
  <c r="H8" i="29"/>
  <c r="B9" i="29"/>
  <c r="C9" i="29"/>
  <c r="D9" i="29"/>
  <c r="E9" i="29"/>
  <c r="F9" i="29"/>
  <c r="G9" i="29"/>
  <c r="H9" i="29"/>
  <c r="B4" i="29"/>
  <c r="C4" i="29"/>
  <c r="D4" i="29"/>
  <c r="E4" i="29"/>
  <c r="F4" i="29"/>
  <c r="G4" i="29"/>
  <c r="H4" i="29"/>
  <c r="B5" i="29"/>
  <c r="C5" i="29"/>
  <c r="D5" i="29"/>
  <c r="E5" i="29"/>
  <c r="F5" i="29"/>
  <c r="G5" i="29"/>
  <c r="H5" i="29"/>
  <c r="B3" i="29"/>
  <c r="C3" i="29"/>
  <c r="D3" i="29"/>
  <c r="E3" i="29"/>
  <c r="F3" i="29"/>
  <c r="G3" i="29"/>
  <c r="H3" i="29"/>
  <c r="D2" i="29"/>
  <c r="E2" i="29"/>
  <c r="F2" i="29"/>
  <c r="G2" i="29"/>
  <c r="H2" i="29"/>
  <c r="B2" i="29"/>
  <c r="A3" i="29"/>
  <c r="A4" i="29" s="1"/>
  <c r="A5" i="29" s="1"/>
  <c r="A6" i="29" s="1"/>
  <c r="A7" i="29" s="1"/>
  <c r="A8" i="29" s="1"/>
  <c r="A9" i="29" s="1"/>
  <c r="A10" i="29" s="1"/>
  <c r="U33" i="21"/>
  <c r="T33" i="21"/>
  <c r="U16" i="21"/>
  <c r="T16" i="21"/>
  <c r="B8" i="28"/>
  <c r="C8" i="28"/>
  <c r="D8" i="28"/>
  <c r="E8" i="28"/>
  <c r="F8" i="28"/>
  <c r="G8" i="28"/>
  <c r="H8" i="28"/>
  <c r="B5" i="28"/>
  <c r="C5" i="28"/>
  <c r="D5" i="28"/>
  <c r="E5" i="28"/>
  <c r="F5" i="28"/>
  <c r="G5" i="28"/>
  <c r="H5" i="28"/>
  <c r="B6" i="28"/>
  <c r="C6" i="28"/>
  <c r="D6" i="28"/>
  <c r="E6" i="28"/>
  <c r="F6" i="28"/>
  <c r="G6" i="28"/>
  <c r="H6" i="28"/>
  <c r="B7" i="28"/>
  <c r="C7" i="28"/>
  <c r="D7" i="28"/>
  <c r="E7" i="28"/>
  <c r="F7" i="28"/>
  <c r="G7" i="28"/>
  <c r="H7" i="28"/>
  <c r="B3" i="28"/>
  <c r="C3" i="28"/>
  <c r="D3" i="28"/>
  <c r="E3" i="28"/>
  <c r="F3" i="28"/>
  <c r="G3" i="28"/>
  <c r="H3" i="28"/>
  <c r="B4" i="28"/>
  <c r="C4" i="28"/>
  <c r="D4" i="28"/>
  <c r="E4" i="28"/>
  <c r="F4" i="28"/>
  <c r="G4" i="28"/>
  <c r="H4" i="28"/>
  <c r="C2" i="28"/>
  <c r="D2" i="28"/>
  <c r="E2" i="28"/>
  <c r="F2" i="28"/>
  <c r="G2" i="28"/>
  <c r="H2" i="28"/>
  <c r="B2" i="28"/>
  <c r="A3" i="28"/>
  <c r="A4" i="28" s="1"/>
  <c r="A5" i="28" s="1"/>
  <c r="A6" i="28" s="1"/>
  <c r="A7" i="28" s="1"/>
  <c r="A8" i="28" s="1"/>
  <c r="S16" i="21"/>
  <c r="R16" i="21"/>
  <c r="S33" i="21"/>
  <c r="R33" i="21"/>
  <c r="B4" i="27"/>
  <c r="C4" i="27"/>
  <c r="D4" i="27"/>
  <c r="E4" i="27"/>
  <c r="F4" i="27"/>
  <c r="G4" i="27"/>
  <c r="H4" i="27"/>
  <c r="I4" i="27"/>
  <c r="Q16" i="21"/>
  <c r="P16" i="21"/>
  <c r="B3" i="27"/>
  <c r="C3" i="27"/>
  <c r="D3" i="27"/>
  <c r="E3" i="27"/>
  <c r="F3" i="27"/>
  <c r="G3" i="27"/>
  <c r="H3" i="27"/>
  <c r="I3" i="27"/>
  <c r="C2" i="27"/>
  <c r="D2" i="27"/>
  <c r="E2" i="27"/>
  <c r="F2" i="27"/>
  <c r="G2" i="27"/>
  <c r="H2" i="27"/>
  <c r="I2" i="27"/>
  <c r="B2" i="27"/>
  <c r="B23" i="26"/>
  <c r="C23" i="26"/>
  <c r="D23" i="26"/>
  <c r="E23" i="26"/>
  <c r="F23" i="26"/>
  <c r="G23" i="26"/>
  <c r="H23" i="26"/>
  <c r="A3" i="27"/>
  <c r="A4" i="27" s="1"/>
  <c r="B15" i="26"/>
  <c r="C15" i="26"/>
  <c r="D15" i="26"/>
  <c r="E15" i="26"/>
  <c r="F15" i="26"/>
  <c r="G15" i="26"/>
  <c r="H15" i="26"/>
  <c r="B16" i="26"/>
  <c r="C16" i="26"/>
  <c r="D16" i="26"/>
  <c r="E16" i="26"/>
  <c r="F16" i="26"/>
  <c r="G16" i="26"/>
  <c r="H16" i="26"/>
  <c r="B17" i="26"/>
  <c r="C17" i="26"/>
  <c r="D17" i="26"/>
  <c r="E17" i="26"/>
  <c r="F17" i="26"/>
  <c r="G17" i="26"/>
  <c r="H17" i="26"/>
  <c r="B18" i="26"/>
  <c r="C18" i="26"/>
  <c r="D18" i="26"/>
  <c r="E18" i="26"/>
  <c r="F18" i="26"/>
  <c r="G18" i="26"/>
  <c r="H18" i="26"/>
  <c r="B19" i="26"/>
  <c r="C19" i="26"/>
  <c r="D19" i="26"/>
  <c r="E19" i="26"/>
  <c r="F19" i="26"/>
  <c r="G19" i="26"/>
  <c r="H19" i="26"/>
  <c r="B20" i="26"/>
  <c r="C20" i="26"/>
  <c r="D20" i="26"/>
  <c r="F20" i="26"/>
  <c r="G20" i="26"/>
  <c r="H20" i="26"/>
  <c r="B21" i="26"/>
  <c r="C21" i="26"/>
  <c r="D21" i="26"/>
  <c r="F21" i="26"/>
  <c r="G21" i="26"/>
  <c r="H21" i="26"/>
  <c r="B22" i="26"/>
  <c r="C22" i="26"/>
  <c r="D22" i="26"/>
  <c r="E22" i="26"/>
  <c r="F22" i="26"/>
  <c r="G22" i="26"/>
  <c r="H22" i="26"/>
  <c r="B10" i="26"/>
  <c r="C10" i="26"/>
  <c r="D10" i="26"/>
  <c r="E10" i="26"/>
  <c r="F10" i="26"/>
  <c r="G10" i="26"/>
  <c r="H10" i="26"/>
  <c r="B11" i="26"/>
  <c r="C11" i="26"/>
  <c r="D11" i="26"/>
  <c r="E11" i="26"/>
  <c r="F11" i="26"/>
  <c r="G11" i="26"/>
  <c r="H11" i="26"/>
  <c r="B12" i="26"/>
  <c r="C12" i="26"/>
  <c r="D12" i="26"/>
  <c r="E12" i="26"/>
  <c r="F12" i="26"/>
  <c r="G12" i="26"/>
  <c r="H12" i="26"/>
  <c r="B13" i="26"/>
  <c r="C13" i="26"/>
  <c r="D13" i="26"/>
  <c r="E13" i="26"/>
  <c r="F13" i="26"/>
  <c r="G13" i="26"/>
  <c r="H13" i="26"/>
  <c r="B14" i="26"/>
  <c r="C14" i="26"/>
  <c r="D14" i="26"/>
  <c r="E14" i="26"/>
  <c r="F14" i="26"/>
  <c r="G14" i="26"/>
  <c r="H14" i="26"/>
  <c r="B9" i="26"/>
  <c r="C9" i="26"/>
  <c r="D9" i="26"/>
  <c r="E9" i="26"/>
  <c r="F9" i="26"/>
  <c r="G9" i="26"/>
  <c r="H9" i="26"/>
  <c r="B8" i="26"/>
  <c r="C8" i="26"/>
  <c r="D8" i="26"/>
  <c r="E8" i="26"/>
  <c r="F8" i="26"/>
  <c r="G8" i="26"/>
  <c r="H8" i="26"/>
  <c r="B6" i="26"/>
  <c r="C6" i="26"/>
  <c r="D6" i="26"/>
  <c r="E6" i="26"/>
  <c r="F6" i="26"/>
  <c r="G6" i="26"/>
  <c r="H6" i="26"/>
  <c r="B7" i="26"/>
  <c r="C7" i="26"/>
  <c r="D7" i="26"/>
  <c r="E7" i="26"/>
  <c r="F7" i="26"/>
  <c r="G7" i="26"/>
  <c r="H7" i="26"/>
  <c r="O33" i="21"/>
  <c r="N33" i="21"/>
  <c r="O16" i="21"/>
  <c r="N16" i="21"/>
  <c r="B3" i="26"/>
  <c r="C3" i="26"/>
  <c r="D3" i="26"/>
  <c r="E3" i="26"/>
  <c r="F3" i="26"/>
  <c r="G3" i="26"/>
  <c r="H3" i="26"/>
  <c r="B4" i="26"/>
  <c r="C4" i="26"/>
  <c r="D4" i="26"/>
  <c r="E4" i="26"/>
  <c r="F4" i="26"/>
  <c r="G4" i="26"/>
  <c r="H4" i="26"/>
  <c r="B5" i="26"/>
  <c r="C5" i="26"/>
  <c r="D5" i="26"/>
  <c r="E5" i="26"/>
  <c r="F5" i="26"/>
  <c r="G5" i="26"/>
  <c r="H5" i="26"/>
  <c r="C2" i="26"/>
  <c r="D2" i="26"/>
  <c r="E2" i="26"/>
  <c r="F2" i="26"/>
  <c r="G2" i="26"/>
  <c r="H2" i="26"/>
  <c r="B2" i="26"/>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B12" i="25"/>
  <c r="C12" i="25"/>
  <c r="D12" i="25"/>
  <c r="E12" i="25"/>
  <c r="F12" i="25"/>
  <c r="G12" i="25"/>
  <c r="H12" i="25"/>
  <c r="I12" i="25"/>
  <c r="B13" i="25"/>
  <c r="C13" i="25"/>
  <c r="D13" i="25"/>
  <c r="E13" i="25"/>
  <c r="F13" i="25"/>
  <c r="G13" i="25"/>
  <c r="H13" i="25"/>
  <c r="I13" i="25"/>
  <c r="B11" i="25"/>
  <c r="C11" i="25"/>
  <c r="D11" i="25"/>
  <c r="E11" i="25"/>
  <c r="F11" i="25"/>
  <c r="G11" i="25"/>
  <c r="H11" i="25"/>
  <c r="I11" i="25"/>
  <c r="B10" i="25"/>
  <c r="C10" i="25"/>
  <c r="D10" i="25"/>
  <c r="E10" i="25"/>
  <c r="F10" i="25"/>
  <c r="G10" i="25"/>
  <c r="H10" i="25"/>
  <c r="I10" i="25"/>
  <c r="B9" i="25"/>
  <c r="C9" i="25"/>
  <c r="D9" i="25"/>
  <c r="E9" i="25"/>
  <c r="F9" i="25"/>
  <c r="G9" i="25"/>
  <c r="H9" i="25"/>
  <c r="I9" i="25"/>
  <c r="B3" i="25"/>
  <c r="C3" i="25"/>
  <c r="D3" i="25"/>
  <c r="E3" i="25"/>
  <c r="F3" i="25"/>
  <c r="G3" i="25"/>
  <c r="H3" i="25"/>
  <c r="I3" i="25"/>
  <c r="B4" i="25"/>
  <c r="C4" i="25"/>
  <c r="D4" i="25"/>
  <c r="E4" i="25"/>
  <c r="F4" i="25"/>
  <c r="G4" i="25"/>
  <c r="H4" i="25"/>
  <c r="I4" i="25"/>
  <c r="B5" i="25"/>
  <c r="C5" i="25"/>
  <c r="D5" i="25"/>
  <c r="E5" i="25"/>
  <c r="F5" i="25"/>
  <c r="G5" i="25"/>
  <c r="H5" i="25"/>
  <c r="I5" i="25"/>
  <c r="B6" i="25"/>
  <c r="C6" i="25"/>
  <c r="D6" i="25"/>
  <c r="E6" i="25"/>
  <c r="F6" i="25"/>
  <c r="G6" i="25"/>
  <c r="H6" i="25"/>
  <c r="I6" i="25"/>
  <c r="B7" i="25"/>
  <c r="C7" i="25"/>
  <c r="D7" i="25"/>
  <c r="E7" i="25"/>
  <c r="F7" i="25"/>
  <c r="G7" i="25"/>
  <c r="H7" i="25"/>
  <c r="I7" i="25"/>
  <c r="B8" i="25"/>
  <c r="C8" i="25"/>
  <c r="D8" i="25"/>
  <c r="E8" i="25"/>
  <c r="F8" i="25"/>
  <c r="G8" i="25"/>
  <c r="H8" i="25"/>
  <c r="I8" i="25"/>
  <c r="C2" i="25"/>
  <c r="D2" i="25"/>
  <c r="E2" i="25"/>
  <c r="F2" i="25"/>
  <c r="G2" i="25"/>
  <c r="H2" i="25"/>
  <c r="I2" i="25"/>
  <c r="B2" i="25"/>
  <c r="A3" i="25"/>
  <c r="A4" i="25" s="1"/>
  <c r="A5" i="25" s="1"/>
  <c r="A6" i="25" s="1"/>
  <c r="A7" i="25" s="1"/>
  <c r="A8" i="25" s="1"/>
  <c r="A9" i="25" s="1"/>
  <c r="A10" i="25" s="1"/>
  <c r="A11" i="25" s="1"/>
  <c r="A12" i="25" s="1"/>
  <c r="A13" i="25" s="1"/>
  <c r="M16" i="21"/>
  <c r="L16" i="21"/>
  <c r="M33" i="21"/>
  <c r="L33" i="21"/>
  <c r="A3" i="24"/>
  <c r="A4" i="24" s="1"/>
  <c r="A5" i="24" s="1"/>
  <c r="A6" i="24" s="1"/>
  <c r="A7" i="24" s="1"/>
  <c r="A8" i="24" s="1"/>
  <c r="A9" i="24" s="1"/>
  <c r="B7" i="24"/>
  <c r="C7" i="24"/>
  <c r="D7" i="24"/>
  <c r="E7" i="24"/>
  <c r="F7" i="24"/>
  <c r="G7" i="24"/>
  <c r="H7" i="24"/>
  <c r="I7" i="24"/>
  <c r="B8" i="24"/>
  <c r="C8" i="24"/>
  <c r="D8" i="24"/>
  <c r="E8" i="24"/>
  <c r="F8" i="24"/>
  <c r="G8" i="24"/>
  <c r="H8" i="24"/>
  <c r="I8" i="24"/>
  <c r="B9" i="24"/>
  <c r="C9" i="24"/>
  <c r="D9" i="24"/>
  <c r="E9" i="24"/>
  <c r="F9" i="24"/>
  <c r="G9" i="24"/>
  <c r="H9" i="24"/>
  <c r="I9" i="24"/>
  <c r="B4" i="24"/>
  <c r="C4" i="24"/>
  <c r="D4" i="24"/>
  <c r="E4" i="24"/>
  <c r="F4" i="24"/>
  <c r="G4" i="24"/>
  <c r="H4" i="24"/>
  <c r="I4" i="24"/>
  <c r="B5" i="24"/>
  <c r="C5" i="24"/>
  <c r="D5" i="24"/>
  <c r="E5" i="24"/>
  <c r="F5" i="24"/>
  <c r="G5" i="24"/>
  <c r="H5" i="24"/>
  <c r="I5" i="24"/>
  <c r="B6" i="24"/>
  <c r="C6" i="24"/>
  <c r="D6" i="24"/>
  <c r="E6" i="24"/>
  <c r="F6" i="24"/>
  <c r="G6" i="24"/>
  <c r="H6" i="24"/>
  <c r="I6" i="24"/>
  <c r="H3" i="24"/>
  <c r="I3" i="24"/>
  <c r="G3" i="24"/>
  <c r="F3" i="24"/>
  <c r="E3" i="24"/>
  <c r="D3" i="24"/>
  <c r="C3" i="24"/>
  <c r="B3" i="24"/>
  <c r="D2" i="24"/>
  <c r="E2" i="24"/>
  <c r="F2" i="24"/>
  <c r="G2" i="24"/>
  <c r="H2" i="24"/>
  <c r="I2" i="24"/>
  <c r="C2" i="24"/>
  <c r="B2" i="24"/>
  <c r="E2" i="8"/>
  <c r="K33" i="21"/>
  <c r="J33" i="21"/>
  <c r="K16" i="21"/>
  <c r="J16" i="21"/>
  <c r="E22" i="21"/>
  <c r="AC22" i="21" s="1"/>
  <c r="D22" i="21"/>
  <c r="AB22" i="21" s="1"/>
  <c r="C2" i="23"/>
  <c r="D2" i="23"/>
  <c r="E2" i="23"/>
  <c r="F2" i="23"/>
  <c r="G2" i="23"/>
  <c r="H2" i="23"/>
  <c r="I2" i="23"/>
  <c r="I3" i="23" s="1"/>
  <c r="B2" i="23"/>
  <c r="I33" i="21"/>
  <c r="H33" i="21"/>
  <c r="I16" i="21"/>
  <c r="H16" i="21"/>
  <c r="B4" i="22"/>
  <c r="C4" i="22"/>
  <c r="D4" i="22"/>
  <c r="E4" i="22"/>
  <c r="F4" i="22"/>
  <c r="G4" i="22"/>
  <c r="H4" i="22"/>
  <c r="I4" i="22"/>
  <c r="A3" i="22"/>
  <c r="A4" i="22" s="1"/>
  <c r="B3" i="22"/>
  <c r="C3" i="22"/>
  <c r="D3" i="22"/>
  <c r="E3" i="22"/>
  <c r="F3" i="22"/>
  <c r="G3" i="22"/>
  <c r="H3" i="22"/>
  <c r="I3" i="22"/>
  <c r="C2" i="22"/>
  <c r="D2" i="22"/>
  <c r="E2" i="22"/>
  <c r="F2" i="22"/>
  <c r="G2" i="22"/>
  <c r="H2" i="22"/>
  <c r="I2" i="22"/>
  <c r="B2" i="22"/>
  <c r="G33" i="21"/>
  <c r="F33" i="21"/>
  <c r="G16" i="21"/>
  <c r="F16" i="21"/>
  <c r="C2" i="20"/>
  <c r="D2" i="20"/>
  <c r="E2" i="20"/>
  <c r="F2" i="20"/>
  <c r="G2" i="20"/>
  <c r="H2" i="20"/>
  <c r="I2" i="20"/>
  <c r="I3" i="20" s="1"/>
  <c r="B2" i="20"/>
  <c r="D31" i="4"/>
  <c r="H31" i="4" s="1"/>
  <c r="D29" i="4"/>
  <c r="E28" i="4"/>
  <c r="D28" i="4"/>
  <c r="D26" i="4"/>
  <c r="H26" i="4" s="1"/>
  <c r="D25" i="4"/>
  <c r="E24" i="4"/>
  <c r="I24" i="4" s="1"/>
  <c r="D24" i="4"/>
  <c r="H24" i="4" s="1"/>
  <c r="D23" i="4"/>
  <c r="E22" i="4"/>
  <c r="I22" i="4" s="1"/>
  <c r="D22" i="4"/>
  <c r="H22" i="4" s="1"/>
  <c r="E21" i="4"/>
  <c r="I21" i="4" s="1"/>
  <c r="D21" i="4"/>
  <c r="D19" i="4"/>
  <c r="H19" i="4" s="1"/>
  <c r="I19" i="4"/>
  <c r="I26" i="4"/>
  <c r="I30" i="4"/>
  <c r="I31" i="4"/>
  <c r="H30" i="4"/>
  <c r="E16" i="21"/>
  <c r="D16" i="21"/>
  <c r="I2" i="16"/>
  <c r="I3" i="16"/>
  <c r="I4" i="16"/>
  <c r="I5" i="16"/>
  <c r="I6" i="16"/>
  <c r="I7" i="16"/>
  <c r="I8" i="16"/>
  <c r="I9" i="16"/>
  <c r="I10" i="16"/>
  <c r="I11" i="16"/>
  <c r="I12" i="16"/>
  <c r="I13" i="16"/>
  <c r="I14" i="16"/>
  <c r="I15" i="16"/>
  <c r="I16" i="16"/>
  <c r="I17" i="16"/>
  <c r="I18" i="16"/>
  <c r="I19" i="16"/>
  <c r="I20" i="16"/>
  <c r="I21" i="16"/>
  <c r="I22" i="16"/>
  <c r="I23" i="16"/>
  <c r="I24" i="16"/>
  <c r="I25" i="16"/>
  <c r="I26" i="16"/>
  <c r="I27" i="16"/>
  <c r="I28" i="16"/>
  <c r="I29" i="16"/>
  <c r="I2" i="19"/>
  <c r="I3" i="19"/>
  <c r="I4" i="19"/>
  <c r="I5" i="19"/>
  <c r="B5" i="19"/>
  <c r="C5" i="19"/>
  <c r="D5" i="19"/>
  <c r="E5" i="19"/>
  <c r="F5" i="19"/>
  <c r="G5" i="19"/>
  <c r="H5" i="19"/>
  <c r="B4" i="19"/>
  <c r="C4" i="19"/>
  <c r="D4" i="19"/>
  <c r="E4" i="19"/>
  <c r="F4" i="19"/>
  <c r="G4" i="19"/>
  <c r="H4" i="19"/>
  <c r="B3" i="19"/>
  <c r="C3" i="19"/>
  <c r="D3" i="19"/>
  <c r="E3" i="19"/>
  <c r="F3" i="19"/>
  <c r="G3" i="19"/>
  <c r="H3" i="19"/>
  <c r="C2" i="19"/>
  <c r="D2" i="19"/>
  <c r="E2" i="19"/>
  <c r="F2" i="19"/>
  <c r="G2" i="19"/>
  <c r="H2" i="19"/>
  <c r="B2" i="19"/>
  <c r="J15" i="4"/>
  <c r="J13" i="4"/>
  <c r="J11" i="4"/>
  <c r="L11" i="4" s="1"/>
  <c r="J10" i="4"/>
  <c r="J8" i="4"/>
  <c r="J4" i="4"/>
  <c r="I2" i="17"/>
  <c r="I3" i="17"/>
  <c r="I4" i="17"/>
  <c r="I5" i="17"/>
  <c r="I6" i="17"/>
  <c r="I7" i="17"/>
  <c r="I8" i="17"/>
  <c r="I9" i="17"/>
  <c r="I10" i="17"/>
  <c r="I11" i="17"/>
  <c r="B11" i="17"/>
  <c r="C11" i="17"/>
  <c r="D11" i="17"/>
  <c r="E11" i="17"/>
  <c r="F11" i="17"/>
  <c r="G11" i="17"/>
  <c r="H11" i="17"/>
  <c r="B10" i="17"/>
  <c r="C10" i="17"/>
  <c r="D10" i="17"/>
  <c r="E10" i="17"/>
  <c r="F10" i="17"/>
  <c r="G10" i="17"/>
  <c r="H10" i="17"/>
  <c r="E6" i="17"/>
  <c r="E7" i="17"/>
  <c r="E8" i="17"/>
  <c r="E9" i="17"/>
  <c r="B6" i="17"/>
  <c r="C6" i="17"/>
  <c r="D6" i="17"/>
  <c r="F6" i="17"/>
  <c r="G6" i="17"/>
  <c r="H6" i="17"/>
  <c r="B7" i="17"/>
  <c r="C7" i="17"/>
  <c r="D7" i="17"/>
  <c r="F7" i="17"/>
  <c r="G7" i="17"/>
  <c r="H7" i="17"/>
  <c r="B8" i="17"/>
  <c r="C8" i="17"/>
  <c r="D8" i="17"/>
  <c r="F8" i="17"/>
  <c r="G8" i="17"/>
  <c r="H8" i="17"/>
  <c r="B9" i="17"/>
  <c r="C9" i="17"/>
  <c r="D9" i="17"/>
  <c r="F9" i="17"/>
  <c r="G9" i="17"/>
  <c r="H9" i="17"/>
  <c r="B5" i="17"/>
  <c r="C5" i="17"/>
  <c r="D5" i="17"/>
  <c r="F5" i="17"/>
  <c r="G5" i="17"/>
  <c r="H5" i="17"/>
  <c r="K12" i="4"/>
  <c r="M12" i="4" s="1"/>
  <c r="J12" i="4"/>
  <c r="L12" i="4" s="1"/>
  <c r="K9" i="4"/>
  <c r="M9" i="4" s="1"/>
  <c r="J9" i="4"/>
  <c r="L9" i="4" s="1"/>
  <c r="K6" i="4"/>
  <c r="M6" i="4" s="1"/>
  <c r="J6" i="4"/>
  <c r="B4" i="17"/>
  <c r="C4" i="17"/>
  <c r="D4" i="17"/>
  <c r="E4" i="17"/>
  <c r="F4" i="17"/>
  <c r="G4" i="17"/>
  <c r="H4" i="17"/>
  <c r="B3" i="17"/>
  <c r="C3" i="17"/>
  <c r="D3" i="17"/>
  <c r="E3" i="17"/>
  <c r="F3" i="17"/>
  <c r="G3" i="17"/>
  <c r="H3" i="17"/>
  <c r="C2" i="17"/>
  <c r="D2" i="17"/>
  <c r="E2" i="17"/>
  <c r="F2" i="17"/>
  <c r="G2" i="17"/>
  <c r="H2" i="17"/>
  <c r="B2" i="17"/>
  <c r="A3" i="17"/>
  <c r="A4" i="17" s="1"/>
  <c r="A5" i="17" s="1"/>
  <c r="A6" i="17" s="1"/>
  <c r="A7" i="17" s="1"/>
  <c r="A8" i="17" s="1"/>
  <c r="A9" i="17" s="1"/>
  <c r="A10" i="17" s="1"/>
  <c r="A11" i="17" s="1"/>
  <c r="K7" i="4"/>
  <c r="M7" i="4" s="1"/>
  <c r="J7" i="4"/>
  <c r="L7" i="4" s="1"/>
  <c r="A3" i="16"/>
  <c r="A4" i="16" s="1"/>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B25" i="16"/>
  <c r="C25" i="16"/>
  <c r="D25" i="16"/>
  <c r="E25" i="16"/>
  <c r="F25" i="16"/>
  <c r="G25" i="16"/>
  <c r="H25" i="16"/>
  <c r="B26" i="16"/>
  <c r="C26" i="16"/>
  <c r="D26" i="16"/>
  <c r="E26" i="16"/>
  <c r="F26" i="16"/>
  <c r="G26" i="16"/>
  <c r="H26" i="16"/>
  <c r="B27" i="16"/>
  <c r="C27" i="16"/>
  <c r="D27" i="16"/>
  <c r="E27" i="16"/>
  <c r="F27" i="16"/>
  <c r="G27" i="16"/>
  <c r="H27" i="16"/>
  <c r="B28" i="16"/>
  <c r="C28" i="16"/>
  <c r="D28" i="16"/>
  <c r="E28" i="16"/>
  <c r="F28" i="16"/>
  <c r="G28" i="16"/>
  <c r="H28" i="16"/>
  <c r="B29" i="16"/>
  <c r="C29" i="16"/>
  <c r="D29" i="16"/>
  <c r="E29" i="16"/>
  <c r="F29" i="16"/>
  <c r="G29" i="16"/>
  <c r="H29" i="16"/>
  <c r="B24" i="16"/>
  <c r="C24" i="16"/>
  <c r="D24" i="16"/>
  <c r="E24" i="16"/>
  <c r="F24" i="16"/>
  <c r="G24" i="16"/>
  <c r="H24" i="16"/>
  <c r="B22" i="16"/>
  <c r="C22" i="16"/>
  <c r="D22" i="16"/>
  <c r="E22" i="16"/>
  <c r="F22" i="16"/>
  <c r="G22" i="16"/>
  <c r="H22" i="16"/>
  <c r="B23" i="16"/>
  <c r="C23" i="16"/>
  <c r="D23" i="16"/>
  <c r="E23" i="16"/>
  <c r="F23" i="16"/>
  <c r="G23" i="16"/>
  <c r="H23" i="16"/>
  <c r="B21" i="16"/>
  <c r="C21" i="16"/>
  <c r="D21" i="16"/>
  <c r="E21" i="16"/>
  <c r="F21" i="16"/>
  <c r="G21" i="16"/>
  <c r="H21" i="16"/>
  <c r="B17" i="16"/>
  <c r="C17" i="16"/>
  <c r="D17" i="16"/>
  <c r="E17" i="16"/>
  <c r="F17" i="16"/>
  <c r="G17" i="16"/>
  <c r="H17" i="16"/>
  <c r="B18" i="16"/>
  <c r="C18" i="16"/>
  <c r="D18" i="16"/>
  <c r="E18" i="16"/>
  <c r="F18" i="16"/>
  <c r="G18" i="16"/>
  <c r="H18" i="16"/>
  <c r="B19" i="16"/>
  <c r="C19" i="16"/>
  <c r="D19" i="16"/>
  <c r="E19" i="16"/>
  <c r="F19" i="16"/>
  <c r="G19" i="16"/>
  <c r="H19" i="16"/>
  <c r="B20" i="16"/>
  <c r="C20" i="16"/>
  <c r="D20" i="16"/>
  <c r="E20" i="16"/>
  <c r="F20" i="16"/>
  <c r="G20" i="16"/>
  <c r="H20" i="16"/>
  <c r="B16" i="16"/>
  <c r="C16" i="16"/>
  <c r="D16" i="16"/>
  <c r="E16" i="16"/>
  <c r="F16" i="16"/>
  <c r="G16" i="16"/>
  <c r="H16" i="16"/>
  <c r="B15" i="16"/>
  <c r="C15" i="16"/>
  <c r="D15" i="16"/>
  <c r="E15" i="16"/>
  <c r="F15" i="16"/>
  <c r="G15" i="16"/>
  <c r="H15" i="16"/>
  <c r="B8" i="16"/>
  <c r="C8" i="16"/>
  <c r="D8" i="16"/>
  <c r="E8" i="16"/>
  <c r="F8" i="16"/>
  <c r="G8" i="16"/>
  <c r="H8" i="16"/>
  <c r="B9" i="16"/>
  <c r="C9" i="16"/>
  <c r="D9" i="16"/>
  <c r="E9" i="16"/>
  <c r="F9" i="16"/>
  <c r="G9" i="16"/>
  <c r="H9" i="16"/>
  <c r="B10" i="16"/>
  <c r="C10" i="16"/>
  <c r="D10" i="16"/>
  <c r="E10" i="16"/>
  <c r="F10" i="16"/>
  <c r="G10" i="16"/>
  <c r="H10" i="16"/>
  <c r="B11" i="16"/>
  <c r="C11" i="16"/>
  <c r="D11" i="16"/>
  <c r="E11" i="16"/>
  <c r="F11" i="16"/>
  <c r="G11" i="16"/>
  <c r="H11" i="16"/>
  <c r="B12" i="16"/>
  <c r="C12" i="16"/>
  <c r="D12" i="16"/>
  <c r="E12" i="16"/>
  <c r="F12" i="16"/>
  <c r="G12" i="16"/>
  <c r="H12" i="16"/>
  <c r="B13" i="16"/>
  <c r="C13" i="16"/>
  <c r="D13" i="16"/>
  <c r="E13" i="16"/>
  <c r="F13" i="16"/>
  <c r="G13" i="16"/>
  <c r="H13" i="16"/>
  <c r="B14" i="16"/>
  <c r="C14" i="16"/>
  <c r="D14" i="16"/>
  <c r="E14" i="16"/>
  <c r="F14" i="16"/>
  <c r="G14" i="16"/>
  <c r="H14" i="16"/>
  <c r="B7" i="16"/>
  <c r="C7" i="16"/>
  <c r="D7" i="16"/>
  <c r="E7" i="16"/>
  <c r="F7" i="16"/>
  <c r="G7" i="16"/>
  <c r="H7" i="16"/>
  <c r="B4" i="16"/>
  <c r="C4" i="16"/>
  <c r="D4" i="16"/>
  <c r="E4" i="16"/>
  <c r="F4" i="16"/>
  <c r="G4" i="16"/>
  <c r="H4" i="16"/>
  <c r="B5" i="16"/>
  <c r="C5" i="16"/>
  <c r="D5" i="16"/>
  <c r="E5" i="16"/>
  <c r="F5" i="16"/>
  <c r="G5" i="16"/>
  <c r="H5" i="16"/>
  <c r="B6" i="16"/>
  <c r="C6" i="16"/>
  <c r="D6" i="16"/>
  <c r="E6" i="16"/>
  <c r="F6" i="16"/>
  <c r="G6" i="16"/>
  <c r="H6" i="16"/>
  <c r="B3" i="16"/>
  <c r="C3" i="16"/>
  <c r="D3" i="16"/>
  <c r="E3" i="16"/>
  <c r="F3" i="16"/>
  <c r="G3" i="16"/>
  <c r="H3" i="16"/>
  <c r="C2" i="16"/>
  <c r="D2" i="16"/>
  <c r="E2" i="16"/>
  <c r="F2" i="16"/>
  <c r="G2" i="16"/>
  <c r="H2" i="16"/>
  <c r="B2" i="16"/>
  <c r="I2" i="15"/>
  <c r="I3" i="15"/>
  <c r="I4"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B33" i="15"/>
  <c r="C33" i="15"/>
  <c r="D33" i="15"/>
  <c r="E33" i="15"/>
  <c r="F33" i="15"/>
  <c r="G33" i="15"/>
  <c r="H33" i="15"/>
  <c r="B34" i="15"/>
  <c r="C34" i="15"/>
  <c r="E34" i="15"/>
  <c r="F34" i="15"/>
  <c r="G34" i="15"/>
  <c r="H34" i="15"/>
  <c r="B32" i="15"/>
  <c r="C32" i="15"/>
  <c r="D32" i="15"/>
  <c r="E32" i="15"/>
  <c r="F32" i="15"/>
  <c r="G32" i="15"/>
  <c r="H32" i="15"/>
  <c r="B26" i="15"/>
  <c r="C26" i="15"/>
  <c r="D26" i="15"/>
  <c r="E26" i="15"/>
  <c r="F26" i="15"/>
  <c r="G26" i="15"/>
  <c r="H26" i="15"/>
  <c r="B27" i="15"/>
  <c r="C27" i="15"/>
  <c r="D27" i="15"/>
  <c r="E27" i="15"/>
  <c r="F27" i="15"/>
  <c r="G27" i="15"/>
  <c r="H27" i="15"/>
  <c r="B28" i="15"/>
  <c r="C28" i="15"/>
  <c r="D28" i="15"/>
  <c r="E28" i="15"/>
  <c r="F28" i="15"/>
  <c r="G28" i="15"/>
  <c r="H28" i="15"/>
  <c r="B29" i="15"/>
  <c r="C29" i="15"/>
  <c r="D29" i="15"/>
  <c r="E29" i="15"/>
  <c r="F29" i="15"/>
  <c r="G29" i="15"/>
  <c r="H29" i="15"/>
  <c r="B30" i="15"/>
  <c r="C30" i="15"/>
  <c r="D30" i="15"/>
  <c r="E30" i="15"/>
  <c r="F30" i="15"/>
  <c r="G30" i="15"/>
  <c r="H30" i="15"/>
  <c r="B31" i="15"/>
  <c r="C31" i="15"/>
  <c r="D31" i="15"/>
  <c r="E31" i="15"/>
  <c r="F31" i="15"/>
  <c r="G31" i="15"/>
  <c r="H31" i="15"/>
  <c r="B25" i="15"/>
  <c r="C25" i="15"/>
  <c r="D25" i="15"/>
  <c r="E25" i="15"/>
  <c r="F25" i="15"/>
  <c r="G25" i="15"/>
  <c r="H25" i="15"/>
  <c r="C4" i="15"/>
  <c r="B24" i="15"/>
  <c r="C24" i="15"/>
  <c r="D24" i="15"/>
  <c r="E24" i="15"/>
  <c r="F24" i="15"/>
  <c r="G24" i="15"/>
  <c r="H24" i="15"/>
  <c r="B23" i="15"/>
  <c r="C23" i="15"/>
  <c r="D23" i="15"/>
  <c r="E23" i="15"/>
  <c r="F23" i="15"/>
  <c r="G23" i="15"/>
  <c r="H23" i="15"/>
  <c r="B22" i="15"/>
  <c r="C22" i="15"/>
  <c r="D22" i="15"/>
  <c r="E22" i="15"/>
  <c r="F22" i="15"/>
  <c r="G22" i="15"/>
  <c r="H22" i="15"/>
  <c r="C50" i="14"/>
  <c r="B10" i="15"/>
  <c r="C10" i="15"/>
  <c r="D10" i="15"/>
  <c r="E10" i="15"/>
  <c r="F10" i="15"/>
  <c r="G10" i="15"/>
  <c r="H10" i="15"/>
  <c r="B11" i="15"/>
  <c r="C11" i="15"/>
  <c r="D11" i="15"/>
  <c r="E11" i="15"/>
  <c r="F11" i="15"/>
  <c r="G11" i="15"/>
  <c r="H11" i="15"/>
  <c r="B12" i="15"/>
  <c r="C12" i="15"/>
  <c r="D12" i="15"/>
  <c r="E12" i="15"/>
  <c r="F12" i="15"/>
  <c r="G12" i="15"/>
  <c r="H12" i="15"/>
  <c r="B13" i="15"/>
  <c r="C13" i="15"/>
  <c r="D13" i="15"/>
  <c r="E13" i="15"/>
  <c r="F13" i="15"/>
  <c r="G13" i="15"/>
  <c r="H13" i="15"/>
  <c r="B14" i="15"/>
  <c r="C14" i="15"/>
  <c r="D14" i="15"/>
  <c r="E14" i="15"/>
  <c r="F14" i="15"/>
  <c r="G14" i="15"/>
  <c r="H14" i="15"/>
  <c r="B15" i="15"/>
  <c r="C15" i="15"/>
  <c r="D15" i="15"/>
  <c r="E15" i="15"/>
  <c r="F15" i="15"/>
  <c r="G15" i="15"/>
  <c r="H15" i="15"/>
  <c r="B16" i="15"/>
  <c r="C16" i="15"/>
  <c r="D16" i="15"/>
  <c r="E16" i="15"/>
  <c r="F16" i="15"/>
  <c r="G16" i="15"/>
  <c r="H16" i="15"/>
  <c r="B17" i="15"/>
  <c r="C17" i="15"/>
  <c r="D17" i="15"/>
  <c r="E17" i="15"/>
  <c r="F17" i="15"/>
  <c r="G17" i="15"/>
  <c r="H17" i="15"/>
  <c r="B18" i="15"/>
  <c r="C18" i="15"/>
  <c r="D18" i="15"/>
  <c r="F18" i="15"/>
  <c r="G18" i="15"/>
  <c r="H18" i="15"/>
  <c r="B19" i="15"/>
  <c r="C19" i="15"/>
  <c r="D19" i="15"/>
  <c r="F19" i="15"/>
  <c r="G19" i="15"/>
  <c r="H19" i="15"/>
  <c r="B20" i="15"/>
  <c r="C20" i="15"/>
  <c r="D20" i="15"/>
  <c r="F20" i="15"/>
  <c r="G20" i="15"/>
  <c r="H20" i="15"/>
  <c r="B21" i="15"/>
  <c r="C21" i="15"/>
  <c r="D21" i="15"/>
  <c r="E21" i="15"/>
  <c r="F21" i="15"/>
  <c r="G21" i="15"/>
  <c r="H21" i="15"/>
  <c r="B9" i="15"/>
  <c r="C9" i="15"/>
  <c r="D9" i="15"/>
  <c r="E9" i="15"/>
  <c r="F9" i="15"/>
  <c r="G9" i="15"/>
  <c r="H9" i="15"/>
  <c r="E7" i="15"/>
  <c r="E8" i="15"/>
  <c r="B7" i="15"/>
  <c r="C7" i="15"/>
  <c r="D7" i="15"/>
  <c r="F7" i="15"/>
  <c r="G7" i="15"/>
  <c r="H7" i="15"/>
  <c r="B8" i="15"/>
  <c r="C8" i="15"/>
  <c r="D8" i="15"/>
  <c r="F8" i="15"/>
  <c r="G8" i="15"/>
  <c r="H8" i="15"/>
  <c r="B6" i="15"/>
  <c r="C6" i="15"/>
  <c r="D6" i="15"/>
  <c r="F6" i="15"/>
  <c r="G6" i="15"/>
  <c r="H6" i="15"/>
  <c r="E5" i="15"/>
  <c r="B5" i="15"/>
  <c r="C5" i="15"/>
  <c r="D5" i="15"/>
  <c r="F5" i="15"/>
  <c r="G5" i="15"/>
  <c r="H5" i="15"/>
  <c r="B3" i="15"/>
  <c r="C3" i="15"/>
  <c r="D3" i="15"/>
  <c r="E3" i="15"/>
  <c r="F3" i="15"/>
  <c r="G3" i="15"/>
  <c r="H3" i="15"/>
  <c r="B4" i="15"/>
  <c r="D4" i="15"/>
  <c r="F4" i="15"/>
  <c r="G4" i="15"/>
  <c r="H4" i="15"/>
  <c r="C2" i="15"/>
  <c r="D2" i="15"/>
  <c r="E2" i="15"/>
  <c r="F2" i="15"/>
  <c r="G2" i="15"/>
  <c r="H2" i="15"/>
  <c r="B2" i="15"/>
  <c r="I2" i="14"/>
  <c r="I3" i="14"/>
  <c r="I4" i="14"/>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B55" i="14"/>
  <c r="C55" i="14"/>
  <c r="D55" i="14"/>
  <c r="F55" i="14"/>
  <c r="G55" i="14"/>
  <c r="H55" i="14"/>
  <c r="B54" i="14"/>
  <c r="C54" i="14"/>
  <c r="D54" i="14"/>
  <c r="E54" i="14"/>
  <c r="F54" i="14"/>
  <c r="G54" i="14"/>
  <c r="H54" i="14"/>
  <c r="B46" i="14"/>
  <c r="C46" i="14"/>
  <c r="D46" i="14"/>
  <c r="E46" i="14"/>
  <c r="F46" i="14"/>
  <c r="G46" i="14"/>
  <c r="H46" i="14"/>
  <c r="B47" i="14"/>
  <c r="C47" i="14"/>
  <c r="D47" i="14"/>
  <c r="E47" i="14"/>
  <c r="F47" i="14"/>
  <c r="G47" i="14"/>
  <c r="H47" i="14"/>
  <c r="B48" i="14"/>
  <c r="C48" i="14"/>
  <c r="D48" i="14"/>
  <c r="E48" i="14"/>
  <c r="F48" i="14"/>
  <c r="G48" i="14"/>
  <c r="H48" i="14"/>
  <c r="B49" i="14"/>
  <c r="C49" i="14"/>
  <c r="D49" i="14"/>
  <c r="E49" i="14"/>
  <c r="F49" i="14"/>
  <c r="G49" i="14"/>
  <c r="H49" i="14"/>
  <c r="B50" i="14"/>
  <c r="D50" i="14"/>
  <c r="E50" i="14"/>
  <c r="F50" i="14"/>
  <c r="G50" i="14"/>
  <c r="H50" i="14"/>
  <c r="B51" i="14"/>
  <c r="C51" i="14"/>
  <c r="D51" i="14"/>
  <c r="E51" i="14"/>
  <c r="F51" i="14"/>
  <c r="G51" i="14"/>
  <c r="H51" i="14"/>
  <c r="B52" i="14"/>
  <c r="C52" i="14"/>
  <c r="D52" i="14"/>
  <c r="E52" i="14"/>
  <c r="F52" i="14"/>
  <c r="G52" i="14"/>
  <c r="H52" i="14"/>
  <c r="B53" i="14"/>
  <c r="C53" i="14"/>
  <c r="D53" i="14"/>
  <c r="E53" i="14"/>
  <c r="F53" i="14"/>
  <c r="G53" i="14"/>
  <c r="H53" i="14"/>
  <c r="B41" i="14"/>
  <c r="C41" i="14"/>
  <c r="D41" i="14"/>
  <c r="E41" i="14"/>
  <c r="F41" i="14"/>
  <c r="G41" i="14"/>
  <c r="H41" i="14"/>
  <c r="B42" i="14"/>
  <c r="C42" i="14"/>
  <c r="D42" i="14"/>
  <c r="E42" i="14"/>
  <c r="F42" i="14"/>
  <c r="G42" i="14"/>
  <c r="H42" i="14"/>
  <c r="B43" i="14"/>
  <c r="C43" i="14"/>
  <c r="D43" i="14"/>
  <c r="E43" i="14"/>
  <c r="F43" i="14"/>
  <c r="G43" i="14"/>
  <c r="H43" i="14"/>
  <c r="B44" i="14"/>
  <c r="C44" i="14"/>
  <c r="D44" i="14"/>
  <c r="E44" i="14"/>
  <c r="F44" i="14"/>
  <c r="G44" i="14"/>
  <c r="H44" i="14"/>
  <c r="B45" i="14"/>
  <c r="C45" i="14"/>
  <c r="D45" i="14"/>
  <c r="F45" i="14"/>
  <c r="G45" i="14"/>
  <c r="H45" i="14"/>
  <c r="B38" i="14"/>
  <c r="C38" i="14"/>
  <c r="D38" i="14"/>
  <c r="E38" i="14"/>
  <c r="F38" i="14"/>
  <c r="G38" i="14"/>
  <c r="H38" i="14"/>
  <c r="B39" i="14"/>
  <c r="C39" i="14"/>
  <c r="D39" i="14"/>
  <c r="E39" i="14"/>
  <c r="F39" i="14"/>
  <c r="G39" i="14"/>
  <c r="H39" i="14"/>
  <c r="B40" i="14"/>
  <c r="C40" i="14"/>
  <c r="D40" i="14"/>
  <c r="E40" i="14"/>
  <c r="F40" i="14"/>
  <c r="G40" i="14"/>
  <c r="H40" i="14"/>
  <c r="B37" i="14"/>
  <c r="C37" i="14"/>
  <c r="D37" i="14"/>
  <c r="E37" i="14"/>
  <c r="F37" i="14"/>
  <c r="G37" i="14"/>
  <c r="H37" i="14"/>
  <c r="B33" i="14"/>
  <c r="C33" i="14"/>
  <c r="D33" i="14"/>
  <c r="E33" i="14"/>
  <c r="F33" i="14"/>
  <c r="G33" i="14"/>
  <c r="H33" i="14"/>
  <c r="B34" i="14"/>
  <c r="C34" i="14"/>
  <c r="D34" i="14"/>
  <c r="E34" i="14"/>
  <c r="F34" i="14"/>
  <c r="G34" i="14"/>
  <c r="H34" i="14"/>
  <c r="B35" i="14"/>
  <c r="C35" i="14"/>
  <c r="D35" i="14"/>
  <c r="E35" i="14"/>
  <c r="F35" i="14"/>
  <c r="G35" i="14"/>
  <c r="H35" i="14"/>
  <c r="B36" i="14"/>
  <c r="C36" i="14"/>
  <c r="D36" i="14"/>
  <c r="E36" i="14"/>
  <c r="F36" i="14"/>
  <c r="G36" i="14"/>
  <c r="H36" i="14"/>
  <c r="B29" i="14"/>
  <c r="C29" i="14"/>
  <c r="D29" i="14"/>
  <c r="E29" i="14"/>
  <c r="F29" i="14"/>
  <c r="G29" i="14"/>
  <c r="H29" i="14"/>
  <c r="B30" i="14"/>
  <c r="C30" i="14"/>
  <c r="D30" i="14"/>
  <c r="E30" i="14"/>
  <c r="F30" i="14"/>
  <c r="G30" i="14"/>
  <c r="H30" i="14"/>
  <c r="B31" i="14"/>
  <c r="C31" i="14"/>
  <c r="D31" i="14"/>
  <c r="E31" i="14"/>
  <c r="F31" i="14"/>
  <c r="G31" i="14"/>
  <c r="H31" i="14"/>
  <c r="B32" i="14"/>
  <c r="C32" i="14"/>
  <c r="D32" i="14"/>
  <c r="E32" i="14"/>
  <c r="F32" i="14"/>
  <c r="G32" i="14"/>
  <c r="H32" i="14"/>
  <c r="E24" i="14"/>
  <c r="E25" i="14"/>
  <c r="E26" i="14"/>
  <c r="E27" i="14"/>
  <c r="E28" i="14"/>
  <c r="B24" i="14"/>
  <c r="C24" i="14"/>
  <c r="D24" i="14"/>
  <c r="F24" i="14"/>
  <c r="G24" i="14"/>
  <c r="H24" i="14"/>
  <c r="B25" i="14"/>
  <c r="C25" i="14"/>
  <c r="D25" i="14"/>
  <c r="F25" i="14"/>
  <c r="G25" i="14"/>
  <c r="H25" i="14"/>
  <c r="B26" i="14"/>
  <c r="C26" i="14"/>
  <c r="D26" i="14"/>
  <c r="F26" i="14"/>
  <c r="G26" i="14"/>
  <c r="H26" i="14"/>
  <c r="B27" i="14"/>
  <c r="C27" i="14"/>
  <c r="D27" i="14"/>
  <c r="F27" i="14"/>
  <c r="G27" i="14"/>
  <c r="H27" i="14"/>
  <c r="B28" i="14"/>
  <c r="C28" i="14"/>
  <c r="D28" i="14"/>
  <c r="F28" i="14"/>
  <c r="G28" i="14"/>
  <c r="H28" i="14"/>
  <c r="B22" i="14"/>
  <c r="C22" i="14"/>
  <c r="D22" i="14"/>
  <c r="E22" i="14"/>
  <c r="F22" i="14"/>
  <c r="G22" i="14"/>
  <c r="H22" i="14"/>
  <c r="B23" i="14"/>
  <c r="C23" i="14"/>
  <c r="D23" i="14"/>
  <c r="F23" i="14"/>
  <c r="G23" i="14"/>
  <c r="H23" i="14"/>
  <c r="B19" i="14"/>
  <c r="C19" i="14"/>
  <c r="D19" i="14"/>
  <c r="F19" i="14"/>
  <c r="G19" i="14"/>
  <c r="H19" i="14"/>
  <c r="B20" i="14"/>
  <c r="C20" i="14"/>
  <c r="D20" i="14"/>
  <c r="E20" i="14"/>
  <c r="F20" i="14"/>
  <c r="G20" i="14"/>
  <c r="H20" i="14"/>
  <c r="B21" i="14"/>
  <c r="C21" i="14"/>
  <c r="D21" i="14"/>
  <c r="E21" i="14"/>
  <c r="F21" i="14"/>
  <c r="G21" i="14"/>
  <c r="H21" i="14"/>
  <c r="B16" i="14"/>
  <c r="C16" i="14"/>
  <c r="D16" i="14"/>
  <c r="E16" i="14"/>
  <c r="F16" i="14"/>
  <c r="G16" i="14"/>
  <c r="H16" i="14"/>
  <c r="B17" i="14"/>
  <c r="C17" i="14"/>
  <c r="D17" i="14"/>
  <c r="E17" i="14"/>
  <c r="F17" i="14"/>
  <c r="G17" i="14"/>
  <c r="H17" i="14"/>
  <c r="B18" i="14"/>
  <c r="C18" i="14"/>
  <c r="D18" i="14"/>
  <c r="E18" i="14"/>
  <c r="F18" i="14"/>
  <c r="G18" i="14"/>
  <c r="H18" i="14"/>
  <c r="C14" i="14"/>
  <c r="D14" i="14"/>
  <c r="E14" i="14"/>
  <c r="F14" i="14"/>
  <c r="G14" i="14"/>
  <c r="H14" i="14"/>
  <c r="C15" i="14"/>
  <c r="D15" i="14"/>
  <c r="E15" i="14"/>
  <c r="F15" i="14"/>
  <c r="G15" i="14"/>
  <c r="H15" i="14"/>
  <c r="B14" i="14"/>
  <c r="B15" i="14"/>
  <c r="B10" i="14"/>
  <c r="C10" i="14"/>
  <c r="D10" i="14"/>
  <c r="F10" i="14"/>
  <c r="G10" i="14"/>
  <c r="H10" i="14"/>
  <c r="B11" i="14"/>
  <c r="C11" i="14"/>
  <c r="D11" i="14"/>
  <c r="E11" i="14"/>
  <c r="F11" i="14"/>
  <c r="G11" i="14"/>
  <c r="H11" i="14"/>
  <c r="B12" i="14"/>
  <c r="C12" i="14"/>
  <c r="D12" i="14"/>
  <c r="E12" i="14"/>
  <c r="F12" i="14"/>
  <c r="G12" i="14"/>
  <c r="H12" i="14"/>
  <c r="B13" i="14"/>
  <c r="C13" i="14"/>
  <c r="D13" i="14"/>
  <c r="E13" i="14"/>
  <c r="F13" i="14"/>
  <c r="G13" i="14"/>
  <c r="H13" i="14"/>
  <c r="B5" i="14"/>
  <c r="C5" i="14"/>
  <c r="D5" i="14"/>
  <c r="E5" i="14"/>
  <c r="F5" i="14"/>
  <c r="G5" i="14"/>
  <c r="H5" i="14"/>
  <c r="B6" i="14"/>
  <c r="C6" i="14"/>
  <c r="D6" i="14"/>
  <c r="E6" i="14"/>
  <c r="F6" i="14"/>
  <c r="G6" i="14"/>
  <c r="H6" i="14"/>
  <c r="B7" i="14"/>
  <c r="C7" i="14"/>
  <c r="D7" i="14"/>
  <c r="E7" i="14"/>
  <c r="F7" i="14"/>
  <c r="G7" i="14"/>
  <c r="H7" i="14"/>
  <c r="B8" i="14"/>
  <c r="C8" i="14"/>
  <c r="D8" i="14"/>
  <c r="E8" i="14"/>
  <c r="F8" i="14"/>
  <c r="G8" i="14"/>
  <c r="H8" i="14"/>
  <c r="B9" i="14"/>
  <c r="C9" i="14"/>
  <c r="D9" i="14"/>
  <c r="E9" i="14"/>
  <c r="F9" i="14"/>
  <c r="G9" i="14"/>
  <c r="H9" i="14"/>
  <c r="B3" i="14"/>
  <c r="C3" i="14"/>
  <c r="D3" i="14"/>
  <c r="E3" i="14"/>
  <c r="F3" i="14"/>
  <c r="G3" i="14"/>
  <c r="H3" i="14"/>
  <c r="B4" i="14"/>
  <c r="C4" i="14"/>
  <c r="D4" i="14"/>
  <c r="E4" i="14"/>
  <c r="F4" i="14"/>
  <c r="G4" i="14"/>
  <c r="H4" i="14"/>
  <c r="C2" i="14"/>
  <c r="D2" i="14"/>
  <c r="E2" i="14"/>
  <c r="F2" i="14"/>
  <c r="G2" i="14"/>
  <c r="H2" i="14"/>
  <c r="B2" i="14"/>
  <c r="C3" i="13"/>
  <c r="C4" i="13"/>
  <c r="C5" i="13"/>
  <c r="C6" i="13"/>
  <c r="C7" i="13"/>
  <c r="C8" i="13"/>
  <c r="C9" i="13"/>
  <c r="C10" i="13"/>
  <c r="C11" i="13"/>
  <c r="C12" i="13"/>
  <c r="C13" i="13"/>
  <c r="C2" i="13"/>
  <c r="I2" i="13"/>
  <c r="I3" i="13"/>
  <c r="I4" i="13"/>
  <c r="I5" i="13"/>
  <c r="I6" i="13"/>
  <c r="I7" i="13"/>
  <c r="I8" i="13"/>
  <c r="I9" i="13"/>
  <c r="I10" i="13"/>
  <c r="I11" i="13"/>
  <c r="I12" i="13"/>
  <c r="I13" i="13"/>
  <c r="B3" i="13"/>
  <c r="D3" i="13"/>
  <c r="E3" i="13"/>
  <c r="F3" i="13"/>
  <c r="G3" i="13"/>
  <c r="H3" i="13"/>
  <c r="B4" i="13"/>
  <c r="D4" i="13"/>
  <c r="E4" i="13"/>
  <c r="F4" i="13"/>
  <c r="G4" i="13"/>
  <c r="H4" i="13"/>
  <c r="B5" i="13"/>
  <c r="D5" i="13"/>
  <c r="E5" i="13"/>
  <c r="F5" i="13"/>
  <c r="G5" i="13"/>
  <c r="H5" i="13"/>
  <c r="B6" i="13"/>
  <c r="D6" i="13"/>
  <c r="E6" i="13"/>
  <c r="F6" i="13"/>
  <c r="G6" i="13"/>
  <c r="H6" i="13"/>
  <c r="B7" i="13"/>
  <c r="D7" i="13"/>
  <c r="E7" i="13"/>
  <c r="F7" i="13"/>
  <c r="G7" i="13"/>
  <c r="H7" i="13"/>
  <c r="B8" i="13"/>
  <c r="D8" i="13"/>
  <c r="E8" i="13"/>
  <c r="F8" i="13"/>
  <c r="G8" i="13"/>
  <c r="H8" i="13"/>
  <c r="B9" i="13"/>
  <c r="D9" i="13"/>
  <c r="E9" i="13"/>
  <c r="F9" i="13"/>
  <c r="G9" i="13"/>
  <c r="H9" i="13"/>
  <c r="B10" i="13"/>
  <c r="D10" i="13"/>
  <c r="E10" i="13"/>
  <c r="F10" i="13"/>
  <c r="G10" i="13"/>
  <c r="H10" i="13"/>
  <c r="B11" i="13"/>
  <c r="D11" i="13"/>
  <c r="E11" i="13"/>
  <c r="F11" i="13"/>
  <c r="G11" i="13"/>
  <c r="H11" i="13"/>
  <c r="B12" i="13"/>
  <c r="D12" i="13"/>
  <c r="E12" i="13"/>
  <c r="F12" i="13"/>
  <c r="G12" i="13"/>
  <c r="H12" i="13"/>
  <c r="B13" i="13"/>
  <c r="D13" i="13"/>
  <c r="E13" i="13"/>
  <c r="F13" i="13"/>
  <c r="G13" i="13"/>
  <c r="H13" i="13"/>
  <c r="D2" i="13"/>
  <c r="E2" i="13"/>
  <c r="F2" i="13"/>
  <c r="G2" i="13"/>
  <c r="H2" i="13"/>
  <c r="B2" i="13"/>
  <c r="H2" i="11"/>
  <c r="H3" i="11"/>
  <c r="H4" i="11"/>
  <c r="H5" i="11"/>
  <c r="H6" i="11"/>
  <c r="H7" i="11"/>
  <c r="H8" i="11"/>
  <c r="H9" i="11"/>
  <c r="H10" i="11"/>
  <c r="H11" i="11"/>
  <c r="H12" i="11"/>
  <c r="H13" i="11"/>
  <c r="H14" i="11"/>
  <c r="H15" i="11"/>
  <c r="H16" i="11"/>
  <c r="H17" i="11"/>
  <c r="H18" i="11"/>
  <c r="H19" i="11"/>
  <c r="H20" i="11"/>
  <c r="H21" i="11"/>
  <c r="H22" i="11"/>
  <c r="H23" i="11"/>
  <c r="H24" i="11"/>
  <c r="H25" i="11"/>
  <c r="H26" i="11"/>
  <c r="B25" i="11"/>
  <c r="C25" i="11"/>
  <c r="D25" i="11"/>
  <c r="E25" i="11"/>
  <c r="F25" i="11"/>
  <c r="G25" i="11"/>
  <c r="B26" i="11"/>
  <c r="C26" i="11"/>
  <c r="D26" i="11"/>
  <c r="E26" i="11"/>
  <c r="F26" i="11"/>
  <c r="G26" i="11"/>
  <c r="B19" i="11"/>
  <c r="C19" i="11"/>
  <c r="E19" i="11"/>
  <c r="F19" i="11"/>
  <c r="G19" i="11"/>
  <c r="B20" i="11"/>
  <c r="C20" i="11"/>
  <c r="D20" i="11"/>
  <c r="E20" i="11"/>
  <c r="F20" i="11"/>
  <c r="G20" i="11"/>
  <c r="B21" i="11"/>
  <c r="C21" i="11"/>
  <c r="D21" i="11"/>
  <c r="E21" i="11"/>
  <c r="F21" i="11"/>
  <c r="G21" i="11"/>
  <c r="B22" i="11"/>
  <c r="C22" i="11"/>
  <c r="D22" i="11"/>
  <c r="E22" i="11"/>
  <c r="F22" i="11"/>
  <c r="G22" i="11"/>
  <c r="B23" i="11"/>
  <c r="C23" i="11"/>
  <c r="D23" i="11"/>
  <c r="E23" i="11"/>
  <c r="F23" i="11"/>
  <c r="G23" i="11"/>
  <c r="B24" i="11"/>
  <c r="C24" i="11"/>
  <c r="D24" i="11"/>
  <c r="E24" i="11"/>
  <c r="F24" i="11"/>
  <c r="G24" i="11"/>
  <c r="B17" i="11"/>
  <c r="C17" i="11"/>
  <c r="E17" i="11"/>
  <c r="F17" i="11"/>
  <c r="G17" i="11"/>
  <c r="B18" i="11"/>
  <c r="C18" i="11"/>
  <c r="E18" i="11"/>
  <c r="F18" i="11"/>
  <c r="G18" i="11"/>
  <c r="B16" i="11"/>
  <c r="C16" i="11"/>
  <c r="D16" i="11"/>
  <c r="E16" i="11"/>
  <c r="F16" i="11"/>
  <c r="G16" i="11"/>
  <c r="B14" i="11"/>
  <c r="C14" i="11"/>
  <c r="D14" i="11"/>
  <c r="E14" i="11"/>
  <c r="F14" i="11"/>
  <c r="G14" i="11"/>
  <c r="B15" i="11"/>
  <c r="C15" i="11"/>
  <c r="D15" i="11"/>
  <c r="E15" i="11"/>
  <c r="F15" i="11"/>
  <c r="G15" i="11"/>
  <c r="B11" i="11"/>
  <c r="C11" i="11"/>
  <c r="D11" i="11"/>
  <c r="E11" i="11"/>
  <c r="F11" i="11"/>
  <c r="G11" i="11"/>
  <c r="B12" i="11"/>
  <c r="C12" i="11"/>
  <c r="D12" i="11"/>
  <c r="E12" i="11"/>
  <c r="F12" i="11"/>
  <c r="G12" i="11"/>
  <c r="B13" i="11"/>
  <c r="C13" i="11"/>
  <c r="D13" i="11"/>
  <c r="E13" i="11"/>
  <c r="F13" i="11"/>
  <c r="G13" i="11"/>
  <c r="B8" i="11"/>
  <c r="C8" i="11"/>
  <c r="D8" i="11"/>
  <c r="E8" i="11"/>
  <c r="F8" i="11"/>
  <c r="G8" i="11"/>
  <c r="B9" i="11"/>
  <c r="C9" i="11"/>
  <c r="D9" i="11"/>
  <c r="E9" i="11"/>
  <c r="F9" i="11"/>
  <c r="G9" i="11"/>
  <c r="B10" i="11"/>
  <c r="C10" i="11"/>
  <c r="D10" i="11"/>
  <c r="E10" i="11"/>
  <c r="F10" i="11"/>
  <c r="G10" i="11"/>
  <c r="M5" i="4"/>
  <c r="M8" i="4"/>
  <c r="M10" i="4"/>
  <c r="M11" i="4"/>
  <c r="M13" i="4"/>
  <c r="M14" i="4"/>
  <c r="M15" i="4"/>
  <c r="M4" i="4"/>
  <c r="D4" i="11"/>
  <c r="D5" i="11"/>
  <c r="D6" i="11"/>
  <c r="D7" i="11"/>
  <c r="D3" i="11"/>
  <c r="B5" i="11"/>
  <c r="C5" i="11"/>
  <c r="E5" i="11"/>
  <c r="F5" i="11"/>
  <c r="G5" i="11"/>
  <c r="B6" i="11"/>
  <c r="C6" i="11"/>
  <c r="E6" i="11"/>
  <c r="F6" i="11"/>
  <c r="G6" i="11"/>
  <c r="B7" i="11"/>
  <c r="C7" i="11"/>
  <c r="E7" i="11"/>
  <c r="F7" i="11"/>
  <c r="G7" i="11"/>
  <c r="B3" i="11"/>
  <c r="C3" i="11"/>
  <c r="E3" i="11"/>
  <c r="F3" i="11"/>
  <c r="G3" i="11"/>
  <c r="B4" i="11"/>
  <c r="C4" i="11"/>
  <c r="E4" i="11"/>
  <c r="F4" i="11"/>
  <c r="G4" i="11"/>
  <c r="H2" i="8"/>
  <c r="H3" i="8"/>
  <c r="H4" i="8"/>
  <c r="H5" i="8"/>
  <c r="H6" i="8"/>
  <c r="H7" i="8"/>
  <c r="H8" i="8"/>
  <c r="H9" i="8"/>
  <c r="H10" i="8"/>
  <c r="H11" i="8"/>
  <c r="H12" i="8"/>
  <c r="H13" i="8"/>
  <c r="H14" i="8"/>
  <c r="H15" i="8"/>
  <c r="H16" i="8"/>
  <c r="H17" i="8"/>
  <c r="H18" i="8"/>
  <c r="H19" i="8"/>
  <c r="H20" i="8"/>
  <c r="H21" i="8"/>
  <c r="H22" i="8"/>
  <c r="H23" i="8"/>
  <c r="H24" i="8"/>
  <c r="H25" i="8"/>
  <c r="H26" i="8"/>
  <c r="H27" i="8"/>
  <c r="H28" i="8"/>
  <c r="H29" i="8"/>
  <c r="H30" i="8"/>
  <c r="H31" i="8"/>
  <c r="I5" i="4"/>
  <c r="I6" i="4"/>
  <c r="I7" i="4"/>
  <c r="I8" i="4"/>
  <c r="I9" i="4"/>
  <c r="I10" i="4"/>
  <c r="I11" i="4"/>
  <c r="I12" i="4"/>
  <c r="I13" i="4"/>
  <c r="I14" i="4"/>
  <c r="I15" i="4"/>
  <c r="I4" i="4"/>
  <c r="D16" i="4"/>
  <c r="E16" i="4"/>
  <c r="G16" i="4"/>
  <c r="C2" i="11"/>
  <c r="E2" i="11"/>
  <c r="F2" i="11"/>
  <c r="G2" i="11"/>
  <c r="B2" i="11"/>
  <c r="H2" i="10"/>
  <c r="H3" i="10"/>
  <c r="H4" i="10"/>
  <c r="H5" i="10"/>
  <c r="H6" i="10"/>
  <c r="H7" i="10"/>
  <c r="H8" i="10"/>
  <c r="H9" i="10"/>
  <c r="H10" i="10"/>
  <c r="H11" i="10"/>
  <c r="H12" i="10"/>
  <c r="H13" i="10"/>
  <c r="H14" i="10"/>
  <c r="H15" i="10"/>
  <c r="H16" i="10"/>
  <c r="H17" i="10"/>
  <c r="H18" i="10"/>
  <c r="H19" i="10"/>
  <c r="H20" i="10"/>
  <c r="H21" i="10"/>
  <c r="H22" i="10"/>
  <c r="H23" i="10"/>
  <c r="H24" i="10"/>
  <c r="H25" i="10"/>
  <c r="H26" i="10"/>
  <c r="H27" i="10"/>
  <c r="B23" i="10"/>
  <c r="C23" i="10"/>
  <c r="E23" i="10"/>
  <c r="F23" i="10"/>
  <c r="G23" i="10"/>
  <c r="B24" i="10"/>
  <c r="C24" i="10"/>
  <c r="E24" i="10"/>
  <c r="F24" i="10"/>
  <c r="G24" i="10"/>
  <c r="B25" i="10"/>
  <c r="C25" i="10"/>
  <c r="D25" i="10"/>
  <c r="E25" i="10"/>
  <c r="F25" i="10"/>
  <c r="G25" i="10"/>
  <c r="B26" i="10"/>
  <c r="C26" i="10"/>
  <c r="D26" i="10"/>
  <c r="E26" i="10"/>
  <c r="F26" i="10"/>
  <c r="G26" i="10"/>
  <c r="B27" i="10"/>
  <c r="C27" i="10"/>
  <c r="D27" i="10"/>
  <c r="E27" i="10"/>
  <c r="F27" i="10"/>
  <c r="G27" i="10"/>
  <c r="B21" i="10"/>
  <c r="C21" i="10"/>
  <c r="D21" i="10"/>
  <c r="E21" i="10"/>
  <c r="F21" i="10"/>
  <c r="G21" i="10"/>
  <c r="B22" i="10"/>
  <c r="C22" i="10"/>
  <c r="D22" i="10"/>
  <c r="E22" i="10"/>
  <c r="F22" i="10"/>
  <c r="G22" i="10"/>
  <c r="D20" i="10"/>
  <c r="B20" i="10"/>
  <c r="C20" i="10"/>
  <c r="E20" i="10"/>
  <c r="F20" i="10"/>
  <c r="G20" i="10"/>
  <c r="B18" i="10"/>
  <c r="C18" i="10"/>
  <c r="E18" i="10"/>
  <c r="F18" i="10"/>
  <c r="G18" i="10"/>
  <c r="B19" i="10"/>
  <c r="C19" i="10"/>
  <c r="E19" i="10"/>
  <c r="F19" i="10"/>
  <c r="G19" i="10"/>
  <c r="B17" i="10"/>
  <c r="C17" i="10"/>
  <c r="E17" i="10"/>
  <c r="F17" i="10"/>
  <c r="G17" i="10"/>
  <c r="B15" i="10"/>
  <c r="C15" i="10"/>
  <c r="D15" i="10"/>
  <c r="E15" i="10"/>
  <c r="F15" i="10"/>
  <c r="G15" i="10"/>
  <c r="B16" i="10"/>
  <c r="C16" i="10"/>
  <c r="D16" i="10"/>
  <c r="E16" i="10"/>
  <c r="F16" i="10"/>
  <c r="G16" i="10"/>
  <c r="H2" i="6"/>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B11" i="10"/>
  <c r="C11" i="10"/>
  <c r="D11" i="10"/>
  <c r="E11" i="10"/>
  <c r="F11" i="10"/>
  <c r="G11" i="10"/>
  <c r="B12" i="10"/>
  <c r="C12" i="10"/>
  <c r="D12" i="10"/>
  <c r="E12" i="10"/>
  <c r="F12" i="10"/>
  <c r="G12" i="10"/>
  <c r="B13" i="10"/>
  <c r="C13" i="10"/>
  <c r="D13" i="10"/>
  <c r="E13" i="10"/>
  <c r="F13" i="10"/>
  <c r="G13" i="10"/>
  <c r="B14" i="10"/>
  <c r="C14" i="10"/>
  <c r="D14" i="10"/>
  <c r="E14" i="10"/>
  <c r="F14" i="10"/>
  <c r="G14" i="10"/>
  <c r="B7" i="10"/>
  <c r="C7" i="10"/>
  <c r="D7" i="10"/>
  <c r="E7" i="10"/>
  <c r="F7" i="10"/>
  <c r="G7" i="10"/>
  <c r="B8" i="10"/>
  <c r="C8" i="10"/>
  <c r="D8" i="10"/>
  <c r="E8" i="10"/>
  <c r="F8" i="10"/>
  <c r="G8" i="10"/>
  <c r="B9" i="10"/>
  <c r="C9" i="10"/>
  <c r="D9" i="10"/>
  <c r="E9" i="10"/>
  <c r="F9" i="10"/>
  <c r="G9" i="10"/>
  <c r="B10" i="10"/>
  <c r="C10" i="10"/>
  <c r="D10" i="10"/>
  <c r="E10" i="10"/>
  <c r="F10" i="10"/>
  <c r="G10" i="10"/>
  <c r="B6" i="10"/>
  <c r="C6" i="10"/>
  <c r="D6" i="10"/>
  <c r="E6" i="10"/>
  <c r="F6" i="10"/>
  <c r="G6" i="10"/>
  <c r="B4" i="10"/>
  <c r="C4" i="10"/>
  <c r="D4" i="10"/>
  <c r="E4" i="10"/>
  <c r="F4" i="10"/>
  <c r="G4" i="10"/>
  <c r="B5" i="10"/>
  <c r="C5" i="10"/>
  <c r="D5" i="10"/>
  <c r="E5" i="10"/>
  <c r="F5" i="10"/>
  <c r="G5" i="10"/>
  <c r="B3" i="10"/>
  <c r="C3" i="10"/>
  <c r="D3" i="10"/>
  <c r="E3" i="10"/>
  <c r="F3" i="10"/>
  <c r="G3" i="10"/>
  <c r="C2" i="10"/>
  <c r="D2" i="10"/>
  <c r="E2" i="10"/>
  <c r="F2" i="10"/>
  <c r="G2" i="10"/>
  <c r="B2" i="10"/>
  <c r="H4" i="9"/>
  <c r="H5" i="9"/>
  <c r="H6" i="9"/>
  <c r="H7" i="9"/>
  <c r="H8" i="9"/>
  <c r="H9" i="9"/>
  <c r="H10" i="9"/>
  <c r="H11" i="9"/>
  <c r="H12" i="9"/>
  <c r="H13" i="9"/>
  <c r="H14" i="9"/>
  <c r="B14" i="9"/>
  <c r="C14" i="9"/>
  <c r="D14" i="9"/>
  <c r="E14" i="9"/>
  <c r="F14" i="9"/>
  <c r="G14" i="9"/>
  <c r="B13" i="9"/>
  <c r="C13" i="9"/>
  <c r="E13" i="9"/>
  <c r="F13" i="9"/>
  <c r="G13" i="9"/>
  <c r="B12" i="9"/>
  <c r="C12" i="9"/>
  <c r="D12" i="9"/>
  <c r="E12" i="9"/>
  <c r="F12" i="9"/>
  <c r="G12" i="9"/>
  <c r="B8" i="9"/>
  <c r="C8" i="9"/>
  <c r="D8" i="9"/>
  <c r="E8" i="9"/>
  <c r="F8" i="9"/>
  <c r="G8" i="9"/>
  <c r="B9" i="9"/>
  <c r="C9" i="9"/>
  <c r="D9" i="9"/>
  <c r="E9" i="9"/>
  <c r="F9" i="9"/>
  <c r="G9" i="9"/>
  <c r="B10" i="9"/>
  <c r="C10" i="9"/>
  <c r="D10" i="9"/>
  <c r="E10" i="9"/>
  <c r="F10" i="9"/>
  <c r="G10" i="9"/>
  <c r="B11" i="9"/>
  <c r="C11" i="9"/>
  <c r="D11" i="9"/>
  <c r="E11" i="9"/>
  <c r="F11" i="9"/>
  <c r="G11" i="9"/>
  <c r="B7" i="9"/>
  <c r="C7" i="9"/>
  <c r="D7" i="9"/>
  <c r="E7" i="9"/>
  <c r="F7" i="9"/>
  <c r="G7" i="9"/>
  <c r="B6" i="9"/>
  <c r="C6" i="9"/>
  <c r="D6" i="9"/>
  <c r="E6" i="9"/>
  <c r="F6" i="9"/>
  <c r="G6" i="9"/>
  <c r="B5" i="9"/>
  <c r="C5" i="9"/>
  <c r="D5" i="9"/>
  <c r="E5" i="9"/>
  <c r="F5" i="9"/>
  <c r="G5" i="9"/>
  <c r="C4" i="9"/>
  <c r="D4" i="9"/>
  <c r="E4" i="9"/>
  <c r="F4" i="9"/>
  <c r="G4" i="9"/>
  <c r="B4" i="9"/>
  <c r="A3" i="9"/>
  <c r="A4" i="9" s="1"/>
  <c r="A5" i="9" s="1"/>
  <c r="A6" i="9" s="1"/>
  <c r="A7" i="9" s="1"/>
  <c r="A8" i="9" s="1"/>
  <c r="A9" i="9" s="1"/>
  <c r="A10" i="9" s="1"/>
  <c r="A11" i="9" s="1"/>
  <c r="A12" i="9" s="1"/>
  <c r="A13" i="9" s="1"/>
  <c r="A14" i="9" s="1"/>
  <c r="D31" i="8"/>
  <c r="B31" i="8"/>
  <c r="C31" i="8"/>
  <c r="E31" i="8"/>
  <c r="F31" i="8"/>
  <c r="G31" i="8"/>
  <c r="B29" i="8"/>
  <c r="C29" i="8"/>
  <c r="D29" i="8"/>
  <c r="E29" i="8"/>
  <c r="F29" i="8"/>
  <c r="G29" i="8"/>
  <c r="B30" i="8"/>
  <c r="C30" i="8"/>
  <c r="E30" i="8"/>
  <c r="F30" i="8"/>
  <c r="G30" i="8"/>
  <c r="B27" i="8"/>
  <c r="C27" i="8"/>
  <c r="D27" i="8"/>
  <c r="E27" i="8"/>
  <c r="F27" i="8"/>
  <c r="G27" i="8"/>
  <c r="B28" i="8"/>
  <c r="C28" i="8"/>
  <c r="D28" i="8"/>
  <c r="E28" i="8"/>
  <c r="F28" i="8"/>
  <c r="G28" i="8"/>
  <c r="B22" i="8"/>
  <c r="C22" i="8"/>
  <c r="D22" i="8"/>
  <c r="E22" i="8"/>
  <c r="F22" i="8"/>
  <c r="G22" i="8"/>
  <c r="B23" i="8"/>
  <c r="C23" i="8"/>
  <c r="D23" i="8"/>
  <c r="E23" i="8"/>
  <c r="F23" i="8"/>
  <c r="G23" i="8"/>
  <c r="B24" i="8"/>
  <c r="C24" i="8"/>
  <c r="D24" i="8"/>
  <c r="E24" i="8"/>
  <c r="F24" i="8"/>
  <c r="G24" i="8"/>
  <c r="B25" i="8"/>
  <c r="C25" i="8"/>
  <c r="D25" i="8"/>
  <c r="E25" i="8"/>
  <c r="F25" i="8"/>
  <c r="G25" i="8"/>
  <c r="B26" i="8"/>
  <c r="C26" i="8"/>
  <c r="D26" i="8"/>
  <c r="E26" i="8"/>
  <c r="F26" i="8"/>
  <c r="G26" i="8"/>
  <c r="B17" i="8"/>
  <c r="C17" i="8"/>
  <c r="D17" i="8"/>
  <c r="E17" i="8"/>
  <c r="F17" i="8"/>
  <c r="G17" i="8"/>
  <c r="B18" i="8"/>
  <c r="C18" i="8"/>
  <c r="D18" i="8"/>
  <c r="E18" i="8"/>
  <c r="F18" i="8"/>
  <c r="G18" i="8"/>
  <c r="B19" i="8"/>
  <c r="C19" i="8"/>
  <c r="D19" i="8"/>
  <c r="E19" i="8"/>
  <c r="F19" i="8"/>
  <c r="G19" i="8"/>
  <c r="B20" i="8"/>
  <c r="C20" i="8"/>
  <c r="D20" i="8"/>
  <c r="E20" i="8"/>
  <c r="F20" i="8"/>
  <c r="G20" i="8"/>
  <c r="B21" i="8"/>
  <c r="C21" i="8"/>
  <c r="D21" i="8"/>
  <c r="E21" i="8"/>
  <c r="F21" i="8"/>
  <c r="G21" i="8"/>
  <c r="B13" i="8"/>
  <c r="C13" i="8"/>
  <c r="D13" i="8"/>
  <c r="E13" i="8"/>
  <c r="F13" i="8"/>
  <c r="G13" i="8"/>
  <c r="B14" i="8"/>
  <c r="C14" i="8"/>
  <c r="D14" i="8"/>
  <c r="E14" i="8"/>
  <c r="F14" i="8"/>
  <c r="G14" i="8"/>
  <c r="B15" i="8"/>
  <c r="C15" i="8"/>
  <c r="D15" i="8"/>
  <c r="E15" i="8"/>
  <c r="F15" i="8"/>
  <c r="G15" i="8"/>
  <c r="B16" i="8"/>
  <c r="C16" i="8"/>
  <c r="D16" i="8"/>
  <c r="E16" i="8"/>
  <c r="F16" i="8"/>
  <c r="G16" i="8"/>
  <c r="B4" i="8"/>
  <c r="C4" i="8"/>
  <c r="D4" i="8"/>
  <c r="E4" i="8"/>
  <c r="F4" i="8"/>
  <c r="G4" i="8"/>
  <c r="B5" i="8"/>
  <c r="C5" i="8"/>
  <c r="D5" i="8"/>
  <c r="E5" i="8"/>
  <c r="F5" i="8"/>
  <c r="G5" i="8"/>
  <c r="B6" i="8"/>
  <c r="C6" i="8"/>
  <c r="D6" i="8"/>
  <c r="E6" i="8"/>
  <c r="F6" i="8"/>
  <c r="G6" i="8"/>
  <c r="B7" i="8"/>
  <c r="C7" i="8"/>
  <c r="D7" i="8"/>
  <c r="E7" i="8"/>
  <c r="F7" i="8"/>
  <c r="G7" i="8"/>
  <c r="B8" i="8"/>
  <c r="C8" i="8"/>
  <c r="D8" i="8"/>
  <c r="E8" i="8"/>
  <c r="F8" i="8"/>
  <c r="G8" i="8"/>
  <c r="B9" i="8"/>
  <c r="C9" i="8"/>
  <c r="D9" i="8"/>
  <c r="E9" i="8"/>
  <c r="F9" i="8"/>
  <c r="G9" i="8"/>
  <c r="B10" i="8"/>
  <c r="C10" i="8"/>
  <c r="D10" i="8"/>
  <c r="E10" i="8"/>
  <c r="F10" i="8"/>
  <c r="G10" i="8"/>
  <c r="B11" i="8"/>
  <c r="C11" i="8"/>
  <c r="D11" i="8"/>
  <c r="E11" i="8"/>
  <c r="F11" i="8"/>
  <c r="G11" i="8"/>
  <c r="B12" i="8"/>
  <c r="C12" i="8"/>
  <c r="D12" i="8"/>
  <c r="E12" i="8"/>
  <c r="F12" i="8"/>
  <c r="G12" i="8"/>
  <c r="B3" i="8"/>
  <c r="C3" i="8"/>
  <c r="D3" i="8"/>
  <c r="E3" i="8"/>
  <c r="F3" i="8"/>
  <c r="G3" i="8"/>
  <c r="C2" i="8"/>
  <c r="F2" i="8"/>
  <c r="G2" i="8"/>
  <c r="B2" i="8"/>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D62" i="7"/>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B62" i="7"/>
  <c r="C62" i="7"/>
  <c r="E62" i="7"/>
  <c r="F62" i="7"/>
  <c r="G62" i="7"/>
  <c r="B61" i="7"/>
  <c r="C61" i="7"/>
  <c r="E61" i="7"/>
  <c r="F61" i="7"/>
  <c r="G61" i="7"/>
  <c r="B57" i="7"/>
  <c r="C57" i="7"/>
  <c r="D57" i="7"/>
  <c r="E57" i="7"/>
  <c r="F57" i="7"/>
  <c r="G57" i="7"/>
  <c r="B58" i="7"/>
  <c r="C58" i="7"/>
  <c r="D58" i="7"/>
  <c r="E58" i="7"/>
  <c r="F58" i="7"/>
  <c r="G58" i="7"/>
  <c r="B59" i="7"/>
  <c r="C59" i="7"/>
  <c r="D59" i="7"/>
  <c r="E59" i="7"/>
  <c r="F59" i="7"/>
  <c r="G59" i="7"/>
  <c r="B60" i="7"/>
  <c r="C60" i="7"/>
  <c r="D60" i="7"/>
  <c r="E60" i="7"/>
  <c r="F60" i="7"/>
  <c r="G60" i="7"/>
  <c r="B56" i="7"/>
  <c r="C56" i="7"/>
  <c r="E56" i="7"/>
  <c r="F56" i="7"/>
  <c r="G56" i="7"/>
  <c r="B52" i="7"/>
  <c r="C52" i="7"/>
  <c r="D52" i="7"/>
  <c r="E52" i="7"/>
  <c r="F52" i="7"/>
  <c r="G52" i="7"/>
  <c r="B53" i="7"/>
  <c r="C53" i="7"/>
  <c r="D53" i="7"/>
  <c r="E53" i="7"/>
  <c r="F53" i="7"/>
  <c r="G53" i="7"/>
  <c r="B54" i="7"/>
  <c r="C54" i="7"/>
  <c r="D54" i="7"/>
  <c r="E54" i="7"/>
  <c r="F54" i="7"/>
  <c r="G54" i="7"/>
  <c r="B55" i="7"/>
  <c r="C55" i="7"/>
  <c r="D55" i="7"/>
  <c r="E55" i="7"/>
  <c r="F55" i="7"/>
  <c r="G55" i="7"/>
  <c r="B50" i="7"/>
  <c r="C50" i="7"/>
  <c r="D50" i="7"/>
  <c r="E50" i="7"/>
  <c r="F50" i="7"/>
  <c r="G50" i="7"/>
  <c r="B51" i="7"/>
  <c r="C51" i="7"/>
  <c r="D51" i="7"/>
  <c r="E51" i="7"/>
  <c r="F51" i="7"/>
  <c r="G51" i="7"/>
  <c r="B49" i="7"/>
  <c r="C49" i="7"/>
  <c r="D49" i="7"/>
  <c r="E49" i="7"/>
  <c r="F49" i="7"/>
  <c r="G49" i="7"/>
  <c r="B40" i="7"/>
  <c r="C40" i="7"/>
  <c r="D40" i="7"/>
  <c r="E40" i="7"/>
  <c r="F40" i="7"/>
  <c r="G40" i="7"/>
  <c r="B41" i="7"/>
  <c r="C41" i="7"/>
  <c r="D41" i="7"/>
  <c r="E41" i="7"/>
  <c r="F41" i="7"/>
  <c r="G41" i="7"/>
  <c r="B42" i="7"/>
  <c r="C42" i="7"/>
  <c r="D42" i="7"/>
  <c r="E42" i="7"/>
  <c r="F42" i="7"/>
  <c r="G42" i="7"/>
  <c r="B43" i="7"/>
  <c r="C43" i="7"/>
  <c r="D43" i="7"/>
  <c r="E43" i="7"/>
  <c r="F43" i="7"/>
  <c r="G43" i="7"/>
  <c r="B44" i="7"/>
  <c r="C44" i="7"/>
  <c r="D44" i="7"/>
  <c r="E44" i="7"/>
  <c r="F44" i="7"/>
  <c r="G44" i="7"/>
  <c r="B45" i="7"/>
  <c r="C45" i="7"/>
  <c r="D45" i="7"/>
  <c r="E45" i="7"/>
  <c r="F45" i="7"/>
  <c r="G45" i="7"/>
  <c r="B46" i="7"/>
  <c r="C46" i="7"/>
  <c r="D46" i="7"/>
  <c r="E46" i="7"/>
  <c r="F46" i="7"/>
  <c r="G46" i="7"/>
  <c r="B47" i="7"/>
  <c r="C47" i="7"/>
  <c r="D47" i="7"/>
  <c r="E47" i="7"/>
  <c r="F47" i="7"/>
  <c r="G47" i="7"/>
  <c r="B48" i="7"/>
  <c r="C48" i="7"/>
  <c r="D48" i="7"/>
  <c r="E48" i="7"/>
  <c r="F48" i="7"/>
  <c r="G48" i="7"/>
  <c r="H2" i="5"/>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B29" i="7"/>
  <c r="C29" i="7"/>
  <c r="D29" i="7"/>
  <c r="E29" i="7"/>
  <c r="F29" i="7"/>
  <c r="G29" i="7"/>
  <c r="B30" i="7"/>
  <c r="C30" i="7"/>
  <c r="D30" i="7"/>
  <c r="E30" i="7"/>
  <c r="F30" i="7"/>
  <c r="G30" i="7"/>
  <c r="B31" i="7"/>
  <c r="C31" i="7"/>
  <c r="D31" i="7"/>
  <c r="E31" i="7"/>
  <c r="F31" i="7"/>
  <c r="G31" i="7"/>
  <c r="B32" i="7"/>
  <c r="C32" i="7"/>
  <c r="D32" i="7"/>
  <c r="E32" i="7"/>
  <c r="F32" i="7"/>
  <c r="G32" i="7"/>
  <c r="B33" i="7"/>
  <c r="C33" i="7"/>
  <c r="D33" i="7"/>
  <c r="E33" i="7"/>
  <c r="F33" i="7"/>
  <c r="G33" i="7"/>
  <c r="B34" i="7"/>
  <c r="C34" i="7"/>
  <c r="D34" i="7"/>
  <c r="E34" i="7"/>
  <c r="F34" i="7"/>
  <c r="G34" i="7"/>
  <c r="B35" i="7"/>
  <c r="C35" i="7"/>
  <c r="D35" i="7"/>
  <c r="E35" i="7"/>
  <c r="F35" i="7"/>
  <c r="G35" i="7"/>
  <c r="B36" i="7"/>
  <c r="C36" i="7"/>
  <c r="D36" i="7"/>
  <c r="E36" i="7"/>
  <c r="F36" i="7"/>
  <c r="G36" i="7"/>
  <c r="B37" i="7"/>
  <c r="C37" i="7"/>
  <c r="D37" i="7"/>
  <c r="E37" i="7"/>
  <c r="F37" i="7"/>
  <c r="G37" i="7"/>
  <c r="B38" i="7"/>
  <c r="C38" i="7"/>
  <c r="D38" i="7"/>
  <c r="E38" i="7"/>
  <c r="F38" i="7"/>
  <c r="G38" i="7"/>
  <c r="B39" i="7"/>
  <c r="C39" i="7"/>
  <c r="D39" i="7"/>
  <c r="E39" i="7"/>
  <c r="F39" i="7"/>
  <c r="G39" i="7"/>
  <c r="B28" i="7"/>
  <c r="C28" i="7"/>
  <c r="D28" i="7"/>
  <c r="E28" i="7"/>
  <c r="F28" i="7"/>
  <c r="G28" i="7"/>
  <c r="B27" i="7"/>
  <c r="C27" i="7"/>
  <c r="D27" i="7"/>
  <c r="E27" i="7"/>
  <c r="F27" i="7"/>
  <c r="G27" i="7"/>
  <c r="B21" i="7"/>
  <c r="C21" i="7"/>
  <c r="D21" i="7"/>
  <c r="E21" i="7"/>
  <c r="F21" i="7"/>
  <c r="G21" i="7"/>
  <c r="B22" i="7"/>
  <c r="C22" i="7"/>
  <c r="E22" i="7"/>
  <c r="F22" i="7"/>
  <c r="G22" i="7"/>
  <c r="B23" i="7"/>
  <c r="C23" i="7"/>
  <c r="D23" i="7"/>
  <c r="E23" i="7"/>
  <c r="F23" i="7"/>
  <c r="G23" i="7"/>
  <c r="B24" i="7"/>
  <c r="C24" i="7"/>
  <c r="D24" i="7"/>
  <c r="E24" i="7"/>
  <c r="F24" i="7"/>
  <c r="G24" i="7"/>
  <c r="B25" i="7"/>
  <c r="C25" i="7"/>
  <c r="D25" i="7"/>
  <c r="E25" i="7"/>
  <c r="F25" i="7"/>
  <c r="G25" i="7"/>
  <c r="B26" i="7"/>
  <c r="C26" i="7"/>
  <c r="D26" i="7"/>
  <c r="E26" i="7"/>
  <c r="F26" i="7"/>
  <c r="G26" i="7"/>
  <c r="B18" i="7"/>
  <c r="C18" i="7"/>
  <c r="D18" i="7"/>
  <c r="E18" i="7"/>
  <c r="F18" i="7"/>
  <c r="G18" i="7"/>
  <c r="B19" i="7"/>
  <c r="C19" i="7"/>
  <c r="D19" i="7"/>
  <c r="E19" i="7"/>
  <c r="F19" i="7"/>
  <c r="G19" i="7"/>
  <c r="B20" i="7"/>
  <c r="C20" i="7"/>
  <c r="D20" i="7"/>
  <c r="E20" i="7"/>
  <c r="F20" i="7"/>
  <c r="G20" i="7"/>
  <c r="B17" i="7"/>
  <c r="C17" i="7"/>
  <c r="D17" i="7"/>
  <c r="E17" i="7"/>
  <c r="F17" i="7"/>
  <c r="G17" i="7"/>
  <c r="B9" i="7"/>
  <c r="C9" i="7"/>
  <c r="D9" i="7"/>
  <c r="E9" i="7"/>
  <c r="F9" i="7"/>
  <c r="G9" i="7"/>
  <c r="B10" i="7"/>
  <c r="C10" i="7"/>
  <c r="D10" i="7"/>
  <c r="E10" i="7"/>
  <c r="F10" i="7"/>
  <c r="G10" i="7"/>
  <c r="B11" i="7"/>
  <c r="C11" i="7"/>
  <c r="D11" i="7"/>
  <c r="E11" i="7"/>
  <c r="F11" i="7"/>
  <c r="G11" i="7"/>
  <c r="B12" i="7"/>
  <c r="C12" i="7"/>
  <c r="D12" i="7"/>
  <c r="E12" i="7"/>
  <c r="F12" i="7"/>
  <c r="G12" i="7"/>
  <c r="B13" i="7"/>
  <c r="C13" i="7"/>
  <c r="D13" i="7"/>
  <c r="E13" i="7"/>
  <c r="F13" i="7"/>
  <c r="G13" i="7"/>
  <c r="B14" i="7"/>
  <c r="C14" i="7"/>
  <c r="D14" i="7"/>
  <c r="E14" i="7"/>
  <c r="F14" i="7"/>
  <c r="G14" i="7"/>
  <c r="B15" i="7"/>
  <c r="C15" i="7"/>
  <c r="D15" i="7"/>
  <c r="E15" i="7"/>
  <c r="F15" i="7"/>
  <c r="G15" i="7"/>
  <c r="B16" i="7"/>
  <c r="C16" i="7"/>
  <c r="D16" i="7"/>
  <c r="E16" i="7"/>
  <c r="F16" i="7"/>
  <c r="G16" i="7"/>
  <c r="B6" i="7"/>
  <c r="C6" i="7"/>
  <c r="D6" i="7"/>
  <c r="E6" i="7"/>
  <c r="F6" i="7"/>
  <c r="G6" i="7"/>
  <c r="B7" i="7"/>
  <c r="C7" i="7"/>
  <c r="D7" i="7"/>
  <c r="E7" i="7"/>
  <c r="F7" i="7"/>
  <c r="G7" i="7"/>
  <c r="B8" i="7"/>
  <c r="C8" i="7"/>
  <c r="D8" i="7"/>
  <c r="E8" i="7"/>
  <c r="F8" i="7"/>
  <c r="G8" i="7"/>
  <c r="B3" i="7"/>
  <c r="C3" i="7"/>
  <c r="D3" i="7"/>
  <c r="E3" i="7"/>
  <c r="F3" i="7"/>
  <c r="G3" i="7"/>
  <c r="B4" i="7"/>
  <c r="C4" i="7"/>
  <c r="D4" i="7"/>
  <c r="E4" i="7"/>
  <c r="F4" i="7"/>
  <c r="G4" i="7"/>
  <c r="B5" i="7"/>
  <c r="C5" i="7"/>
  <c r="D5" i="7"/>
  <c r="E5" i="7"/>
  <c r="F5" i="7"/>
  <c r="G5" i="7"/>
  <c r="C2" i="7"/>
  <c r="D2" i="7"/>
  <c r="E2" i="7"/>
  <c r="F2" i="7"/>
  <c r="G2" i="7"/>
  <c r="B2" i="7"/>
  <c r="A3" i="6"/>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B35" i="6"/>
  <c r="C35" i="6"/>
  <c r="D35" i="6"/>
  <c r="E35" i="6"/>
  <c r="F35" i="6"/>
  <c r="G35" i="6"/>
  <c r="B31" i="6"/>
  <c r="C31" i="6"/>
  <c r="D31" i="6"/>
  <c r="E31" i="6"/>
  <c r="F31" i="6"/>
  <c r="G31" i="6"/>
  <c r="B32" i="6"/>
  <c r="C32" i="6"/>
  <c r="D32" i="6"/>
  <c r="E32" i="6"/>
  <c r="F32" i="6"/>
  <c r="G32" i="6"/>
  <c r="B33" i="6"/>
  <c r="C33" i="6"/>
  <c r="D33" i="6"/>
  <c r="E33" i="6"/>
  <c r="F33" i="6"/>
  <c r="G33" i="6"/>
  <c r="B34" i="6"/>
  <c r="C34" i="6"/>
  <c r="D34" i="6"/>
  <c r="E34" i="6"/>
  <c r="F34" i="6"/>
  <c r="G34" i="6"/>
  <c r="B26" i="6"/>
  <c r="C26" i="6"/>
  <c r="D26" i="6"/>
  <c r="E26" i="6"/>
  <c r="F26" i="6"/>
  <c r="G26" i="6"/>
  <c r="B27" i="6"/>
  <c r="C27" i="6"/>
  <c r="D27" i="6"/>
  <c r="E27" i="6"/>
  <c r="F27" i="6"/>
  <c r="G27" i="6"/>
  <c r="B28" i="6"/>
  <c r="C28" i="6"/>
  <c r="D28" i="6"/>
  <c r="E28" i="6"/>
  <c r="F28" i="6"/>
  <c r="G28" i="6"/>
  <c r="B29" i="6"/>
  <c r="C29" i="6"/>
  <c r="D29" i="6"/>
  <c r="E29" i="6"/>
  <c r="F29" i="6"/>
  <c r="G29" i="6"/>
  <c r="B30" i="6"/>
  <c r="C30" i="6"/>
  <c r="D30" i="6"/>
  <c r="E30" i="6"/>
  <c r="F30" i="6"/>
  <c r="G30" i="6"/>
  <c r="B24" i="6"/>
  <c r="C24" i="6"/>
  <c r="D24" i="6"/>
  <c r="E24" i="6"/>
  <c r="F24" i="6"/>
  <c r="G24" i="6"/>
  <c r="B25" i="6"/>
  <c r="C25" i="6"/>
  <c r="D25" i="6"/>
  <c r="E25" i="6"/>
  <c r="F25" i="6"/>
  <c r="G25" i="6"/>
  <c r="B23" i="6"/>
  <c r="C23" i="6"/>
  <c r="D23" i="6"/>
  <c r="E23" i="6"/>
  <c r="F23" i="6"/>
  <c r="G23" i="6"/>
  <c r="B19" i="6"/>
  <c r="C19" i="6"/>
  <c r="D19" i="6"/>
  <c r="E19" i="6"/>
  <c r="F19" i="6"/>
  <c r="G19" i="6"/>
  <c r="B20" i="6"/>
  <c r="C20" i="6"/>
  <c r="D20" i="6"/>
  <c r="E20" i="6"/>
  <c r="F20" i="6"/>
  <c r="G20" i="6"/>
  <c r="B21" i="6"/>
  <c r="C21" i="6"/>
  <c r="D21" i="6"/>
  <c r="E21" i="6"/>
  <c r="F21" i="6"/>
  <c r="G21" i="6"/>
  <c r="B22" i="6"/>
  <c r="C22" i="6"/>
  <c r="D22" i="6"/>
  <c r="E22" i="6"/>
  <c r="F22" i="6"/>
  <c r="G22" i="6"/>
  <c r="B16" i="6"/>
  <c r="C16" i="6"/>
  <c r="D16" i="6"/>
  <c r="E16" i="6"/>
  <c r="F16" i="6"/>
  <c r="G16" i="6"/>
  <c r="B17" i="6"/>
  <c r="C17" i="6"/>
  <c r="D17" i="6"/>
  <c r="E17" i="6"/>
  <c r="F17" i="6"/>
  <c r="G17" i="6"/>
  <c r="B18" i="6"/>
  <c r="C18" i="6"/>
  <c r="D18" i="6"/>
  <c r="E18" i="6"/>
  <c r="F18" i="6"/>
  <c r="G18" i="6"/>
  <c r="B13" i="6"/>
  <c r="C13" i="6"/>
  <c r="E13" i="6"/>
  <c r="F13" i="6"/>
  <c r="G13" i="6"/>
  <c r="B14" i="6"/>
  <c r="C14" i="6"/>
  <c r="E14" i="6"/>
  <c r="F14" i="6"/>
  <c r="G14" i="6"/>
  <c r="B15" i="6"/>
  <c r="C15" i="6"/>
  <c r="D15" i="6"/>
  <c r="E15" i="6"/>
  <c r="F15" i="6"/>
  <c r="G15" i="6"/>
  <c r="B10" i="6"/>
  <c r="C10" i="6"/>
  <c r="D10" i="6"/>
  <c r="E10" i="6"/>
  <c r="F10" i="6"/>
  <c r="G10" i="6"/>
  <c r="B11" i="6"/>
  <c r="C11" i="6"/>
  <c r="D11" i="6"/>
  <c r="E11" i="6"/>
  <c r="F11" i="6"/>
  <c r="G11" i="6"/>
  <c r="B12" i="6"/>
  <c r="C12" i="6"/>
  <c r="D12" i="6"/>
  <c r="E12" i="6"/>
  <c r="F12" i="6"/>
  <c r="G12" i="6"/>
  <c r="D8" i="6"/>
  <c r="D9" i="6"/>
  <c r="D7" i="6"/>
  <c r="B7" i="6"/>
  <c r="C7" i="6"/>
  <c r="E7" i="6"/>
  <c r="F7" i="6"/>
  <c r="G7" i="6"/>
  <c r="B8" i="6"/>
  <c r="C8" i="6"/>
  <c r="E8" i="6"/>
  <c r="F8" i="6"/>
  <c r="G8" i="6"/>
  <c r="B9" i="6"/>
  <c r="C9" i="6"/>
  <c r="E9" i="6"/>
  <c r="F9" i="6"/>
  <c r="G9" i="6"/>
  <c r="B6" i="6"/>
  <c r="C6" i="6"/>
  <c r="E6" i="6"/>
  <c r="F6" i="6"/>
  <c r="G6" i="6"/>
  <c r="B5" i="6"/>
  <c r="C5" i="6"/>
  <c r="E5" i="6"/>
  <c r="F5" i="6"/>
  <c r="G5" i="6"/>
  <c r="B4" i="6"/>
  <c r="C4" i="6"/>
  <c r="E4" i="6"/>
  <c r="F4" i="6"/>
  <c r="G4" i="6"/>
  <c r="B3" i="6"/>
  <c r="C3" i="6"/>
  <c r="D3" i="6"/>
  <c r="E3" i="6"/>
  <c r="F3" i="6"/>
  <c r="G3" i="6"/>
  <c r="C2" i="6"/>
  <c r="D2" i="6"/>
  <c r="E2" i="6"/>
  <c r="F2" i="6"/>
  <c r="G2" i="6"/>
  <c r="B2" i="6"/>
  <c r="A3" i="5"/>
  <c r="A4" i="5" s="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B28" i="5"/>
  <c r="C28" i="5"/>
  <c r="D28" i="5"/>
  <c r="E28" i="5"/>
  <c r="F28" i="5"/>
  <c r="G28" i="5"/>
  <c r="B29" i="5"/>
  <c r="C29" i="5"/>
  <c r="D29" i="5"/>
  <c r="E29" i="5"/>
  <c r="F29" i="5"/>
  <c r="G29" i="5"/>
  <c r="B30" i="5"/>
  <c r="C30" i="5"/>
  <c r="D30" i="5"/>
  <c r="E30" i="5"/>
  <c r="F30" i="5"/>
  <c r="G30" i="5"/>
  <c r="B31" i="5"/>
  <c r="C31" i="5"/>
  <c r="D31" i="5"/>
  <c r="E31" i="5"/>
  <c r="F31" i="5"/>
  <c r="G31" i="5"/>
  <c r="B32" i="5"/>
  <c r="C32" i="5"/>
  <c r="E32" i="5"/>
  <c r="F32" i="5"/>
  <c r="G32" i="5"/>
  <c r="B27" i="5"/>
  <c r="C27" i="5"/>
  <c r="D27" i="5"/>
  <c r="E27" i="5"/>
  <c r="F27" i="5"/>
  <c r="G27" i="5"/>
  <c r="B23" i="5"/>
  <c r="C23" i="5"/>
  <c r="D23" i="5"/>
  <c r="E23" i="5"/>
  <c r="F23" i="5"/>
  <c r="G23" i="5"/>
  <c r="B24" i="5"/>
  <c r="C24" i="5"/>
  <c r="D24" i="5"/>
  <c r="E24" i="5"/>
  <c r="F24" i="5"/>
  <c r="G24" i="5"/>
  <c r="B25" i="5"/>
  <c r="C25" i="5"/>
  <c r="D25" i="5"/>
  <c r="E25" i="5"/>
  <c r="F25" i="5"/>
  <c r="G25" i="5"/>
  <c r="B26" i="5"/>
  <c r="C26" i="5"/>
  <c r="D26" i="5"/>
  <c r="E26" i="5"/>
  <c r="F26" i="5"/>
  <c r="G26" i="5"/>
  <c r="B21" i="5"/>
  <c r="C21" i="5"/>
  <c r="D21" i="5"/>
  <c r="E21" i="5"/>
  <c r="F21" i="5"/>
  <c r="G21" i="5"/>
  <c r="B22" i="5"/>
  <c r="C22" i="5"/>
  <c r="D22" i="5"/>
  <c r="E22" i="5"/>
  <c r="F22" i="5"/>
  <c r="G22" i="5"/>
  <c r="B20" i="5"/>
  <c r="C20" i="5"/>
  <c r="D20" i="5"/>
  <c r="E20" i="5"/>
  <c r="F20" i="5"/>
  <c r="G20" i="5"/>
  <c r="B18" i="5"/>
  <c r="C18" i="5"/>
  <c r="D18" i="5"/>
  <c r="E18" i="5"/>
  <c r="F18" i="5"/>
  <c r="G18" i="5"/>
  <c r="B19" i="5"/>
  <c r="C19" i="5"/>
  <c r="D19" i="5"/>
  <c r="E19" i="5"/>
  <c r="F19" i="5"/>
  <c r="G19" i="5"/>
  <c r="B13" i="5"/>
  <c r="C13" i="5"/>
  <c r="D13" i="5"/>
  <c r="E13" i="5"/>
  <c r="F13" i="5"/>
  <c r="G13" i="5"/>
  <c r="B14" i="5"/>
  <c r="C14" i="5"/>
  <c r="D14" i="5"/>
  <c r="E14" i="5"/>
  <c r="F14" i="5"/>
  <c r="G14" i="5"/>
  <c r="B15" i="5"/>
  <c r="C15" i="5"/>
  <c r="D15" i="5"/>
  <c r="E15" i="5"/>
  <c r="F15" i="5"/>
  <c r="G15" i="5"/>
  <c r="B16" i="5"/>
  <c r="C16" i="5"/>
  <c r="D16" i="5"/>
  <c r="E16" i="5"/>
  <c r="F16" i="5"/>
  <c r="G16" i="5"/>
  <c r="B17" i="5"/>
  <c r="C17" i="5"/>
  <c r="D17" i="5"/>
  <c r="E17" i="5"/>
  <c r="F17" i="5"/>
  <c r="G17" i="5"/>
  <c r="B11" i="5"/>
  <c r="C11" i="5"/>
  <c r="D11" i="5"/>
  <c r="E11" i="5"/>
  <c r="F11" i="5"/>
  <c r="G11" i="5"/>
  <c r="B12" i="5"/>
  <c r="C12" i="5"/>
  <c r="D12" i="5"/>
  <c r="E12" i="5"/>
  <c r="F12" i="5"/>
  <c r="G12" i="5"/>
  <c r="B9" i="5"/>
  <c r="C9" i="5"/>
  <c r="D9" i="5"/>
  <c r="E9" i="5"/>
  <c r="F9" i="5"/>
  <c r="G9" i="5"/>
  <c r="B10" i="5"/>
  <c r="C10" i="5"/>
  <c r="D10" i="5"/>
  <c r="E10" i="5"/>
  <c r="F10" i="5"/>
  <c r="G10" i="5"/>
  <c r="B8" i="5"/>
  <c r="C8" i="5"/>
  <c r="D8" i="5"/>
  <c r="E8" i="5"/>
  <c r="F8" i="5"/>
  <c r="G8" i="5"/>
  <c r="C2" i="5"/>
  <c r="D2" i="5"/>
  <c r="E2" i="5"/>
  <c r="F2" i="5"/>
  <c r="G2" i="5"/>
  <c r="C3" i="5"/>
  <c r="D3" i="5"/>
  <c r="E3" i="5"/>
  <c r="F3" i="5"/>
  <c r="G3" i="5"/>
  <c r="C4" i="5"/>
  <c r="D4" i="5"/>
  <c r="E4" i="5"/>
  <c r="F4" i="5"/>
  <c r="G4" i="5"/>
  <c r="C5" i="5"/>
  <c r="D5" i="5"/>
  <c r="E5" i="5"/>
  <c r="F5" i="5"/>
  <c r="G5" i="5"/>
  <c r="C6" i="5"/>
  <c r="D6" i="5"/>
  <c r="E6" i="5"/>
  <c r="F6" i="5"/>
  <c r="G6" i="5"/>
  <c r="C7" i="5"/>
  <c r="D7" i="5"/>
  <c r="E7" i="5"/>
  <c r="F7" i="5"/>
  <c r="G7" i="5"/>
  <c r="B3" i="5"/>
  <c r="B4" i="5"/>
  <c r="B5" i="5"/>
  <c r="B6" i="5"/>
  <c r="B7" i="5"/>
  <c r="B2" i="5"/>
  <c r="F15" i="4"/>
  <c r="H15" i="4" s="1"/>
  <c r="F14" i="4"/>
  <c r="L14" i="4" s="1"/>
  <c r="F13" i="4"/>
  <c r="H13" i="4" s="1"/>
  <c r="F10" i="4"/>
  <c r="L10" i="4" s="1"/>
  <c r="F8" i="4"/>
  <c r="H8" i="4" s="1"/>
  <c r="F6" i="4"/>
  <c r="F5" i="4"/>
  <c r="L5" i="4" s="1"/>
  <c r="H21" i="2"/>
  <c r="H22" i="2"/>
  <c r="H2" i="2"/>
  <c r="H3" i="2"/>
  <c r="H4" i="2"/>
  <c r="H5" i="2"/>
  <c r="H6" i="2"/>
  <c r="H7" i="2"/>
  <c r="H8" i="2"/>
  <c r="H9" i="2"/>
  <c r="H10" i="2"/>
  <c r="H11" i="2"/>
  <c r="H12" i="2"/>
  <c r="H13" i="2"/>
  <c r="H14" i="2"/>
  <c r="H15" i="2"/>
  <c r="H16" i="2"/>
  <c r="H17" i="2"/>
  <c r="H18" i="2"/>
  <c r="H19" i="2"/>
  <c r="H20" i="2"/>
  <c r="F21" i="2"/>
  <c r="G21" i="2"/>
  <c r="F22" i="2"/>
  <c r="G22" i="2"/>
  <c r="B21" i="2"/>
  <c r="B22" i="2"/>
  <c r="C21" i="2"/>
  <c r="D21" i="2"/>
  <c r="E21" i="2"/>
  <c r="C22" i="2"/>
  <c r="D22" i="2"/>
  <c r="E22" i="2"/>
  <c r="B13" i="2"/>
  <c r="C13" i="2"/>
  <c r="D13" i="2"/>
  <c r="E13" i="2"/>
  <c r="F13" i="2"/>
  <c r="G13" i="2"/>
  <c r="B14" i="2"/>
  <c r="C14" i="2"/>
  <c r="D14" i="2"/>
  <c r="E14" i="2"/>
  <c r="F14" i="2"/>
  <c r="G14" i="2"/>
  <c r="B15" i="2"/>
  <c r="C15" i="2"/>
  <c r="D15" i="2"/>
  <c r="E15" i="2"/>
  <c r="F15" i="2"/>
  <c r="G15" i="2"/>
  <c r="B16" i="2"/>
  <c r="C16" i="2"/>
  <c r="D16" i="2"/>
  <c r="E16" i="2"/>
  <c r="F16" i="2"/>
  <c r="G16" i="2"/>
  <c r="B17" i="2"/>
  <c r="C17" i="2"/>
  <c r="D17" i="2"/>
  <c r="E17" i="2"/>
  <c r="F17" i="2"/>
  <c r="G17" i="2"/>
  <c r="B18" i="2"/>
  <c r="C18" i="2"/>
  <c r="D18" i="2"/>
  <c r="E18" i="2"/>
  <c r="F18" i="2"/>
  <c r="G18" i="2"/>
  <c r="B19" i="2"/>
  <c r="C19" i="2"/>
  <c r="D19" i="2"/>
  <c r="E19" i="2"/>
  <c r="F19" i="2"/>
  <c r="G19" i="2"/>
  <c r="B20" i="2"/>
  <c r="C20" i="2"/>
  <c r="D20" i="2"/>
  <c r="E20" i="2"/>
  <c r="F20" i="2"/>
  <c r="G20" i="2"/>
  <c r="B6" i="2"/>
  <c r="C6" i="2"/>
  <c r="D6" i="2"/>
  <c r="E6" i="2"/>
  <c r="F6" i="2"/>
  <c r="G6" i="2"/>
  <c r="B7" i="2"/>
  <c r="C7" i="2"/>
  <c r="D7" i="2"/>
  <c r="E7" i="2"/>
  <c r="F7" i="2"/>
  <c r="G7" i="2"/>
  <c r="B8" i="2"/>
  <c r="C8" i="2"/>
  <c r="D8" i="2"/>
  <c r="E8" i="2"/>
  <c r="F8" i="2"/>
  <c r="G8" i="2"/>
  <c r="B9" i="2"/>
  <c r="C9" i="2"/>
  <c r="D9" i="2"/>
  <c r="E9" i="2"/>
  <c r="F9" i="2"/>
  <c r="G9" i="2"/>
  <c r="B10" i="2"/>
  <c r="C10" i="2"/>
  <c r="D10" i="2"/>
  <c r="E10" i="2"/>
  <c r="F10" i="2"/>
  <c r="G10" i="2"/>
  <c r="B11" i="2"/>
  <c r="C11" i="2"/>
  <c r="D11" i="2"/>
  <c r="E11" i="2"/>
  <c r="F11" i="2"/>
  <c r="G11" i="2"/>
  <c r="B12" i="2"/>
  <c r="C12" i="2"/>
  <c r="D12" i="2"/>
  <c r="E12" i="2"/>
  <c r="F12" i="2"/>
  <c r="G12" i="2"/>
  <c r="B5" i="2"/>
  <c r="C5" i="2"/>
  <c r="D5" i="2"/>
  <c r="E5" i="2"/>
  <c r="F5" i="2"/>
  <c r="G5" i="2"/>
  <c r="C2" i="2"/>
  <c r="D2" i="2"/>
  <c r="E2" i="2"/>
  <c r="F2" i="2"/>
  <c r="G2" i="2"/>
  <c r="C3" i="2"/>
  <c r="D3" i="2"/>
  <c r="E3" i="2"/>
  <c r="F3" i="2"/>
  <c r="G3" i="2"/>
  <c r="C4" i="2"/>
  <c r="D4" i="2"/>
  <c r="E4" i="2"/>
  <c r="F4" i="2"/>
  <c r="G4" i="2"/>
  <c r="B3" i="2"/>
  <c r="B4" i="2"/>
  <c r="B2" i="2"/>
  <c r="A3" i="2"/>
  <c r="A4" i="2" s="1"/>
  <c r="A5" i="2" s="1"/>
  <c r="A6" i="2" s="1"/>
  <c r="A7" i="2" s="1"/>
  <c r="A8" i="2" s="1"/>
  <c r="A9" i="2" s="1"/>
  <c r="A10" i="2" s="1"/>
  <c r="A11" i="2" s="1"/>
  <c r="A12" i="2" s="1"/>
  <c r="A13" i="2" s="1"/>
  <c r="A14" i="2" s="1"/>
  <c r="A15" i="2" s="1"/>
  <c r="A16" i="2" s="1"/>
  <c r="A17" i="2" s="1"/>
  <c r="A18" i="2" s="1"/>
  <c r="A19" i="2" s="1"/>
  <c r="A20" i="2" s="1"/>
  <c r="A21" i="2" s="1"/>
  <c r="A22" i="2" s="1"/>
  <c r="H12" i="4"/>
  <c r="H11" i="4"/>
  <c r="H9" i="4"/>
  <c r="H7" i="4"/>
  <c r="H4" i="4"/>
  <c r="H36" i="3"/>
  <c r="A3" i="3"/>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H29" i="4" l="1"/>
  <c r="H5" i="4"/>
  <c r="L23" i="4"/>
  <c r="AB51" i="21"/>
  <c r="L20" i="4"/>
  <c r="H21" i="4"/>
  <c r="H20" i="4"/>
  <c r="H28" i="4"/>
  <c r="I28" i="4"/>
  <c r="J32" i="4"/>
  <c r="M20" i="4"/>
  <c r="H23" i="4"/>
  <c r="M28" i="4"/>
  <c r="AC51" i="21"/>
  <c r="M23" i="4"/>
  <c r="I15" i="42"/>
  <c r="AB68" i="21"/>
  <c r="F33" i="12" s="1"/>
  <c r="H33" i="12"/>
  <c r="D49" i="12"/>
  <c r="J49" i="12"/>
  <c r="D33" i="21"/>
  <c r="Q33" i="21"/>
  <c r="K49" i="12"/>
  <c r="I33" i="12"/>
  <c r="E49" i="12"/>
  <c r="AC68" i="21"/>
  <c r="G33" i="12" s="1"/>
  <c r="J11" i="12"/>
  <c r="K14" i="12"/>
  <c r="L15" i="12"/>
  <c r="K15" i="12"/>
  <c r="J15" i="12"/>
  <c r="M15" i="12"/>
  <c r="K9" i="12"/>
  <c r="E18" i="12"/>
  <c r="J7" i="12"/>
  <c r="L8" i="4"/>
  <c r="L15" i="4"/>
  <c r="F16" i="4"/>
  <c r="H16" i="4" s="1"/>
  <c r="L6" i="4"/>
  <c r="J16" i="4"/>
  <c r="L13" i="4"/>
  <c r="G18" i="12"/>
  <c r="L28" i="4"/>
  <c r="D18" i="12"/>
  <c r="E33" i="21"/>
  <c r="P33" i="21"/>
  <c r="K6" i="12"/>
  <c r="F18" i="12"/>
  <c r="K11" i="12"/>
  <c r="H6" i="4"/>
  <c r="H10" i="4"/>
  <c r="H14" i="4"/>
  <c r="AC16" i="21"/>
  <c r="J5" i="12"/>
  <c r="I35" i="4"/>
  <c r="I46" i="4" s="1"/>
  <c r="L4" i="4"/>
  <c r="K16" i="4"/>
  <c r="M16" i="4" s="1"/>
  <c r="I23" i="4"/>
  <c r="J16" i="12"/>
  <c r="G32" i="4"/>
  <c r="AB16" i="21"/>
  <c r="H25" i="4"/>
  <c r="E32" i="4"/>
  <c r="D32" i="4"/>
  <c r="K5" i="12"/>
  <c r="L29" i="4"/>
  <c r="M11" i="12"/>
  <c r="L13" i="12"/>
  <c r="I16" i="4"/>
  <c r="M21" i="4"/>
  <c r="F32" i="4"/>
  <c r="M29" i="4"/>
  <c r="K32" i="4"/>
  <c r="J14" i="12"/>
  <c r="M25" i="4"/>
  <c r="H46" i="4"/>
  <c r="M5" i="12"/>
  <c r="M14" i="12"/>
  <c r="L9" i="12"/>
  <c r="M7" i="12"/>
  <c r="M8" i="12"/>
  <c r="M12" i="12"/>
  <c r="M13" i="12"/>
  <c r="L11" i="12"/>
  <c r="L6" i="12"/>
  <c r="M9" i="12"/>
  <c r="M10" i="12"/>
  <c r="I18" i="12"/>
  <c r="I16" i="39"/>
  <c r="L7" i="12"/>
  <c r="L12" i="12"/>
  <c r="M6" i="12"/>
  <c r="H36" i="6"/>
  <c r="I6" i="19"/>
  <c r="I15" i="44"/>
  <c r="H63" i="7"/>
  <c r="L8" i="12"/>
  <c r="L10" i="12"/>
  <c r="I16" i="38"/>
  <c r="H23" i="2"/>
  <c r="L5" i="12"/>
  <c r="I15" i="49"/>
  <c r="H15" i="9"/>
  <c r="I12" i="17"/>
  <c r="L14" i="12"/>
  <c r="H18" i="12"/>
  <c r="I16" i="40"/>
  <c r="H28" i="10"/>
  <c r="I10" i="24"/>
  <c r="I5" i="27"/>
  <c r="I15" i="45"/>
  <c r="I24" i="26"/>
  <c r="I16" i="32"/>
  <c r="I16" i="34"/>
  <c r="I16" i="31"/>
  <c r="I9" i="28"/>
  <c r="I16" i="35"/>
  <c r="I16" i="33"/>
  <c r="I14" i="13"/>
  <c r="H27" i="11"/>
  <c r="I5" i="22"/>
  <c r="I16" i="37"/>
  <c r="I15" i="48"/>
  <c r="I35" i="15"/>
  <c r="I11" i="29"/>
  <c r="I16" i="36"/>
  <c r="I16" i="41"/>
  <c r="I15" i="46"/>
  <c r="I15" i="47"/>
  <c r="H33" i="5"/>
  <c r="I56" i="14"/>
  <c r="I30" i="16"/>
  <c r="I8" i="30"/>
  <c r="H32" i="8"/>
  <c r="I14" i="25"/>
  <c r="I15" i="43"/>
  <c r="AC33" i="21" l="1"/>
  <c r="I32" i="4"/>
  <c r="L33" i="12"/>
  <c r="H32" i="4"/>
  <c r="AB33" i="21"/>
  <c r="L16" i="4"/>
  <c r="M33" i="12"/>
  <c r="J18" i="12"/>
  <c r="K18" i="12"/>
  <c r="L18" i="12"/>
  <c r="M18" i="12"/>
  <c r="L32" i="4"/>
  <c r="M32" i="4"/>
  <c r="J33" i="12"/>
  <c r="K33" i="12"/>
</calcChain>
</file>

<file path=xl/sharedStrings.xml><?xml version="1.0" encoding="utf-8"?>
<sst xmlns="http://schemas.openxmlformats.org/spreadsheetml/2006/main" count="24486" uniqueCount="7540">
  <si>
    <t>Contracte de serveis per a l'assistència tècnica de coordinació de seguretat i salut de les obres 'Ampliació de l'Hospital Prínceps d'Espanya de l'Hospitalet de Llobregat'. Clau: HBB-00394.2</t>
  </si>
  <si>
    <t>Contracte de serveis per a l'assistència tècnica de coordinació de seguretat i salut de les obres del projecte d'execució del Centre Intermodal del Baix Llobregat al Prat de Llobregat. Clau: TM-00509.6A2-C1</t>
  </si>
  <si>
    <t>Contracte de serveis per a la direcció d'execució de les obres de reforma i ampliació Escola a 1 línia a l'Escola Alzina Reclamadora de Fontcoberta (Pla de l'Estany). Clau:PAG-08223</t>
  </si>
  <si>
    <t>CQ. PNV-09322 + PNC-09215</t>
  </si>
  <si>
    <t>Contracte de serveis per al control de qualitat conjunt de les obres, nova construcció de l'Escola de Rubí. Vallès occidental. Escola 2 Línies, Infantil + Primària. Clau: PNV-09322 i nova construcció de l'Escola Bufalà II de Badalona, Escola 1 línia Infantil + Primària.Clau: PNC-09215</t>
  </si>
  <si>
    <t>CQ. PNL-09213 + PNT-09233 + PNA-09212</t>
  </si>
  <si>
    <t>Contracte de serveis per al control de qualitat conjunt de les obres d'ampliació de l'Escola Parc del Saladar, Escola 1 Línia Primària (2a fase). Clau:PNL-09213; nova construcció CEIP Cavaller Arnau. Riudoms. CEIP 1 línia. Clau:PNT-09233 i nova construcció de l'Escola d'Abrera, Abrera. Escola 1 línia Infantil + Primària. Clau: PNA-09212</t>
  </si>
  <si>
    <t>Contracte de serveis per a l'assistència tècnica per a la redacció del projecte constructiu del nou vestíbul de l'estació Barceloneta de l'L4 dels FMB. Clau: TM-09340</t>
  </si>
  <si>
    <t>Controls de Qualitat</t>
  </si>
  <si>
    <t>Projectes i Direccions d'Obra</t>
  </si>
  <si>
    <t>Direccions Integrades</t>
  </si>
  <si>
    <t>REGSA</t>
  </si>
  <si>
    <t>TOTAL</t>
  </si>
  <si>
    <t>DE. IAC-07366 + PNC-07355</t>
  </si>
  <si>
    <t>Contracte de serveis per a l'assistència tècnica per a la redacció de l'estudi geològic, geotècnic i hidrogeològic del nou sistema tramviari entre Bellaterra i Montcada i Reixac. Clau: EG-TX-10004</t>
  </si>
  <si>
    <t>PC. MB-09074</t>
  </si>
  <si>
    <t>EV. EA-TM-09317</t>
  </si>
  <si>
    <t>Contracte de serveis per a l'assistència tècnica per a la redacció de l'estudi d'alternatives per a la base de manteniment per a via i catenària i millora de l'accés al Triangle Ferroviari des de les línies 2 i 4 dels FMB. Clau: EA-TM-09317</t>
  </si>
  <si>
    <t>PC. TA-10034</t>
  </si>
  <si>
    <t>Contracte de serveis per a l'assistència tècnica per a la redacció del projecte constructiu de la nova estació d'autobusos a Falset. Clau: TA-10034</t>
  </si>
  <si>
    <t>PC. VB-01128-A1</t>
  </si>
  <si>
    <t>Contracte de serveis per a l'assistència tècnica per a la redacció del projecte constructiu de millora general. Variant de la carretera B-510, PK 3+400 al 4+250. Tram: Dosrius. Clau: VB-01128-A1</t>
  </si>
  <si>
    <t>PC. XG-10021.2</t>
  </si>
  <si>
    <t>PE+DO PNG-02453.A 1v</t>
  </si>
  <si>
    <t>Contracte de serveis per a l'actualització i adaptació a la nova normativa del projecte de Nova Construcció de l'Escola Vall d'Aro,de Castell-Platja d'Aro que inclou l'actualització del pressupost i l'adaptació de la documentació tècnica i gràfica del projecte executiu al compliment del Reglament d'Instal.lacions Tèrmiques dels Edificis - RITE i al Codi Tècnic d'Edificació - CTE, així com la certificació energètica del projecte, la modificació del projecte d'activitats per a llicència ambiental i la posterior direcció d'obra i certificació d'eficiència energètica de final d'obra. Clau: PNG-02453.A (1v)</t>
  </si>
  <si>
    <t>CSS. CLT-08245+4</t>
  </si>
  <si>
    <t>DE.SOC-10077</t>
  </si>
  <si>
    <t>Contracte de serveis per la direcció d'execució de les obres del nou centre de formació professional del sector de l'Automoció, a Martorell.Clau:SOC-10077</t>
  </si>
  <si>
    <t>DO.SOC-10077</t>
  </si>
  <si>
    <t>Contracte de serveis per la direcció de les obres per a la construcció del nou centre de formació professional del sector de l'automoció a Martorell. Clau:SOC-10077</t>
  </si>
  <si>
    <t>Contracte de serveis per a la direcció d'execució de les obres nova construcció IE La Mitjana, Lleida, IE 2 línies. Clau: SNL-09314</t>
  </si>
  <si>
    <t>DE. SNH-09315</t>
  </si>
  <si>
    <t>Contracte de serveis per a l'assistència tècnica de control de qualitat de les obres del projecte complementari núm. 2 de la línia 9 de Metro de Barcelona. Subtram: Sagrera-Pou tuneladora (zona final Sagrera TAV-Bon Pastor). Coberta i forjats interiors del pou d'extracció de tuneladora a la plaça Havaneres. Clau: TM-00509.8-C2</t>
  </si>
  <si>
    <t>Contracte de serveis per a l'assistència tècnica per a la redacció del projecte constructiu de millora local. Via verda. Implantació de carril bici a la Costa Brava Centre. Tram 1: Castell-Platja d'Aro.</t>
  </si>
  <si>
    <t>Contracte de serveis per a l'assistència tècnica per a la redacció del projecte constructiu i l'estudi geotècnic d'instal.lacions de subministrament d'aigua al Centre Penitenciari els Plans, a Tàrrega. Clau: JNP-05539.4</t>
  </si>
  <si>
    <t>DO. TM-02405-C5.1</t>
  </si>
  <si>
    <t>Contracte de serveis per a l'assistència tècnica de coordinació de seguretat i salut de les obres 'Nova construcció IE La Mitjana, Lleida, IE 2 Línies.' Clau: SNL-09314; 'Nova construcció IE de Sant Carles a Sant Carles de la Ràpita, Sant Carles de la Ràpita, IE 1 Línia' Clau: SNE-09316; 'Nova costrucció La Bobila, Cambrils CEIP 2 Línies' Clau: PNT-09219 i 'nova construcció IES Els Pallaressos, Els Pallaressos IES 3/0 (Ampliable)' Clau: INT-09226</t>
  </si>
  <si>
    <t>CSS. PNG-09231+4</t>
  </si>
  <si>
    <t>CSS. ER-03932.1</t>
  </si>
  <si>
    <t>Contracte de serveis per a l'assistència tècnica de coordinació de seguretat i salut de les obres del projecte constructiu del reg de l'Aldea-Camarles. Captació, impulsió i bassa 1. Clau: ER-03932.1</t>
  </si>
  <si>
    <t>CQ. ER-03932.1</t>
  </si>
  <si>
    <t>CSS. TF-04306.A</t>
  </si>
  <si>
    <t>CQ. PAC-08254 + PNC-07355</t>
  </si>
  <si>
    <t>Contracte de serveis per a l'assistència tècnica per a la redacció del projecte constructiu de millora de l'evacuació de la L1 dels FMB. Estacions: Can Serra, Florida, Trinitat Vella, Baró de Viver, Santa Coloma i Fondo. Clau: TM-06509.2</t>
  </si>
  <si>
    <t>PC. MB-08076 (AMPL)</t>
  </si>
  <si>
    <t>PC. VL-02184 (AMPL)</t>
  </si>
  <si>
    <t>Contracte de serveis per a l'assistència tècnica per a la redacció de l'estudi informatiu de millora general. Variant de Sant Pere Pescador. De la carretera GIV-6216 al camí de Sant Martí d'Empúries. Tram: Sant Pere Pescador. Clau: EI-XG-10031</t>
  </si>
  <si>
    <t>CQ.TF-04306.A</t>
  </si>
  <si>
    <t>Contracte de serveis per a l'assistència tècnica de control de qualitat de les obres d'adaptació a la normativa. Millora de l'accessibilitat i remodelació de l'estació de Gràcia dels FGC. Clau: TF-04306.A</t>
  </si>
  <si>
    <t>DE. PNL-09318</t>
  </si>
  <si>
    <t>Contracte de serveis per a la direcció d'obra de l'ampliació i reforma CEIP a 14 grups al CEIP Els Raiers de la Pobla de Segur (Pallars Jussà).</t>
  </si>
  <si>
    <t>DE. PAL-08351</t>
  </si>
  <si>
    <t>Contracte de serveis per a la direcció d'execució de les obres d'ampliació i reforma CEIP a 14 grups al CEIP Els Raiers de La Pobla de Segur (Pallars Jussà).</t>
  </si>
  <si>
    <t>DE. PAG-04454.2+PNG-07462</t>
  </si>
  <si>
    <t>Contracte de serveis per a la direcció d'execució conjunta de les obres 'd'ampliació CEIP 1 línia (4 aules+gimnàs) al CEIP Joaquim Vallmajó, de Navata (Alt Empordà). Clau: PAG-04454.2' i 'Nova construcció Escola 2 línies a l'Escola Pi Verd de Palafrugell (Baix Empordà).</t>
  </si>
  <si>
    <t>PC. XG-09051.1</t>
  </si>
  <si>
    <t>Contracte de serveis per a la direcció conjunta de les obres de: 'Projecte constructiu de la L9 del Metro de Barcelona. Tram 3r. Zona Universitària-Sagrera Meridiana. Estacions Prat de la Riba, Sarrià, Mandri i pous de ventilació. Clau: TM-00509.4B'; 'Projecte constructiu de la L9 del Metro de Barcelona. Tram 3r. Zona Universitària-Sagrera Meridiana. Estacions Putxet, Lesseps, Muntanya i pous de ventilació. Clau: TM-00509.4C' i 'Projecte constructiu de la L9 del Metro de Barcelona. Tram 3r. Zona Universitària-Sagrera Meridiana. Estacions Sanllehy, Guinardó, Maragall i pous de ventilació. Clau: TM-00509.4D'</t>
  </si>
  <si>
    <t>Data d'Anunci</t>
  </si>
  <si>
    <t>Agència</t>
  </si>
  <si>
    <t>Tipus</t>
  </si>
  <si>
    <t>Subtipus</t>
  </si>
  <si>
    <t>Clau</t>
  </si>
  <si>
    <t>Títol</t>
  </si>
  <si>
    <t>Pressupost (sense Iva)</t>
  </si>
  <si>
    <t>EV. EA-TM-04312.A</t>
  </si>
  <si>
    <t>Contracte de serveis per a l'assistència tècnica per a la redacció de l'estudi d'alternatives de millora de l'evacuació i de l'accessibilitat de l'intercanviador de Verdaguer (L-4 i L5 de l'FMB).</t>
  </si>
  <si>
    <t>GISA</t>
  </si>
  <si>
    <t>Contracte de serveis per a l'assistència tècnica per a la redacció de l'estudi informatiu de la millora general. Condicionament. Corredor Brugent-Ter. Carretera N-141e, PK 106+200 al 112+000. Tram: Bescanó-Salt. Clau: EI-AG-03020.3</t>
  </si>
  <si>
    <t>Contracte de serveis per a l'assistència tècnica del control de qualitat conjunt de les obres 'ampliació institut 3/2 línies (2a fase) a l'Institut Puig Cargol de Calonge (Baix Empordà). Clau:IAG-07463 i 'Reforma i ampliació escola a 2 línies a l'Escola Mare de Deu de Montserrat de Premià de Mar(Maresme). Clau: PAC-07364</t>
  </si>
  <si>
    <t>CQ.BSV-09203 + 1</t>
  </si>
  <si>
    <t>Contracte de serveis per a la direcció d'obres de perllongament de l'L5 dels FMB. Tram: Horta - Vall d'Hebron. Urbanització exterior. Clau: TM-99500.11</t>
  </si>
  <si>
    <t>Control de Qualitat</t>
  </si>
  <si>
    <t>PC. DC-02001.5</t>
  </si>
  <si>
    <t>Contracte de serveis per l'assistència tècnica del control de qualitat conjunt de les obres:'nova construcció de CEIP L'Olivar de Castellnou de Bages, CEIP 1 línia. Clau: PNH-09307' i 'nova construcció CEIP Santa. Perpètua III de Santa Perpètua de la Mogoda, CEIP 1 línia. Clau: PNV-09299'</t>
  </si>
  <si>
    <t>CQ. PNG-09324 + PNC-09228</t>
  </si>
  <si>
    <t>Contracte de serveis per l'assistència tècnica del control de qualitat conjunt de les obres:'nova construcció de CEIP Sant Iscle, Vidreres, Substitució 2 línies. Clau: PNG-09324' i 'nova construcció CEIP Els Vinyals, Lliçà de Vall, CEIP 1 línia. Clau: PNC-09228'</t>
  </si>
  <si>
    <t>CQ. TM-00509.8-C2</t>
  </si>
  <si>
    <t>PC. AL-99276 (AMPL)</t>
  </si>
  <si>
    <t>Contracte de serveis per a l'assistència tècnica per a la redacció de l'ampliació del projecte constructiu de millora general. Condicionament. Eixamplament i millora del traçat. Carretera C-26, del PK 116+930 al 129+960. Tram: Navès-Montmajor. Clau: AL-99276</t>
  </si>
  <si>
    <t>QP. CQPT2010.2</t>
  </si>
  <si>
    <t>Contracte de serveis per a l'assistència tècnica per a la redacció del control de qualitat d'estudis i projectes de transports 2010. Grup 2. Clau: CQPT2010.2</t>
  </si>
  <si>
    <t>Contracte de serveis per a l'assistència tècnica de control de qualitat de les obres del perllongament dels FGC a Terrassa. Arquitectura i instal.lacions. Clau: TF-03474.3A</t>
  </si>
  <si>
    <t>CSS. XT-08086</t>
  </si>
  <si>
    <t>Contracte de serveis per a l'assistència tècnica de coordinació de seguretat i salut de les obres de millora general. Condicionament de la carretera de TV-3148 de Vila-seca a la Pineda (Raval de la Mar) Tram: Vila-seca. Clau: XT-08086</t>
  </si>
  <si>
    <t>PE+DO INM-10010 2v</t>
  </si>
  <si>
    <t>Contracte de serveis per la direcció de les obres 'd'ampliació de l'edifici Judicial del Canyeret de Lleida.Clau:JJL-06378</t>
  </si>
  <si>
    <t>DE. PNV-07285 + IAG-07463</t>
  </si>
  <si>
    <t>CQ. MC-05910.4</t>
  </si>
  <si>
    <t>Contracte de serveis per a l'assistència tècnica de control de qualitat de les obres del projecte de regadiu Xerta-Sénia. Adequació del canal. Tram 4. Clau: MC-05910.4</t>
  </si>
  <si>
    <t>Contracte de Serveis per a l'assistència tècnica de cordinació de seguretat i salut de les obres 'ampliació i reforma Escola a 2 línies a l'Escola Salvador Espriu de Vidreres (La Selva). ' Clau:PAG-06474; 'd'ampliació i reforma Escola 2 línies a l'Escola Verdaguer de Sils (La Selva). Clau: PAG-06290; adequació institut Abat Oliva de Ripoll (Ripollès).' Clau: IAG-08383 i 'ampliació i reforma Escola 2 línies a l'Escola Rocalba a St. Feliu de Pallerols (La Garrotxa).' Clau: PAG-06466</t>
  </si>
  <si>
    <t>CSS. IAT-07460+2</t>
  </si>
  <si>
    <t>Contracte de serveis per a l'assistència tècnica del control de qualitat conjunt de les obres de: 'Reforma i ampliació Escola a 1 línia a l'Escola Alzina Reclamadora de Fontcoberta (Pla de l'Estany). Clau:PAG-08223';'nova construcció Escola 6 unitats a l'Escola de Vall-Llobrega (Baix Empordà). Clau:PNG-06484'; 'projecte complementari núm.1 per les obres de heura, reixes, accés pista, desmuntatge mòduls, aire comprimit laboratori, a l'Institut Serrallarga de Blanes (Selva). Clau:IAG-02727.1-C1' i 'projecte complementari núm. 1 per les obres de reforma (varis gimnàs, acc.finestra claraboia, equipament esportiu, etc) a l'Escola Doctor Sobrequés de Bescanó. Clau:PAG-03639-C1</t>
  </si>
  <si>
    <t>Contracte de serveis per a l'assistència tècnica per a la redacció del projecte bàsic i d'execució, la certificació d'eficiència energètica del projecte, l'estudi de seguretat i salut, l'estudi geotècnic, l'estudi de patologies, el projecte d'activitats per a llic ència ambiental i posterior Direcció d'Obra i certificació d'eficiència energètica de final d'obra corresponent a l'ampliació de l'Escola la Rossella, de Rosselló. Clau: PAL-08347(1v)</t>
  </si>
  <si>
    <t>PE+DO HTT-10017 1v</t>
  </si>
  <si>
    <t>Contracte de serveis per a l'assistència tècnica per a la redacció conjunta dels projectes: 'Projecte constructiu d'alimentació provisional de la Línia 9 de Metro de Barcelona des de la xarxa d'ENDESA. Tram 1 des de S.E. Aeroport. Clau: TM-02609.22.1' i 'Projecte constructiu d'alimentació provisional de la Línia 9 de Metro de Barcelona des de la xarxa d'ENDESA. Tram II des de S.E. Motors. Clau: TM-02609.22.2'</t>
  </si>
  <si>
    <t>CQ. IAG-08383+PAG-06466</t>
  </si>
  <si>
    <t>Contracte de serveis per a l'assistència tècnica per al control de qualitat de les obres d'adequació institut (substitució cobertes- reparació façana-fusteria-accés i nova construcció escala exterior) a l'Institut Abat Oliba de Ripoll (Ripollès). Clau:IAG-08383 i d'ampliació i reforma Escola 1 línia a l'escola Rocalba de Sant Feliu de Pallerols (La Garrotxa). Clau:PAG-06466</t>
  </si>
  <si>
    <t>PC. VE-05079</t>
  </si>
  <si>
    <t>Contracte de serveis per a la direcció d'execució de les obres del projecte complementari núm 1 d'adequació del Centre d'Infància i adolescència per a l'Edifici de la Mare de Déu de la Misericòrdia. Clau:BSE-03420-C1</t>
  </si>
  <si>
    <t>EC.TR-10028</t>
  </si>
  <si>
    <t>Contracte de serveis per a l'assistència tècnica per a la realització de la cartografia del projecte de condicionament i millora del regadiu de Sant Julià de Ramis, Cervià de Ter, Sant Jordi Desvalls, Sant Joan de Mollet (Gironès) i Colomers, Jafre i Vilopriu (Baix Empordà). Clau: TR-10028</t>
  </si>
  <si>
    <t>EC.OX-10046</t>
  </si>
  <si>
    <t>Contracte de serveis per a l'assistència tècnica per a la realització de la cartografia del projecte de modernització de la xarxa de reg de les Comunitats de Regants de Llitera-Vincamet i Serrabrisa-Montfret i del regadiu del canal Aragó-Catalunya TM d'Aitona i Seròs (Segrià). Clau: OX-10046</t>
  </si>
  <si>
    <t>EC.VR-10064</t>
  </si>
  <si>
    <t>Contracte de serveis per a l'assistència tècnica per a la realització de la cartografia del projecte de modernització del reg de la CR de la Sèquia de Torres de Segre. TM de Torres de Segre i Sudanell (Segrià). Clau: VR-10064</t>
  </si>
  <si>
    <t>Arrendament dispositius impressió</t>
  </si>
  <si>
    <t>Contracte de serveis per a l'assistència tècnica de Coordinació de Seguretat i Salut conjunta de les obres: 'Projecte actualitzat núm. 1 de la Línia 9 de Metro de Barcelona. Tram 3r Zona Universitària-Sagrera Meridiana. Estació Zona Universitària, Campus Nord, M. Girona i pous de ventilació. Clau: TM-00509.4A-A1.A'; 'Projecte actualitzat núm. 1 de la Línia 9 de Metro de Barcelona. Tram 3r Zona Universitària-Sagrera Meridiana. Estacions Campus Nord, M. Girona i pous de ventilació. Clau: TM-00509.4A-A1.B'; 'Projecte constructiu de la L9 del Metro de Barcelona. Tram 3r. Zona Universitària-Sagrera Meridiana. Estacions Prat de la Riba. Sarrià, Mandri i pous de ventilació. Clau: TM-0509.4B'; 'Projecte constructiu Línia 9 de Metro de Barcelona. Tram 3r Zona Universitària-Sagrera Meridiana. Estació Prat de la Riba. Recinte del pou, vestíbul i galeries de connexió. Clau: TM-00509.4B-BIS.2'; 'Projecte constructiu de la L9 del Metro de Barcelona. Tram 3r Zona Universitària-Sagrera Meridiana. Estacions Putxet, Lesseps, Muntanya i pous de ventilació. Clau: TM-00509.4C'; 'Projecte constructiu Línia 9 de Metro de Barcelona. Tram 3r Zona Universitària-Sagrera Meridiana. Estació Muntanya. Recinte del pou, vestíbul i galeries connexió. Clau: TM-00509.4C-BIS.2' i 'Projecte constructiu de la L9 del Metro de Barcelona. Tram 3r Zona Universitària-Sagrera Meridiana. Estacions Sanhelly, Guinardó, Maragall i pous de ventilació. Clau: TM-00509.4D'</t>
  </si>
  <si>
    <t>CSS. VL-02137.1</t>
  </si>
  <si>
    <t>Contracte de serveis per a l'assistència tècnica de Coordinació de Seguretat i Salut de les obres de millora general. Variant de la carretera C-13 del PK 13+100 al 20+000. Tram: Vilanova de la Barca-Térmens. Clau: VL-02137.1</t>
  </si>
  <si>
    <t>CSS. TM-00509.35.2</t>
  </si>
  <si>
    <t>Contracte de serveis per a l'assistència tècnica de Coordinació de Seguretat i Salut de les obres del projecte constructiu de supere structura (via i catenària) del tram Prat Eixample Nord-Bifurcació Gornal de l'L9 de Metro de Barcelona. Clau: TM-00509.35.2</t>
  </si>
  <si>
    <t>PC. AL-02134.2</t>
  </si>
  <si>
    <t>IN. TM-05605.A</t>
  </si>
  <si>
    <t>Contracte de serveis per a l'assistència tècnica per a la inspecció prèvia d'edificis de les obres d'adaptació a la normativa. Millora de l'accessibilitat i remodelació de l'estació de Gràcia dels FGC. Clau: TF-04306.A</t>
  </si>
  <si>
    <t>DE.GPV-09264.1</t>
  </si>
  <si>
    <t>Contracte de serveis per la direcció d'execució de les obres de Construcció de la nova seu de la Casa de les Llengües al recinte de Can Ricart de Barcelona, Fase 1 Consolidació i ampliació estructurals i de tancaments dels edificis. Clau: GPV-09264.1</t>
  </si>
  <si>
    <t>DI JNP-05539</t>
  </si>
  <si>
    <t>DO. MC-05910.4</t>
  </si>
  <si>
    <t>Contracte de serveis per a la direcció de les obres del projecte de regadiu Xerta-Sénia. Adequació del canal. Tram 4. Clau: MC-05910.4</t>
  </si>
  <si>
    <t>Contracte de serveis per a l'assistència tècnica per a l'assessorament a la Gerència de Projectes de Carreteres en revisió de projectes i estudis.</t>
  </si>
  <si>
    <t>PB+PC. TM-06501.1</t>
  </si>
  <si>
    <t>Contracte de serveis per a l'assistència tècnica per a la redacció del projecte bàsic i el projecte constructiu del perllongament de la línia 3 dels FMB. Tram: Zona Universitària - Sant Feliu de Llobregat. Infraestructura, via i catenària. Clau: PB-TM-06501.1 i TM-06501.1</t>
  </si>
  <si>
    <t>EV. EG-TM-06501.1</t>
  </si>
  <si>
    <t>Contracte de serveis per a l'assistència tècnica per a la redacció de l'anàlisi geotècnic, geològic i hidrogeològic del perllongament de la línia 3 dels FMB. Tram: Zona Universitària - Sant Feliu de Llobregat. Infraestructura, via i catenària. Clau: EG-TM-06501.1</t>
  </si>
  <si>
    <t>CQP. PB-TM-06501.1</t>
  </si>
  <si>
    <t>Contracte de serveis per a l'assistència tècnica per a la redacció del projecte constructiu de millora local. Eixample puntual. Carretera C-55, del PK 28+550 al 30+000. Tram: Manresa. Clau: MB-10041</t>
  </si>
  <si>
    <t>Contracte de serveis per a l'assistència tècnica de coordinació de seguretat i salut de les obres 'ampliació i reforma CEIP 2 línies al CEIP El Pla de Salt (Gironès). Clau:PAG-08509' ;'nova construcció CEIP 2 línies al CEIP Sant Roc d'Olot (La Garrotxa). Clau: PNG-06393'; 'enderroc i nova construcció CEIP 4 unitats al CEIP Sant Sebastià de Sant Climent Sescebes (Alt Empordà). Clau: PNG-06525' ; 'nova construcció IES 4/3 línies a l'IES Ridaura de Castell-Platja d'Aro (Baix Empordà) Clau: IAG-03586' i 'ampliació a 2 línies (menjador, gimnàs i 1 línia primària) de l'Escola Vilarromà de Palamós (Baix Empordà). Clau: PAG-07259'</t>
  </si>
  <si>
    <t>CSS. PAC-07422+5</t>
  </si>
  <si>
    <t>Contracte de Serveis per a l'assistència tècnica de coordinació de seguretat i salut de les obres d'ampliació i reforma CEIP a 2 línies al CEIP Doctor Ferrer d'Artés (Bages). Clau:PAC-07422 ; 'obres d'ampliació i reforma escola a 2 línies a l'Escola Torres Amat de Sallent (Bages). Clau: PAC-07360; 'obres d'ampliació a 2 línies (1 línia, biblioteca, gimnàs i vestidors) al CEIP Pompeu Fabra del Pont de Vilomara i Rocafort (Bages). Clau PAC-07361; 'obres d'ampliació CEIP a 2 línies (sense gimnàs, amb pista esportiva coberta) al CEIP Joan XXIII de Balenyà (Osona).Clau PAC-07363; ''Nova construcció IES 3/2 línies (substitució i ampliació) a l'IES Jonqueres de Sabadell (Vallès Occidental). Clau: INV-06266' i 'obres de reforma: Ampliació CEIP 1 línia (sense gimnàs) al CEIP Pompeu Fabra de Parets del Vallès (Vallès Oriental). Clau:PAC-07339</t>
  </si>
  <si>
    <t>CQ. IAC-05549+PNC-06419</t>
  </si>
  <si>
    <t>CQ.PAL-07331 + 3</t>
  </si>
  <si>
    <t>Contracte de serveis per a l'assistència tècnica de coordinació de seguretat i salut de les obres d'adaptació a la normativa. Millora de l'accessibilitat i remodelació de l'estació de Gràcia dels FGC. Clau: TF-04306.A</t>
  </si>
  <si>
    <t>DE.BSE-09380+1</t>
  </si>
  <si>
    <t>Contracte de serveis per la direcció d'execució conjunta de les obres: 'Nova construcció del Casal Civic i Oficina d'Acció Ciutadana de Solsona. Clau : BSE-09380' i 'Nova construcció del Parc de Bombers de Llança. Clau: PLG-08424'</t>
  </si>
  <si>
    <t>CQ VB-05146</t>
  </si>
  <si>
    <t>DO. VR-03921.1</t>
  </si>
  <si>
    <t>Contracte de serveis per a la direcció de les obres d'ampliació i modernització del regadiu de la conca de Tremp. Captació i canonada de transport. Clau: VR-03921.1</t>
  </si>
  <si>
    <t>CQP. CQPT2010.1</t>
  </si>
  <si>
    <t>Contracte de serveis per a l'assistència tècnica per a la redacció del control de qualitat d'estudis i projectes de transports 2010. Grup 1. Clau: CQPT2010.1</t>
  </si>
  <si>
    <t>EG. GEOT2010</t>
  </si>
  <si>
    <t>Contracte de serveis per a l'assistència tècnica per a la realització de treballs de prospeccions geotècniques, geològiques i hidrogeològiques per als estudis i projectes de Carreteres. Clau: GEOT2010</t>
  </si>
  <si>
    <t>Contracte de serveis per a l'assistència tècnica per el control de qualitat de les obres d'ampliació de l'Edifici Judicial del Canyeret de Lleida. Clau:JJL-06378</t>
  </si>
  <si>
    <t>DE. PAT-06464</t>
  </si>
  <si>
    <t>Contracte de serveis per a la direcció d'execució de les obres de reforma i ampliació Escola a 2 línies a l'Escola Els Quatre Vents, de Sant Jaume dels Domenys. Clau: PAT-06464</t>
  </si>
  <si>
    <t>CQ. PAA-06483</t>
  </si>
  <si>
    <t>Contracte de serveis per a l'assistència tècnica per a la redacció del projecte constructiu de ferm. Reforçament del ferm i obres co mplementàries. Carreteres T-334, del PK 0+000 al 13+048, TV-3301, del PK 0+000 al 0+685, i travessera de Bot. Tram: Horta de Sant Joan-Bot. Clau: RE-09079</t>
  </si>
  <si>
    <t>PC. XL-06129</t>
  </si>
  <si>
    <t>Contracte de serveis per a l'assistència tècnica per a la redacció de l'ampliació del projecte contructiu de millora general. Variant de la carretera C-14. PK 69+400 al 76+700. Tram: Tàrrega. Clau: VL-02184</t>
  </si>
  <si>
    <t>Contracte de serveis per a l'assistència tècnica per a la redacció del projecte constructiu de millora local. Via verda. Implantació de carril bici a la Costa Brava Centre. Tram 2: Castell-Platja d'Aro-Calonge.</t>
  </si>
  <si>
    <t>PC. XG-09051.3</t>
  </si>
  <si>
    <t>PC. XA-10051</t>
  </si>
  <si>
    <t>Contracte de serveis per a l'assistència tècnica per a la redacció del projecte de condicionament i millora del camí del Pont de Suert al Pont de Saraís, passant per Gotarta, Igüerri, Irgo i Iran. TM de Pont de Suert i la Vall de Boí (Alta Ribagorça). Clau: XA-10051</t>
  </si>
  <si>
    <t>DE.PFG-08392</t>
  </si>
  <si>
    <t>Contracte de serveis per a la direcció d'execució de les obres nova construcció IE Marta Mata. Torelló IE 2 línies Infantil i Primària (1a fase). Clau: SNH-09315</t>
  </si>
  <si>
    <t>DE. PNT-09219 + INT-09226</t>
  </si>
  <si>
    <t>CSS. PAL-02477+3</t>
  </si>
  <si>
    <t>Contracte de serveis per a l'assistència tècnica de coordinació de seguretat i salut conjunta de les obres 'd'ampliació i reforma Escola 2 línies a l'Escola El Solell de La Palma de Cervelló (Baix Llobregat)'. Clau:PAA-08355; 'Ampliació Institut 3/2 línies+cicles formatius a l'Institut de Sales de Viladecans (Baix Llobregat)'. Clau:IAA-06488 i 'reforma i ampliació Escola a 2 línies a l'Escola Els Quatre Vents de Sant Jaume dels Domenys (Baix Penedès)'. Clau: PAT-06464</t>
  </si>
  <si>
    <t>CSS. JJL-06378</t>
  </si>
  <si>
    <t>Contracte de serveis per a l'assistència tècnica de coordinació de seguretat i salut de les obres 'Ampliació de l'Edifici Judicial del Canyeret de Lleida' Clau:JJL-06378</t>
  </si>
  <si>
    <t>CQ. XT-08086</t>
  </si>
  <si>
    <t>Contracte de serveis per a l'assistència tècnica de control de qualitat de les obres de millora general. Condicionament de la carretera de TV-3148 de Vila-seca a la Pineda (Raval de la Mar) Tram: Vila-seca. Clau: XT-08086</t>
  </si>
  <si>
    <t>CQ. PNM-09306 + PNV-09301</t>
  </si>
  <si>
    <t>Contracte de serveis per a l'assistència tècnica conjunta de control de qualitat de les obres: 'Nova construcció CEIP Els Alocs. Vilassar de Mar, CEIP 1 línia. Clau: PNM-09306' i 'Nova construcció CEIP Vapor Cortés, Terrassa, CEIP 2 línies. Clau: PNV-09301'</t>
  </si>
  <si>
    <t>DE. HLL-09996+1</t>
  </si>
  <si>
    <t>Contracte de serveis per a l'assistència tècnica per al control de qualitat del projecte bàsic del perllongament de la línia 3 dels FMB. Tram: Zona Universitària - Sant Feliu de Llobregat. Infraestructura, via i catenària. Clau:PB-TM-06501.1</t>
  </si>
  <si>
    <t>Contracte de serveis per a l'assistència tècnica per a la redacció del projecte bàsic i d'execució, la certificació d'eficiència energètica del projecte, l'estudi de seguretat i salut, l'estudi geotècnic, el projecte d'activitats per a llicència ambiental i poster ior Direcció d'Obra i certificació d'eficiència energètica de final d'obra corresponent a la Construcció del centre de formació en incendis d'Interior i Reforma del Parc de Bombers de Martorell. Clau: PMB-10039(1v)</t>
  </si>
  <si>
    <t>Contracte de serveis per a l'assistència tècnica per a la redacció del projecte bàsic i d'execució, l'estudi de seguretat i salut, la certificació d'eficiència energètica del projecte, l'estudi geotècnic, el projecte d'activitats per a llicència ambiental i posterior Direcció d'Obra i certificació d'eficiència energètica de final d'obra corresponent a la Nova Construcció d'un Edifici Judicial a Badalona. Clau: JJB-10060 (2v)</t>
  </si>
  <si>
    <t>PE+DO BSV-10044 2v</t>
  </si>
  <si>
    <t>PE+DO PNG-10033 2v</t>
  </si>
  <si>
    <t>Contracte de serveis per a l'assistència tècnica per a la redacció de l'estudi geològic, geotècnic i hidrogeològic del nou túnel ferroviari d'Horta. Clau: EG-TX-10003</t>
  </si>
  <si>
    <t>DE. PAC-08254+PAC-09351</t>
  </si>
  <si>
    <t>AT.TM-02609.0</t>
  </si>
  <si>
    <t>Contracte de serveis per a l'assistència tècnica per a l'Enginyeria d'integració dels sistemes i infraestructures, i coordinació de proves de la Línia 9 del Metro de Barcelona. Clau: TM-02609.0</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</si>
  <si>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l'Escola Alzines Balladores, de Sant Feliu de Buixareu. Clau: PNG-10033 (2v)</t>
  </si>
  <si>
    <t>Contracte de serveis per al suport a l'àrea de sistemes i infraestructures en la gestió i operació de projectes tecnològics de GISA i REGSA</t>
  </si>
  <si>
    <t>Contracte de serveis per a l'assistència tècnica del control de qualitat de les obres de nova construcció Escola 2 línies a l'Escola Pi Verd de Palafrugell(Baix Empordà). Clau:PNG-07462</t>
  </si>
  <si>
    <t>EV. HLL-09347</t>
  </si>
  <si>
    <t>Concurs de projectes per al desenvolupament arquitectònic de l'Ampliació de l'Hospital Arnau de Vilanova: Ordenació del conjunt for mat pel Nou Edifici Assistencial Ambulatori amb 2a fase de l'Aparcament i el Nou edifici Residencial i de Convencions. Clau: HLL- 09347.</t>
  </si>
  <si>
    <t>PC. DB-05070.2</t>
  </si>
  <si>
    <t>Contracte de serveis per l'assistència tècnica ambiental de les obres de millora local. Millora de nus. Enllaços a diferent nivell entre la carretera C-17 (PK 1+720) i la carretera N-150 (PK 0+000) i entre la carretera C-17 i la carretera BV-1411 entre el PK 4+330 i el PK 5+740 de la C-17. Tram: Barcelona-Montcada i Reixac. Clau: MB-03141.1</t>
  </si>
  <si>
    <t>ATAM. NB-03114.1-A1</t>
  </si>
  <si>
    <t>Contracte de serveis per l'assistència tècnica ambiental de les obres de millora general. Nova carretera. Vial Port-Aeroport. Tram 1, entre la carretera B-250 i el polígon industrial Patrenc. Tram: el Prat de Llobregat. Clau: NB-03114.1-A1</t>
  </si>
  <si>
    <t>CSS. PNG-08339+2</t>
  </si>
  <si>
    <t>Contracte de serveis per a l'assistència tècnica de coordinació de seguretat i salut de les obres 'nova construcció CEIP Ventalló, Ventalló. Substitució 6 unitats d'infantil i primària. Clau: PNG-08339'; 'nova construcció CEIP La Sinia, Calonge. CEIP 1 línia. Clau: PNG-08479' i 'nova construcció CEIP Cavaller Arnau, Riudoms. CEIP 1 línia. Clau: PNT-09233'</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</si>
  <si>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l'Escola les Pallargues-ZER la Segarra, dels Plans de Sió. Clau: PNL-09358(2v)</t>
  </si>
  <si>
    <t>PE+DO PAG-10011 1v</t>
  </si>
  <si>
    <t>Contracte de serveis per a la direcció d'execució conjunta de les obres d'ampliació Institut Cap Norfeu de Roses (Alt Empordà). Clau:IAG-06264 i de l'institut 3/3 línies+2 línies artístic a l'Institut Santiago Sobrequés i Vidal a Girona. Clau: IAG-06421</t>
  </si>
  <si>
    <t>Contracte de serveis per a l'assistència tècnica per a la redacció de l'estudi informatiu de millora general. Variant de Sagàs. Carretera C-154, del PK 38+800 al 41+200. Tram: Santa Maria de Merlès-Sagàs. Clau: EI-VB-01055</t>
  </si>
  <si>
    <t>PC. XB-09115</t>
  </si>
  <si>
    <t>CQ. INC-09235 + PNC-09298</t>
  </si>
  <si>
    <t>Contracte de serveis per a la direcció d'execució conjunta de les obres de Reforma del Parc de Bombers de Guardiola de Berguedà. Clau : PGB-05514.A i per les obres d'adequació funcional de la Comissaria de la Policia de la Generalitat-Mossos d'Esquadra del barri d'Horta-Guinardó de Barcelona. Clau:CBB-09267</t>
  </si>
  <si>
    <t>DE. PAM-09293+PAC-07332</t>
  </si>
  <si>
    <t>Contracte de serveis per a la direcció d'execució conjunta de les obres d'ampliació i reforma, Escola a 2 línies a l'Escola Joan Casas de Sant Antoni de Vilamajor (Vallès Oriental). Clau:PAM-09293 i a Escola a 1 línia a l'Escola Damià Mateu de Llinars del Vallès (Vallès Oriental). Clau: PAC-07332</t>
  </si>
  <si>
    <t>DO. TM-04341.R-M2</t>
  </si>
  <si>
    <t>Contracte de serveis per a la direcció de les obres del projecte modificat núm. 2 del projecte refós dels projectes de nous vestíbuls a les estacions de Bogatell, Llacuna i Selva de Mar de la L4 del FMB. Clau: TM-04341.R-M2</t>
  </si>
  <si>
    <t>Contracte de serveis per a l'assistència tècnica de coordinació de seguretat i salut conjunta de les obres 'Nova construcció de l'Escola Bufalà II, Badalona. Escola 1 Línia Infantil + Primària'. Clau:PNC-09215; 'Reforma i ampliació de l'IES Can Vilumara de l'Hospitalet de Llobregat(Barcelonès)'. Clau: IAC-03591 i 'Construcció de la Nova Seu de la Casa de les Llengües al recinte de Can Ricart de Barcelona. Fase 1: Consolidació i ampliació estructurals i de tancaments dels edificis'. Clau:GPV-09264.1</t>
  </si>
  <si>
    <t>Contracte de serveis per a l'assistència tècnica per a les inspeccions prèvies d'edificis de les obres de la Línia 9 de Metro de Barcelona. Tram 3r. Subtram: Manuel Girona â?? Mandri. Clau: TM-00509.4F2.2</t>
  </si>
  <si>
    <t>DO.TF-08272</t>
  </si>
  <si>
    <t>Contracte de serveis per a la direcció de les obres del projecte constructiu de pas inferior de la carretera GI-V-527 sota les vies del tren cremallera dels FGC a Queralbs.</t>
  </si>
  <si>
    <t>PC. RL-09059</t>
  </si>
  <si>
    <t>Contracte de serveis per a l'assistència tècnica per a la redacció del projecte constructiu de ferm. Millora de les característiques superficials. Carretera C-563 del PK 0+000 al 15+550. Tram: Tuixén-Gósol.</t>
  </si>
  <si>
    <t>PC. XL-09060</t>
  </si>
  <si>
    <t>Contracte de serveis per a l'assistència tècnica del control de qualitat de les obres de rehabilitació patologies (façana, pati, i coberta) al CEIP Enxaneta(antic Narcís Oller)(Alt Camp). Clau: PAT-09208, obres de reforma i ampliació CEIP 2 línies (1 línia+menjador i gimnàs) al CEIP Riu Clar, de Tarragona. Clau: PAT-07327 i Nova construcció escola 1 línia (substitució) a l'escola Font Rúbia, de Font Rubí (Alt Penedès). Clau: PNC-07356</t>
  </si>
  <si>
    <t>CSS. PAG-08509+4</t>
  </si>
  <si>
    <t>DE. IAG-08383 + PAG-06466</t>
  </si>
  <si>
    <t>CSS. TM-00509.6A2-C1</t>
  </si>
  <si>
    <t>Direccions dObra</t>
  </si>
  <si>
    <t>DO. TF-03474.1R-M5</t>
  </si>
  <si>
    <t>Contracte de serveis per a la direcció de les obres del projecte modificat núm. 5 del perllongament dels FGC a Terrassa. Infraestructura, superestructura de via i catenària. Tram: Túnel Terrassa-Rambla/Can Roca i estacions intercanviador RENFE i Can Roca. Clau: TF-03474.1.R-M5</t>
  </si>
  <si>
    <t>Contracte de serveis per a la direcció d'execució conjunta de les obres de l'institut Abat Oliba de Ripoll. Clau: IAG-08383 i d'ampliació i reforma Escola 2 línies a l'Escola Rocalba de Sant Feliu de Pallerols (La Garrotxa). Clau:PAG-06466</t>
  </si>
  <si>
    <t>CQP-2010.1</t>
  </si>
  <si>
    <t>Contracte de serveis per a l'assistència tècnica per al Control de Qualitat de Projectes d'Edificació. Clau: CQP-2010.1</t>
  </si>
  <si>
    <t>CQ. CLT-08245+2</t>
  </si>
  <si>
    <t>CSS. HBB-00394.2</t>
  </si>
  <si>
    <t>Contracte de serveis per a l'assistència tècnica del control de qualitat conjunt de les obres de construcció del Consultori Local de Paüls. Clau:CLT-08245; construcció del Consultori Local de La Bisbal de Falset. Clau:CLT-08342; construcció del Consultori Local d'Aiguaviva. Clau:CLT-08471</t>
  </si>
  <si>
    <t>DE. PNL-09213 + PNT-09233</t>
  </si>
  <si>
    <t>Contracte de serveis per a la direcció d'execució conjunta de les obres:Ampliació Escola Parc del Saladar, Escola 1 línia Primària (2a FASE). Clau: PNL-09213 i Nova construcció CEIP Cavaller Arnau. Riudoms. CEIP 1 Línia. Clau:PNT-09233</t>
  </si>
  <si>
    <t>CQ. VR-03921.1</t>
  </si>
  <si>
    <t>Contracte de serveis per a l'assistència tècnica de control de qualitat de les obres d'ampliació i modernització del regadiu de la conca de Tremp. Captació i canonada de transport. Clau: VR-03921.1</t>
  </si>
  <si>
    <t>CQ. TM-05605.A</t>
  </si>
  <si>
    <t>Contracte de serveis per a l'assistència tècnica de control de qualitat del projecte constructiu d'adaptació a la normativa i millora de l'accessibilitat de l'estació de Virrei Amat de la línia 5 de l'FMB. Clau: TM-05605.A</t>
  </si>
  <si>
    <t>PR.TM-00509.4R</t>
  </si>
  <si>
    <t>Contracte de serveis per a l'assistència tècnica per a la redacció del 'Projecte refós de les estacions del tram 3r de la Línia 9 de Metro de Barcelona. Estacions: Campus Nord, Manuel Girona, Prat de la Riba, Sarrià, Mandri, El Putxet, Lesseps, Muntanya, Sanllehy, Guinardó i Maragall'. Clau: TM-00509.4R</t>
  </si>
  <si>
    <t>Contracte de serveis per a l'assistència tècnica per a la redacció del projecte de condicionament i millora de la xarxa de reg de la Comunitat de Regants de la Séquia Vinyals. Xarxa de distribució. TM de Celrà, Bordils, Juià, Sant Joan de Mollet i Flaçà (Gironès). Clau: TR-09413</t>
  </si>
  <si>
    <t>Revisió 2010-1</t>
  </si>
  <si>
    <t>Contracte de serveis per a la direcció d'execució de les obres d'ampliació escola a 2 línies a l'Escola Catalunya de Sant Cugat del Vallès (Vallès Occidental). Clau: PAV-07328</t>
  </si>
  <si>
    <t>DE. IAT-07460</t>
  </si>
  <si>
    <t>ATAM. MB-03141.1</t>
  </si>
  <si>
    <t>Contracte de serveis per a l'assistència tècnica per a la redacció del projecte bàsic i d'execució, l'estudi de seguretat i salut, la certificació d'eficiència energètica del projecte, l'estudi geotècnic, el projecte d'activitats per a llicència ambiental i poster ior Direcció d'Obra i certificació d'eficiència energètica de final d'obra corresponent a la construcció del nou Consultori Local d' Albinyana. Clau: CLT-10047 (1v)</t>
  </si>
  <si>
    <t>Contracte de serveis per a l'assistència tècnica per a la redacció del projecte de condicionament i millora de la xarxa de reg de la CR de la Sèquia Vinyals. Sèquia principal. TM de Girona i Celrà (Gironès). Clau: TC-09413</t>
  </si>
  <si>
    <t>Contracte de serveis per a la direcció d'execució conjunta de les obres de nova construcció del CEIP Pau Casals de Rubí, clau: PNV-07285 i de l'ampliació institut 3/2 línies (2a fase) a l'Institut Puig Cargol de Calonge (Baix Empordà), clau: IAG-07463</t>
  </si>
  <si>
    <t>DE. BSV-09203+1</t>
  </si>
  <si>
    <t>Contracte de serveis per a la direcció d'execució de les obres d'Enderroc i nova construcció del Casal de Gent Gran i Oficina d'Acció Ciutadana d'Igualada. Clau : BSV-09203 i Execució de les obres de nova construcció del Casal de Gent Gran d'Alcanar. Clau : BSV-09379</t>
  </si>
  <si>
    <t>Subministrament i Serveis</t>
  </si>
  <si>
    <t>AT. INCIDENCIES POST-OBRA DIAGNOSIS</t>
  </si>
  <si>
    <t>Contracte de serveis per a l’assistència tècnica per al suport en el seguiment i resolució d‘incidències i la realització de diagnosis de les obres acabades d’Edificació de GISA</t>
  </si>
  <si>
    <t>Contracte de serveis per a l'assistència tècnica per a l'assessorament a la Gerència de Projectes de Carreteres en la gestió de reposició de serveis afectats. Clau: SSAA 2010-1</t>
  </si>
  <si>
    <t>PM.TM-00509.4E-M1</t>
  </si>
  <si>
    <t>CQ. SNE-09316</t>
  </si>
  <si>
    <t>CQ. PNG-09231 + PNC-09220</t>
  </si>
  <si>
    <t>Contracte de serveis per a l'assistència tècnica conjunta de control de qualitat de les obres: 'Nova construcció CEIP El Morrot, Olot, CEIP 1 línia. Clau: PNG-09231' i 'Nova construcció CEIP Can Manent, Cardedeu, CEIP 2 línies. Clau: PNC-09220'</t>
  </si>
  <si>
    <t>CQ. PNA-09221 + PNB-09217</t>
  </si>
  <si>
    <t>Contracte de serveis per a l'assistència tècnica conjunta de control de qualitat de les obres: 'Nova construcció CEIP Josep Guinovar, Castelldefels, CEIP 2 Línies. Clau: PNA-09221' i 'Nova construcció CEIP Fluvià, Barcelona CEIP 2 línies. Clau: PNB-09217'</t>
  </si>
  <si>
    <t>CQ. PNT-09219 + INT-09226</t>
  </si>
  <si>
    <t>Contracte de serveis per a l'assistència tècnica conjunta de control de qualitat de les obres: 'Nova construcció del CEIP La Bòbila de Cambrils, CEIP 2 línies. Clau: PNT-09219' i 'Nova construcció IES Els Pallaressos, Els Pallaressos, IES 3/0 (ampliable). Clau: INT-09226'</t>
  </si>
  <si>
    <t>CQ. SNL-09314</t>
  </si>
  <si>
    <t>Contracte de serveis per a l'assistència tècnica de control de qualitat de les obres de nova construcció IE La Mitjana, Lleida, IE 2 línies. Clau: SNL-09314</t>
  </si>
  <si>
    <t>PC. AT-05067</t>
  </si>
  <si>
    <t>Contracte de serveis per a l'assistència tècnica per a la redacció del projecte constructiu de millora general. Condicionament. Eixamplament i millora de revolts de la carretera C-242. PK 34+000 al 59+300. Tram: Ulldemolins-Alforja. Clau: AT-05067</t>
  </si>
  <si>
    <t>CQ. JJL-06378</t>
  </si>
  <si>
    <t>Contracte de serveis per a l'assistència tècnica de coordinació de seguretat i salut de les obres 'Nova construcció CEIP Jaume I, Terrassa CEIP 3 Línies'. Clau:PNV-09302; 'Nova construcció CEIP Fluvià, Barcelona CEIP 2 Línies'. Clau:PNB-09217; 'Nova construcció CEIP Josep Guinovart, Castelldefels CEIP 2 Línies' Clau: PNA-09221; 'Nova construcció CEIP Els Alocs, Vilassar de Mar CEIP 1 Línia' Clau:PNM-09306' i 'Nova construcció CEIP Vapor Cortés, Terrassa CEIP 2 Línies' Clau:PNV-09301</t>
  </si>
  <si>
    <t>Contracte de serveis per a l'assistència tècnica per a la redacció de l'ampliació de l'estudi informatiu d'implantació d'un sistema tramviari al camp de Tarragona. Clau: EI-TX-07263</t>
  </si>
  <si>
    <t>EI-TX-10004</t>
  </si>
  <si>
    <t>Contracte de serveis per a l'assistència tècnica per a la redacció de l'estudi informatiu del nou sistema tramviari entre Bellaterra i Montcada i Reixac. Clau: EI-TX-10004</t>
  </si>
  <si>
    <t>IA-TX-10004</t>
  </si>
  <si>
    <t>Contracte de serveis per a l'assistència tècnica de control de qualitat de les obres de millora general. Condicionament i reforçament de la carretera L-201 del PK 8+750 al 18+815. Tram: Maldà - Arbeca. Clau: AL-02109.2-A1</t>
  </si>
  <si>
    <t>DB AL-05020.1</t>
  </si>
  <si>
    <t>PC. TR-10028</t>
  </si>
  <si>
    <t>Contracte de serveis per a l'assistència tècnica per a la redacció del projecte constructiu de condicionament i millora del regadiu de Sant Julià de Ramis, Cervià de Ter, Sant Jordi Desvalls, Sant Joan de Mollet (Gironès) i Colomers, Jafre i Vilopriu (Baix Empordà). Clau: TR-10028</t>
  </si>
  <si>
    <t>CQ.UB-01461.A3.1</t>
  </si>
  <si>
    <t>Contracte de serveis per a l'assistència tècnica de control de qualitat de les obres de recuperació mediambiental de la platja del Cavaió, als tt.mm. d'Arenys de Mar i Canet de Mar. Fase 1. Clau: UB-01461.A3.1</t>
  </si>
  <si>
    <t>EI-VB-03120-A1</t>
  </si>
  <si>
    <t>Contracte de serveis per a l'assistència tècnica per a la redacció de l'estudi informatiu de millora general. Variant de la carretera C-59, del PK 19+000 al 25+000. Tram: Sant Feliu de Codines. Clau: EI-VB-03120-A1</t>
  </si>
  <si>
    <t>IA-VB-03120-A1</t>
  </si>
  <si>
    <t>Contracte de serveis per a l'assistència tècnica per a la redacció de l'estudi d'impacte ambiental de millora general. Variant de la carretera C-59, del PK 19+000 al 25+000. Tram: Sant Feliu de Codines. Clau: IA-VB-03120-A1</t>
  </si>
  <si>
    <t>EI-VB-98171-A2</t>
  </si>
  <si>
    <t>Contracte de serveis per a l'assistència tècnica per a la redacció de l'estudi informatiu de millora general. Variant de la carretera B-224. Del PK 36+000 de la C-15 al PK 14+000 de la B-224. Tram: Vallbona d'Anoia-Piera-Masquefa. Clau: EI-VB-98171-A2</t>
  </si>
  <si>
    <t>Contracte de serveis per a l'assistència tècnica per a les inspeccions prèvies d'edificis de les obres de l'L9 del Metro de Barcelona. Tram 3r. Subtram: Lesseps-Mandri. Clau: TM-00509.4F.5</t>
  </si>
  <si>
    <t>CQ.TM-00509.35.1</t>
  </si>
  <si>
    <t>DE. PAC-07364+PAC-09350</t>
  </si>
  <si>
    <t>Contracte de serveis per a l'assistència tècnica del control de qualitat de les obres de nova construcció IE de Sant Carles de la Ràpita, Sant Carles de la Ràpita, IE 1 línia. Clau: SNE-09316</t>
  </si>
  <si>
    <t>CQ. SNH-09315</t>
  </si>
  <si>
    <t>Contracte de serveis per a l'assistència tècnica del control de qualitat de les obres de nova construcció IE Marta Mata. Torelló IE 2 línies Infantil i Primària (1a fase). Clau: SNH-09315</t>
  </si>
  <si>
    <t>CQ. PNV-09302</t>
  </si>
  <si>
    <t>Contracte de serveis per a l'assistència tècnica del control de qualitat de les obres de nova construcció CEIP Jaume I, Terrassa CEIP 3 línies. Clau: PNV-09302</t>
  </si>
  <si>
    <t>PC. TM-00509.4B-BIS.1</t>
  </si>
  <si>
    <t>PC. TM-00509.4B-BIS.2</t>
  </si>
  <si>
    <t>PC. TM-00509.4C-BIS.1</t>
  </si>
  <si>
    <t>PC. TM-00509.4C-BIS.2</t>
  </si>
  <si>
    <t>PE+DO PAM-10026 1v</t>
  </si>
  <si>
    <t>Contracte de serveis per a l'assistència tècnica del control de qualitat conjunt de les obres: 'nova construcció Escola 2 línies (sense gimnàs) a l'Escola Pau Vila, de Sant Feliu de Llobregat (Baix Llobregat). Clau PNA-07461.1', 'nova construcció Institut 3/0 línies (primera fase) a l'Institut de Castelldefels (Baix Llobregat).Clau INA-07419.1' i 'nova construcció Escola 7 unitats a l'Escola El Montcau de Subirats (Alt Penedès). Clau: PNC-08445'</t>
  </si>
  <si>
    <t>CQ. PNL-07357 + PNL-09318</t>
  </si>
  <si>
    <t>Contracte de serveis per a l'assistència tècnica del control de qualitat conjunt de les obres de: 'nova construcció Escola 2 línies a l'Escola d'Almenar (Segrià). Clau:PNL-07357' i 'nova construcció Escola 6 unitats a l'Escola El Timó de Sidamon (El Pla d'Urgell). Clau:PNL-09318'</t>
  </si>
  <si>
    <t>CQ. INB-07393</t>
  </si>
  <si>
    <t>Contracte de serveis per a l'assistència tècnica del control de qualitat de les obres de nova construcció Institut 3/2 línies a l'Institut Angeleta Ferrer i Sensat de Barcelona. Clau: INB-07393</t>
  </si>
  <si>
    <t>CQ. INE-08363</t>
  </si>
  <si>
    <t>Contracte de serveis per a l'assistència tècnica del control de qualitat de les obres de nova construcció Institut 2/2 línies sense gimnàs a l'Institut de Tecnificació d'Amposta (Montsià). Clau:INE-08363</t>
  </si>
  <si>
    <t>Contracte de serveis per a l'assistència tècnica per a la redacció dels avantprojectes: 'Condicionament i instal.lacions de l'estació de Manuel Girona de la Línia 9 de Metro de Barcelona. Clau: A-TM-00509.30A.4'; 'Condicionament i instal.lacions de l'estació de Prat de la Riba de la Línia 9 de Metro de Barcelona. Clau: A-TM-00509.30A.5' i 'Condicionament i instal.lacions de l'estació de Sarrià de la Línia 9 de Metro de Barcelona. Clau: A-TM-00509.30A.6'</t>
  </si>
  <si>
    <t>PV.A-TM-00509.31C.1+2</t>
  </si>
  <si>
    <t>Contracte de serveis per a l'assistència tècnica per al control de qualitat de les obres del projecte complementari núm. 6 del perll ongament de la línia 2 dels FMB. Tram: Pep Ventura-Badalona Centre. Urbanització de l'Illa Fradera. Fase 1 del projecte d'urbanització de l'Illa Central de Badalona. Clau: TM-99456.1-C6</t>
  </si>
  <si>
    <t>DO TF-03474.3A</t>
  </si>
  <si>
    <t>Contracte de serveis per a la direcció de les obres del perllongament dels FGC a Terrassa. Arquitectura i instal.lacions. Clau: TF-03474.3A</t>
  </si>
  <si>
    <t>Contracte de serveis per a la direcció conjunta de les obres: 'Projecte de l'ATC, senyalització i PCC de la línia 9 de metro de Barcelona. Clau: TM-02609.1' i 'Projecte constructiu del sistema de tancament d'andanes de la línia 9 de Metro de Barcelona. Clau: TM-02609.2'</t>
  </si>
  <si>
    <t>EG.EG07</t>
  </si>
  <si>
    <t>DE. SNE-09316</t>
  </si>
  <si>
    <t>Contracte de serveis per a la direcció d'execució de les obres de nova construcció IE de Sant Carles de la Ràpita, Sant Carles de la Ràpita. Clau:SNE-09316</t>
  </si>
  <si>
    <t>DE. PNV-09302</t>
  </si>
  <si>
    <t>CSS. BSV-09203+3</t>
  </si>
  <si>
    <t>Contracte de serveis per a l'assistència técnica per a la realització dels informes preliminars dels emplaçaments dels projectes d'edificació. Clau: EG07</t>
  </si>
  <si>
    <t>DE. PAV-07328</t>
  </si>
  <si>
    <t>Contracte de serveis per a la direcció d'execució de les obres de nova construcció IES de Reus. REUS IES 4/0 sense gimnàs (ampliable). Clau:INT-09232</t>
  </si>
  <si>
    <t>DE. INC-09245</t>
  </si>
  <si>
    <t>Contracte de serveis per a la direcció d'execució de les obres nova construcció IES Montgròs, Sant Pere de Ribes. IES 3/0(ampliable). Clau: INC-09245</t>
  </si>
  <si>
    <t>Contracte de serveis per el control de qualitat de les obres de construcció de la nova Seu de la Casa de les Llengües al recinte de Can Ricart de Barcelona.Fase 1 Consolidació i ampliació estructurals i de tancaments dels edificis. Clau:GPV-09264.1</t>
  </si>
  <si>
    <t>DE. PNV-09322 + PNC-09215</t>
  </si>
  <si>
    <t>UASPO. TM-08402.2</t>
  </si>
  <si>
    <t>Contracte de serveis per a l'assistència tècnica d'unitat d'avaluació i supervisió de projecte i obra (UASPO). Concessió. Estacions i determinades infraestructures del tram 2n de la línia 9 del Metro de Barcelona. Clau: TM-08402.2</t>
  </si>
  <si>
    <t>Contracte de Serveis per a l'Assistència Tècnica de Coordinació de Seguretat i Salut de les obres 'Ampliació i reforma institut a 4/2 línies, a l'Institut Ramon Barbat i Miracle, de Vila-seca (Tarragonès)'. Clau:IAT-07460; 'Ampliació Escola 3 línies a l'Escola Àngel Guimerà de Sant Andreu de la Barca (Baix Llobregat).' Clau: PAA-06483 i 'Reforma i ampliació Escola a 3 línies a l'Escola Francesc Platón i Sartí d'Abrera'. Clau:PAA-06263</t>
  </si>
  <si>
    <t>CSS. PAV-07328+2</t>
  </si>
  <si>
    <t>Contracte de serveis per a l'assistència tècnica per a la redacció dels avantprojectes de construcció: 'Condicionament i instal.lacions de l'estació de Sanllehy de la Línia 9 de Metro de Barcelona. Clau: A-TM-00509.31C.1'; 'Condicionament i instal.lacions de l'estació de Guinardó de la Línia 9 de Metro de Barcelona. Clau: A-TM-00509.31C.2' i 'Condicionament i instal.lacions de l'estació de Maragall de la Línia 9 de Metro de Barcelona. Clau: A-TM-00509.31C.3'</t>
  </si>
  <si>
    <t>PC. MB-09087</t>
  </si>
  <si>
    <t>Contracte de serveis per l'assistència tècnica de control de qualitat conjunt de les obres de 'Enderroc i nova construcció del Casal de Gent Gran i Oficina d'Acció Ciutadana d'Igualada ' Clau:BSV-09203 i ' Nova Construcció del Casal de Gent Gran d'Alcanar'. Clau : BSV-09379</t>
  </si>
  <si>
    <t>Contracte de serveis per a la direcció d'execució de les obres nova construcció del CEIP Jaume I, Terrassa CEIP 3 línies. Clau: PNV-09302</t>
  </si>
  <si>
    <t>DE. SNL-09314</t>
  </si>
  <si>
    <t>Contracte de serveis per a l'assistència tècnica de coordinació de seguretat i salut conjunta de les obres 'Nova construcció Escola 2 línies (sense gimnàs) a l'Escola Pau Vila de Sant Feliu de Llobregat (Baix Llobregat)'. Clau:PNA-07461.1; 'Nova construcció Institut 3/2 línies a l'Institu Angeleta Ferrer i Sensat de Barcelona'. Clau:INB-07393 i 'Nova construcció CEIP de Cervelló. Cervelló. CEIP 1 línia.' Clau: PNA-09222</t>
  </si>
  <si>
    <t>CSS. PNG-07952+1</t>
  </si>
  <si>
    <t>Contracte de serveis per a l'assistència tècnica de coordinació de seguretat i salut conjunta de les obres 'Nova construcció Escola 1 línia a l'Escola de les Preses (Garrotxa)'.Clau:PNG-07952 i 'Complementari núm. 1 d'adequació al Centre d'Infància i Adololescència per a l'edifici de la Mare de Déu de la Misericòrdia'. Clau:BSE-03420-C1</t>
  </si>
  <si>
    <t>CSS. PNL-07357+2</t>
  </si>
  <si>
    <t>Contracte de serveis per a l'assistència tècnica de coordinació de seguretat i salut conjunta de les obres 'Nova construcció Escola 2 línies a l'Escola d'Almenar (Segrià)'. Clau:PNL-07357;'Nova construcció Institut 2/2 línies sense gimnàs a l'Institut de Tecnificació d'Amposta (Montsià)'. Clau:INE-08363 i 'Nova construcció Escola 7 unitats a l'Escola El Montcau de Subirats (Alt Penedès)'. Clau:PNC-08445</t>
  </si>
  <si>
    <t>CSS. BSE-09380+2</t>
  </si>
  <si>
    <t>Contracte de serveis per a l'assistència tècnica de coordinació de seguretat i salut conjunta de les obres 'Nova construcció del Casal Cívic i Oficina d'Acció Ciutadana de Solsona'. Clau:BSE-09380; 'Nova construcció del Parc de Bombers d'Olot'. Clau:POG-08268 i 'Nova construcció CEIP l'Olivar, Castellnou del Bages.CEIP 1 Línia.' Clau:PNH-09307</t>
  </si>
  <si>
    <t>Contracte de serveis per a l'assistència tècnica per a la redacció del projecte constructiu de millora general. Desdoblament de la carretera B-124. PK 3+300 al PK 6+500. Tram: Sabadell-Castellar del Vallès. Clau: DB-05070.2</t>
  </si>
  <si>
    <t>Contracte de serveis per a l'assistència tècnica per a la redacció del projecte constructiu de millora local. Millora de traçat. Carretera BP-4654, del PK 0+000 al 8+120, i carretera BP-4653, del PK 6+300 al 17+390. Tram: Sant Quirze de Besora-Olost. Clau: XB-09115</t>
  </si>
  <si>
    <t>DE. PAL-02477+1</t>
  </si>
  <si>
    <t>Contracte de serveis per a la direcció d'execució de les obres de l'escola El Vilot - ZER Ponent de Lleida. Clau: PAL-02477 i d'ampliació i reforma escola a 2 línies a l'escola Pompeu Fabra de Mollerusa, El Pla d'Urgell. Clau:PAL-07331</t>
  </si>
  <si>
    <t>Diferència 08-09</t>
  </si>
  <si>
    <t>Diferència 09-10</t>
  </si>
  <si>
    <t>EC.E1-TR-09414</t>
  </si>
  <si>
    <t>EI. PC. TF-09408</t>
  </si>
  <si>
    <t>Contracte de serveis per a la licitació conjunta per a l'assistència tècnica per a la redacció de l'estudi informatiu i el projecte constructiu del perllongament del soterrament de la línia d'FGC a Sabadell des de la Rambla Ibèria fins al passeig de Can Feu. Claus: EI-TF-09408 i TF-09408</t>
  </si>
  <si>
    <t>EV. EI-TX-10003</t>
  </si>
  <si>
    <t>Contracte de serveis per a l'assistència tècnica per a la redacció de l'estudi informatiu del nou túnel ferroviari d'Horta. Clau: EI-TX-10003</t>
  </si>
  <si>
    <t>IA-TX-10003</t>
  </si>
  <si>
    <t>Elaboració PEF</t>
  </si>
  <si>
    <t>Contracte de serveis per al suport en la implantació d'una solució destinada a la gestió del procés d'elaboració del Pla Econòmic Financer de GISA i REGSA</t>
  </si>
  <si>
    <t>Suport sistemes gestió operació</t>
  </si>
  <si>
    <t>DE.TM-99500.1A-M1-C1</t>
  </si>
  <si>
    <t>Contracte de serveis per a la direcció d'execució de les obres del projecte complementari núm. 1 del projecte modificat núm.1 d'infraestructures, superestructures i electrificació de la línia 5. Tram: Horta-Vall d'Hebron. Reposició de les instal.lacions esportives del Tir amb arc de Vall d'Hebron.Clau:TM-99500.1A-M1-C1</t>
  </si>
  <si>
    <t>Contracte de serveis per a l'assistència tècnica per a la redacció del projecte constructiu de millora local. Elements de seguretat viària. Barreres antiallaus i/o viseres a la carretera C-28 del PK 38+000 al 41+000. Tram: Baquèira-Tonyon (Naut Aran). Clau: ML-09099</t>
  </si>
  <si>
    <t>CQ.TM-00509.4B</t>
  </si>
  <si>
    <t>Contracte de serveis per a l'assistència tècnica de control de qualitat de les obres del projecte constructiu de la línia 9 de Metro de Barcelona. Tram 3r. Zona Universitària-Sagrera Meridiana. Infraestructura i Estacions: Prat de la Riba, Sarrià, Mandri i pous de ventilació. Clau: TM-00509.4B</t>
  </si>
  <si>
    <t>EC.E1-TR-10020</t>
  </si>
  <si>
    <t>Contracte de serveis per a l'assistència tècnica de Coordinació de Seguretat i Salut de les obres: 'Millora general. Condicionament de la carretera C-28 del PK 33+520 al 37+510. Execució de vorals. Tram: Salardú-Baqueira. Clau: AL-05020.1'; 'Millora local. Rotonda a la carretera C-31b. PK 8+600. Tram: Tarragona'. Clau: MT-06021' i 'Millora local. Millora de nus. Rotonda a la intersecció de les carreteres C-251, PK 5+890, i la BV-5105, PK 5+292. Tram: Cardedeu. Clau: VB-00031.1-A1'</t>
  </si>
  <si>
    <t>PC. RE-09079</t>
  </si>
  <si>
    <t>Contracte de serveis per a l'assistència tècnica per al control de qualitat de l'estudi informatiu del nou túnel ferroviari d'Horta. Clau: EI-TX-10003</t>
  </si>
  <si>
    <t>PC. JNP-05539.4</t>
  </si>
  <si>
    <t>Contracte de serveis per a la direcció d'execució de les obres d'ampliació Escola 3 línies a l'Escola Àngel Guimerà de Sant Andreu de la Barca, Baix Llobregat. Clau:PAA-06483</t>
  </si>
  <si>
    <t>DE. IAA-06488</t>
  </si>
  <si>
    <t>Contracte de serveis per a la direcció d'execució de les obres d'ampliació Institut 3/2 línies + cicles formatius a l'Institut de Sales de Viladecans (Baix Llobregat), clau:IAA-06488</t>
  </si>
  <si>
    <t>DE. PAA-08355</t>
  </si>
  <si>
    <t>Contracte de serveis per a la direcció d'execució de les obres d'ampliació i reforma Escola 2 línies a l'Escola El Solell de La Palma de Cervelló (Baix Llobregat).Clau:PAA-08355</t>
  </si>
  <si>
    <t>DO. PAA-08355</t>
  </si>
  <si>
    <t>Contracte de serveis per la direcció d'obra de les obres d'ampliació i reforma Escola 2 línies a l'Escola El Solell de La Palma de Cervelló (Baix Llobregat). Clau:PAA-08355</t>
  </si>
  <si>
    <t>PE+DO PNL-09358 2v</t>
  </si>
  <si>
    <t>Contracte de serveis per a l'assistència tècnica ambiental de les obres de millora general. Millora de l'accessibilitat a Mataró. Carretera C-31, PK 231+800 al 235+000. Tram: Cabrera de Mar-Mataró. Clau: NB-05091.1</t>
  </si>
  <si>
    <t>Contracte de serveis per al control de qualitat conjunt de les obres:'nova construcció CEIP de Cervelló, Cervelló CEIP 1 Línia. Clau: PNA-09222' i 'nova construcció CEIP Mar i Cel de Cubelles, CEIP 2 línies (2a fase 1 línia Infantil i Primària).Clau: PNC-09224'</t>
  </si>
  <si>
    <t>CQ. PNH-09307 + PNV-09299</t>
  </si>
  <si>
    <t>Contracte de serveis per a l'assistència tècnica per a la realització de la cartografia del projecte de condicionament i millora de la xarxa de distribució del reg de la Comunitat de Regants de la Presa de Colomers. TM de Colomers, Jafre, Verges, La Tallada d'Empordà, Ullà, Torroella de Montgrí, Bellcaire d'Empordà i Albons (Baix Empordà), l'Escala i Viladamat (Alt Empordà). Clau: E1-TR-10020</t>
  </si>
  <si>
    <t>PE+DO BSD-09361 2v</t>
  </si>
  <si>
    <t>EV. EG-TX-10004</t>
  </si>
  <si>
    <t>Contracte de serveis per a l'assistència tècnica per a la redacció del projecte constructiu de millora general. Condicionament de la carretera T-214, del PK 2+300 al 4+970. Tram: Torredembarra-La Riera de Gaià. Clau: AT-09082</t>
  </si>
  <si>
    <t>Contracte de serveis per a la direcció de les obres de millora general. Condicionament i reforçament de la carretera L-201 del PK 8+750 al 18+815. Tram: Maldà - Arbeca. Clau: AL-02109.2-A1</t>
  </si>
  <si>
    <t>ATAM. AL-02109.2-A1</t>
  </si>
  <si>
    <t>Contracte de serveis per a l'assistència tècnica ambiental de les obres de millora general. Condicionament i reforçament de la carretera L-201 del PK 8+750 al 18+815. Tram: Maldà - Arbeca. Clau: AL-02109.2-A1</t>
  </si>
  <si>
    <t>CQ. JJB-05334</t>
  </si>
  <si>
    <t>Contracte de serveis per a l'assistència tècnica de control de qualitat de les obres de Construcció d'un edifici judicial a Balaguer. Clau:JJB-05334</t>
  </si>
  <si>
    <t>CQ. PNG-07462</t>
  </si>
  <si>
    <t>Contracte de serveis per a l'assistència tècnica per a la redacció del projecte constructiu de millores de la xarxa de reg i aprofitament de les aigües de la riera de Vallforners. Comunitat de Regants de les aigües de l'embassament de la riera de Vallforners i afluents. TM de Cànoves i Samalús, Cardedeu i les Franqueses del Vallès (Vallès Oriental). Clau: VR-09991</t>
  </si>
  <si>
    <t>AT. RCS-00509.5</t>
  </si>
  <si>
    <t>Contracte de serveis per a l'assistència tècnica de coordinació de seguretat i salut de les obres 'Ampliació CEIP 1 línia (4 aules + gimnàs) al CEIP Joaquim Vallmajó de Navata (Alt Empordà). Clau:PAG-04454.2' i 'Nova construcció Escola 2 línies a l'Escola Pi Verd de Palafrugell (Baix Empordà).</t>
  </si>
  <si>
    <t>CQ. PNC-06422</t>
  </si>
  <si>
    <t>DO. PAC-08310</t>
  </si>
  <si>
    <t>Contracte de serveis per a la direcció d'obra de l'ampliació CEIP 2 línies al CEIP Ametllers de Sant Joan de Vilatorrada (Bages). Clau: PAC-08310</t>
  </si>
  <si>
    <t>Contracte de serveis per a l'assistència tècnica del control de qualitat de les obres de Nova construcció CEIP 2 línies al CEIP El Colomer de Bigues i Riells (Vallès Oriental).</t>
  </si>
  <si>
    <t>Contracte de serveis per a la direcció d'execució conjunta de les obres 'Implantació del segon accelerador lineal a l'Hospital Arnau de Vilanova de Lleida. Clau:HLL-09996' i de la 'Reforma de la planta 7a per a Unitat d'Hospitalització (Fase 1), de l'Hospital Joan XXIII, de Tarragona.Clau:HTT-07437.1</t>
  </si>
  <si>
    <t>CQ. HLL-09996+1</t>
  </si>
  <si>
    <t>Contracte de serveis per a l'assistència tècnica del control de qualitat conjunt de les obres 'd'Implantació del segon accelerador lineal a l'Hospital Arnau de Vilanova de Lleida. Clau:HLL-09996' i de la 'Reforma de la planta 7a per a Unitat d'Hospitalització (Fase 1) de l'Hospital Joan XXIII, de Tarragona. Clau:HTT-07437.1</t>
  </si>
  <si>
    <t>PE+DO IAM-10053 1v</t>
  </si>
  <si>
    <t>Contracte de serveis per a l'assistència tècnica per a la redacció del projecte bàsic i d'execució, la certificació d'eficiència energètica del projecte, l'estudi de seguretat i salut, l'estudi geotècnic, l'aixecament de plànols, l'estudi de patologies, el projecte d'activitats per a llicència ambiental i posterior Direcció d'Obra i certificació d'eficiència energètica de final d'obra corresponent a l'ampliació a Institut Escola de l'Escola Josep Pallerola i Roca, de Sant Celoni. Clau:IAM-10053(1v)</t>
  </si>
  <si>
    <t>AU.TF-04306.A</t>
  </si>
  <si>
    <t>Contracte de serveis per a l'assistència tècnica per a l'auscultació de les obres d'adaptació a la normativa. Millora de l'accessibilitat i remodelació de l'estació de Gràcia dels FGC. Clau: TF-04306.A</t>
  </si>
  <si>
    <t>AU. TM-05605.A</t>
  </si>
  <si>
    <t>Contracte de serveis per a l'assistència tècnica per a l'auscultació de les obres d'adaptació a la normativa i millora de l'accessibilitat de l'estació de Virrei Amat de la Línia 5 de l'FMB. Clau: TM-05605.A</t>
  </si>
  <si>
    <t>EP.EP38</t>
  </si>
  <si>
    <t>Contracte de serveis per a l'assistència tècnica per al control i seguiment de l'execució de les obres de la Línia 9. Tram 2on. Parc Logístic-Pou Bifurcació i Pou introducció tuneladora Zona Franca-Zona Universitària. 2a fase. Clau: AT.RCS-00509.5</t>
  </si>
  <si>
    <t>ATAM. NB-05091.1</t>
  </si>
  <si>
    <t>Contracte de serveis per a l'assistència tècnica del control de qualitat de les obres d'ampliació de l'Escola Lola Anglada de Badalona, clau: PAC-09349, ampliació i adequació de l'Institut Miquel Martí i Pol de Cornellà de Llobregat, clau: IAA-09290, ampliació de l'Escola Castell Ciuró de Molins de Rei(6 aules+especifiques), clau: PAA-08360, substitució de l'Escola Alfara de Carles - ZER Montcaro d'Alfara de Carles, clau: PNE-09348, ampliació de l'Escola Aqua Alba de Gualba, Escola 1 línia sense gimnàs.clau:PAM-09291 i de Nova construcció de l'Escola Pericot de Girona, Escola 2 línies sense gimnàs, vestidors i pistes. clau: PNG-09207</t>
  </si>
  <si>
    <t>Contracte de serveis per a l'assistència tècnica per a la realització dels treballs de topografia corresponents als estudis i projectes d'obra civil. Clau: EP38</t>
  </si>
  <si>
    <t>DE.POG-08268</t>
  </si>
  <si>
    <t>Contracte de serveis per a la direcció d'execució de les obres de Nova Construcció del Parc de Bombers d'Olot. Clau:POG-08268</t>
  </si>
  <si>
    <t>DE.BSE-03420-C1</t>
  </si>
  <si>
    <t>Contracte de serveis per a l'assistència tècnica per a la redacció de l'estudi previ. Eix Occidental. Carretera N-340, del PK 1068+500 al 1080+000, i carretera C-12, del PK 0+000 al 133+878. Tram: Alcanar-Lleida. Clau: EP-DC-09080</t>
  </si>
  <si>
    <t>Edificació</t>
  </si>
  <si>
    <t>Direccions d'Execució</t>
  </si>
  <si>
    <t>CSS. GPV-08248.A</t>
  </si>
  <si>
    <t>Contracte de serveis per a l'assistència tècnica de control de qualitat de les obres de perllongament de l'L5 dels FMB. Tram: Horta - Vall d'Hebron. Urbanització exterior.</t>
  </si>
  <si>
    <t>Direccions d'Obra</t>
  </si>
  <si>
    <t>CSS. TF-08272+5</t>
  </si>
  <si>
    <t>PC. TR-09413</t>
  </si>
  <si>
    <t>DO.BSE-03420-C1</t>
  </si>
  <si>
    <t>Contracte de serveis per a la direcció de les obres del projecte complementari núm 1 d'adequació del Centre d'Infancia i Adolescència per a l'edifici de la Mare de Déu de la Misericòrdia. Clau:BSE-03420-C1</t>
  </si>
  <si>
    <t>Contracte de serveis per a l'assistència tècnica per a la redacció del projecte del Regadiu Xerta-Sénia. Xarxa primària i xarxa de reg del sector 6. Clau: MR-05919.6</t>
  </si>
  <si>
    <t>CSS. PAG-06474+3</t>
  </si>
  <si>
    <t>DO.UB-01461.A3.1</t>
  </si>
  <si>
    <t>Contracte de serveis per a la direcció de les obres de recuperació mediambiental de la platja del Cavaió, als tt.mm. d'Arenys de Mar i Canet de Mar. Fase 1. Clau: UB-01461.A3.1</t>
  </si>
  <si>
    <t>PV. A-TH-10068</t>
  </si>
  <si>
    <t>Contracte de serveis per a l'assistència tècnica per a la redacció de l'avantprojecte d'ampliació de la Zona de Servei de l'aeroport Lleida - Alguaire. Clau: A-TH-10068</t>
  </si>
  <si>
    <t>DB VL-02137.1</t>
  </si>
  <si>
    <t>Contracte de serveis per a la direcció de les obres de millora general. Variant de la carretera C-13 del PK 13+100 al 20+000. Tram: Vilanova de la Barca - Térmens. Clau: VL-02137.1</t>
  </si>
  <si>
    <t>Contracte de serveis per a l'assistència tècnica per a la redacció del projecte constructiu de millora local. Nova supressió del pas a nivell del camí de Bell-Lloc a la bassa. Línia de Saragossa a Barcelona. PK 196/006. Tram: Bell-lloc d'Urgell.</t>
  </si>
  <si>
    <t>DO. PAL-08351</t>
  </si>
  <si>
    <t>Contracte de serveis per a la direccio d'execució conjunta de les obres:'nova construcció CEIP de Cervelló. Cervelló CEIP 1 Línia. Clau: PNA-09222', i 'nova construcció CEIP Mar i Cel, Cubelles. CEIP 2 Línies (2a fase 1 Línia Infantil i Primària). Clau:PNC-09224'</t>
  </si>
  <si>
    <t>DE. PNG-09324 + PNC-09228</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</si>
  <si>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l'ampliació de l'Escola Trentapasses, de Vilalba Sasserra. Clau: PAM-10026(1v)</t>
  </si>
  <si>
    <t>PE+DO PCB-09353 1v</t>
  </si>
  <si>
    <t>Contracte de serveis per a l'assistència tècnica per a la redacció del projecte bàsic i d'execució, la certificació d'eficiència energètica del projecte, l'estudi de seguretat i salut, el projecte d'activitats per a llicència ambiental i posterior Direcció d'Obra i certificació d'eficiència energètica de final d'obra corresponent a la reforma del Parc de Bombers de Santa Coloma de Cervelló. Clau: PCB-09353 (1v)</t>
  </si>
  <si>
    <t>PE+DO PGB-08419 1v</t>
  </si>
  <si>
    <t>CQ.TM-00509.6A2-C1</t>
  </si>
  <si>
    <t>Contracte de serveis per a l'assistència tècnica de control de qualitat de les obres del projecte d'execució del Centre Intermodal del Baix Llobregat al Prat de Llobregat. Clau: TM-00509.6A2-C1</t>
  </si>
  <si>
    <t>Contracte de serveis per a l'assistència tècnica per a la redacció de l'estudi d'impacte ambiental del nou sistema tramviari entre Bellaterra i Montcada i Reixac. Clau: IA-TX-10004</t>
  </si>
  <si>
    <t>EI-VB-01055</t>
  </si>
  <si>
    <t>DE. IAG-06264 + IAG-06421</t>
  </si>
  <si>
    <t>Obra Civil</t>
  </si>
  <si>
    <t>CQ. TM-99500.11</t>
  </si>
  <si>
    <t>CQ.PAG-08223+PNG-06484+IAG-02727-C1+PAG-</t>
  </si>
  <si>
    <t>Contracte de serveis per a la direcció d'execució conjunta de les obres:Nova construcció de l'Escola de Rubí. Vallès Occidental. Escola 2 línies Infantil + Primària. Clau: PNV-09322, i Nova construcció de l'Escola Bufalà II, Badalona. Escola 1 Línia Infantil + Primària. Clau: PNC-09215</t>
  </si>
  <si>
    <t>DE. PNG-09218 + PNG-08479</t>
  </si>
  <si>
    <t>Contracte de serveis per a la direcció d'execució conjunta de les obres de nova construcció CEIP La Benaula. Caldes de Malavella.1 línia. Clau:PNG-09218 i nova construcció CEIP La Sínia, Calonge. CEIP 1 línia. Clau: PNG-08479</t>
  </si>
  <si>
    <t>DE. PNA-09212</t>
  </si>
  <si>
    <t>Contracte de serveis per a l'assistència tècnica per a l'ampliació de la redacció del projecte constructiu de millora local. Millora de nus. Reordenació d'accessos i millores puntuals a la carretera C-55, PK 36+200 i del PK 37+900 al 40+700. Tram: Sant Joan de Vilatorrada-Callús. Clau: MB-08076</t>
  </si>
  <si>
    <t>PC.TM-00509.4B-BIS.1</t>
  </si>
  <si>
    <t>Contracte de serveis per a l'assistència tècnica per a la redacció del projecte constructiu 'Línia 9 de Metro de Barcelona. Tram 3r. Zona Universitària-Sagrera Meridiana. Estacions Putxet, Lesseps i Muntanya. Estructures interiors i urbanitzacions'. Clau: TM-00509.4C-BIS.1</t>
  </si>
  <si>
    <t>Contracte de serveis per a la direcció d'execució de les obres:Nova construcció de l'Escola d'Abrera.Abrera. Escola 1 Línia Infantil + Primària. Clau:PNA-09212</t>
  </si>
  <si>
    <t>DE. PAG-08223</t>
  </si>
  <si>
    <t>DO. TM-02405-C5.1+TM-02405-C5.2</t>
  </si>
  <si>
    <t>Contracte de serveis per a la direcció de les obres del projecte modificat núm. 2 de nous vestíbuls a l'intercanviador de l'Arc de Triomf (L-1 del FMB i RENFE). Clau: TM-04335-M2</t>
  </si>
  <si>
    <t>Contracte de serveis per a l'assistència tècnica per a la redacció del projecte bàsic i d'execució, l'estudi de seguretat i salut, la certificació d'eficiència energètica del projecte, l'estudi geotècnic, el projecte d'enderroc, el projecte d'activitats per a llicència ambiental i posterior Direcció d'Obra i certificació d'eficiència energètica de final d'obra corresponent a la Construcció d'un Centre Polivalent a Roquetes. Clau: CAP-10070 (2v)</t>
  </si>
  <si>
    <t>CSS. PAM-09293+4</t>
  </si>
  <si>
    <t>Contracte de serveis per a la direcció conjunta de les obres del 'Projecte complementari núm. 5 d'urbanització de la carretera de Collblanc, entre el carrer d'Ernest Lluch i el carrer de Josep Sunyol i Garriga. Fase 1. Clau: TM-02405-C5.1' i 'Projecte complementari núm. 5 d'urbanització de la carretera de Collblanc, entre el carrer d'Ernest Lluch i el carrer de Josep Sunyol i Garriga. Fase 2. Clau TM-02405-C5.2'</t>
  </si>
  <si>
    <t>Contracte de serveis per a la direcció d'execució de les obres reforma i ampliació Escola a 3 línies a l'Escola Francesc Platón i Sartí d'Abrera, Baix Llobregat. Clau:PAA -06263</t>
  </si>
  <si>
    <t>DE. PAA-06483</t>
  </si>
  <si>
    <t>DE. PNA-09222 + PNC-09224</t>
  </si>
  <si>
    <t>Contracte de serveis per a l'assistència tècnica per a la redacció del projecte constructiu de millora local. Rotonda a la carretera BP-5002. PK 3+200. Tram: Can Magarola (Alella). Clau: MB-09074</t>
  </si>
  <si>
    <t>CQP. EI-TX-10003</t>
  </si>
  <si>
    <t>Contracte de serveis per a l'assistència tècnica de coordinació de seguretat i salut de les obres 'rehabilitació patologies (façana, pati i coberta) al CEIP Enxaneta (Antic Narcís Oller) (Alt Camp).Clau: PAT-09208 ; 'l'obra de reforma i ampliació CEIP 2 línies (1 línia + menjador i gimnàs) al CEIP Riu Clar de Tarragona (Tarragonès).Clau: PAT-07327; Nova construcció escola 1 línia (substitució) a l'Escola Font-Rúbia de Font-Rubí (Alt Penedès). Clau: PNC-07356; 'obres d'adequació IES a 3/2 línies a l'IES Bisbe Berenguer de l'Hospitalet de Llobregat (Barcelonès). Clau IAC-05549; 'Nova construcció CEIP 2 línies (substitució) al CEIP Pompeu Fabra de l'Hospitalet de Llobregat (Barcelonès). Clau:PNC-06419 ; 'ampliació i reforma CEIP a 2 línies al CEIP Pi Gros de Sant Cebrià de Vallalta (Maresme). Clau: PAC-06486 i 'Nova construcció CEIP 1 línia al CEIP Mare de Déu de Montserrat de Castellví de Rosanes (Baix Llobregat). Clau:PNA-08444</t>
  </si>
  <si>
    <t>CQ. PAT-09208+PAT-07327+PNC-07356</t>
  </si>
  <si>
    <t>EI-AG-03020.3</t>
  </si>
  <si>
    <t>DE. PNG-06484</t>
  </si>
  <si>
    <t>Contracte de serveis per a la direcció d'execució de les obres de nova construcció Escola 6 unitats a l'Escola de Vall-llobrega (Baix Empordà). Clau: PNG-06484</t>
  </si>
  <si>
    <t>DE. INB-07393</t>
  </si>
  <si>
    <t>Contracte de serveis per a la direcció d'execució de les obres de nova Construcció Institut 3/2 línies a l'Institut Angeleta Ferrer i Sensat, de Barcelona. Clau: INB- 07393</t>
  </si>
  <si>
    <t>DE. PNL-07357</t>
  </si>
  <si>
    <t>Contracte de serveis per a la direcció d'execució de les obres de nova construcció Escola 2 línies a l'Escola d'Almenar(Segrià). Clau: PNL-07357</t>
  </si>
  <si>
    <t>DE. INE-08363</t>
  </si>
  <si>
    <t>Contracte de serveis per a la direcció d'execució de les obres de nova construcció Institut 2/2 línies sense gimnàs a l'Institut de Tecnificació d'Amposta (Montsià). Clau: INE-08363</t>
  </si>
  <si>
    <t>DE. PNA-07461.1</t>
  </si>
  <si>
    <t>Contracte de serveis per a la direcció d'execució de les obres de nova construcció Escola 2 línies a l'Escola Sant Llàtzer de Tortosa (Baix Ebre). Clau:PNT-08510</t>
  </si>
  <si>
    <t>DO. PNT-08510</t>
  </si>
  <si>
    <t>Contracte de serveis per a l'assistència tècnica del control de qualitat de les obres d'ampliació i reforma CEIP a 2 línies al CEIP Dr. Ferrer d'Artés (Bages). Clau: PAC-07422, obres d'ampliació i reforma escola a 2 línies a l'escola Torres Amat, de Sallent. Clau: PAC-07360 i obres d'ampliació a 2 línies (1 línia, biblioteca, gimnàs i vestidors) al CEIP Pompeu Fabra, del Pont de Vilomara i Rocafort (Bages). Clau: PAC-07361</t>
  </si>
  <si>
    <t>CQ. PAC-06486+PNA-08444</t>
  </si>
  <si>
    <t>Contracte de serveis per a l'assistència tècnica del control de qualitat de les obres d'ampliació i reforma CEIP a 2 línies al CEIP Pi Gros, de Sant Cebrià de Vallalta (Maresme). Clau: PAC-06486 i Nova Construcció CEIP 1 línia al CEIP Mare de Déu de Montserrat, de Castellví de Rosanes. Clau: PNA-08444</t>
  </si>
  <si>
    <t>CQ. VB-02074.1-M0</t>
  </si>
  <si>
    <t>Contracte de serveis per a l'assistència tècnica per a la redacció del projecte constructiu 'Línia 9 de Metro de Barcelona. Tram 3r. Zona Universitària-Sagrera Meridiana. Estació de Muntanya. Recinte del pou, vestíbul i galeries de connexió'. Clau: TM-00509.4C-BIS.2</t>
  </si>
  <si>
    <t>DO. TM-02609.1+1</t>
  </si>
  <si>
    <t>DO TM-99456.1-C6</t>
  </si>
  <si>
    <t>Contracte de serveis per a la direcció de les obres del projecte complementari núm. 6 del perllongament de la línia 2 dels FMB. Tram: Pep Ventura-Badalona Centre. Urbanització de l'Illa Fradera. Fase 1 del projecte d'urbanització de l'Illa Central de Badalona. Clau: TM-99456.1-C6</t>
  </si>
  <si>
    <t>CQ TF-03474.3A</t>
  </si>
  <si>
    <t>Contracte de serveis per a l'assistència tècnica conjunta de control de qualitat de les obres: 'Ampliació i reforma Escola a 2 línies a l'Escola Pompeu Fabra de Mollerussa (El Pla d'Urgell). Clau: PAL-07331'; 'Reforma i ampliació Escola 4 unitats a l'Escola el Vilot - ZER Ponent de Lleida (Sucs) (Segrià). Clau: PAL-02477'; 'Adequació Institut a 2/2 línies a l'Institut Joan Miró de l'Hospitalet de Llobregat (Barcelonès). Clau: IAC-07366' i 'Ampliació escola a 2 línies a l'Escola Catalunya de Sant Cugat del Vallès (Vallès Occidental). Clau: PAV-07328'</t>
  </si>
  <si>
    <t>CQ. PAA-08355</t>
  </si>
  <si>
    <t>Contracte de serveis per a l'assistència tècnica de control de qualitat de les obres d'ampliació i reforma Escola 2 línies a l'Escola El Solell de La Palma de Cervelló (Baix Llobregat). Clau: PAA-08355</t>
  </si>
  <si>
    <t>CSS. PAA-08355+2</t>
  </si>
  <si>
    <t>Contracte de serveis per a l'assistència tècnica de Coordinació de Seguretat i Salut de les obres 'Nova construcció CEIP El Morrot, Olot CEIP 1 Línia' Clau:PNG-09231; 'Ampliació Institut CAP Norfeu a Roses (Alt Empordà)' Clau: IAG-06264; 'Ampliació 3/2 línies (2a fase) a l'Institut Puig Cargol de Calonge (Baix Empordà)' Clau: IAG-07463 i 'Ampliació institut 3/3 línies artístic a l'Institut Santiago Sobrequés i Vidal de Girona' Clau: IAG-06421 i 'Nova construcció de l'Escola Pericot a Girona, Escola 2 línies sense gimnàs, vestidors i pistes' Clau: PNG-09207</t>
  </si>
  <si>
    <t>CSS. PNV-09302+4</t>
  </si>
  <si>
    <t>Contracte de serveis per a la direcció d'execució conjunta de les obres de 'reforma i ampliació escola a 2 línies a l'Escola Mare de Deu de Montserrat de Premià de Mar (Maresme)'. Clau: PAC-07364 i 'Escola Baldiri i Reixac de Badalona' Clau: PAC-09350</t>
  </si>
  <si>
    <t>DE. PAL-07303+PAL-06472</t>
  </si>
  <si>
    <t>Contracte de serveis per a la direcció d'execució conjunta de les obres de 'reforma i ampliació Escola ( 6 aules, aules específiques, despatx, gimnàs i menjador) a l'Escola Àngel Serafí i Casanovas de Sort (Pallars Sobirà)'. Clau: PAL-07303 i 'Ampliació de l'Escola Mossèn Ton Clavé - ZER Vent Seré a Vila-Sana'. Clau:PAL-06472</t>
  </si>
  <si>
    <t>CQ. PAL-07303</t>
  </si>
  <si>
    <t>Contracte de serveis per a l'assistència tècnica per a la redacció del projecte bàsic i d'execució, la certificació d'eficiència energètica del projecte, l'estudi de seguretat i salut, el Pla Especial de Millora Urbana, l'estudi geotècnic, el projecte d'activitats per a llicència ambiental, el pla de gestió de residus i posterior Direcció d'Obra i certificació d'eficiència energètica de final d'obra corresponent a la Nova Construcció de la Residència per a persones amb discapacitat física (Eduard Maristany), a Badalona. Clau: BSD-09361(2v)</t>
  </si>
  <si>
    <t>PC. TM-06509.2</t>
  </si>
  <si>
    <t>Contracte de serveis per a la direcció de les obres de nova construcció Escola 2 línies a l'Escola Sant Llàtzer de Tortosa (Baix Ebre). Clau: PNT-08510</t>
  </si>
  <si>
    <t>Contracte de serveis per a l'assistència tècnica per a la redacció dels Avantprojectes de construcció: 'Condicionament i instal.lacions de l'estació de Mandri de la Línia 9 de Metro de Barcelona. Clau: A-TM-00509.30A.3'; 'Condicionament i instal.lacions de l'estació de Putxet de la Línia 9 de Metro de Barcelona. Clau: A-TM-00509.31A.1' i 'Condicionament i instal.lacions de l'estació de Muntanya de la Línia 9 de metro de Barcelona. Clau: A-TM-00509.31A.2'</t>
  </si>
  <si>
    <t>PV.A-TM-00509.30A.4+2</t>
  </si>
  <si>
    <t>Contracte de serveis per a la direcció de les obres del projecte constructiu de l'L9 de Metro de Barcelona. Tram 3r. Zona Universitària - Sagrera Meridiana. Complements d'estructura interior, via i catenària del túnel 3. Tram: Zona Universitària - Sagrera Meridiana. Clau: TM-00509.4E</t>
  </si>
  <si>
    <t>PC. XA-10032</t>
  </si>
  <si>
    <t>Contracte de serveis per a l'assistència tècnica per a la redacció del projecte de condicionament i millora de diversos camins de la comarca del Pla d'Urgell. Clau: XA-10032</t>
  </si>
  <si>
    <t>Contracte de serveis per a l'assistència tècnica de coordinació de seguretat i salut de les obres 'nova construcció IE Marta Mata. Torelló, IE 2 Línies infantil i primaria (1a Fase)' Clau:SNH-09315; 'nova construcció CEIP Can Manent, Cardedeu CEIP 2 línies' Clau: PNC-09220; 'nova construcció Escola Riera Alta de Santa Coloma de Gramanet, 1a fase infantil, Escola 1 línia' Clau: PNB-10005; 'Ampliació del CEIP Pau Casals de Rubí' clau: PNV-07285; 'Ampliació de l'Institut Miquel Martí i Pol de Cornellà' Clau: IAA-09290; 'Ampliació a l'Escola Castell Ciuró de Molins de Rei (6 aules+específiques),' Clau:PAA-08360; 'Ampliació de l'escola Lola Anglada de Badalona (1 línia)' Clau: PAC-09349 i 'Ampliació Escola Aqua Alba a Gualba, escola 1 línia sense gimnàs,' Clau: PAM-09291</t>
  </si>
  <si>
    <t>CSS. SNL-09314+3</t>
  </si>
  <si>
    <t xml:space="preserve">Contracte de serveis per a l'assistència tècnica del control de qualitat conjunt de les obres: 'Enderroc i nova construcció CEIP 4 unitats al CEIP Sant Sebastià de Sant Climent Sescebes (Alt Empordà). Clau:PNG-06525', 'Nova construcció IES 4/3 línies a l'IES Ridaura de Castell Platja-d'Aro (Baix Empordà). Clau: IAG-03586' i 'Ampliació a 2 línies (menjador, gimnàs i 1 línia primària) de l'Escola Vilarromà, de Palamós (Baix Empordà). </t>
  </si>
  <si>
    <t>PC. TM-09340</t>
  </si>
  <si>
    <t>DO. PNM-09206</t>
  </si>
  <si>
    <t>Contracte de serveis per a la direcció de les obres de nova construcció Escola 2 línies a l'Escola La Torreta de La Roca del Vallès, Vallès Oriental. Clau PNM-09206</t>
  </si>
  <si>
    <t>CQ. PNM-09206</t>
  </si>
  <si>
    <t>Contracte de serveis per a la direcció d'execució de les obres de nova construcció escola 6 unitats a l'Escola El Timó de Sidamón (El Pla d'Urgell). Clau: PNL-09318</t>
  </si>
  <si>
    <t>DE. INA-07419.1</t>
  </si>
  <si>
    <t>Contracte de serveis per a la direcció d'execució de les obres de nova construcció Institut 3/0 línies (primera fase) a l'Institut de Castelldefels (Baix Llobregat). Clau: INA-07419.1</t>
  </si>
  <si>
    <t>DE. PNG-07952</t>
  </si>
  <si>
    <t>Contracte de serveis per a la direcció d'execució de les obres de nova construcció Escola 1 línia a l'Escola de Les Preses (Garrotxa). Clau: PNG-07952</t>
  </si>
  <si>
    <t>DE. PNC-08445</t>
  </si>
  <si>
    <t>Contracte de serveis per a la direcció d'execució de les obres de nova construcció Escola 7 unitats a l'Escola El Montcau de Subirats (Alt Penedès). Clau:PNC-08445</t>
  </si>
  <si>
    <t>Data Presentació</t>
  </si>
  <si>
    <t>Contracte de serveis per a l'assistència tècnica per a la redacció del projecte constructiu 'Línia 9 de Metro de Barcelona. Tram 3r. Zona Universitària-Sagrera Meridiana. Estacions Prat de la Riba, Sarrià i Mandri. Estructures interiors i urbanitzacions'. Clau: TM-00509.4B-BIS.1</t>
  </si>
  <si>
    <t>PC.TM-00509.4B-BIS.2</t>
  </si>
  <si>
    <t>Contracte de serveis per a l'assistència tècnica per a la redacció del projecte constructiu 'Línia 9 de Metro de Barcelona. Tram 3r. Zona Universitària-Sagrera Meridiana. Estació Prat de la Riba. Recinte del pou, vestíbul i galeries de connexió'. Clau: TM-00509.4B-BIS.2</t>
  </si>
  <si>
    <t>PC.TM-00509.4C-BIS.1</t>
  </si>
  <si>
    <t>DE. PAM-09291+IAC-03591</t>
  </si>
  <si>
    <t>Contracte de serveis per a la direcció d'execució conjunta de les obres d'ampliació a l'Escola Aqua Alba de Gualba, Escola 1 línia sense gimnàs. Clau:PAM-09291 i Reforma i ampliació Institut Can Vilumara de l'Hospitalet de Llobregat. Clau:IAC-03591</t>
  </si>
  <si>
    <t>Contracte de serveis per a la direcció de les obres de millora local. Millora de nus. Enllaços a diferent nivell entre la carretera C-17 (PK 1+720) i la carretera N-150 (PK 0+000), i entre la carretera C-17 i la carretera BV-1411 entre el PK 4+330 i el 5+740 de la C-17. Tram: Barcelona-Montcada i Reixac. Clau: MB-03141.1</t>
  </si>
  <si>
    <t>Contracte de serveis per a la direcció conjunta de les obres: 'Millora local. Millora de nus. Rotonda a la carretera B-124, PK 5+280. Tram: Castellar del Vallès. Clau: DB-05070.1'; 'Millora local. Millora de nus. Ordenació d'accessos a la carretera C-63 (intersecció Aiguaviva Parc i Lloret Residencial). PK 4+720, PK 4+890 i PK 5+070. Lloret de Mar-Vidreres. Clau: MG-05042'; 'Millora travessera urbana. Millora de la travessera urbana de Sallent del PK 40+980 al 42+600 de la carretera C-1411z. Tram: Sallent. Clau: RB-03135-A1'; 'Millora local. Millora de nus. Rotonda a la intersecció de les carreteres C-251, PK 5+890, i la BV-5105, PK 5+292. Tram: Cardedeu. Clau: VB-00031.1-A1' i 'Millora general. Condicionament. Eixample i Millora de revolts. Carretera BV-1225. PK 3+940 al 5+420. Tram: Manresa - El Pont de Vilomara i Rocafort. Clau: XB-06030'</t>
  </si>
  <si>
    <t>Contracte de serveis per a la direcció d'execució de les obres d'ampliació i reforma Escola Salvador Espriu de Vidreres (La Selva). Clau: PAG-06474 i de l'Escola Verdaguer de Sils (La Selva). Clau:PAG-06290</t>
  </si>
  <si>
    <t>PC. MR-05919.6</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</si>
  <si>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l'ampliació de l'Escola el Morsell, d'Olivella. Clau: PAC-09344 (1v)</t>
  </si>
  <si>
    <t>PE+DO PAE-09345 1v</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</si>
  <si>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l'ampliació de l'Escola Cinta Curto, de Tortosa. Clau: PAE-09345 (1v)</t>
  </si>
  <si>
    <t>PE+DO PAG-08377 1v</t>
  </si>
  <si>
    <t>EI-AL-02134.1</t>
  </si>
  <si>
    <t>Contracte de serveis per a l'assistència tècnica per a la redacció de l'estudi informatiu de millora general. Condicionament del pas de Comiols. Carreteres C-14, L-512 i C-1412b. Tram: Artesa de Segre. Clau: EI-AL-02134.1</t>
  </si>
  <si>
    <t>ATAM. VL-02137.1</t>
  </si>
  <si>
    <t>Contracte de serveis per a l'assistència tècnica ambiental de les obres de millora general. Variant de la carretera C-13 del PK 13+100 al 20+000. Tram: Vilanova de la Barca - Térmens. Clau: VL-02137.1</t>
  </si>
  <si>
    <t>Contracte de serveis per a l'assistència tècnica per a la realització de la cartografia del projecte de condicionament i millora de la xarxa de distribució del reg del Molí de Pals. TM de Torroella de Montgrí, Pals, Gualta, Fontanilles, Palau-Sator, Ullastret i Serra de Daró (Baix Empordà). Clau: E1-TR-09414</t>
  </si>
  <si>
    <t>EC.E1-MR-05919.6</t>
  </si>
  <si>
    <t>Contracte de serveis per a l'assistència tècnica per a la realització de la cartografia del projecte de regadiu Xerta-Sénia. Xarxa primària i xarxa de reg del sector 6. Clau: E1-MR-05919.6</t>
  </si>
  <si>
    <t>DO. TM-00509.4B+2</t>
  </si>
  <si>
    <t>Contracte de serveis per a l'assistència tècnica de coordinació de seguretat i salut conjunta de les obres 'Reforma i ampliació Escola El Vilot -ZER Ponent a Lleida' Clau: PAL-02477; 'Escola Pompeu Fabra de Mollerussa' Clau: PAL-07331; 'Institut Joan Miró de l'Hospitalet de Llobregat (Barcelonès)'. Clau:IAC-07366 i 'Escola l'Estany -ZER El Moainès a l'Estany' Clau: PNC-07355</t>
  </si>
  <si>
    <t>CQ. IAA-06488</t>
  </si>
  <si>
    <t>Contracte de serveis per a l'assistència tècnica del control de qualitat de les obres d'ampliació de l'IES de Sales, de Viladecans (Baix Llobregat). Clau:IAA-06488</t>
  </si>
  <si>
    <t>CQ. IAG-06264 + IAG-06421</t>
  </si>
  <si>
    <t>Contracte de serveis per al control de qualitat conjunt de les obres d'ampliació de 'l'Institut Cap Norfeu de Roses. Clau: IAG-06264' i de 'l'Institut Santiago Sobrequés i Vidal de Girona. Clau: IAG-06421</t>
  </si>
  <si>
    <t>CQ. PAG-06474+1</t>
  </si>
  <si>
    <t>Contracte de serveis per a la direcció d'execució de les obres d'ampliació i reforma Institut a 4/2 línies, a l'Institut Ramon Barbat i Miracle a Vila-Seca (Tarragonès). Clau: IAT-07460</t>
  </si>
  <si>
    <t>DE. PNH-09309</t>
  </si>
  <si>
    <t>Contracte de serveis per a la direcció d'execució de les obres de nova construcció Escola 7 unitats a l'Escola Els Castanyers de Viladrau (Osona). Clau PNH-09309</t>
  </si>
  <si>
    <t>EC.E1-ER-06908</t>
  </si>
  <si>
    <t>Contracte de serveis per a l'assistència tècnica per a la realització de la cartografia del projecte de regadiu de la Terra Alta. Àmbit de la bassa de regulació 4. Clau: E1-ER-06908</t>
  </si>
  <si>
    <t>CQ. IAT-07460</t>
  </si>
  <si>
    <t>Contracte de serveis per a l'assistència tècnica del control de qualitat de les obres d'ampliació i reforma Institut a 4/2 línies, a l'Institut Ramon Barbat i Miracle a Vila-Seca,Tarragonès. Clau:IAT-07460</t>
  </si>
  <si>
    <t>CQ. PNH-09309</t>
  </si>
  <si>
    <t>Contracte de serveis per a l'assistència tècnica del control de qualitat de les obres de nova construcció escola 7 unitats a l'Escola Els Castanyers de Viladrau (Osona). Clau PNH-09309</t>
  </si>
  <si>
    <t>PC. ER-06908.1</t>
  </si>
  <si>
    <t>Contracte de serveis per la direcció d'execució de les obres de nova construcció del Parc de Bombers i de l'Edifici de la Seu Regional d'Emergències de Girona. Clau:PFG-08392</t>
  </si>
  <si>
    <t>DE. INM-09325 + PNG-08339</t>
  </si>
  <si>
    <t>Contracte de serveis per a la direcció d'execució conjunta de les obres:'Nova construcció Institut Pineda de Mar, Maresme, Institut 3/0. Secundària. Clau:INM-09325' i 'Nova construcció CEIP Ventalló, Ventalló, substitució 6 unitats d'infantil i primària. Clau: PNG-08339'</t>
  </si>
  <si>
    <t>DE. INT-09371</t>
  </si>
  <si>
    <t>Contracte de serveis per a la direcció d'execució de les obres:'Nova construcció Institut Segur de Calafell.Calafell. Institut 4/0 secundària.(1a fase). Clau:INT-09371'</t>
  </si>
  <si>
    <t>Contracte de subministrament mitjançant arrendament de dispositius d'impressió i multifunció per a la Seu Corporativa de GISA</t>
  </si>
  <si>
    <t>CSS. TM-00509.35.1</t>
  </si>
  <si>
    <t>Contracte de serveis per a l'assistència tècnica de Coordinació de Seguretat i Salut de les obres del projecte constructiu de supere structura (via i catenària) del tram Nova Terminal Sud (aeroport) - Prat Eixample Nord de l'L9 de Metro de Barcelona. Clau: TM-00509.35.1</t>
  </si>
  <si>
    <t>CSS. AL-05020.1+2</t>
  </si>
  <si>
    <t>Contracte de serveis per a l'assistència tècnica per a la redacció del projecte bàsic i d'execució, l'estudi de seguretat i salut, la certificació d'eficiència energètica del projecte, l'estudi geotècnic, el projecte d'activitats per a llicència ambiental i posterior Direcció d'Obra i certificació d'eficiència energètica de final d'obra corresponent a la construcció del nou CAP 'Gornal', de l'Hospitalet de Llobregat. Clau: CAP-10007 (2v)</t>
  </si>
  <si>
    <t>Contracte de serveis per a l'assistència tècnica per a la redacció del projecte constructiu d'actualització a l'adaptació a la normativa i millora de l'accessibilitat i remodelació de l'estació de Sarrià dels FGC. Remodelació del vestíbul, vies, andanes i accessos a Via Augusta. Clau: TF-05518.1A</t>
  </si>
  <si>
    <t>PC. AT-09082</t>
  </si>
  <si>
    <t>Contracte de serveis per a la direcció d'execució de les obres d'ampliació de l'Escola Lola Anglada de Badalona (1 línia), Clau: PAC -09349</t>
  </si>
  <si>
    <t>Contracte de serveis per a l'assistència tècnica per a la redacció del projecte de condicionament i millora de la xarxa de distribució del reg de la Comunitat de regants de la Presa de Colomers. TM de Colomers, Jafre, Verges, La Tallada d'Empordà, Ullà, Torroella de Montgrí, Bellcaire d'Empordà i Albons (Baix Empordà), l'Escala i Viladamat (Alt Empordà). Clau: TR-10020</t>
  </si>
  <si>
    <t>PR+DO. HHB-02672-C4</t>
  </si>
  <si>
    <t>PC. VR-10064</t>
  </si>
  <si>
    <t>Contracte de serveis per a l'assistència tècnica per a la redacció del projecte de Modernització del reg de la CR de la Sèquia de Torres de Segre. TM de Torres de Segre i Sudanell (Segrià). Clau: VR-10064</t>
  </si>
  <si>
    <t>PC. VB-05072</t>
  </si>
  <si>
    <t>Contracte de serveis per a l'assistència tècnica per a la redacció del projecte constructiu de millora general. Variant. Ronda sud d'Igualada des de la carretera C-37, PK 62+970, a la carretera A-2, PK 549+800. Tram: Santa Margarida de Montbui (Sant Maure)-Jorba. Clau: VB-05072</t>
  </si>
  <si>
    <t>PE+DO JJB-10060 2v</t>
  </si>
  <si>
    <t>DE. IAA-09290+PAA-08360</t>
  </si>
  <si>
    <t>DE. PGB-05514.A + 1</t>
  </si>
  <si>
    <t>Contracte de serveis per a la direcció d'execució de les obres de reforma i ampliació a 2 línies a l'Escola La Muntanya d'Aiguafreda (Vallès Oriental). Clau:PAC-08254 i de l'Escola Serra Marina de Santa Coloma de Gramenet. Clau:PAC-09351</t>
  </si>
  <si>
    <t>Contracte de serveis per a l'assistència tècnica per a la redacció del projecte constructiu de la millora local. Ponts i estructures. Nou viaducte sobre el riu Ter entre Orís i Borgonyà, de la carretera C-17, PK 76+500, a la carretera BV-5226, PK 0+300. Tram: Orís-Sant Vincenç de Torelló. Clau: MB-09087</t>
  </si>
  <si>
    <t>PC. OX-10046</t>
  </si>
  <si>
    <t>Contracte de serveis per a l'assistència tècnica per a la redacció del projecte de Modernització de la xarxa de reg de les Comunitats de Regants de Llitera-Vincament i Serrabrisa -Montfret i del regadiu del canal Aragó-Catalunya TM d'Aitona i Seròs (Segrià). Clau: OX-10046</t>
  </si>
  <si>
    <t>DO. ER-03932.1</t>
  </si>
  <si>
    <t>Contracte de serveis per a la direcció de les obres del projecte constructiu del reg de l'Aldea-Camarles. Captació, impulsió i bassa 1. Clau: ER-03932.1</t>
  </si>
  <si>
    <t>Contracte de serveis per a l'assistència tècnica per a la redacció del projecte bàsic i d'execució, la certificació d'eficiència energètica del projecte, l'estudi de seguretat i salut, el projecte d'activitats per a llicència ambiental, l'estudi geotècnic, el pla especial de concreció d'ús i posterior Direcció d'Obra i certificació d'eficiència energètica de final d'obra corresponent a la Nova Construcció de la Residència Assistida amb Centre de Dia per a Gent Gran al Parc de les Muntanyetes, de Badalona. Clau: BSV-10044 (2v)</t>
  </si>
  <si>
    <t>PE+DO PLG-10040 2v</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</si>
  <si>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del Parc de Bombers a Santa Llogaia d'Àlguema. Clau: PLG-10040 (2v)</t>
  </si>
  <si>
    <t>PC. NB-05091.2</t>
  </si>
  <si>
    <t>DB VE-09029</t>
  </si>
  <si>
    <t>Contracte de serveis per a la direcció de les obres de millora general. Variant de Sant Jaume d'Enveja. Carretera TV-3403, PK 6+300 fins a la TV-3404, PK 0+000 i obres complementàries. Tram: Sant Jaume d'Enveja. Clau: VE-09029</t>
  </si>
  <si>
    <t>CQ. PAM-09293+PAC-07332+PAL-06472</t>
  </si>
  <si>
    <t>Contracte de serveis per a l'assistència tècnica per el control de qualitat de les obres: 'Ampliació i reforma a 2 línies a l'Escola Joan Casas de Sant Antoni de Vilamajor( Vallès Oriental). Clau: PAM-09293', 'Reforma i ampliació a Escola a 1 línia a l'Escola Damià Mateu de Llinars del Vallès (Vallès Oriental). Clau: PAC-07332' i 'Reforma i ampliació escola a 5 unitats a l'Escola Mossèn Ton Clavé de Vila-Sana (Pla d'Urgell). Clau: PAL-06472'</t>
  </si>
  <si>
    <t>CQ. PFG-08392 + BSE-03420-C1</t>
  </si>
  <si>
    <t>Contracte de serveis per a l'assistència tècnica del control de qualitat conjunt corresponent a les obres de:'Nova construcció del Parc de Bombers i de l'Edifici de la Seu Regional d'Emergències de Girona' Clau: PFG-08392 i 'Complementari núm 1 d'adequació del Centre d'Infancia i Adolescència per a l'edifici de la Mare de Déu de la Misericòrdia de Girona'. Clau:BSE-03420-C1</t>
  </si>
  <si>
    <t>CQ. INM-09325 + PNG-08339 + INT-09371</t>
  </si>
  <si>
    <t>Contracte de serveis per al control de qualitat conjunt de les obres:'Nova construcció Institut Pineda de Mar,Maresme, Institut 3/0. Secundària. Clau: INM-09325', 'Nova construcció CEIP Ventalló, Ventalló, substitució 6 unitats d'infantil i primària.Clau: PNG-08339' i 'Nova construcció Institut Segur de Calafell, Calafell. Institut 4/0 Secundària (1a fase). Clau: INT-09371'</t>
  </si>
  <si>
    <t>Contracte de serveis per a l'assistència tècnica d'inspecció prèvia d'edificis de les obres del projecte constructiu d'adaptació a la normativa i millora de l'accessibilitat de l'estació de Virrei Amat de la línia 5 de l'FMB. Clau: TM-05605.A</t>
  </si>
  <si>
    <t>Contracte de serveis per a la direcció integrada de les obres del centre penitenciari Els Plans de Tàrrega al municipi de Tàrrega. Clau: JNP-05539</t>
  </si>
  <si>
    <t>DI JNP-08246.1</t>
  </si>
  <si>
    <t>Contracte de serveis per a la direcció integrada de les obres del centre penitenciari de Preventius a Barcelona. Clau:JNP-08246.1</t>
  </si>
  <si>
    <t>DO.TF-04306.A</t>
  </si>
  <si>
    <t>Contracte de serveis per a la direcció de les obres d'adaptació a la normativa. Millora de l'ac cessibilitat i remodelació de l'estació de Gràcia dels FGC. Clau: TF-04306.A</t>
  </si>
  <si>
    <t>EI. NG-10030</t>
  </si>
  <si>
    <t>Contracte de serveis per a l'assistència tècnica per a la redacció de l'estudi informatiu de millora general. Nova carretera. Des del PK 375+200 de la carretera C-31 al PK 34+000 de la C-260. Tram: Siurana-Castelló d'Empúries. Clau: EI-NG-10030</t>
  </si>
  <si>
    <t>EI. XG-10031</t>
  </si>
  <si>
    <t>Contracte de serveis per a l'Assistència tècnica per al Control de Qualitat de Projectes d'Edificació. Clau: CQP-2010.3</t>
  </si>
  <si>
    <t>DO. TM-00509.35.1+1</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</si>
  <si>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l'Institut Escola El Calderí, de Caldes de Montbui. Clau:INM-10010 (2v)</t>
  </si>
  <si>
    <t>PE+DO PAG-09405 1v</t>
  </si>
  <si>
    <t>CSS. SNH-09315+7</t>
  </si>
  <si>
    <t>PC. TM-02609.22.1/TM-02609.22.2</t>
  </si>
  <si>
    <t>Reducció de les afectacions</t>
  </si>
  <si>
    <t>Contracte de serveis per al control de les mesures per a la reducció de les afectacions a la via pública de les obres de GISA</t>
  </si>
  <si>
    <t>Contracte de serveis per l'assistència tècnica ambiental de les obres de millora general. Condicionament de la carretera de TV-3148 de Vila-seca a la Pineda (Raval de la Mar) Tram: Vila-seca. Clau: XT-08086</t>
  </si>
  <si>
    <t>DB. XT-08086</t>
  </si>
  <si>
    <t>Contracte de serveis per a la direcció de les obres de millora general. Condicionament de la carretera de TV-3148 de Vila-seca a la Pineda (Raval de la Mar) Tram: Vila-seca. Clau: XT-08086</t>
  </si>
  <si>
    <t>DO. NB-03114.1-A1</t>
  </si>
  <si>
    <t>Contracte de serveis per a la direcció de les obres de millora general. Nova carretera. Vial Port-Aeroport. Tram 1, entre la carretera B-250 i el polígon industrial Patrenc. Tram: el Prat de Llobregat. Clau: NB-03114.1-A1</t>
  </si>
  <si>
    <t>CSS. MB-03141.1</t>
  </si>
  <si>
    <t>Contracte de serveis per a l'assistència tècnica de coordinació de seguretat i salut de les obres de millora local. Millora de nus. Enllaços a diferent nivell entre la carretera C-17 (PK 1+720) i la carretera N-150 (PK 0+000) i entre la carretera C-17 i la carretera BV-1411 entre els PK 4+330 i el 5+740 de la C-17. Tram: Barcelona-Montcada i Reixac. Clau: MB-03141.1</t>
  </si>
  <si>
    <t>CSS. MC-05910.4</t>
  </si>
  <si>
    <t>Contracte de serveis per a l'assistència tècnica de coordinació de seguretat i salut de les obres del projecte de regadiu Xerta-Sénia. Adequació del canal. Tram 4. Clau: MC-05910.4</t>
  </si>
  <si>
    <t>Contracte de serveis per a la Direcció conjunta de les obres de: 'Projecte constructiu de superstructura (via i catenària) del tram Nova Terminal Sud (aeroport) Prat Eixample Nord, de l'L9 de Metro de Barcelona. Clau: TM-00509.35.1' i 'Projecte constructiu de sup erestructura (via i catenària) del tram Prat Eixample Nord-Bifurcació Gornal, de l'L9 de Metro de Barcelona. Clau: TM-00509.35.2</t>
  </si>
  <si>
    <t>CQ VL-04012</t>
  </si>
  <si>
    <t>Contracte de serveis per a l'assistència tècnica de control de qualitat de les obres de millora general. Variant de Santa Susanna. Carretera C-55 del PK 70+700 al 71+800. Tram: Riner. Clau: VL-04012</t>
  </si>
  <si>
    <t>PV.A-TM-00509.31B</t>
  </si>
  <si>
    <t>Contracte de serveis per a l'assistència tècnica per a la redacció de l'avantprojecte de condicionament i instal.lacions de l'estació de Lesseps de la Línia 9 de Metro de Barcelona. Clau: A-TM-00509.31B</t>
  </si>
  <si>
    <t>DE. CLT-08245+2</t>
  </si>
  <si>
    <t>Contracte de serveis per a l'assistència tècnica de control de qualitat de les obres del projecte constructiu del reg de l'Aldea-Camarles. Captació, impulsió i bassa 1. Clau: ER-03932.1</t>
  </si>
  <si>
    <t>CQ. PNA-07461.1+ INA-07419.1 + PNC-08445</t>
  </si>
  <si>
    <t>Contracte de serveis per a l'assistència tècnica per a la redacció del projecte bàsic i d'execució, la certificació d'eficiència energètica del projecte, l'estudi de seguretat i salut, l'estudi geotècnic, l'aixecament de plànols, l'estudi de patologies, el projecte d'activitats per a llicència ambiental i posterior Direcció d'Obra i certificació d'eficiència energètica de final d'obra corresponent a l'Ampliació de l'Escola Pedralta, de Santa Cristina d'Aro. Clau: PAG-09405(1v)</t>
  </si>
  <si>
    <t>CQ TM-99456.1-C6</t>
  </si>
  <si>
    <t>Contracte de serveis per a l'assistència tècnica conjunta de Coordinació de Seguretat i Salut de les obres: 'Reg d'Oliana. Xarxa de distribució. TM. d'Oliana. Clau: VX-08296' i 'Xarxa de distribució dels regs de l'entorn de l'embassament de Rialb. Xarxa de Peramola-Bassella, marge dret. TTMM de Peramola i Bassella (Alt Urgell). Clau: VX-09312.1'</t>
  </si>
  <si>
    <t>DO. VX-08296</t>
  </si>
  <si>
    <t>Contracte de serveis per a la direcció de les obres del Reg d'Oliana. Xarxa de distribució. TM d'Oliana. Clau: VX-08296</t>
  </si>
  <si>
    <t>Contracte de serveis per a l'assistència tècnica per a la redacció del projecte complementari núm. 4 i posterior direcció d'obra de remodelació del bloc quirúrgic, àrea de crítics i nucli de comunicacions verticals de l'Àrea General de l'Hospital Vall d'Hebron de Barcelona. Clau: HHB-02672-C4</t>
  </si>
  <si>
    <t>Contracte de serveis per a l'assistència tècnica per a les inspeccions prèvies d'edificis de les obres de la Línia 9 de Metro de Barcelona. Tram 3r. Subtram: Zona Universitària - Manuel Girona. Clau: TM-00509.4F2.1</t>
  </si>
  <si>
    <t>IP. TM-00509.4F2.2 (Mandri)</t>
  </si>
  <si>
    <t>Contracte de serveis per a l'assistència tècnica per al control de qualitat conjunt de les obres de d'ampliació i reforma 'Escola a 2 línies a l'Escola Salvador Espriu de Vidreres (La Selva). Clau PAG-06474'i 'Escola 2 línies a l'Escola Verdaguer de Sils (La Selva), clau: PAG-06290'</t>
  </si>
  <si>
    <t>Contracte de serveis per a la direcció d'execució conjunta de les obres:'Nova construcció CEIP La Bòbila, Cambrils. CEIP 2 Línies, clau: PNT-09219', i 'Nova construcció IES Els Pallaressos, Els Pallaressos IES 3/0 (Ampliable). Clau: INT-09226'</t>
  </si>
  <si>
    <t>DE. PNB-09217 + PNA-09221</t>
  </si>
  <si>
    <t>Contracte de serveis per a l'assistència tècnica per a la redacció del projecte constructiu de ferm. Eixampla i pavimentació del camí d'accés a l'Estació Hivernal de Virós-Vallferrera del PK 0+000 al 6+250. Tram: Bordes de Virós-Refugi de Gall Fer (Alins). Clau: XL-06129</t>
  </si>
  <si>
    <t>EI-TF-09396</t>
  </si>
  <si>
    <t>Contracte de serveis per a l'assistència tècnica de coordinació de seguretat i salut de les obres:'Ampliació i reforma Escola a 2 línies a l'Escola Joan Casas de Sant Antoni de Vilamajor (Vallès Oriental). Clau: PAM-09293'; 'Reforma i ampliació Escola a 1 línia a l'Escola Alzina Reclamadora a Fontcoberta (Pla de l'Estany). Clau:PAG-08223'; 'Reforma i ampliació escola a 5 unitats a l'Escola Mossèn Ton Clavé de Vila-Sana (Pla d'Urgell). Clau: PAL-06472'; 'Nova construcció Escola 6 unitats a l'Escola El Timó de Sidamon (El Pla d'Urgell). Clau:PNL-09318' i 'Ampliació Escola Parc del Saladar, Escola 1 línia Primària (2a fase). Clau: PNL-09213'</t>
  </si>
  <si>
    <t>Contracte de serveis per a l'assistència tècnica per a la redacció de l'estudi informatiu de la nova estació d'FGC a Rubí. Clau: EI-TF-09396</t>
  </si>
  <si>
    <t>CSS. JJB-05334</t>
  </si>
  <si>
    <t>Contracte de serveis per a l'assistència tècnica de coordinació de seguretat i salut de les obres 'Nou Edifici Judicial a Balaguer'.Clau: JJB-05334</t>
  </si>
  <si>
    <t>PC. ML-09099</t>
  </si>
  <si>
    <t>Contracte de serveis per a la direcció d'execució de les obres de nova construcció escola 2 línies (sense gimnàs) a l'Escola Pau Vila de Sant Feliu de Llobregat (Baix Llobregat). Clau: PNA-07461.1</t>
  </si>
  <si>
    <t>Contracte de serveis per a la direcció d'execució conjunta de les obres:'Contrucció del Consultori Local de Paüls. Clau:CLT-08245;'C onstrucció del Consultori Local de La Bisbal de Falset. Clau:CLT-08342';'Construcció del Consultori Local d'Aiguaviva. Clau:CLT-08471'</t>
  </si>
  <si>
    <t>Número d'Anuncis i Imports 2010</t>
  </si>
  <si>
    <t>Nº</t>
  </si>
  <si>
    <t>Número d'Anuncis i Imports 2011</t>
  </si>
  <si>
    <t>Gener</t>
  </si>
  <si>
    <t>Imports 2010</t>
  </si>
  <si>
    <t>Diferència 10-11</t>
  </si>
  <si>
    <t>Contracte de serveis per a la direcció d'execució conjunta de les obres:'Nova construcció Institut Escola SES de Sant Martí Sarroca.3/0 (ampliable).Clau: INC-09235', i 'Nova construcció CEIP Antoni Grau i Minguell, Sant Quintí de Mediona. Substitució 1 línia + 4 aules. Clau:PNC-09298'</t>
  </si>
  <si>
    <t>DE. INT-09232</t>
  </si>
  <si>
    <t>PC. MB-10041</t>
  </si>
  <si>
    <t>PC.TM-00509.4C-BIS.2</t>
  </si>
  <si>
    <t>ATDO.TF-04306.A INSPECCIONS EDIFICIS</t>
  </si>
  <si>
    <t>ATAM. VB-05146</t>
  </si>
  <si>
    <t>Contracte de serveis per a l'assistència tècnica ambiental a la direcció de les obres de millora general. Variant d'Olost. PK 18+000 de la carretera C-154 al PK 1+300 de la carretera BV-4405. Tram: Olost. Clau: VB-05146</t>
  </si>
  <si>
    <t>Contracte de serveis per a l'assistència tècnica de control de qualitat de l'estructura metàl.lica de l'obra de millora general. Ronda Sud d'Igualada. Carretera C-37, PK 62+970, a la carretera C-15, PK 44+285. Tram: Santa Margarida de Montbui-Vilanova del Camí. Clau: VB-02074.1-M0</t>
  </si>
  <si>
    <t>DO. TM-99500.11</t>
  </si>
  <si>
    <t>Contracte de serveis per a l'assistència tècnica de coordinació de seguretat i salut conjunta de les obres 'Enderroc i nova construcció del Casal de Gent Gran i Oficina d'Acció Ciutadana d'Igualada'. Clau:BSV-09203; 'Nova construcció del Casal de Gent Gran d'Alcanar'. Clau: BSV-09379; 'Adequació funcional de la Comissaria de Policia de la Generalitat-Mossos d'Esquadra del barri d'Horta-Guinardo de Barcelona'. Clau:CBB-09267 i ' Reforma del Parc de Bombers de Guardiola de Berguedà' Clau: PGB-05514.A</t>
  </si>
  <si>
    <t>CQ.TM-00509.35.2</t>
  </si>
  <si>
    <t>Contracte de serveis per a l'assistència tècnica de control de qualitat de les obres del projecte constructiu de superestructura (via i catenària) del tram Prat Eixample Nord-Bifurcació Gornal de l'L9 del Metro de Barcelona. Clau: TM-00509.35.2</t>
  </si>
  <si>
    <t>PE+DO CSG-10006 2v</t>
  </si>
  <si>
    <t xml:space="preserve">Contracte de serveis per a l'assistència tècnica per a la redacció del projecte bàsic i d'execució, la certificació d'eficiència energètica del projecte, l'estudi de seguretat i salut, l'estudi geotècnic, el pla de gestió de residus, el projecte d'activitats per a llicència ambiental i posterior Direcció d'Obra i certificació d'eficiència energètica de final d'obra corresponent a la Nova Constr ucció de la Comissaria de la PG-ME corresponent al nou Edifici Regional de Salt. Clau:CSG-10006(2v) </t>
  </si>
  <si>
    <t>DO JJL-06378</t>
  </si>
  <si>
    <t>Contracte de serveis per a l'assistència tècnica per a la redacció del projecte constructiu de millora general. Condicionament del pas de Comiols. Carreteres C-1412b. Tram: Artesa de Segre (Folquer)-Isona i Conca Dellà. Clau: AL-02134.2</t>
  </si>
  <si>
    <t>Contracte de serveis per a l'assistència tècnica per a la redacció del projecte modificat núm. 1 'Línia 9 de Metro de Barcelona. Tram 3r. Zona Universitària-Sagrera Meridiana. Complements d'estructura interior, via i catenària del túnel 3 del tram Zona Universitària - Sagrera Meridiana'. Clau: TM-00509.4E-M1</t>
  </si>
  <si>
    <t>PE+DO CAP-10002 2v</t>
  </si>
  <si>
    <t>Contracte de serveis per a l'assistència tècnica per a la redacció del projecte bàsic i d'execució, l'estudi de seguretat i salut, la certificació d'eficiència energètica del projecte, el projecte d'enderrocs, l'estudi geotècnic, el projecte d'activitats per a la llicència ambiental i posterior Direcció d'Obra i certificació d'eficiència energètica de final d'obra corresponent a la Nova Const rucció del CAP Molí Nou, de Sant Boi de Llobregat. Clau:CAP-10002 (2v)</t>
  </si>
  <si>
    <t>Contracte de serveis per a l'assistència tècnica del control de qualitat conjunt de les obres:'Nova construcció del SES de Sant Martí Sarroca, Sant Marti Sarroca SES 3/0 (ampliable). Clau: INC-09235' i 'Nova construcció de CEIP Antoni Grau i MInguell de Sant Quintí de Mediona, Substitució 1 línia + 4 aules. Clau: PNC-09298'</t>
  </si>
  <si>
    <t>CQ. INC-09245 + INT-09232</t>
  </si>
  <si>
    <t>Contracte de serveis per l'assistència tècnica del control de qualitat conjunt de les obres:'Nova construcció IES Montgròs de Sant Pere de Ribes IES 3/0 (Ampliable). Clau: INC-09245' i 'Nova construcció IES de Reus, REUS IES 4/0 sense gimnàs (ampliable).Clau: INT-09232'</t>
  </si>
  <si>
    <t>ATDO.RSC.TF-04306.A</t>
  </si>
  <si>
    <t>Contracte de serveis per a l'assistència tècnica per al seguiment i control de les obres d'adaptació a la normativa. Millora de l'ac cessibilitat i remodelació de l'estació de Gràcia dels FGC. Clau: TF-04306.A</t>
  </si>
  <si>
    <t>CQ VE-09029</t>
  </si>
  <si>
    <t>Contracte de serveis per a l'assistència tècnica de control de qualitat de les obres de millora general. Variant de Sant Jaume d'Enveja. Carretera TV-3403, PK 6+300, fins a la TV-3404, PK 0+000 i obres complementàries. Tram: Sant Jaume d'Enveja. Clau: VE-09029</t>
  </si>
  <si>
    <t>Contracte de serveis per a l'assistència tècnica per a la redacció del projecte constructiu del regadiu de la Terra Alta. Bombament, impulsió i bassa de regulació 4. Clau: ER-06908.1</t>
  </si>
  <si>
    <t>PC. VX-10000</t>
  </si>
  <si>
    <t>Contracte de serveis per a l'assistència tècnica per a la redacció del projecte constructiu de modernització i ampliació del reg de la Comunitat de Regants d'Aramunt. TM de Conca de Dalt (Pallars Jussà). Clau: VX-10000</t>
  </si>
  <si>
    <t>PC. TR-09414</t>
  </si>
  <si>
    <t>Contracte de serveis per a l'assistència tècnica per a la redacció del projecte de condicionament i millora de la xarxa de distribució del reg del Molí de Pals. TM de Torroella de Montgrí, Pals, Gualta, Fontanilles, Palau-Sator, Ullastret i Serra de Daró (Baix Empordà). Clau: TR-09414</t>
  </si>
  <si>
    <t>EI-TX-07263 (AMPL)</t>
  </si>
  <si>
    <t>Contracte de serveis per a l'assistència tècnica per a la redacció del projecte constructiu de millora general. Condicionament de la travessera de Ripoll. Carretera C-17, del PK 91+700 al 93+500. Tram: Ripoll. Clau: DC-02001.5</t>
  </si>
  <si>
    <t>Contracte de serveis per a l'assistència tècnica del control de qualitat de les obres de nova construcció Escola 2 línies a l'Escola la Torreta de La Roca del Vallès (Vallès Oriental). Clau: PNM-09206</t>
  </si>
  <si>
    <t>CQ. PNA-04329</t>
  </si>
  <si>
    <t>Contracte de serveis per a l'assistència tècnica del control de qualitat de les obres de Nova construcció del CEIP Antoni Gaudí de Sant Boi de Llobregat (Baix Llobregat). Clau: PNA-04329</t>
  </si>
  <si>
    <t>CQ. PAC-09349 + 5</t>
  </si>
  <si>
    <t>SA. SSAA 2010-1</t>
  </si>
  <si>
    <t>CSS. VX-08296+VX-09312.1</t>
  </si>
  <si>
    <t>Contracte de serveis per a la direcció d'execució de les obres d'obres d'ampliació de l'Institut Miquel Martí i Pol de Cornellà de Llobregat (8 aules + especifiques), clau: IAA-09290 i de les obres d'ampliació de l'Escola Castell Ciuró de Molins de Rei (6 aules + específiques), clau: PAA-08360</t>
  </si>
  <si>
    <t>DE. PNE-09348 + PAM-09291</t>
  </si>
  <si>
    <t>Contracte de serveis per a la direcció d'execució de les obres d'enderroc i nova construcció de l'Escola Alfara de Carles - ZER Mont caro d'Alfara de Carles. 3 Unitats. Clau: PNE-09348 i d'ampliació Escola Aqua Alba a Gualba, escola 1 línia sense gimnàs, clau: PAM-09291</t>
  </si>
  <si>
    <t>Contracte de serveis per a l'assistència tècnica per a la redacció del projecte constructiu de millora local. Mesures correctores. Modificació de la rasant de la calçada direcció Barcelona i integració a l'entorn de proteccions acústiques i de fums. Autopista C-58, del PK 5+500 al 6+500. Tram: Ripollet. Clau: MB-05113</t>
  </si>
  <si>
    <t>CQ. PAC-08310</t>
  </si>
  <si>
    <t>Contracte de serveis per a l'assistència tècnica del control de qualitat de les obres d'ampliació CEIP 2 línies al CEIP Ametllers de Sant Joan de Vilatorrada (Bages). Clau: PAC-08310</t>
  </si>
  <si>
    <t>PE+DO PNL-09362 2v</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</si>
  <si>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l'Escola El Roser-ZER Plaurcén, del Poal. Clau: PNL-09362 (2v)</t>
  </si>
  <si>
    <t>PE+DO PAC-09344 1v</t>
  </si>
  <si>
    <t>CSS. TM-02609.1+1</t>
  </si>
  <si>
    <t>Contracte de serveis per a l'assistència tècnica de Coordinació de Seguretat i Salut conjunta de les obres: 'Projecte de l'ATC, seny alització i PCC de la línia 9 de metro de Barcelona. Clau: TM-02609.1' i 'Projecte constructiu del sistema de tancament d'andanes de la línia 9 de Metro de Barcelona. Clau: TM-02609.2'</t>
  </si>
  <si>
    <t>ATAM. XT-08086</t>
  </si>
  <si>
    <t>DE. PAG-06474 + PAG-06290</t>
  </si>
  <si>
    <t>Pressupostació ingressos i despeses</t>
  </si>
  <si>
    <t>Contracte de serveis per a la implementació d'una solució per a l'elaboració de la pressupostació d'ingressos i despeses de GISA i REGSA</t>
  </si>
  <si>
    <t>CQ. PNT-08510</t>
  </si>
  <si>
    <t>Contracte de serveis per a l'assistència tècnica del control de qualitat de les obres de nova construcció Escola 2 línies a l'Escola Sant Llàtzer, a Tortosa (Baix Ebre). Clau: PNT-08510</t>
  </si>
  <si>
    <t>CSS. SOC-10077</t>
  </si>
  <si>
    <t>Contracte de serveis per a l'assistència tècnica de coordinació de seguretat i salut de les obres nou centre de formació professional del sector de l'automoció a Martorell. Clau: SOC-10077</t>
  </si>
  <si>
    <t>CQ.SOC-10077</t>
  </si>
  <si>
    <t>Contracte de serveis per l'assistència tècnica al control de qualitat de les obres del nou centre de formació professional del sector de l'automoció a Martorell. Clau:SOC-10077</t>
  </si>
  <si>
    <t>PE+DO. PNG-10096</t>
  </si>
  <si>
    <t>Contracte de serveis per a l'assistència tècnica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l'Escola Sa Forcanera, de Blanes. Clau: PNG-10096 (1v)</t>
  </si>
  <si>
    <t>Contracte de serveis per a l'assistència tècnica conjunta de Coordinació de Seguretat i Salut de les obres: 'Pas inferior de la carretera GI-V-527 sota les vies del tren cremallera dels FGC a Queralbs. Clau: TF-08272'; 'Nova estació d'autobusos a Cadaqués. Clau: TA-06504'; 'Complementari núm. 1 d'ampliació i nou edifici a l'estació d'Olot. Clau: TA-03468.R-C1'; 'Complementari núm. 1 del projecte refós d'adequació a la normativa vigent de seguretat contra incendis i altres actuacions complementàries a l'aparcament de vehicles pesants a Valls. Clau: TX-07378.R-C1'; 'Implantació d'un sistema de gestió remota a les estacions d'autobusos de Catalunya. Clau: TA-02779-C1' i 'Instal.lació de marquesines a diversos indrets de Catalunya. Fase 28. Clau: TA-08346'</t>
  </si>
  <si>
    <t>Projectes</t>
  </si>
  <si>
    <t>EI. AC-09053</t>
  </si>
  <si>
    <t>Contracte de serveis per a l'assistència tècnica per a la redacció de l'estudi informatiu de millora general. Condicionament. Carretera C-241c del PK 0+650 al 15+570, C-241e, del PK 0+000 al 3+430 i C-241d, del PK 27+700 al 29+500. Tram: Igualada-Santa Coloma de Queralt. Clau: EI-AC-09053</t>
  </si>
  <si>
    <t>IA. AC-09053</t>
  </si>
  <si>
    <t>Contracte de serveis per a l'assistència tècnica per a la redacció de l'estudi d'impacte ambiental de millora general. Condicionament. Carretera C-241c del PK 0+650 al 15+570, C-241e, del PK 0+000 al 3+430 i C-241d, del PK 27+700 al 29+500. Tram: Igualada-Santa Coloma de Queralt. Clau: IA-AC-09053</t>
  </si>
  <si>
    <t>EV. EP-DC-09080</t>
  </si>
  <si>
    <t>Contracte de serveis per a l'assistència tècnica per a la redacció del projecte constructiu de millora general. Variant desdoblada de Tortosa. Carretera C-12. PK 12+440 al PK 23+650. Eix de l'Ebre. Tram: Tortosa-Aldover. Clau: VE-05079</t>
  </si>
  <si>
    <t>PC. ML-10010</t>
  </si>
  <si>
    <t>Contracte de serveis per a l'assistència tècnica per a la redacció del projecte constructiu de millora local. Eixamplament de plataforma i millora de traçat. Carretera L-503. PK 2+640, 3+850, 5+000, 9+640 i 12+285. Tram: La Torre de Cabdella. Clau: ML-10010</t>
  </si>
  <si>
    <t>PC. XG-07052</t>
  </si>
  <si>
    <t>Contracte de serveis per a l'assistència tècnica per a la redacció del projecte constructiu de millora general. Variant. Variant de Vilamacolum des de l'accés de la C-31. Tram: Torroella de Fluvià-Vilamacolum. Clau: XG-07052</t>
  </si>
  <si>
    <t>Contracte de serveis per a la direcció d'execució de les obres de construcció d'un edifici judicial a Balaguer. Clau:JJB-05334</t>
  </si>
  <si>
    <t>DE. JJB-05334</t>
  </si>
  <si>
    <t>CQ VL-02138</t>
  </si>
  <si>
    <t>Contracte de serveis per a l'assistència tècnica de control de qualitat de les obres de millora general. Variant d'Artesa de Segre. Carreteres C-26 i C-14 del PK 48+000 de la C-26 al PK 106+000 de la C-14. Tram: Foradada-Artesa de Segre. Clau: VL-02138</t>
  </si>
  <si>
    <t>IP. TM-00509.4F2.1 (M.Girona)</t>
  </si>
  <si>
    <t>CQP-2010.2</t>
  </si>
  <si>
    <t>Contracte de serveis per a l'assistència tècnica per al Control de Qualitat de Projectes d'Edificació. Clau: CQP-2010.2</t>
  </si>
  <si>
    <t>CQP-2010.3</t>
  </si>
  <si>
    <t>DE. INC-09235 + PNC-09298</t>
  </si>
  <si>
    <t>PC. VR-09991</t>
  </si>
  <si>
    <t>Contracte de serveis per a l'assistència tècnica per a la redacció de l'estudi d'impacte ambiental del nou túnel ferroviari d'Horta. Clau: IA-TX-10003</t>
  </si>
  <si>
    <t>EV. EG-TX-10003</t>
  </si>
  <si>
    <t>Manteniment aplicacions web</t>
  </si>
  <si>
    <t>Contracte de serveis per al manteniment de les aplicacions corporatives basades en plataforma WEB-EC de GISA i REGSA</t>
  </si>
  <si>
    <t>Contracte de serveis per a l'assistència técnica per a la realització dels informes preliminars dels emplaçaments dels projectes d'edificació encarregats pel Servei Català de la Salut. Clau: EG08</t>
  </si>
  <si>
    <t>Contracte de serveis per a l'assistència tècnica per a la redacció del projecte bàsic i d'execució, la certificació d'eficiència energètica del projecte, l'estudi de seguretat i salut, l'estudi geotècnic, l'aixecament de plànols, l'estudi de patologies, el projecte d'activitats per a llicència ambiental i posterior Direcció d'Obra i certificació d'eficiència energètica de final d'obra corresponent a l'ampliació de l'Escola Portitxol de Torroella de Montgrí. Clau: PAG-08377 (1v)</t>
  </si>
  <si>
    <t>PE+DO CAP-09398 2v</t>
  </si>
  <si>
    <t>Contracte de serveis per a l'assistència tècnica per a la redacció del projecte bàsic i d'execució, l'estudi de seguretat i salut, la certificació d'eficiència energètica del projecte, l'estudi geotècnic, el projecte d'activitats per a llicència ambiental i posterior Direcció d'Obra i certificació d'eficiència energètica de final d'obra corresponent al Nou CAP Can Roca, de Terrassa. Clau: CAP-09398 (2v)</t>
  </si>
  <si>
    <t>CQ AL-05020.1</t>
  </si>
  <si>
    <t>Contracte de serveis per a l'assistència tècnica de control de qualitat de les obres de millora general. Condicionament de la carretera C-28 del PK 33+520 al 37+510. Execució de vorals. Tram: Salardú - Baquèira (TM de Naut Aran). Clau: AL-05020.1</t>
  </si>
  <si>
    <t>CQ AL-02109.2-A1</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</si>
  <si>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del Parc de Bombers voluntaris a Gelida. Clau:PGB-08419(1v)</t>
  </si>
  <si>
    <t>EG.EG08</t>
  </si>
  <si>
    <t>Contracte de serveis per a l'assistència tècnica de coordinació de seguretat i Salut de les obres de 'Construcció de la Seu de les D elegacions Territorials de la Generalitat de Catalunya a les Terres de l'Ebre, Tortosa' Clau: GPV-08248.A</t>
  </si>
  <si>
    <t>CSS. PAT-09208+6</t>
  </si>
  <si>
    <t>DO. INE-08363</t>
  </si>
  <si>
    <t>Contracte de serveis per a la Direcció de les obres de Nova construcció Institut 2/2 línies sense gimnàs a l'Institut de Tecnificació d'Amposta (Montsià). Clau:INE-08363</t>
  </si>
  <si>
    <t>CSS. VR-03921.1</t>
  </si>
  <si>
    <t>Contracte de serveis per a l'assistència tècnica de coordinació de seguretat i salut de les obres d'ampliació i modernització del regadiu de la conca de Tremp. Captació i canonada de transport. Clau: VR-03921.1</t>
  </si>
  <si>
    <t>Contracte de Serveis per a l'assistència tècnica de coordinació de seguretat i Salut de les obres 'd'ampliació escola a 2 línies a l'Escola Catalunya a Sant Cugat del Vallès Vallès Occidental'. Clau:PAV-07328; 'Nova construcció Escola 7 unitats a l'Escola Els Castanyers, a Viladrau (Osona).' Clau: PNH-09309 i 'Nova construcció Escola 2 línies a l'Escola La Torreta de la Roca del Vallès (Vallès Oriental).' Clau: PNM-09206</t>
  </si>
  <si>
    <t>DE. JJL-06378</t>
  </si>
  <si>
    <t>Contracte de serveis per a la direcció d'execució de les obres d'Ampliació de l'Edifici Judicial del Canyeret de Lleida. Clau:JJL-06378</t>
  </si>
  <si>
    <t>PC. TR-10020</t>
  </si>
  <si>
    <t>Contracte de serveis per a l'assistència tècnica de control de qualitat de les obres del projecte constructiu de superestructura (via i catenària) del tram Nova Terminal Sud (aeroport) Prat Eixample Nord de l'L9 de Metro de Barcelona. Clau: TM-00509.35.1</t>
  </si>
  <si>
    <t>PE. JNP-05539.1.A</t>
  </si>
  <si>
    <t>Contracte de serveis per a l'assistència tècnica per a la redacció del projecte constructiu de millora local. Via verda a l'entorn de la carretera C-31, del PK 363+600 (límit de comarca) de la C-31 al 36+246 de la C-252 (cruïlla amb la N-IIa). Tram: Viladamat-el Far d'Empordà. Clau: XG-10021.2</t>
  </si>
  <si>
    <t>PC. ML-10015</t>
  </si>
  <si>
    <t>Contracte de serveis per a l'assistència tècnica per a la redacció del projecte constructiu de millora local. Travesseres. Condicionament de la carretera C-13z, del PK 157+966 al 159+560. Tram: Esterri d'Àneu. Clau: ML-10015</t>
  </si>
  <si>
    <t>Contracte de serveis per a la direcció de les obres de millora general. Condicionament de la carretera C-28 del PK 33+520 al 37+510. Execució de vorals. Tram: Salardú - Baquèira (TM de Naut Aran). Clau: AL-05020.1</t>
  </si>
  <si>
    <t>ATAM. AL-05020.1</t>
  </si>
  <si>
    <t>Contracte de serveis per a l'assistència tècnica ambiental de les obres de millora general. Condicionament de la carretera C-28 del PK 33+520 al 37+510. Execució de vorals. Tram: Salardú - Baquèira (TM de Naut Aran). Clau: AL-05020.1</t>
  </si>
  <si>
    <t>DB AL-02109.2-A1</t>
  </si>
  <si>
    <t>PC. TF-05518.1A</t>
  </si>
  <si>
    <t>PC. TC-09413</t>
  </si>
  <si>
    <t>DO. TM-04464-M2</t>
  </si>
  <si>
    <t>Contracte de serveis per a la direcció de les obres del projecte modificat núm. 2 de tallers de via i obres a l'estació d'Hospital de Bellvitge de l'L1 de l'FMB. Clau: TM-04464-M2</t>
  </si>
  <si>
    <t>PE+DO CLT-10047 1v</t>
  </si>
  <si>
    <t>CSS. PNA-07461.1+2</t>
  </si>
  <si>
    <t>Contracte de serveis per a l'assistència tècnica de coordinació de seguretat i salut conjunta de les obres de construcció del 'Consultori local de Paüls'. Clau:CLT-08245; 'Consultori local de La Bisbal de Falset'.Clau: CLT-08342; 'Nou Consultori local d'Aiguaviva'.Clau:CLT-08471; 'Consultori local del Pinell de Brai'.Clau: CLT-09263 i 'Consultori local de Nulles'.Clau:CLT-09288</t>
  </si>
  <si>
    <t>DO. TM-05605.A</t>
  </si>
  <si>
    <t>Contracte de serveis per a la direcció de les obres del projecte constructiu d'adaptació a la normativa i millora de l'accessibilitat de l'estació de Virrei Amat de la línia 5 de l'FMB. Clau: TM-05605.A</t>
  </si>
  <si>
    <t>DO. VB-05146</t>
  </si>
  <si>
    <t>Contracte de serveis per a la direcció de les obres de millora general. Variant d'Olost. PK 18+000 de la carretera C-154 al PK 1+300 de la carretera BV-4405. Tram: Olost. Clau: VB-05146</t>
  </si>
  <si>
    <t>CQ. VB-05146</t>
  </si>
  <si>
    <t>Contracte de serveis per a l'assistència tècnica de control de qualitat de les obres de millora general. Variant d'Olost. PK 18+000 de la carretera C-154 al PK 1+300 de la carretera BV-4405. Tram: Olost. Clau: VB-05146</t>
  </si>
  <si>
    <t>CQ.TF-03474.1R-C2</t>
  </si>
  <si>
    <t>Contracte de serveis per a l'assistència tècnica de control de qualitat de les obres del projecte complementari núm. 2 del perllongament dels FGC a Terrassa. Infraestructura, superestructura de via i catenària. Tram: Túnel Terrassa-Rambla/Can Roca i estacions intercanviador RENFE i Can Roca. Clau: TF-03474.1R-C2</t>
  </si>
  <si>
    <t>CQ. PAC-07363+INV-06266+PAC-07339</t>
  </si>
  <si>
    <t>Contracte de serveis per a l'assistència tècnica del control de qualitat conjunt de les obres: 'Ampliació CEIP a 2 línies (sense gimnàs, amb pista esportiva coberta) al CEIP Joan XXIII de Balenyà (Osona). Clau:PAC-07363'; 'Nova construcció IES 3/2 línies (substitució i ampliació) a l'IES Jonqueres de Sabadell (Vallès Occidental). Clau:INV-06266' i 'Reforma i ampliació CEIP 1 línia (sense gimnàs) al CEIP Pompeu Fabra de Parets del Vallès ( Vallès Oriental).</t>
  </si>
  <si>
    <t>CQ. PNG-06525+IAG-03586+PAG-07259</t>
  </si>
  <si>
    <t>PE+DO PAL-08347 1v</t>
  </si>
  <si>
    <t>Contracte de serveis per a l'assistència tècnica del control de qualitat de les obres de reforma i ampliació Escola a 3 línies a l'Escola Francesc Platón i Sartí, d'Abrera (Baix Llobregat). Clau: PAA-06263</t>
  </si>
  <si>
    <t>CQ.GPV-09264.1</t>
  </si>
  <si>
    <t>CSS. HHB-02672</t>
  </si>
  <si>
    <t>Contracte de Serveis per a l'assistència tècnica de coordinació de seguretat i salut de les obres de 'Remodelació del bloc quirúrgic. Àrea de crítics i nucli de comunicacions verticals de l'Hospital General de la Vall d'Hebrón' Clau: HHB-02672</t>
  </si>
  <si>
    <t>Contracte de serveis per a la direcció d'execució conjunta de les obres:'Nova construcció CEIP Fluvià, Barcelona. CEIP 2 Línies.Clau: PNB-09217', i 'Nova construcció CEIP Josep Guinovart, Castelldefels. CEIP 2 Línies. Clau: PNA-09221'</t>
  </si>
  <si>
    <t>DE. PNM-09306 + PNV-09301</t>
  </si>
  <si>
    <t>Contracte de serveis per a la direccio d'execució conjunta de les obres:'Nova construcció CEIP Els Alocs. Vilassar de Mar. CEIP 1 Línia. Clau: PNM-09306', i 'Nova construcció CEIP Vapor Cortés,Terrassa. CEIP 2 Línies. Clau: PNV-09301'</t>
  </si>
  <si>
    <t>DE. PNG-09231 + PNC-09220</t>
  </si>
  <si>
    <t>Contracte de serveis per a la direcció d'execució conjunta de les obres:'Nova construcció CEIP El Morrot, Olot. CEIP 1 Línia. Clau: PNG-09231', i 'Nova construcció CEIP Can Manent, Cardedeu.CEIP 2 Línies. Clau: PNC-09220'</t>
  </si>
  <si>
    <t>DO. DB-05070.1+4</t>
  </si>
  <si>
    <t>Contracte serveis per a l'assistència tècnica del control de qualitat de les obres d'adequació IES a 3/2 línies a l'IES Bisbe Berenguer, de l'Hospitalet del Llobregat. Clau: IAC-05549 i Nova Construcció CEIP 2 línies (substitució) al CEIP Pompeu Fabra, de l'Hospitalet del Llobregat. Clau: PNC-06419</t>
  </si>
  <si>
    <t>CQ. PAG-08509+PNG-06393</t>
  </si>
  <si>
    <t>Contracte de serveis per a l'assistència tècnica del control de qualitat de l'ampliació i reforma CEIP 2 línies al CEIP El pla de Salt (Gironés). Clau: PAG-08509 i Nova construcció CEIP 2 línies al CEIP Sant Roc, d'Olot (La Garrotxa). Clau: PNG-06393</t>
  </si>
  <si>
    <t>CQ. PAC-07422+PAC-07360+PAC-07361</t>
  </si>
  <si>
    <t>Contracte de serveis per a la direcció de les obres del projecte complementari núm. 5 d'urbanització de la carretera de Collblanc, entre el carrer d'Ernest Lluch i el carrer Josep Sunyol i Garriga. Fase 1. Clau: TM-02405-C5.1</t>
  </si>
  <si>
    <t>CSS. TM-05605.A</t>
  </si>
  <si>
    <t>Contracte de serveis per a l'assistència tècnica de coordinació de seguretat i salut de les obres del projecte constructiu d'adaptació a la normativa i millora de l'accessibilitat de l'estació de Virrei Amat de la línia 5 de l'FMB. Clau: TM-05605.A</t>
  </si>
  <si>
    <t>CSS. NB-05091.1</t>
  </si>
  <si>
    <t>Contracte de serveis per a l'assistència tècnica per a l'actualització i adaptació a la nova normativa del projecte de Nova Construcció del Centre Penitenciari de Tàrrega, inclou l'ajustament al programa funcional, l'adaptació de la documentació tècnica i gràfica del projecte executiu al compliment del Codi Tècnic d'Edificació i altra normativa vigent, del pla de conservació i manteniment i de la certificació energètica del projecte. Clau JNP-05539.1.A</t>
  </si>
  <si>
    <t>PV.A-TM-00509.30A.1+2</t>
  </si>
  <si>
    <t>Contracte de serveis per a l'assistència tècnica per a la redacció dels Avantprojectes de construcció: 'Condicionament i instal.lacions de l'estació de Zona Universitària de la Línia 9 de Metro de Barcelona. Clau: A-TM-00509.30A.1'; 'Condicionament i instal.lacions de l'estació de Campus Nord de la Línia 9 de Metro de Barcelona. Clau: A-TM-00509.30A.2' i 'Condicionament i instal.lacions de l'estació de Campus Sud de la Línia 9 de Metro de Barcelona. Clau: A-TM-00509.30B'</t>
  </si>
  <si>
    <t>PV. A-TM-00509.30A.3+2</t>
  </si>
  <si>
    <t>DO. NB-05091.1</t>
  </si>
  <si>
    <t>Contracte de serveis per a la direcció de les obres de millora general. Millora de l'accessibilitat a Mataró. Carretera C-31. PK 231+800 al 235+000. Tram: Cabrera de Mar-Mataró. Clau: NB-05091.1</t>
  </si>
  <si>
    <t>CQ. NB-05091.1</t>
  </si>
  <si>
    <t>Contracte de serveis per a l'assistència tècnica de control de qualitat de les obres de millora general. Millora de l'accessibilitat a Mataró. Carretera C-31. PK 231+800 al 235+000. Tram: Cabrera de Mar-Mataró. Clau: NB-05091.1</t>
  </si>
  <si>
    <t>DO. MB-03141.1</t>
  </si>
  <si>
    <t>Contracte de serveis per a l'assistència tècnica del control de qualitat conjunt de les obres: 'Reforma i ampliació a 2 línies a l'Escola La Muntanya d'Aiguafreda (Vallès Oriental). Clau: PAC-08254' i 'Nova construcció escola 2 unitats a l'Escola de l'Estany (Bages). Clau: PNC-07355'</t>
  </si>
  <si>
    <t>CQ. PNA-09222 + PNC-09224</t>
  </si>
  <si>
    <t>PC. ER-04905-C2</t>
  </si>
  <si>
    <t>Contracte de serveis per a l'assistència tècnica per a la redacció del projecte complementari núm. 2 del regadiu de la Terra Alta. Compactació de la superfície regable de les basses 1, 2.1, 2.2, 2.3, 2.4 i 3. Clau: ER-04905-C2</t>
  </si>
  <si>
    <t>Contracte de serveis per a l'assistència tècnica de coordinació de seguretat i salut de les obres de millora general. Millora de l'a ccessibilitat a Mataró. Carretera C-31 PK 231+800 al 235+000. Tram: Cabrera de Mar - Mataró. Clau: NB-05091.1</t>
  </si>
  <si>
    <t>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l'Ampliació de l'Escola de Vall-llobrega. Clau:PAG-10011(1v)</t>
  </si>
  <si>
    <t>IP. TM-00509.4F.4</t>
  </si>
  <si>
    <t>Contracte de serveis per a l'assistència tècnica per a les inpeccions prèvies d'edificis de les obres de l'L9 del Metro de Barcelona. Tram 3r. Subtram: Sanllehy-Lesseps. Clau: TM-00509.4F.4</t>
  </si>
  <si>
    <t>IP. TM-00509.4F.5</t>
  </si>
  <si>
    <t>DO.TM-00509.4E</t>
  </si>
  <si>
    <t>Contracte de serveis per a l'assistència tècnica del control de qualitat de les obres d'ampliació Escola Àngel Guimerà, de Sant Andreu de la Barca (Baix Llobregat). Clau: PAA-06483</t>
  </si>
  <si>
    <t>CQ. PAA-06263</t>
  </si>
  <si>
    <t>PC. XG-09051.2</t>
  </si>
  <si>
    <t>CQ VL-02137.1</t>
  </si>
  <si>
    <t>Contracte de serveis per a l'assistència tècnica de control de qualitat de les obres de millora general. Variant de la carretera C-13 del PK 13+100 al 20+000. Tram: Vilanova de la Barca - Térmens. Clau: VL-02137.1</t>
  </si>
  <si>
    <t>Contracte de serveis per a l'assistència tècnica per a la redacció del projecte constructiu de millora local. Via verda. Implantació de carril bici a la Costa Brava Centre. Tram 3: Calonge-Palamós.</t>
  </si>
  <si>
    <t>CSS. PAG-04454.2+1</t>
  </si>
  <si>
    <t>Contracte de serveis per a l'assistència tècnica per a la redacció del projecte bàsic i d'execució, l'estudi de seguretat i salut, la certificació d'eficiència energètica del projecte, l'estudi de patologies, el projecte d'activitats per a llicència ambiental i po sterior direcció d'obra i certificació d'eficiència energètica de final d'obra corresponent a l'ampliació i reforma del Bloc Quirúrgic, Cirurgia Major Ambulatòria CMA, Llenceria i Esterilització de l'Hospital Joan XXIII, de Tarragona. Clau HTT-10017(1v)</t>
  </si>
  <si>
    <t>PE+DO PMB-10039 1v</t>
  </si>
  <si>
    <t>CQ. PNG-09218 + PNG-08479</t>
  </si>
  <si>
    <t>Contracte de serveis per al control de qualitat conjunt de les obres de nova construcció CEIP La Benaula. Caldes de Malavella. 1 línia. Clau:PNG-09218 i nova construcció CEIP La Sínia, Calonge. CEIP 1 línia. Clau: PNG-08479</t>
  </si>
  <si>
    <t>PE+DO CAP-10066 2v</t>
  </si>
  <si>
    <t>Contracte de serveis per a l'assistència tècnica per a la redacció del projecte bàsic i d'execució, l'estudi de seguretat i salut, la certificació d'eficiència energètica del projecte, l'estudi geotècnic, el projecte d'activitats per a llicència ambiental i poster ior Direcció d'Obra i certificació d'eficiència energètica de final d'obra corresponent a la construcció del nou CAP del Pont de Suert. Clau: CAP-10066 (2v)</t>
  </si>
  <si>
    <t>PE+DO CAP-10070 2v</t>
  </si>
  <si>
    <t>Contracte de Serveis per a l'assistència tècnica per a la redacció del projecte constructiu de millora general. Millora de l'accessibilitat a Mataró. C-31. PK 235+000 al 237+600. Tram: Mataró. Clau: NB-05091.2</t>
  </si>
  <si>
    <t>PE+DO INM-10018 2v</t>
  </si>
  <si>
    <t>Contracte de serveis per a l'assistència tècnica per a la redacció del projecte bàsic i d'execució, la certificació d'eficiència energètica del projecte, l'estudi de seguretat i salut, l'estudi geotècnic, el projecte d'activitats per a llicència ambiental i poster ior Direcció d'Obra i certificació d'eficiència energètica de final d'obra corresponent a la Nova Construcció de l'Institut de Mollet del Vallès. Clau:INM-10018(2v)</t>
  </si>
  <si>
    <t>PE+DO CAP-10007 2v</t>
  </si>
  <si>
    <t>CSS. PNC-09215+2</t>
  </si>
  <si>
    <t>Contracte de serveis per a la direcció d'execució conjunta de les obres:'nova construcció CEIP Sant Iscle, Vidreres. Substitució 2 Línies. Clau: PNG-09324', i 'nova construcció CEIP Els Vinyals, Lliçà de Vall. CEIP 1 Línia. Clau: PNC-09228'</t>
  </si>
  <si>
    <t>DE. PNH-09307 + PNV-09299</t>
  </si>
  <si>
    <t>Contracte de serveis per a la direcció d'execució conjunta de les obres:'nova construcció CEIP L'Olivar, Castellnou del Bages. CEIP 1 línia. Clau: PNH-09307', i 'nova construcció CEIP Santa Perpètua III, Santa Perpètua de la Mogoda. CEIP 1 Línia. Clau: PNV-09299'</t>
  </si>
  <si>
    <t>DE. PNT-08510</t>
  </si>
  <si>
    <t>PC. AC-05090</t>
  </si>
  <si>
    <t>Contracte de serveis per a l'assistència tècnica per a la redacció del projecte contructiu de millora general. Condicionament. Eixamplament i millora de revolts de la carretera C-242. PK 0+000 al 34+000. Tram: intersecció amb la C-12 (Torrebesses)-Ulldemolins. Clau: AC-05090</t>
  </si>
  <si>
    <t>PC. AT-04186</t>
  </si>
  <si>
    <t>Contracte de serveis per a l'assistència tècnica per a la redacció del projecte constructiu de millora general. Condicionament de la carretera T-701 d'Albarca a Prades. PK 0+000 al 7+820. Tram: Cornudella de Montsant-Prades. Clau: AT-04186</t>
  </si>
  <si>
    <t>PC. MB-05113</t>
  </si>
  <si>
    <t>DE. PNG-09207</t>
  </si>
  <si>
    <t>Contracte de serveis per a la direcció d'execució de les obres de nova construcció de l' Escola Pericot a Girona, Escola 2 línies sense gimnàs, vestidors i pistes. Clau: PNG-09207</t>
  </si>
  <si>
    <t>DE. PNM-09206</t>
  </si>
  <si>
    <t>Contracte de serveis per a la direcció d'execució de les obres de nova construcció Escola 2 línies a l'Escola la Torreta de La Roca del Vallès (Vallès Oriental). Clau: PNM-09206</t>
  </si>
  <si>
    <t>DE. PAC-09349</t>
  </si>
  <si>
    <t>Imports Anunciats</t>
  </si>
  <si>
    <t>Imports 2008</t>
  </si>
  <si>
    <t>Imports 2009</t>
  </si>
  <si>
    <t>Contracte de serveis per a l'assistència tècnica per al control de qualitat de les obres de reforma i ampliació escola (6 aules, aules específiques, despatx, gimnàs i menjador) a l'Escola Àngel Serafí i Casanovas a Sort (Pallars Sobirà). Clau: PAL-07303</t>
  </si>
  <si>
    <t>CQ. IAG-07463+PAC-07364</t>
  </si>
  <si>
    <t>CSS. TM-00509.4A-A1.A+6</t>
  </si>
  <si>
    <t>DO. TM-04335-M2</t>
  </si>
  <si>
    <t>Contracte de serveis per l'assistència tècnica al control de qualitat de les obres del nou centre de formació professional del sector de l'automoció a Martorell.Clau:SOC-10077</t>
  </si>
  <si>
    <t>Contracte de serveis per a la direcció d'execució conjunta de les obres d'adequació Institut a 2/2 línies a l'Institut Joan Miró de l'Hospitalet de Llobregat (Barcelonès. Clau:IAC-07366 i de les obres de l'Escola l'Estany - ZER el Moianès de l'Estany. Clau: PNC-07355</t>
  </si>
  <si>
    <t>DE. PAA-06263</t>
  </si>
  <si>
    <t>Febrer</t>
  </si>
  <si>
    <t>Servei suport usuaris i gestió TIC</t>
  </si>
  <si>
    <t>Contracte de serveis per al suport a usuaris, gestió i administració de la infraestructura TIC de GISA, REGSA i IFERCAT</t>
  </si>
  <si>
    <t>tiquets restaurant</t>
  </si>
  <si>
    <t>Contracte de subministrament de Vals de menjar per al personal de GISA, REGSA i IFERCAT</t>
  </si>
  <si>
    <t>DO. TM-04458-M1</t>
  </si>
  <si>
    <t>Contracte de serveis per a la direcció de les obres del projecte modificat 1 d'ampliació de l'alimentació elèctrica de la línia 5 de TMB per la posada en servei de nous trens.Clau:TM-04458-M1</t>
  </si>
  <si>
    <t>Març</t>
  </si>
  <si>
    <t>CSS. TM-04335</t>
  </si>
  <si>
    <t>Contrato de servicios para la asistencia técnica de coordinación de seguridad y salud de las obras del proyecto constructivo de nuevos vestíbulos en el intercambiador del Arc de Triomf (L1 del FMB y RENFE). Clave: TM-04335</t>
  </si>
  <si>
    <t>Abril</t>
  </si>
  <si>
    <t>Manteniment general instal.lacions</t>
  </si>
  <si>
    <t>Contracte de serveis per al manteniment d'instal.lacions de sanejament, aigua, equip humificador, elèctrica, climatització, ventilació i prevenció, detecció i extinció d'incendis de la Seu de GISA, REGSA i IFERCAT</t>
  </si>
  <si>
    <t>EV. E1-TF-02676.4</t>
  </si>
  <si>
    <t>Contrato de servicios para la asistencia técnica para la redacción del análisis de ventilación unidimensional del prolongamiento de la línea de FGC en Sabadell y CFD del tramo inicio soterramiento-Plaça Major. Clave: E1-TF-02676.4</t>
  </si>
  <si>
    <t>PC. AL-05037</t>
  </si>
  <si>
    <t>PC. ML-10033</t>
  </si>
  <si>
    <t>Contracte de serveis per a l'assistència tècnica per a la redacció del projecte constructiu de millora local. Millora de nus. Carretera N-II, PK 453+940. Accés polígon industrial Revés. Tram: Alcarràs. Clau: ML-10033</t>
  </si>
  <si>
    <t>Contracte de serveis per a l'assistència tècnica per a la redacció del projecte constructiu de millora general. Condicionament. Eixamplament i millora de traçat. Carretera C-14. PK 163+200 al 166+520. Tram: Organyà-Montant de Tost. Clau: AL-05037</t>
  </si>
  <si>
    <t>PC. VB-06102</t>
  </si>
  <si>
    <t>Contracte de serveis per a l'assistència tècnica per a la redacció del projecte constructiu de millora general. Variant. Prolongació de la variant d'Artés, des de la carretera BV-4512, PK 0+960, fins a la carretera B-431, PK 41+000. Tram: Artés. Clau. VB-06102</t>
  </si>
  <si>
    <t>PC. DG-9032.6</t>
  </si>
  <si>
    <t>Contracte de serveis per a l'assistència tècnica per a la redacció del projecte constructiu de millora general. Desdoblament de la carretera C-260. Del PK 29+000 de la C-260 al PK 754+350 de la N-II. Tram: Figueres. Clau: DG-9032.6</t>
  </si>
  <si>
    <t>PC. NL-05036</t>
  </si>
  <si>
    <t>Contracte de serveis per a l'assistència tècnica per a la redacció del projecte constructiu de millora general. Nova carretera de Térmens a Menàrguens. De la C-13 (PK 19+890)a la C-12 (PK 158+080). Tram: Térmens-Menàrguens. Clau. NL-05036</t>
  </si>
  <si>
    <t>EI. VG-05143-A1</t>
  </si>
  <si>
    <t>Contracte de serveis per a l'assistència tècnica per a la redacció de l'estudi informatiu de millora general. Variant de Torroella de Montgrí. Carretera C-31. PK 348+000 al 355+570. Tram: Torroella de Montgrí-Gualta-Verges. Clau: EI-VG-05143-A1</t>
  </si>
  <si>
    <t>Maig</t>
  </si>
  <si>
    <t>Contracte de serveis per a l'assistència tècnica per al control de qualitat de les obres d'ampliació i reforma Escola a 2 línies a l'Escola Joan Casas de Sant Antoni de Vilamajor (Vallès Oriental). Clau:PAM-09293, Reforma i ampliació a Escola a 1 línia a l'Escola Damià Mateu de Llinars del Vallès (Vallès Oriental). Clau PAC-07332 i Reforma i ampliació escola a 5 unitats a l'Escola Mossèn Ton Clavé de Vila-Sana (Pla d'Urgell). Clau:PAL-06472</t>
  </si>
  <si>
    <t>PE+DO. CLT-10099 2v</t>
  </si>
  <si>
    <t>Contracte de serveis per a l'assistència tècnica per a la redacció del projecte d'arquitectura bàsic i d'execució, l'estudi de seguretat i salut, l'estudi geotècnic, i posterior direcció d'obra corresponent a la construcció d'un Nou Consultori Local a l'Estartit, de Torroella de Montgrí. Clau: CLT-10099 (2v)</t>
  </si>
  <si>
    <t>PC. AT-04178</t>
  </si>
  <si>
    <t>Contracte de serveis per a l'assistència tècnica per a la redacció del projecte constructiu de millora general. Condicionament de la carretera C-14, del PK 37+770 al 45+120. Tram: Montblanc-Solivella. Clau: AT-04178</t>
  </si>
  <si>
    <t>PC. DB-02125.1</t>
  </si>
  <si>
    <t>Contracte de serveis per a l'assistència tècnica per a la redacció del projecte contructiu de millora general. Desdoblament de la carretera C-55, del PK 18+500 al 21+500. Tram: Castellbell i El Vilar-Sant Vicenç de Castellet. Clau: DB-02125.1</t>
  </si>
  <si>
    <t>PC. DB-02125.2</t>
  </si>
  <si>
    <t>Contracte de serveis per a l'assistència tècnica per a la redacció del projecte constructiu de millora general. Desdoblament de la carretera C-55, del PK 21+500 al 24+700. Tram: Sant Vicenç de Castellet-Manresa. Clau: DB-02125.2</t>
  </si>
  <si>
    <t>PC. DB-02125.3</t>
  </si>
  <si>
    <t>Contracte de serveis per a l'assistència tècnica per a la redacció del projecte constructiu de millora general. Desdoblament de la carretera C-55, del PK 24+700 al 27+600. Tram: Manresa. Clau. DB-02125.3</t>
  </si>
  <si>
    <t>PC. DB-02125.4</t>
  </si>
  <si>
    <t>Contracte de serveis per a l'assistència tècnica per a la redacció del projecte constructiu de millora general. Desdoblament de la carretera C-55. Nou vial de connexió a la carretera C-25 (Eix Transversal), del PK 1+000 de la C-16c al 138+000 de la C-25. Tram: Sant Fruitós de Bages. Clau: DB-02125.4</t>
  </si>
  <si>
    <t>CSS. TM-00509.5E</t>
  </si>
  <si>
    <t>Contracte de serveis per a l'assistència tècnica de coordinació de seguretat i salut de les obres del projecte constructiu de la L9 del Metro de Barcelona. Tram 2n. Parc Logístic - Zona Universitària. Complements d'estructura interior, via i catenària del túnel 2. Tram Pou c/ motors -Zona Universitària. Clau: TM-00509.5E</t>
  </si>
  <si>
    <t>PC. TM-09368</t>
  </si>
  <si>
    <t>Contracte de serveis per a l'assistència tècnica per a la redacció del projecte constructiu del tractament i reparació de les filtracions a la cua de maniobres de Bellvitge de la línia 1 dels FMB. Clau: TM-09368</t>
  </si>
  <si>
    <t>Anuncis</t>
  </si>
  <si>
    <t>Contrato de servicios para la asistencia técnica para la redacción del proyecto constructivo de mejora general. Desdoblamiento de la carretera B-124. PK 3+300 al PK 6+500. Tramo: Sabadell-Castellar del Vallès. Clave: DB-05070.2</t>
  </si>
  <si>
    <t>6 Maig 2010</t>
  </si>
  <si>
    <t>EV. E1-TF-02676.5</t>
  </si>
  <si>
    <t>Contracte de serveis per a l'assistència tècnica per a la redacció de l'anàlisi de ventilació mitjançant mètodes numèrics dels túnels i estacions del perllongament de la línia dels FGC a Sabadell. Tram: Plaça Major - Plaça Espanya. Clau: E1-TF-02676.5</t>
  </si>
  <si>
    <t>EV. E1-TF-02676.9</t>
  </si>
  <si>
    <t>Contracte de serveis per a l'assistència tècnica per a la redacció de l'anàlisi de ventilació mitjançant mètodes numèrics dels túnels i estacions del perllongament de la línia dels FGC a Sabadell. Tram: Plaça Espanya - Cotxeres Ca N'Oriach. Clau: E1-TF-02676.9</t>
  </si>
  <si>
    <t>PC. TF-02676.4</t>
  </si>
  <si>
    <t>Contracte de serveis per a l'assistència tècnica per a la redacció del projecte constructiu del perllongament de la línia d'FGC a Sabadell. Arquitectura i instal.lacions de les estacions Sabadell Estació i Plaça Major. Clau: TF-02676.4</t>
  </si>
  <si>
    <t>PC. TF-02676.5</t>
  </si>
  <si>
    <t>Contracte de serveis per a l'assistència tècnica per a la redacció del projecte constructiu del perllongament de la línia d'FGC a Sabadell. Arquitectura i instal.lacions de les estacions Eix Macià i Plaça Espanya. Clau: TF-02676.5</t>
  </si>
  <si>
    <t>PC. TF-02676.6</t>
  </si>
  <si>
    <t>Contracte de serveis per a l'assistència tècnica per a la redacció del projecte constructiu del perllongament de la línia d'FGC a Sabadell. Alimentació elèctrica, comunicacions i instal.lacions no ferroviàries del túnel. Clau: TF-02676.6</t>
  </si>
  <si>
    <t>PC. TF-02676.9</t>
  </si>
  <si>
    <t>Contracte de serveis per a l'assistència tècnica per a la redacció del projecte constructiu del perllongament de la línia d'FGC a Sabadell. Arquitectura i instal.lacions de l'estació Ca N'Oriach i de les cotxeres. Clau: TF-02676.9</t>
  </si>
  <si>
    <t>Juny</t>
  </si>
  <si>
    <t>EI. EI-AG-03020.4</t>
  </si>
  <si>
    <t>Contracte de serveis per a l'assistència tècnica per a la redacció de l'estudi informatiu de millora general. Condicionament. Corredor Brugent-Ter. Carretera N-141e, PK 106+200 al 112+000. Tram: Bescanó-Salt. Clau: EI-AG-03020.4</t>
  </si>
  <si>
    <t>EC.EC14</t>
  </si>
  <si>
    <t>Contracte de serveis per a l'assistència tècnica per a la realització dels treballs de cartografia corresponents als estudis i projectes d'obra civil. Clau: EC14</t>
  </si>
  <si>
    <t>EI. EI-XG-10028</t>
  </si>
  <si>
    <t>Contracte de serveis per a l'assistència tècnica per a la redacció de l'estudi informatiu de millora general. Nova carretera. Ronda sud de Figueres. Des del PK 379+700 de la carretera C-31 fins a l'estació de Figueres del TGV. Tram: el Far d'Empordà-Vilafant. Clau: EI-XG-10028</t>
  </si>
  <si>
    <t>PC. AL-02134.1</t>
  </si>
  <si>
    <t>Contracte de serveis per a l'assistència tècnica per a la redacció del projecte constructiu de millora general. Condicionament del pas de Comiols. Carreteres C-14, L-512 i C-1412b. Tram: Artesa de Segre. Clau: AL-02134.1</t>
  </si>
  <si>
    <t>EP.EP39</t>
  </si>
  <si>
    <t>Contracte de serveis per a l'assistència tècnica per a la realització dels treballs de topografia corresponents als estudis i projectes d'obra civil. Clau: EP39</t>
  </si>
  <si>
    <t>PC. NB-01134.F1</t>
  </si>
  <si>
    <t>Contracte de serveis per a l'assistència tècnica per a la redacció del projecte constructiu de millora general. Nova carretera. Eix del Llobregat. Implantació d'un tercer carril reversible a la carretera C-16, del PK 96+500 al 117+300. Tram: Berga-Bagà. Clau: NB-01134.F1</t>
  </si>
  <si>
    <t>PB.PC. B-TM-11022 i TM-11022</t>
  </si>
  <si>
    <t>Contracte de serveis per a l'assistència tècnica per a la redacció del projecte bàsic i del projecte constructiu d'actuacions de millora de l'evacuació i de l'accessibilitat de l'intercanviador de l'estació de Plaça de Sants (L1 i L5 d'FMB). Claus: B-TM-11022 i TM-11022</t>
  </si>
  <si>
    <t>PB. PC. B-TM-11021 i TM-11021</t>
  </si>
  <si>
    <t>Contracte de serveis per a l'assistència tècnica per a la redacció del projecte bàsic i del projecte constructiu d'actuacions de millora de l'evacuació i de l'accessibilitat de l'intercanviador de l'estació d'Urquinaona (L1 i L4 d'FMB). Claus: B-TM-11021 i TM-11021</t>
  </si>
  <si>
    <t>B-TM-11016 / PC. TM-11016</t>
  </si>
  <si>
    <t>Contracte de serveis per a l'assistència tècnica per a la redacció del projecte bàsic i del projecte constructiu d'actuacions de millora de l'evacuació i de l'accessibilitat de l'intercanviador de l'estació de Plaça Espanya (L1 i L3 d'FMB i L8 d'FGC). Clau: B-TM-11016 i TM-11016</t>
  </si>
  <si>
    <t>PC. TM-04310.1</t>
  </si>
  <si>
    <t>Contracte de serveis per a l'assistència tècnica per a la redacció del projecte constructiu de millora de l'accessibilitat i adaptació a la normativa de l'intercanviador de l'estació de Clot (L1 i L2 d'FMB i RENFE). Fase 1. Clau: TM-04310.1</t>
  </si>
  <si>
    <t>PC. TM-04311.1</t>
  </si>
  <si>
    <t>Contracte de serveis per a l'assistència tècnica per a la redacció del projecte constructiu de la millora de l'accessibilitat i adaptació a la normativa de l'intercanviador de l'estació de Maragall (L4 i L5 d'FMB). Fase 1. Clau: TM-04311.1</t>
  </si>
  <si>
    <t>B-TM-11018 / PC. TM-11018</t>
  </si>
  <si>
    <t>Contracte de serveis per a l'assistència tècnica per a la redacció del projecte bàsic i el projecte constructiu d'actuacions de millora de l'evacuació i de l'accessibilitat de l'estació de Vallcarca de la línia 3 de l'FMB. Claus: B-TM-11018 i TM-11018</t>
  </si>
  <si>
    <t>B-TM-11019 / PC. TM-11019</t>
  </si>
  <si>
    <t>Contracte de serveis per a l'assistència tècnica per a la redacció del projecte bàsic i el projecte constructiu d'actuacions de millora de l'evacuació i de l'accessibilitat de l'estació de Poblenou de la línia 4 d'FMB. Claus: B-TM-11019 i TM-11019</t>
  </si>
  <si>
    <t>B-TM-11020 / PC. TM-11020</t>
  </si>
  <si>
    <t>Contracte de serveis per a l'assistència tècnica per a la redacció del projecte bàsic i el projecte constructiu d'actuacions de millora de l'evacuació i de l'accessibilitat de l'estació Ciutadella - Vila Olímpica de la línia 4 d'FMB. Claus: B-TM-11020 i TM-11020</t>
  </si>
  <si>
    <t>PC. ER-03932.R</t>
  </si>
  <si>
    <t>Contracte de serveis per a l'assistència tècnica per a la redacció del projecte refós del regadiu del Canal de l'Aldea-Camarles. TM de l'Aldea, Camarles, l'Ampolla, Tortosa i el Perelló (Baix Ebre). Clau: ER-03932.R</t>
  </si>
  <si>
    <t>PC. MR-05919.R</t>
  </si>
  <si>
    <t>Contracte de serveis per a l'assistència tècnica per a la redacció del projecte refós del regadiu del Canal Xerta-Sénia. TM de Xerta, Aldover, Roquetes, Tortosa, Amposta, Freginals, Mas de Barberans, Masdenverge, Santa Bàrbara, Godall, la Galera i Ulldecona (Baix Ebre i Montsià). Clau: MR-05919.R</t>
  </si>
  <si>
    <t>PC. TM-04312.1</t>
  </si>
  <si>
    <t>Contracte de serveis per a l'assistència tècnica per a la redacció del projecte constructiu de la millora de l'accessibilitat i adaptació a la normativa de l'intercanviador de l'estació de Verdaguer (L4 i L5 d'FMB). Fase 1. Clau: TM-04312.1</t>
  </si>
  <si>
    <t>PE+DO. PNG-10091 2v</t>
  </si>
  <si>
    <t>Contracte de serveis per a l'assistència tècnica per a la redacció del projecte bàsic i d'execució, la certificació d'eficiència energètica del projecte, l'estudi de seguretat i salut, l'estudi geotècnic, el projecte d'activitats per a la llicència ambiental i posterior Direcció d'Obra i certificació d'eficiència energètica de final d'obra corresponent a la Nova Construcció de l'Escola Pirineu, de Campdevànol. Clau: PNG-10091 (2v)</t>
  </si>
  <si>
    <t>VA.JJB-00510</t>
  </si>
  <si>
    <t>Contracte de serveis per al suport operatiu i supervisió del control de gestió del manteniment per a la gerència de la Ciutat de la Justícia de Barcelona i l'Hospitalet. Clau: VA.JJB-00510</t>
  </si>
  <si>
    <t>Contracte de serveis per al suport a usuaris, gestió i administració de la infraestructura TIC de GISA, REGSA, IFERCAT i REGSEGA</t>
  </si>
  <si>
    <t>Juliol</t>
  </si>
  <si>
    <t>Contracte de serveis per a l'assistència tècnica per a l'auscultació, monitorització topogràfica i estructural de les obres d'adaptació a la normativa i millora de l'accessibilitat de l'estació de Virrei Amat de la línia 5 de l'FMB. Clau: TM-05605.A</t>
  </si>
  <si>
    <t>Agost</t>
  </si>
  <si>
    <t>EI.EI-NB-07041</t>
  </si>
  <si>
    <t>Contracte de serveis per a l'assistència tècnica per a la redacció de l'estudi informatiu de millora general. Nova carretera. Via interpolar des de Can Sant Joan fins al Nus de Sant Pau. Tram: Sant Cugat del Vallès-Sabadell. Clau: EI-NB-07041</t>
  </si>
  <si>
    <t>EI. EI-VL-11035</t>
  </si>
  <si>
    <t>Contracte de serveis per a l'assistència tècnica per a la redacció de l'estudi informatiu de millora general. Variant de Vilamitjana. Carretera C-1412b, del PK 55+000 al 58+000. Tram: Tremp. Clau: EI-VL-11035</t>
  </si>
  <si>
    <t>EI.EI-VL-11036</t>
  </si>
  <si>
    <t>Contracte de serveis per a l'assistència tècnica per a la redacció de l'estudi informatiu de millora general. Variant de Cubells. Carretera C-26, del PK 38+600 al 42+000. Tram: Cubells. Clau: EI-VL-11036</t>
  </si>
  <si>
    <t>PC. AT-05097.1</t>
  </si>
  <si>
    <t>PC. AT-05097.2</t>
  </si>
  <si>
    <t>PC. VT-05097.3</t>
  </si>
  <si>
    <t>Contracte de serveis per a l'assistència tècnica per a la redacció del projecte constructiu de millora general. Condicionament de la carretera C-241d, del PK 0+000 al 14+000. Tram: Montblanc-Rocafort de Queralt. Clau:AT-05097.1</t>
  </si>
  <si>
    <t>Contracte de serveis per a l'assistència tècnica per a la redacció del projecte constructiu de millora general. Condicionament de la carretera C-241d, del PK 14+000 al 24+650. Tram: Rocafort de Queralt-Santa Coloma de Queralt. Clau:AT-05097.2</t>
  </si>
  <si>
    <t>Contracte de serveis per a l'assistència tècnica per a la redacció del projecte constructiu de millora general. Variant de Santa Coloma de Queralt. Carretera C-241d, del PK 24+650 al 27+1.100. Tram: Santa Coloma de Queralt. Clau: VT-05097.3</t>
  </si>
  <si>
    <t>AU.TF-03474.1R</t>
  </si>
  <si>
    <t>Contracte de serveis per a l'assistència tècnica per al monitoratge de les obres corresponents a les galeries entre túnels i altres del perllongament dels FGC a Terrassa entre Rambla d'Ègara i Can Roca. Clau: AU.TF-03474.1R</t>
  </si>
  <si>
    <t>Setembre</t>
  </si>
  <si>
    <t>CQ. CAP-07985</t>
  </si>
  <si>
    <t>Contracte de serveis per l'assistència tècnica al control de qualitat de les obres de construcció del Centre d'Atenció Primària de Prats de Lluçanès. Clau: CAP-07985</t>
  </si>
  <si>
    <t>DE. CAP-07985</t>
  </si>
  <si>
    <t>Contracte de serveis per la direcció d'execució de les obres de construcció del Centre d'Atenció Primària de Prats de Lluçanès. Clau:CAP-07985</t>
  </si>
  <si>
    <t>CQ. CAP-07432</t>
  </si>
  <si>
    <t>DE. PAV-07349</t>
  </si>
  <si>
    <t>Contracte de serveis per a la direcció d'execució de les obres de reforma i ampliació Escola a 2 línies primària 'La Trama' de Sabadell (Vallès Occidental). Clau: PAV-07349</t>
  </si>
  <si>
    <t>Contracte de serveis per a l'assistència tècnica al control de qualitat de les obres per a la Construcció del nou Centre d'Atenció Primària 'Ronda Prim' de Mataró. Clau: CAP-07432</t>
  </si>
  <si>
    <t>DE. CAP-07432</t>
  </si>
  <si>
    <t>Contracte de serveis per a la direcció d'execució de les obres de construcció del nou Centre d'Atenció Primària 'Ronda Prim' de Mataró. Clau: CAP-07432</t>
  </si>
  <si>
    <t>CQ. PAV-07349</t>
  </si>
  <si>
    <t>Contracte de serveis per a l'assistència tècnica al control de qualitat de les obres de reforma i ampliació Escola a 2 línies primària 'La Trama' de Sabadell (Vallès Occidental). Clau:PAV-07349</t>
  </si>
  <si>
    <t>EI. TF-11225</t>
  </si>
  <si>
    <t>Contracte de serveis per a l'assistència tècnica per a la redacció de l'estudi informatiu de Perllongament de la línia Llobregat - Anoia dels FGC. Tram: Plaça Espanya - Gràcia. Clau: EI-TF-11225</t>
  </si>
  <si>
    <t xml:space="preserve">IA. TF-11225 </t>
  </si>
  <si>
    <t>Contracte de serveis per a l'assistència tècnica per a la redacció de l'estudi d'impacte ambiental de Perllongament de la línia Llobregat-Anoia dels FGC. Tram: Plaça Espanya-Gràcia. Clau: IA-TF-11225</t>
  </si>
  <si>
    <t>EI.PB.PC. B-TX-11024 i TX-11024</t>
  </si>
  <si>
    <t>Contracte de serveis per a l'assistència tècnica per a la redacció de l'estudi informatiu, del projecte bàsic i del projecte constructiu de la nova estació a la L.A.V. Barcelona-Frontera Francesa per a l'aeroport de Girona. Claus: EI-TX-11024, B-TX-11024 i TX-11024</t>
  </si>
  <si>
    <t>Octubre</t>
  </si>
  <si>
    <t>PC. PR-08400.3</t>
  </si>
  <si>
    <t>Contracte de serveis per a l'assistència tècnica per a la redacció del projecte constructiu de la bassa de regulació de Canet del reg del Canal de Pinyana. TM d'Alpicat (Segrià). Clau: PR-08400.3</t>
  </si>
  <si>
    <t>PC. PR-08400.1</t>
  </si>
  <si>
    <t>Contracte de serveis per a l'assistència tècnica per a la redacció del projecte constructiu de la modernització del reg del Canal de Pinyana. Captació a la presa de Santa Anna i canonada de transport i distribució fins al pont de la C-26. TM de Castellonroi (Osca) i Alfarràs (Segrià). Clau: PR-08400.1</t>
  </si>
  <si>
    <t>PC. NL-09032</t>
  </si>
  <si>
    <t>Contracte de serveis per a l'assistència tècnica per a la redacció del projecte constructiu de la millora general. Nova carretera d' Almacelles a Alguaire. De la carretera N-240, PK 112+500, a la futura A-14. Tram: Almacelles-Torrefarrera. Clau: NL-09032</t>
  </si>
  <si>
    <t>PC. DG-06040.1</t>
  </si>
  <si>
    <t>Contracte de serveis per a l'assistència tècnica per a la redacció del projecte constructiu de millora general. Desdoblament de la carretera C-66. Enllaç amb al futura autovia A-2 a Sant Julià de Ramis. Tram: Bordils-Medinyà (Sant Julià de Ramis). Clau: DG-06040.1</t>
  </si>
  <si>
    <t>EI. EI-NB-07112</t>
  </si>
  <si>
    <t>Contracte de serveis per a l'assistència tècnica per a la redacció de l'estudi informatiu de millora general. Nova carretera. Calçades laterals a la carretera C-31, del PK 180+500 al 187+100. Tram: Castelldefels-Viladecans. Clau: EI-NB-07112</t>
  </si>
  <si>
    <t>PC. TA-11227</t>
  </si>
  <si>
    <t>Contracte de serveis per a l'assistència tècnica per a la redacció del projecte constructiu de la nova estació d'autobusos sobre l'estació de l'AVE a Girona. Arquitectura i instal.lacions. Clau: TA-11227</t>
  </si>
  <si>
    <t>PC. TA-08432</t>
  </si>
  <si>
    <t>Contracte de serveis per a l'assistència tècnica per a la redacció del projecte constructiu de la nova estació d'autobusos a Lleida. Clau:TA-08432</t>
  </si>
  <si>
    <t>Novembre</t>
  </si>
  <si>
    <t>PC. VL-08072</t>
  </si>
  <si>
    <t>Contracte de serveis per a l'assistència tècnica per a la redacció del projecte constructiu de millora general. Variant de Vielha e Mijaran. Carretera C-28 del PK 23+510 al 25+860. Tram: Vielha (N-230) - Escunhau. Clau: VL-0807</t>
  </si>
  <si>
    <t>PC. DB-05111</t>
  </si>
  <si>
    <t>Contracte de serveis per a l'assistència tècnica per a la redacció del projecte constructiu de millora general. Desdoblament de la carretera B-224, del PK 18+480 al 26+000. Tram: Sant Llorenç d'Hortons-Martorell. Clau: DB-05111</t>
  </si>
  <si>
    <t>PC. AG-07040</t>
  </si>
  <si>
    <t>Contracte de serveis per a l'assistència tècnica per a la redacció del projecte constructiu de millora general. Condicionament de la carretera GI-643, del PK 0+000 al 7+882, i la GI-642, del PK 0+000 al 3+512. Tram: Gualta - La Pera. Clau: AG-07040</t>
  </si>
  <si>
    <t>PC. XT-06161</t>
  </si>
  <si>
    <t>Contracte de serveis per a l'assistència tècnica per a la redacció del projecte constructiu de millora general. Nova carretera d'accés a l'estació del Camp de Tarragona del T.A.V. des de la carretera TP-2031, PK 8+700. Tram: La Secuita-El Catllar. Clau: XT-06161</t>
  </si>
  <si>
    <t>PC. TM-11228</t>
  </si>
  <si>
    <t>Contracte de serveis per a l'assistència tècnica per a la redacció del projecte constructiu de l'extensió de la Xarxa TETRA i Xarxa RESCAT de la Línia 9/10 (L9/L10) a les línies L1, L2, L3, L4 i L5 del Metro de Barcelona, i Xarxa RESCAT a la línia L11 del Metro de Barcelona. Clau: TM-11228</t>
  </si>
  <si>
    <t>EV. EP-NB-11052</t>
  </si>
  <si>
    <t>Contracte de serveis per a l'assistència tècnica per a la redacció de l'estudi previ de millora general. Nova carretera. Estudi de viabilitat tècnica del tram de la carretera C-35 entre la C-58 i la B-140. Tram: Sabadell-Santa Perpètua de Mogoda. Clau: EP-NB-11052</t>
  </si>
  <si>
    <t>EI. EI-NB-09031</t>
  </si>
  <si>
    <t>Contracte de serveis per a l'assistència tècnica per a la redacció de l'estudi informatiu de millora general. Nova carretera. Corredor Eix Congost-Vallès Oriental. Ampliació 3r carril de la carretera C-17 del PK 18+100 al 30+250. Tram: Lliçà de Vall-La Garriga. Clau: EI-NB-09031</t>
  </si>
  <si>
    <t>PC. AG-05087</t>
  </si>
  <si>
    <t>Contracte de serveis per a l'assistència tècnica per a la redacció del projecte constructiu de millora general. Condicionament de la carretera GI-633, del PK 0+000 al 6+290 i del 9+180 al 10+480, i de la carretera GI-634, del PK 6+308 al 0+470. Tram: Sant Julià de Ramis (cruïlla amb la N-II)-Verges. Clau: AG-05087</t>
  </si>
  <si>
    <t>PC. NB-07078.1</t>
  </si>
  <si>
    <t>Contracte de serveis per a l'assistència tècnica per a la redacció del projecte constructiu de millora general. Nova carretera. Millora de l'accessibilitat a la vialitat urbana de Badalona. Calçada lateral a la C-31 sentit Barcelona, del PK 212+300 al 214+000. Tram: Badalona. Clau: NB-07078.1</t>
  </si>
  <si>
    <t>EI- EI-NB-06162</t>
  </si>
  <si>
    <t>Contracte de serveis per a l'assistència tècnica per a la redacció de l'estudi informatiu de millora general. Nova carretera. Corredor Eix Congost-Vallès Oriental. Ampliació 3r carril de la carretera C-17 del PK 12+000 al 18+100. Tram: Mollet del Vallès-Lliçà de Vall. Clau: EI-NB-06162</t>
  </si>
  <si>
    <t>EV. EP-NG-11046</t>
  </si>
  <si>
    <t>Contracte de serveis per a l'assistència tècnica per a la redacció de l'estudi previ de millora general. Nova carretera. Eixos Parets-Llagostera i Selva-Garrotxa. Carreteres C-35 i C-63. Tram: Hostalric-Maçanet de la Selva-Santa Coloma de Farners. Clau: EP-NG-11046</t>
  </si>
  <si>
    <t>IA. IA-NB-09031</t>
  </si>
  <si>
    <t>Contracte de serveis per a l'assistència tècnica per a la redacció de l'estudi d'impacte ambiental de millora general. Nova carretera. Corredor Eix Congost - Vallès Oriental. Ampliació 3r carril de la carretera C-17 del PK 18+100 al 30+250. Tram: Lliçà de Vall - la Garriga. Clau: IA-NB-09031</t>
  </si>
  <si>
    <t>IA. IA-NB-06162</t>
  </si>
  <si>
    <t>Contracte de serveis per a l'assistència tècnica per a la redacció de l'estudi d'impacte ambiental de millora general. Nova carretera. Corredor Eix Congost - Vallès Oriental. Ampliació 3r carril de la carretera C-17 del PK 12+000 al 18+100. Tram: Mollet del Vallès - Lliçà de Vall. Clau: IA-NB-06162</t>
  </si>
  <si>
    <t>Desembre</t>
  </si>
  <si>
    <t>Diferència 2010-2011</t>
  </si>
  <si>
    <t>Imports 2011</t>
  </si>
  <si>
    <t>DE. CAP-08277</t>
  </si>
  <si>
    <t>Contracte de serveis per a la direcció d'execució de les obres de construcció del Centre d'Atenció Primària "Onze de Setembre", de Lleida. Clau: CAP-08277</t>
  </si>
  <si>
    <t>CQ.CAP-08277</t>
  </si>
  <si>
    <t>Contracte de serveis per a l’assistència tècnica de control de qualitat de les obres de construcció del Centre d'Atenció Primària "Onze de Setembre", de Lleida. Clau: CAP-08277</t>
  </si>
  <si>
    <t>CQ.CAP-07279+1</t>
  </si>
  <si>
    <t>Contracte de serveis per a l’assistència tècnica del control de qualitat conjunt de les obres de nova construcció del Centre d'Atenció Primària Bordeta-Magòria, de Barcelona. Clau: CAP-07279 i nova construcció del Consultori Local de Sant Joan de les Abadesses. Clau: CLT-09337</t>
  </si>
  <si>
    <t>CQ.CAP-07340+1</t>
  </si>
  <si>
    <t>Contracte de serveis per a l’assistència tècnica conjunta del control de qualitat de les obres de construcció del "nou Centre d'Atenció Primària de Vilafranca del Penedès. Clau: CAP-07340" i del "Consultori Local d'Alfara de Carles. Clau: CLT-09338"</t>
  </si>
  <si>
    <t>DE.CAP-07279</t>
  </si>
  <si>
    <t>Contracte de serveis per a la direcció d'execució de les obres de construcció del nou centre d'atenció primària Bordeta-Magòria, de Barcelona. Clau:CAP-07279</t>
  </si>
  <si>
    <t>DE.CAP-07340</t>
  </si>
  <si>
    <t>Contracte de serveis per a la direcció d'execució de les obres de construcció del nou centre d'atenció primària de Vilafranca del Penedès. Clau: CAP-07340</t>
  </si>
  <si>
    <t>Número d'Anuncis i Imports 2012</t>
  </si>
  <si>
    <t>Diferència 2011-2012</t>
  </si>
  <si>
    <t>Imports 2012</t>
  </si>
  <si>
    <t>Diferència 11-12</t>
  </si>
  <si>
    <t>CSS.CAP-07340+CAP-08277</t>
  </si>
  <si>
    <t>Contracte de serveis per a l'assistència tècnica conjunta de Coordinació de Seguretat i Salut de les obres de construcció del nou centre d'atenció primària de Vilafranca del Penedès. Clau: CAP-07340 i centre d'atenció primària "Onze de Setembre", de Lleida. Clau: CAP-08277</t>
  </si>
  <si>
    <t>Contracte de serveis per a l'assistència tècnica conjunta per a la coordinació de seguretat i salut de les obres de nova construcció del centre d'atenció primària Bordeta-Magòria, de Barcelona.Clau:CAP-07279; nova construcció del consultori local d'Alfara de Carles. Clau:CLT-09338 i de la nova construcció del consultori local de Sant Joan de les Abadesses. Clau:CLT-09337</t>
  </si>
  <si>
    <t>CSS.CAP-07279+CLT-09338+CLT-09337</t>
  </si>
  <si>
    <t>PC. TF-07260</t>
  </si>
  <si>
    <t>Contracte de serveis per a l'assistència tècnica per a la redacció del projecte constructiu de supressió del pas a nivell i millora de la integració urbana d'FGC a Igualada i Vilanova del Camí. Clau: TF-07260</t>
  </si>
  <si>
    <t>Manteniment SAP</t>
  </si>
  <si>
    <t>Contracte de serveis per al Manteniment del sistema de gestió basat en SAP i altres aplicacions corporatives vinculades per a GISA, REGSA, REGSEGA i IFERCAT</t>
  </si>
  <si>
    <t>EV. EC15</t>
  </si>
  <si>
    <t>Contracte de serveis per a l'assistència tècnica per a la realització dels treballs de cartografia corresponents als estudis i projectes d'obra civil que són encarregats pels Departaments de la Generalitat. Clau: EC15</t>
  </si>
  <si>
    <t>DE. PNM-10041</t>
  </si>
  <si>
    <t>Contracte de serveis per a la revisió del projecte executiu i direcció d'execució de les obres de nova construcció Escola Marta Mata de Mataró, 2 Línies. Clau:PNM-10041</t>
  </si>
  <si>
    <t>CQ.PNM-10041</t>
  </si>
  <si>
    <t>Contracte de serveis per a l'assistència tècnica de control de qualitat de les obres de nova construcció Escola Marta Mata de Mataró, 2 Línies. Clau:PNM-10041</t>
  </si>
  <si>
    <t>PE+DO. PNV-10078 (1v)</t>
  </si>
  <si>
    <t>Contracte de serveis per a l’assistència tècnica per a la redacció del projecte bàsic, el projecte executiu i posterior direcció d'obra per a la nova construcció de l’Escola Marta Mata, de Barberà del Vallès. Clau: PNV-10078 (1 volta)</t>
  </si>
  <si>
    <t>CQ. CAP-08436</t>
  </si>
  <si>
    <t>Contracte de serveis per a l'assistència tècnica pel control de qualitat de les obres de nova construcció del Centre d'Atenció Primària de Llinars del Vallès. Clau: CAP-08436</t>
  </si>
  <si>
    <t>DE. CAP-08436</t>
  </si>
  <si>
    <t>Contracte de serveis per a la direcció d'execució de les obres de nova construcció del Centre d'Atenció Primària de Llinars del Vallès. Clau: CAP-08436</t>
  </si>
  <si>
    <t>PE+DO CAP-12004 2v</t>
  </si>
  <si>
    <t>Contracte de serveis per a l'assistència tècnica per a la redacció del projecte bàsic, el projecte executiu i posterior direcció d'obra per a la Nova Construcció del CAP Castell-Platja d’Aro. Clau: CAP-12004 (2v)</t>
  </si>
  <si>
    <t>DO. SCB-10055, SCC-10054 i SCG-10056</t>
  </si>
  <si>
    <t>Contracte de serveis per a la direcció conjunta de manteniment de les obres de “Conservació semiintegral. Plantacions. Conservació de plantacions i mesures correctores d'impacte ambiental de les obres executades i rebudes abans del 31 de maig de 2011 a les comarques de Barcelona. Clau: SC-SCB-01055”, "Conservació semiintegral. Plantacions. Conservació de plantacions i mesures correctores d'impacte ambiental de les obres executades i rebudes abans del 31 de maig de 2011 a les comarques de Lleida i Tarragona. Clau: SC-SCC-10054” i "Conservació semiintegral. Plantacions. Conservació de plantacions i mesures correctores d'impacte ambiental de les obres executades i rebudes abans del 31 de maig de 2011 a les comarques de Girona. Clau: SC-SCG-10056"</t>
  </si>
  <si>
    <t>PE+DO HBB-11233 1v</t>
  </si>
  <si>
    <t>Contracte de serveis per a l’assistència tècnica per a la redacció del projecte executiu i posterior direcció d'obra corresponent a la reforma de la Unitat d’Hospitalització i del Servei de Neonatologia de l’Hospital Germans Trias i Pujol, de Badalona. Clau: HBB-11233 (1v)</t>
  </si>
  <si>
    <t>PE+DO. CCT-11212 (1v)</t>
  </si>
  <si>
    <t>Contracte de serveis per a l'assistència tècnica per a la redacció del projecte bàsic, el projecte executiu i posterior direcció d'obra per a la Nova Construcció de la Comissaria de Districte i de Trànsit a l’Ametlla de Mar. Clau: CCT-11212(1v)</t>
  </si>
  <si>
    <t>CSS. CAP-08436 + CAP-08387</t>
  </si>
  <si>
    <t>Contracte de serveis per a l'assistència tècnica de coordinació de seguretat i salut conjunta de les obres: "Execució de les obres del nou Centre d'Atenció Primària de Llinars del Vallès. Clau: CAP-08436" i "Execució de les obres de construcció del nou Centre d'Atenció Primària de Santa Coloma de Cervelló. Clau: CAP-08387"</t>
  </si>
  <si>
    <t>PC. TF-02676.3A</t>
  </si>
  <si>
    <t>Contracte de serveis per a l'assistència tècnica per a la redacció del projecte constructiu del perllongament de la línia d'FGC a Sabadell. Superestructura de via i catenària. Projecte actualitzat. Clau: TF-02676.3A</t>
  </si>
  <si>
    <t>DO. TM-00509.6A2-C2</t>
  </si>
  <si>
    <t>Contracte de serveis per a la direcció de les obres del projecte complementari núm. 2. Línia 9 del metro de Barcelona. Tram 1r Aeroport-Parc Logístic. Subtram: PK 4+500-Llobregat. Condicionament pous evacuació i altres obres complementàries. Clau: TM-00509.6A2-C2</t>
  </si>
  <si>
    <t>ATDO.TM-02609.0</t>
  </si>
  <si>
    <t>Contracte de serveis per a l'assistència tècnica per a l'enginyeria d'integració dels sistemes i infraestructures, i coordinació de proves de la Línia 9 del metro de Barcelona. Clau: TM-02609.0</t>
  </si>
  <si>
    <t>Manteniment edificis corporatius</t>
  </si>
  <si>
    <t>Contracte de serveis de gestió integral per al manteniment multitècnic de les instal·lacions dels edificis corporatius de GISA I REGSEGA</t>
  </si>
  <si>
    <t>DE. PAM-09291</t>
  </si>
  <si>
    <t>Contracte de serveis per a la direcció d'execució de les obres d'ampliació a l'Escola Aqua Alba de Gualba. Clau:PAM-09291</t>
  </si>
  <si>
    <t>DE. PNV-10078</t>
  </si>
  <si>
    <t>Contracte de serveis per al control de qualitat del projecte executiu i direcció d'execució de les obres de nova construcció de l'Escola Marta Mata de Barberà del Vallès. Clau:PNV-10078</t>
  </si>
  <si>
    <t>Infraestructures.cat</t>
  </si>
  <si>
    <t>Servei de missatgeria</t>
  </si>
  <si>
    <t>Contracte per a la prestació del servei de missatgeria, paqueteria i correspondència d’Infraestructures de la Generalitat de Catalunya, SAU i d’Infraestructures Ferroviàries de Catalunya</t>
  </si>
  <si>
    <t>EP. EP40</t>
  </si>
  <si>
    <t>Contracte de serveis per a l'assistència tècnica per a la realització dels treballs de topografia corresponents als estudis i projectes d'obra civil. Clau: EP40</t>
  </si>
  <si>
    <t>CQ.TM-00509.6A2-C2</t>
  </si>
  <si>
    <t>Contracte de serveis per a l'assistència tècnica de control de qualitat de les obres del projecte complementari núm. 2. Línea 9 del metro de Barcelona. Tram 1r Aeroport-Parc Logístic. Subtram: PK 4+500-Llobregat. Condicionament pous evacuació i altres obres complementàries. Clau: TM-00509.6A2-C2</t>
  </si>
  <si>
    <t>* 78.396 € a E-DE corresponen a Infraestructures.cat</t>
  </si>
  <si>
    <r>
      <rPr>
        <sz val="10"/>
        <rFont val="Arial"/>
        <family val="2"/>
      </rPr>
      <t>Maig</t>
    </r>
    <r>
      <rPr>
        <sz val="10"/>
        <color rgb="FF008000"/>
        <rFont val="Arial"/>
        <family val="2"/>
      </rPr>
      <t xml:space="preserve"> *</t>
    </r>
  </si>
  <si>
    <t>Direccions Facultatives</t>
  </si>
  <si>
    <t>DF. BSE-12000.1</t>
  </si>
  <si>
    <t>Contracte de serveis per a la direcció facultativa de les obres d'adequació de l'edifici d'oficines situat al carrer Taulat, 266-270 destinat a la nova seu del Departament de Benestar Social i Família. Clau: BSE-12000.1</t>
  </si>
  <si>
    <t>CQ. BSE-12000.1</t>
  </si>
  <si>
    <t>Contracte de serveis per a l'assistència tècnica per al control de qualitat de les obres d'adequació de l'edifici d'oficines situat al carrer Taulat, 266-270 destinat a la nova seu del Departament de Benestar Social i Família a Barcelona. Clau: BSE-12000.1</t>
  </si>
  <si>
    <t>EI. EI-VG-12011</t>
  </si>
  <si>
    <t>Contracte de serveis per a l'assistència tècnica per a la redacció de l'estudi informatiu de millora general. Variant de Caldes de Malavella. Del PK 2+200 de la GI-673 al 1+750 de la GI-674. Tram: Caldes de Malavella. Clau: EI-VG-12011</t>
  </si>
  <si>
    <t>DE. IAC-03591</t>
  </si>
  <si>
    <t>Contracte de serveis per a la direcció d'execució de les obres de reforma i ampliació a l'Institut Can Vilumara de l'Hospitalet de Llobregat (Barcelonès). Clau: IAC-03591</t>
  </si>
  <si>
    <t>PC. TF-02676.7</t>
  </si>
  <si>
    <t>Contracte de serveis per a l'assistència tècnica per a la redacció del projecte constructiu del perllongament dels FGC a Sabadell. Senyalització i enclavaments. Clau: TF-02676.7</t>
  </si>
  <si>
    <t>PC. XB-07069</t>
  </si>
  <si>
    <t>Contracte de serveis per a l'assistència tècnica per a la redacció del projecte constructiu de millora general. Variant de la carretera BV-5227, des de la connexió amb la C-17 (PK 81+300) fins a la BV-5227 (PK 1+800). Tram: Sant Quirze de Besora. Clau: XB-07069</t>
  </si>
  <si>
    <t>PC. VG-06086</t>
  </si>
  <si>
    <t>Contracte de serveis per a l'assistència tècnica per a la redacció del projecte constructiu de millora general. Variant de la carretera C-63, des del PK 21+100 de la C-63 al PK 2+200 de la C-152. Tram: Riudarenes-Santa Coloma de Farners. Clau: VG-06086</t>
  </si>
  <si>
    <t>PC. TF-02699.A</t>
  </si>
  <si>
    <t>Contracte de serveis per a l'assistència tècnica per a la redacció del projecte constructiu actualitzat de l'eixamplament d'andana direcció Sarrià de l'estació de Provença dels FGC. Projecte actualitzat. Clau: TF-02699.A</t>
  </si>
  <si>
    <t>PE+DO HTT-12005 1v</t>
  </si>
  <si>
    <t>Contracte de serveis per a l'assistència tècnica per a la redacció del projecte bàsic, el projecte executiu i posterior direcció d'obra per a l’ampliació i reforma 2a fase del Servei d’Urgències de l’Hospital Joan XXIII, de Tarragona. Clau: HTT-12005(1v)</t>
  </si>
  <si>
    <t>PE+DO PNG-10080 2v</t>
  </si>
  <si>
    <t>Contracte de serveis per a l’assistència tècnica per a la redacció del projecte bàsic, el projecte executiu i posterior direcció d'obra corresponent a la Nova Construcció de l’Escola Montserrat Vayreda, de Roses. Clau: PNG-10080 (2v)</t>
  </si>
  <si>
    <t>EI. EI-NG-12015</t>
  </si>
  <si>
    <t>Contracte de serveis per a l'assistència tècnica per a la redacció de l'estudi informatiu de millora general. Nova carretera. Des de l PK 34+000 de la carretera C-260 al PK 3+100 de la GIP-6042. Tram: Castelló d'Empúries-Peralada. Clau: EI-NG-12015</t>
  </si>
  <si>
    <t>EI. EI-NC-00100-A2</t>
  </si>
  <si>
    <t>Contracte de serveis per a l'assistència tècnica per a la redacció de l'estudi informatiu de millora general. Nova carretera entre Riba-roja i la Granja d'Escarp. Tram: Riba-roja d'Ebre-la Granja d'Escarp. Clau: EI-NC-00100-A2</t>
  </si>
  <si>
    <t>EG. EG09</t>
  </si>
  <si>
    <t>Contracte de serveis per a l'assistència técnica per a la realització dels informes preliminars dels emplaçaments dels projectes d’edificació. Clau: EG09</t>
  </si>
  <si>
    <t>PC. TX-05610</t>
  </si>
  <si>
    <t>Contracte de serveis per a l'assistència tècnica per a la redacció del projecte constructiu de plataforma reservada per a l'autobús a l'Eix Blanes-Lloret. Clau: TX-05610</t>
  </si>
  <si>
    <t>PC. VT-08110</t>
  </si>
  <si>
    <t>Contracte de serveis per a l'assistència tècnica per a la redacció del projecte constructiu de la millora general. Variant de Solivella. Carretera C-14, del PK 43+700 al 47+330. Tram: Solivella. Clau: VT-08110</t>
  </si>
  <si>
    <t>CQ. IAC-08464</t>
  </si>
  <si>
    <t>Contracte de serveis per a l'assistència tècnica del control de qualitat de les obres d'adequació del nucli central de l'Institut Lluís de Peguera de Manresa (Bages). Clau: IAC-08464</t>
  </si>
  <si>
    <t>PC. AE-12056</t>
  </si>
  <si>
    <t>Contracte de serveis per a l'assistència tècnica per a la redacció del projecte constructiu de millora general. Condicionament. Carretera TV-3405, PK 0+000 al 5+231. Tram: Amposta. Clau: AE-12056</t>
  </si>
  <si>
    <t>PC. AE-12057</t>
  </si>
  <si>
    <t>Contracte de serveis per a l'assistència tècnica per a la redacció del projecte constructiu de millora general. Condicionament. Carretera T-350, PK 0+000 al 2+759. Tram: Santa Bàrbara - Masdenverge. Clau: AE-12057</t>
  </si>
  <si>
    <t>PC. NE-03018.1</t>
  </si>
  <si>
    <t>Contracte de serveis per a l'assistència tècnica per a la redacció del projecte constructiu de millora general. Nova carretera, del PK 0+000 al 9+480. Anell viari del Delta de l'Ebre. Tram 1: Sant Carles de la Ràpita - Amposta (Badia dels Alfacs). Clau: NE-03018.1</t>
  </si>
  <si>
    <t>EI. EI-VL-12054</t>
  </si>
  <si>
    <t>Contracte de serveis per a l'assistència tècnica per a la redacció de l'estudi informatiu de millora general. Variant de Claravalls. Carretera C-14, del PK 78+200 al 81+800. Tram: Tàrrega. Clau: EI-VL-12054</t>
  </si>
  <si>
    <t>EI. EI-VL-12055</t>
  </si>
  <si>
    <t>Contracte de serveis per a la redacció de l'estudi informatiu de millora general. Variant d'Agramunt i connexió amb la carretera L-303. Carretera C-14. PK 87+000 al 90+940. Tram: Agramunt - Puigverd d'Agramunt. Clau: EI-VL-12055</t>
  </si>
  <si>
    <t>CSS. CAP-08473 + CAP-00482.A2</t>
  </si>
  <si>
    <t>Contracte de serveis per a l'assistència tècnica de coordinació de seguretat i salut de les obres: "Construcció del Centre d'Atenció Primària a Piera. Clau: CAP-08473" i "Construcció del nou Centre d'Atenció Primària "La Mina", de Sant Adrià de Besòs.Clau: CAP-00482.A2"</t>
  </si>
  <si>
    <t>PC. DT-08120</t>
  </si>
  <si>
    <t>Contracte de serveis per a l'assistència tècnica per a la redacció del projecte constructiu de millora general. Desdoblament. Carretera C-37, PK 0+000 al 4+950. Tram: Alcover - Valls. Clau: DT-08120</t>
  </si>
  <si>
    <t>PC. VT-08111</t>
  </si>
  <si>
    <t>Contracte de serveis per a l'assistència tècnica per a la redacció del projecte constructiu de millora general. Variant de Belltall. Carretera C-14, del PK 53+000 al 55+650. Tram:Passanant. Clau: VT-08111</t>
  </si>
  <si>
    <t>DE. CAP-08473</t>
  </si>
  <si>
    <t>Contracte de serveis per a la direcció d'execució de les obres de construcció del nou Centre d'Atenció Primària de Piera. Clau: CAP-08473</t>
  </si>
  <si>
    <t>EV. EP-VB-12065</t>
  </si>
  <si>
    <t>Contracte de serveis per a l'assistència tècnica per a la redacció de l'estudi previ. Millora general. Variant d'Arenys de Munt. Carretera C-61, del PK 110+400 de la C-32 (final del vial de Vall de Gata) fins al PK 11+000 de la C-61. Tram: Arenys de Mar - Vallgorguina. Clau: EP-VB-12065</t>
  </si>
  <si>
    <t>CQ. CAP-00482.A2</t>
  </si>
  <si>
    <t>Contracte de serveis per a l'assistència tècnica de control de qualitat de les obres del Nou CAP "La Mina", de Sant Adrià de Besòs. Clau: CAP-00482.A2</t>
  </si>
  <si>
    <t>DE. CAP-00482.A2</t>
  </si>
  <si>
    <t>Contracte de serveis per a la direcció d'execució de les obres del Nou CAP La Mina. Clau: CAP-00482.A2</t>
  </si>
  <si>
    <t>DE.PAT-09998</t>
  </si>
  <si>
    <t>Contracte de serveis per a la direcció d'execució de les obres per a l'acabament de la rehabilitació de l'Escola Enxaneta (Línia 1) de Valls. Clau: PAT-09998</t>
  </si>
  <si>
    <t>CQ. CAP-08473</t>
  </si>
  <si>
    <t>Contracte de serveis per a l'assistència tècnica de control de qualitat de les obres de nova construcció del Centre d'Atenció Primària de Piera. Clau: CAP-08473</t>
  </si>
  <si>
    <t>PC. VT-08109</t>
  </si>
  <si>
    <t>Contracte de serveis per a l'assistència tècnica per a la redacció del projecte constructiu de millora general. Variant de Pira. Carretera C-241d, del PK 2+200 al 5+000. Tram: Pira. Clau: VT-08109</t>
  </si>
  <si>
    <t>PC. VT-08112</t>
  </si>
  <si>
    <t>Contracte de serveis per a l'assistència tècnica per a la redacció del projecte constructiu de millora general. Variant de Sarral. Carretera C-241d, del PK 7+700 al 10+880. Tram: Sarral. Clau: VT-08112</t>
  </si>
  <si>
    <t>PC. VT-08113</t>
  </si>
  <si>
    <t>Contracte de serveis per a l'assistència tècnica per a la redacció del projecte constructiu de millora general. Variant de Rocafort de Queralt. Carretera C-241d, del PK 13+100 al 15+350. Tram: Rocafort de Queralt - Sarral. Clau: VT-08113</t>
  </si>
  <si>
    <t>Direcciond d'Execució</t>
  </si>
  <si>
    <t>PC. MT-12061</t>
  </si>
  <si>
    <t>Contracte de serveis per a l'assistència tècnica per a la redacció del projecte constructiu de millora local. Millora de nus. Rotonda a la carretera C-31B, PK 9+470. Tram: Tarragona. Clau: MT-12061</t>
  </si>
  <si>
    <t>EI. EI-NT-12064</t>
  </si>
  <si>
    <t>Contracte de serveis per a l'assistència tècnica per a la redacció de l'estudi informatiu de millora general. Nova carretera de Reus a l'estació del TAV Camp de Tarragona. Tram: Reus - Perafort. Clau: EI-NT-12064</t>
  </si>
  <si>
    <t>PC. XC-10020.2</t>
  </si>
  <si>
    <t>Contracte de serveis per a la redacció del projecte constructiu de via ciclista del Ter. Del camí el Pont de Reixac a Llanars. Tram: Sant Joan de les Abadesses - Llanars. Clau: XC-10020.2</t>
  </si>
  <si>
    <t>ATDO. TM-02609.0-T1</t>
  </si>
  <si>
    <t>Contracte de serveis per a l'assistència tècnica per a l'enginyeria d'integració dels sistemes i infraestructures, i coordinació de treballs i proves de la Línia 9 del metro de Barcelona. Trams I i II. Clau: TM-02609.0-T1</t>
  </si>
  <si>
    <t>PB. B-TA-07264</t>
  </si>
  <si>
    <t>Contracte de serveis per a l'assistència tècnica per a la redacció del projecte bàsic de la nova estació d'autobusos a la Zona Universitària de Barcelona i connexió amb l'autopista B-23. Clau: B-TA-07264</t>
  </si>
  <si>
    <t>PC. XE-12058.3</t>
  </si>
  <si>
    <t>Contracte de serveis per a l'assistència tècnica per a la redacció del projecte constructiu Via Verda del Montsià. Tram: Amposta - Sant Carles de la Ràpita. Clau: XE-12058.3</t>
  </si>
  <si>
    <t>PC. XE-12058.2</t>
  </si>
  <si>
    <t>Contracte de serveis per a l'assistència tècnica per a la redacció del projecte constructiu Via verda del Montsià. Tram: Vinallop - Amposta. Clau: XE-12058.2</t>
  </si>
  <si>
    <t>infraestructures.cat</t>
  </si>
  <si>
    <t>Número d'Anuncis i Imports 2013</t>
  </si>
  <si>
    <t>Diferència 2012-2013</t>
  </si>
  <si>
    <t>Imports 2013</t>
  </si>
  <si>
    <t>Diferència 12-13</t>
  </si>
  <si>
    <t>PE+DO CLT-12917 2v</t>
  </si>
  <si>
    <t>Contracte de serveis per a l’assistència tècnica per a la redacció del projecte bàsic, el projecte executiu i posterior direcció d'obra corresponent a la construcció del Consultori Local de la Canonja. Clau: CLT-12917(2v)</t>
  </si>
  <si>
    <t>PE+DO SNG-12935 (2v)</t>
  </si>
  <si>
    <t>Contracte de serveis per a l’assistència tècnica per a la redacció del projecte bàsic, el projecte executiu i posterior direcció d'obra corresponent a la nova construcció (1a fase) d'un Institut Escola d'1 línia de secundària a Sant Joan de les Abadesses. Clau:SNG-12935(2v)</t>
  </si>
  <si>
    <t>IA. IA-DL-12053</t>
  </si>
  <si>
    <t>Contracte de serveis per a l'assistència tècnica per a la redacció de l'estudi d'impacte ambiental de millora general. Desdoblament. Carretera C-13 del PK 24+000 al 33+590. Tram: Térmens-la Sentiu de Sió. Clau: IA-DL-12053</t>
  </si>
  <si>
    <t>EP. EP41</t>
  </si>
  <si>
    <t>Contracte de serveis per a l'assistència tècnica per a la realització dels treballs de topografia corresponents als estudis i projectes d'obra civil i d'edificació. Clau: EP41</t>
  </si>
  <si>
    <t>PB. B-TM-06299.4.1</t>
  </si>
  <si>
    <t>Contracte de serveis per a l'assistència tècnica per a la redacció del projecte bàsic de rehabilitació i consolidació estructural del túnel de la línia 2 de l'FMB. Tram: Sant Roc - Gorg. Clau: B-TM-06299.4.1</t>
  </si>
  <si>
    <t>EI. EI-DL-12053</t>
  </si>
  <si>
    <t>Contracte de serveis per a la redacció de l'estudi informatiu de millora general. Desdoblament. Carretera C-13 del PK 24+000 al 33+590. Tram: Térmens - La Sentiu de Sió. Clau: EI-DL-12053</t>
  </si>
  <si>
    <t>DE. PNG-10080</t>
  </si>
  <si>
    <t>Contracte de serveis per a la verificació de l'assegurament de la qualitat del projecte executiu i direcció d'execució de les obres de Nova construcció de l'Escola Montserrat Vayreda, de Roses. Clau: PNG-10080</t>
  </si>
  <si>
    <t>DE. HTT-12005</t>
  </si>
  <si>
    <t>Contracte de serveis per a la verificació de l'assegurament de la qualitat del projecte executiu i direcció d'execució de les obres d'Ampliació i reforma de la 2a fase del Servei d'Urgències de l'Hospital Joan XXIII de Tarragona. Clau: HTT-12005</t>
  </si>
  <si>
    <t>DE. PNT-12010</t>
  </si>
  <si>
    <t>Contracte de serveis per a la direcció d'execució de les obres de nova construcció de l'Escola La Canaleta de Vila-Seca. Clau: PNT-12010</t>
  </si>
  <si>
    <t>DE. CCT-11212</t>
  </si>
  <si>
    <t>Contracte de serveis per a la verificació de l'assegurament de la qualitat del projecte executiu i direcció d'execució de les obres de Nova construcció d'una Comissaria a l'Ametlla de Mar. Clau: CCT-11212</t>
  </si>
  <si>
    <t>PC. NE-03018.3</t>
  </si>
  <si>
    <t>Contracte de serveis per a la redacció del projecte constructiu de millora general. Nova carretera. PK 0+000 al 10+950. Anell viari del Delta de l'Ebre. Tram 3: Camarles - l'Aldea. Clau: NE-03018.3</t>
  </si>
  <si>
    <t>CQ. INM-08407</t>
  </si>
  <si>
    <t>Contracte de serveis per a l'assistència tècnica del control de qualitat de les obres per a la Nova construcció 2 línies de l'Institut de Sant Vicenç de Montalt. Clau: INM-08407</t>
  </si>
  <si>
    <t>DE. INM-08407</t>
  </si>
  <si>
    <t>Contracte de serveis per a la direcció d'execució de les obres per a la Nova construcció 2 línies de l'Institut de Sant Vicenç de Montalt. Clau: INM-08407</t>
  </si>
  <si>
    <t>DO. PNT-12010</t>
  </si>
  <si>
    <t>Contracte de serveis per a la direcció de les obres de la nova construcció 2 línies de l'Escola La Canaleta de Vila-seca. Clau: PNT-12010</t>
  </si>
  <si>
    <t>PE+DB. CAP-13206 (1v)</t>
  </si>
  <si>
    <t>Contracte de serveis per a l'assistència tècnica per a la redacció del projecte bàsic i executiu i posterior Direcció d'obra de l'ampliació del CAP El Pla de Sant Feliu de Llobregat. Clau: CAP-13206</t>
  </si>
  <si>
    <t>DE. INL-12909</t>
  </si>
  <si>
    <t>Contracte de serveis per a la direcció d'execució de les obres per a la Nova construcció de la Secció d'Institut de La Seu d'Urgell, 2/0. Clau: INL-12909</t>
  </si>
  <si>
    <r>
      <rPr>
        <sz val="10"/>
        <rFont val="Arial"/>
        <family val="2"/>
      </rPr>
      <t>Maig</t>
    </r>
  </si>
  <si>
    <t>PE+DO TM-99500.1A-M1-C5</t>
  </si>
  <si>
    <t>Contracte de serveis per a l'assistència tècnica per a la redacció del projecte constructiu i la posterior direcció de les obres de vestidors de les instal·lacions esportives de la Vall d'Hebron (Teixonera). Clau: TM-99500.1A-M1-C5</t>
  </si>
  <si>
    <t>DO. VX-09312.1</t>
  </si>
  <si>
    <t>Contracte de serveis per a l'assistència tècnica per a la direcció de les obres del projecte constructiu de la xarxa de distribució dels regs de l'entorn de embassament de Rialb. Xarxa de Peramola - Bassella marge dret TTMM Peramola-Bassella (Alt Urgell). Separata. Clau: VX.09312.1</t>
  </si>
  <si>
    <t>EV. EC16</t>
  </si>
  <si>
    <t>Contracte de serveis per a l'assistència tècnica per a la realització dels treballs de cartografia corresponents als estudis i projectes d'obra civil que són encarregats pels Departaments de la Generalitat. Clau: EC16</t>
  </si>
  <si>
    <t>PE+DB. INA-12903 (1v)</t>
  </si>
  <si>
    <t>Contracte de serveis per a l'assistència tècnica per a la redacció del projecte bàsic i executiu, l'avantprojecte,l'estudi de seguretat i salut, l'estudi geotècnic, el projecte d'activitats per a llicència ambiental, i la certificació d'eficiència energètica del projecte i posterior Direcció d'obra i certificació d'eficiència energètica de final d'obra de la nova construcció Institut Lluís de Requesens de Molins de Rei. Clau: INA-12903(1v)</t>
  </si>
  <si>
    <t>DE. INC-07455</t>
  </si>
  <si>
    <t>Contracte de serveis per a la direcció d'execució de les obres de Nova construcció de l'Institut Cal Gravat de Manresa. Clau: INC-07455</t>
  </si>
  <si>
    <t>CQ. INC-07455</t>
  </si>
  <si>
    <t>Contracte de serveis per a l'assistència tècnica de control de qualitat de les obres de Nova construcció de l'Institut Cal Gravat de Manresa. Clau:INC-07455</t>
  </si>
  <si>
    <t>DE. UPC-13291+2</t>
  </si>
  <si>
    <t>Contracte de serveis per a la direcció d'execució conjunta de les obres de l’edifici A del Campus Diagonal - Besòs, a Barcelona. Nova Construcció de l'estructura sobre rasant. Clau: UPC-13291, Obres de l’edifici A del Campus Diagonal - Besòs, a Barcelona. Constru cció dels acabats finals de l’edifici, 1a. Fase.Clau:UPC-13292.1 i Obres de l’edifici A del Campus Diagonal - Besòs, a Barcelona. Construcció dels acabats finals de l’edifici, 2a. Fase.Clau: UPC-13292.2</t>
  </si>
  <si>
    <t>DO. UPC-13291+2</t>
  </si>
  <si>
    <t>Contracte de serveis per a la direcció d'obra conjunta de les obres de l’edifici A del Campus Diagonal - Besòs, a Barcelona. Nova Construcció de l'estructura sobre rasant. Clau:UPC-13291, Obres de l’edifici A del Campus Diagonal - Besòs, a Barcelona. Construcció dels acabats finals de l’edifici, 1a. Fase. Clau: UPC-13292.1 i Obres de l’edifici A del Campus Diagonal - Besòs, a Barcelona. Construcció dels acabats finals de l’edifici, 2a. Fase.Clau: UPC-13292.2</t>
  </si>
  <si>
    <t>Contracte de serveis per a l'assistència tècnica per a la redacció del projecte complementari núm.1. Millora local. Mesures correctores d’impacte ambiental. Desdoblament de l’Eix Transversal. Carretera C-25, del PK 180+400 al PK 235+800. Tram: Vic – Caldes de Malavella. Clau: PC. DC-05068-C1.3</t>
  </si>
  <si>
    <t xml:space="preserve">PC. DC-05068-C1.3 </t>
  </si>
  <si>
    <t>Contracte de serveis per a l'assistència tècnica per a la redacció del projecte constructiu de millora local. Seguretat viària. Millora de les característiques superficials del ferm i reestudi de la secció transversal. Carretera C-58. PK 30+365 al 37+790. Tram: Vacarisses - Castellbell i el Vilar. Clau: MB-13013</t>
  </si>
  <si>
    <t>PC. MB-13013</t>
  </si>
  <si>
    <t>Contracte de serveis per a l'assistència tècnica per a la redacció del projecte constructiu de millora local. Seguretat viària. Millora de les característiques superficials del ferm i reestudi de la secció transversal. Carretera C-58. PK 25+360 al 30+635. Tram: Viladecavalls - Vacarisses. Clau: MB-13010</t>
  </si>
  <si>
    <t>PC. MB-13010</t>
  </si>
  <si>
    <t>Contracte de serveis per a la redacció del projecte constructiu de millora local. Millora de la seguretat viària. Millora de les característiques superficials del ferm i reestudi de la secció transversal. Carretera C-55. PK 18+500 al 26+500. Tram: Castellbell i el Vilar - Manresa. Clau: MB-13015</t>
  </si>
  <si>
    <t>PC. MB-13015</t>
  </si>
  <si>
    <t>Contracte de serveis per a l'assistència tècnica per a la redacció del projecte constructiu de millora local. Seguretat viària. Millora de les característiques superficials del ferm i reestudi de la secció transversal. Carretera C-16. PK 97+138 al 112+630 Tram: Berga - Guardiola de Berguedà. Clau: MB-13009</t>
  </si>
  <si>
    <t>PC. MB-13009</t>
  </si>
  <si>
    <t>Contracte de serveis per a la direcció de les obres de nova construcció SES 3/0 L (sense gimnàs) de la Secció d'Institut de l'Alt Foix de Sant Martí Sarroca (Alt Penedès). Clau:INC-09235.A</t>
  </si>
  <si>
    <t>DO. INC-09235.A</t>
  </si>
  <si>
    <t>Contracte de serveis per a l'assistència tècnica conjunta pel control de qualitat de les obres corresponents al "projecte complementari núm.2: gimnàs-vestidors-porxo- mitja pista i acabats urbanització a l'Escola Pericot de Girona. Clau:PNG-09207-C2", "Nova construcció de l'Escola Sa Forcanera de Blanes. Clau:PNG-10096.A" i "Nova construcció de l'Escola La Benaula de Caldes de Malavella. Clau:PNG-09218"</t>
  </si>
  <si>
    <t>CQ. PNG-09207-C2+2</t>
  </si>
  <si>
    <t>CSS.UPC-13291-2</t>
  </si>
  <si>
    <t>Serveis per a la assistència tècnica de coordinació de seguretat i saltu conjunta de les obres de l'edifici A del Campus Diagonal-Besòs a Barcelona. Nova construcció de l'estructura sobre rasant. Obres edifici A del Campus Diagonal-Besòs a Barcelona.</t>
  </si>
  <si>
    <t>DI.UPC-13000</t>
  </si>
  <si>
    <t>Direcció integrada conjunta dels projectes i de les obres de la fase 1a del Campus Diagonal - Besòs de la Universitat Politècnica de Catalunya.</t>
  </si>
  <si>
    <t>CQ.UPC-13291</t>
  </si>
  <si>
    <t>Serveis d'assistència tècnica per al Control de Qualitat de les obres de l'edifici A del Campus Diagonal - Besòs, a Barcelona. Nova Construcció de l'estructura sobre rasant.</t>
  </si>
  <si>
    <t>Direcció d'Execució</t>
  </si>
  <si>
    <t>PNH-13301</t>
  </si>
  <si>
    <t>PNM-13306</t>
  </si>
  <si>
    <t>Redacció projecte bàsic i d'exec., certificació eficiència energètica del projecte, l'estudi de seg. i salut, l'estudi geotècnic i el projecte d'activitats per a llicència ambiental nova construcció Escola Emili Teixiodor d'1 línia Roda de Ter.</t>
  </si>
  <si>
    <t>Assistència tècnica per a la redacció del projecte bàsic i d'execució, la certif. eficiència energètica del projecte, estudi de seg. I salut, estudi geotècnic i projecte activ. Per a llicència ambiental nova construcció 1 línia Escola Soler Vilardell</t>
  </si>
  <si>
    <t>PNM-13278</t>
  </si>
  <si>
    <t>PAM-12048</t>
  </si>
  <si>
    <t>PE+DB.HBB-13279</t>
  </si>
  <si>
    <t>Ser. Assist. Tèc. de la redacció del projecte bàsic i d'execució, la cert. Eficiència energètica del proj., est. Seg. I salut, est. Geotècnic i proj. Act. Llicència ambiental i posterior dir. Obra nova const. Escola Els Quatre Vents Canovelles.</t>
  </si>
  <si>
    <t>Ser. Assist. Tèc. redacció proj. bàsic i execució, la cert. Eficiència energètica proj., est. Seg. I salut, est. Geotècnic i proj. Act. Llicència ambiental i posterior dir. Obres adequació fàbrica Llobet Guri per a l'Escola Dr. Carles. Calella</t>
  </si>
  <si>
    <t>Ser. Assist. Tèc. redacció proj. bàsic i execució, la cert. Eficiència energètica proj., est. Seg. I salut, est. Geotècnic i proj. Act. Llicència ambiental i posterior dir. Remodelació instal. Hospital Germans Trias i Pujol. Badalona.</t>
  </si>
  <si>
    <t>Serveis per a l'assistència tècnica per a la redacció del projecte bàsic i executiu i la posterior direcció de les obres de la nova construcció de l'Escola Agnès de Sitges.</t>
  </si>
  <si>
    <t>PE+DO.PNC-09359.A</t>
  </si>
  <si>
    <t>DE.PNG-10091</t>
  </si>
  <si>
    <t>Serveis per a la verificació de l'assegurament de la qualitat del projecte executiu i direcció d'execució de les obres de la Nova construcció de l'Escola Pirineu de Campdevànol.</t>
  </si>
  <si>
    <t>Direccions d'execució</t>
  </si>
  <si>
    <t>Obra civil</t>
  </si>
  <si>
    <t>Serveis per a la direcció de les obres del projecte constructiu de millora de l'evacuació i de l'accessibilitat de la Linia 1 dels FMB. Estació Rambla Just Oliveres. Fase 1a.</t>
  </si>
  <si>
    <t>DO.TM-06509.1A</t>
  </si>
  <si>
    <t>Direccions d'obra</t>
  </si>
  <si>
    <t>DE. CAP-08386</t>
  </si>
  <si>
    <t>DX. CAP-08386</t>
  </si>
  <si>
    <t>CQ. CAP-08386</t>
  </si>
  <si>
    <t>Serveis per a la direcció d'execució de les obres de nova construcció del Centre d'Atenció Primària de Viladecans-3.</t>
  </si>
  <si>
    <t>Serveis per a la direcció de les obres de nova construcció del Centre d'Atenció Primària de Viladecans-3.</t>
  </si>
  <si>
    <t>Serveis per a l'assitència tècnica de control de qualitat de les obres de Nova construcció del Centre d'Atenció Primària de Viladecans-3.</t>
  </si>
  <si>
    <t>PC. NE-03018.2</t>
  </si>
  <si>
    <t>Servicios para la asistencia técnica para la redacción del proyecto constructivo de mejora general. Nueva carretera. PK 0,000 al 7,960. Anillo viario del Delta del Ebro. Tramo 2: Amposta (Badia dels Alfacs) - Camarles.</t>
  </si>
  <si>
    <t xml:space="preserve">Projectes </t>
  </si>
  <si>
    <t>PC. CG-12058</t>
  </si>
  <si>
    <t>PC. MG-09041</t>
  </si>
  <si>
    <t>PC. NE-03018.4</t>
  </si>
  <si>
    <t>Serveis per a l'assistència tècnica per a la redacció del projecte constructiu de conservació extraordinària. Ponts i estructures. Rehabilitació del pont de la ctra. C-252 sobre el riu Ter, del pk 10,700 al 11,300. Tram: Ultramort-Verges.</t>
  </si>
  <si>
    <t>Serveis per a l'assistència tècnica per a la redacció del projecte constructiu de millora local. Seguretat viària. Ordenació d'accessos a la carretera C-63 del pk 0,650 al 4,700. Tram: Lloret de Mar.</t>
  </si>
  <si>
    <t>Serveis per a l'assistència tècnia per a la redacció del projecte constructiu de millora general. Condicionament. Ctra. TV-3408, del pk 0,000 al 9,830 i TV-3454, del pk 0,000 al 1,000. Anell viari del Delta de l'Ebre. Tram 4: Aldea-Sant Carles Ràpita</t>
  </si>
  <si>
    <t>Serveis per a l'assistència tècnica per a la redacció del projecte constructiu de millora general. Nova carretera. Eix del Llobregat. Implantació d'un tercer carril reversible a la ctra. C-16, del pk 96,500 al 117,300. Tram: Berga-Bagà.</t>
  </si>
  <si>
    <t>Serveis per a l'assistència tècnica per a la redacció del projecte constructiu d'adaptació a la normativa i millora de l'accessibilitat de l'estació de Putxet del FGC. Remodelació d'accessos a vestibul i andanes per a l'execució d'itineraris adaptats</t>
  </si>
  <si>
    <t>PC. TF-13290</t>
  </si>
  <si>
    <t>PC. TF-05518.3</t>
  </si>
  <si>
    <t>Serveis per a l'assistència tècnica per a la redacció del projecte constructiu d'adaptació a la normativa i millora de l'accessibilitat de l'estació de Sarrià dels FGC. Remodelació de vies, andanes i vestibul per a l'execució d'itineraris adaptats.</t>
  </si>
  <si>
    <t>EG. EG10</t>
  </si>
  <si>
    <t>Serveis per a l'assistència tècnica per a la realització dels informes preliminars dels emplaçaments dels projectes d'edificació. Diverses Comarques.</t>
  </si>
  <si>
    <t>Número d'Anuncis i Imports 2014</t>
  </si>
  <si>
    <t>Diferència 13-14</t>
  </si>
  <si>
    <t>Imports 2014</t>
  </si>
  <si>
    <t>Totals</t>
  </si>
  <si>
    <t>EV. EI-AT-12073</t>
  </si>
  <si>
    <t>Contracte de serveis per a l'assistència tècnica per a la redacció de l'estudi informatiu de millora general. Condicionament de la carretera T-204, del pk 3,500 al 7,900, i variant de Salomó fins al pk 11,500 de la ctra. T-202. Tram: Montferri-Salomó</t>
  </si>
  <si>
    <t>PE+DO. PAC-12908</t>
  </si>
  <si>
    <t>Serveis per a l'assistència tècnica per a la redacció del projecte bàsic i executiu i la posterior direcció d'obra de l'ampliació a 2 línies + 6 aules de l'Escola Sant Jordi a Vilanova i la Geltrú. (1v).</t>
  </si>
  <si>
    <t>DE. INA-12903</t>
  </si>
  <si>
    <t>Serveis per a la verificació de l'assegurament de la qualitat del projecte executiu i direcció d'execució de les obres de la nova construcció de l'Institut Lluís Requesens de Molins de Rei, 4/2 + 2 aules.</t>
  </si>
  <si>
    <t>PE+DO. IAM-13305</t>
  </si>
  <si>
    <t>Serveis per a l'assistència tècnica per a la redacció del projecte bàsic i executiu i la posterior direcció d'obra de la construcció de tallers per a cicles formatius i restitució de pista poliesportiva a l'Institut Baix Montseny de Sant Celoni.</t>
  </si>
  <si>
    <t>DO. MB-07108-A1</t>
  </si>
  <si>
    <t>Serveis per a la direcció de les obres de millora local. Millora de nus. Carretera C-17, pk 20,900 amb la carretera BV-1432, pk 1,000. Tram: Lliçà d'Amunt-Granollers.</t>
  </si>
  <si>
    <t>EV. AE-MC-13016</t>
  </si>
  <si>
    <t>Serveis per a l'assistència tècnica per a la redacció l'estudi "Projecte de millora de la senyalització d'orientació a Catalunya 1era fase. Xarxa gestionada per la Generalitat de Catalunya.</t>
  </si>
  <si>
    <t>PE+DO. JJL-13309</t>
  </si>
  <si>
    <t>Contracte de serveis per a l'assistència tècnica per a la redacció del projecte bàsic i executiu i la posterior direcció d'obra de les Sales de vistes en l'ampliació de l'Edifici Judicial del Canyeret, a Lleida.</t>
  </si>
  <si>
    <t>EP. EP42</t>
  </si>
  <si>
    <t>Contracte de serveis per a l'assistència tència per a la realització dels treballs de topografia corresponents als estudis i projectes d'obra civil i d'edificació.</t>
  </si>
  <si>
    <t>IA-NG-02083.2-A1</t>
  </si>
  <si>
    <t>Serveis per a l'assistència tècnica per a la redacció de l'estudi d'impacte ambiental de millora general. Variant de les Preses. Del pk 172,000 de la carretera C-37 a l'inici de la variant d'Olot. Tram: La Vall d'en Bas-Les Preses.</t>
  </si>
  <si>
    <t>EI.EI-NG-02083.2-A1</t>
  </si>
  <si>
    <t>Serveis per a l'assistència tècnica per a la redacció de l'estudi informatiu de millora general. Variant de les Preses. Del pk 172,000 de la carretera C-37 a l'inici de la variant d'Olot. Tram: La Vall d'en Bas-Les Preses.</t>
  </si>
  <si>
    <t>PPE+DO.PNM-13310</t>
  </si>
  <si>
    <t>Assistència tècnica per a la redacció del projecte bàsic i executiu i la posterior direcció d'obra de la reconversió d'antiga edificació (Fàbrica Can Fàbregas del paper) per a nova construcció Escola 2 línies "Escola Angeleta Ferrer" a Mataró.</t>
  </si>
  <si>
    <t>PE+DO.CAP-13315</t>
  </si>
  <si>
    <t>Assistència tècnica per a la redacció del projecte bàsic i executiu i la posterior direcció d'obra de la construcció del nou CAP d'Amposta.</t>
  </si>
  <si>
    <t>PE+DO.JVX-14208</t>
  </si>
  <si>
    <t>Assistència tècnica per a la redacció del projecte executiu i posterior direcció d'obra de les obres RAM Reparació i millora de la instal.lació de sanejament del Centre Penitenciari de Quatre Camins. Vallès Oriental. (1V)</t>
  </si>
  <si>
    <t>PE+DO-CAP-12914</t>
  </si>
  <si>
    <t>Assistència tècnica per a la redacció del projecte bàsic i executiu i la posterior direcció d'obra del projecte de construcció del CAP de Sant Pere de Ribes.</t>
  </si>
  <si>
    <t>PE+DO.JVX-14209</t>
  </si>
  <si>
    <t>PE+DO.JVX-14210</t>
  </si>
  <si>
    <t>Assistència tècnica per a la redacció del projecte executiu i posterior direcció d'obra de les obres RAM. Substitució de les cobertes del Centre Penitenciari de Quatre Camins. (1v). Vallès Oriental.</t>
  </si>
  <si>
    <t>Assistència tècnica per a la redacció del projecte executiu i posterior direcció d'obra de les obres RAM. Reforma integral de la cuina del Centre Penitenciari de Brians 1. Baix Llobregat. (1v)</t>
  </si>
  <si>
    <t>DO.SC-SCC-12050+1</t>
  </si>
  <si>
    <t>Direcció i  coord. seguretat i salut conjunta de les obres de Conservació semi integral. Conservació plantacions i messures correctores imp. amb.  Obres com. Lleida i Tarragona 2013-2014 clau: SC-SCC-12050 i Barcelona i Girona 2013-2014. SC-SCC-12051</t>
  </si>
  <si>
    <t>PE. UPC-13292</t>
  </si>
  <si>
    <t>Serveis per a l'assistència tècnica per a la redacció del projecte d'adaptació del projecte de l'Edifici A del Campus Diagonal-Besós, a Barcelona. Construcció dels acabats finals de l'Edifici. (Fase 1 i Fase 2).</t>
  </si>
  <si>
    <t>DE+CSS. INM-10010.A1+1</t>
  </si>
  <si>
    <t>Direcció de les obres de contrucció d'una residencia d'avis Valletes a Amposta.</t>
  </si>
  <si>
    <t>CQ. INT-09371</t>
  </si>
  <si>
    <t>Serveis per la direcció d'execució de les obres de Nova Construcció 4/0 línies de l'Institut la Talaia de Segur de Calafell.</t>
  </si>
  <si>
    <t>Serveis per al control de qualitat de les obres de Nova construcció 4/0 línies de l'Insititu La Talaia de Segur de Calafell.</t>
  </si>
  <si>
    <t>Serveis per la realització d'assaigs per a la verificació de cels Rasos a 400 edificis. 8 lots.</t>
  </si>
  <si>
    <t>MSQ. MEX-13L01</t>
  </si>
  <si>
    <t>DO. PNG-09218.A</t>
  </si>
  <si>
    <t>DE. PNG-09218.A</t>
  </si>
  <si>
    <t>Serveis per a la direcció de les obres de la nova construcció Escola 1 línia La Benaula de Caldes de Malavella. La Selva.</t>
  </si>
  <si>
    <t>Serveis per a la direcció d'execució de les obres de la nova construcció Escola 1 línia La Benaula de Caldes de Malavella. La Selva.</t>
  </si>
  <si>
    <t>DE. CLT-12917+1</t>
  </si>
  <si>
    <t>PB. B-TX-07266</t>
  </si>
  <si>
    <t>PC. MB-14007</t>
  </si>
  <si>
    <t>Serveis per a la verificació de l'assegurament de la qualitat del projecte executiu i direcció d'execució conjunta de les obres del Nou Consultori Local de la Canonja i la Remodelació de la instal. Elèctrica de l'Hospital Germans Trias i Pujol.</t>
  </si>
  <si>
    <t>Serveis per a l'assistència tècnica per a la redacció del projecte bàsic d'integració urbana de la línia ferroviària Lleida-La Pobla al municipi de Balaguer.</t>
  </si>
  <si>
    <t>Serveis per a l'assistència tècnica per a la redacció del projecte constructiu de millora local. Millora de nus. Millora de l'enllaç entre la carretera de Viladordils i la ronda de Manresa. Carretera C-55, pk 29,700. Tram: Manresa.</t>
  </si>
  <si>
    <t>Serveis per a l'assistència tència per a la redacció del projecte bàsic i executiu i la posterior direcció d'obra de l'adequació d'espais del CAP Rambla Marina, de L'Hospitalet de Llobregat. (1v).</t>
  </si>
  <si>
    <t>PE+DO. CAP-13318</t>
  </si>
  <si>
    <t>CSS.TF-02676.6.1+2</t>
  </si>
  <si>
    <t>Serveis per a l'assistència tència de coordinació de seguretat i salut conjunta de les obres "Exec. Obres perllongament línia FGC a Sabadell. Alimentació eléctrica", "Exec. Obres proj. Complementari 1. Infraestructura"i "Exec. Obres perllonagament…</t>
  </si>
  <si>
    <t>DB.TF-02676.6.1+2</t>
  </si>
  <si>
    <t>Serveis per a la direcció conjunta de les obres "Exec. Obres perllongament línia FGC a Sabadell. Alimentació eléctrica", "Exec. Obres proj. Complementari 1. Infraestructura"i "Exec. Obres perllonagament…</t>
  </si>
  <si>
    <t>CQ.TF-02676.6.1</t>
  </si>
  <si>
    <t>DO.MB-10041</t>
  </si>
  <si>
    <t>Serveis per a l'assistència tècnica de control de qualitat del projecte constructiu del perllongament de la línia d'FGC a Sabadell. Alimentació elèctrica, comunicacions i instal.lacions no ferroviàries del túnel. Tram: inici soterrament-Plaça Major.</t>
  </si>
  <si>
    <t>Serveis per a la direcció de les obres de millora local. Eixamplament puntual. Carretera C-55, del pk 28,550 al 30,000. Tram: Manresa.</t>
  </si>
  <si>
    <t>EV.TX-14294</t>
  </si>
  <si>
    <t>Serveis per a l'assistència tècnica per a la redacció de les normes tècniques sobre seguretat contra incendis a la Xarxa Ferroviària Soterrada de Catalunya.</t>
  </si>
  <si>
    <t>PE+DO. UPC-13296</t>
  </si>
  <si>
    <t>Serveis per a l'assistència tècnica per a la redacció del projecte bàsic i executiu i la posterior direcció d'obra de la nova construcció d'infraestructures generals i urbanització del Campus Diagonal-Besòs, a Barcelona.</t>
  </si>
  <si>
    <t>DE.INC-07391.A</t>
  </si>
  <si>
    <t>Serveis per a la verificació de l'assegurament de la qualitat del projecte executiu i direcció d'execució de les obres de Nova construcció de l'Institut de Cabrils.</t>
  </si>
  <si>
    <t>CQ.TF-02676.2-C1</t>
  </si>
  <si>
    <t>Contracte de serveis per a l'assistència tècnica de control de qualitat del projecte complementari núm. 1 del perllongament de la línia d'FGC a Sabadell. Infraestructura. Superestructura de via i catenària. Tram: inici de soterrament Plaça Major.</t>
  </si>
  <si>
    <t>CQ. TF-02676.4</t>
  </si>
  <si>
    <t>Contracte de serveis per a l'assistència de control de qualitat de les obres del perllongament de la línia d'FGC a Sabadell. Arquitectura i instal.lacions de les estacions Sabadell Estació i Plaça Major.</t>
  </si>
  <si>
    <t>Serveis per a l'assistència tècnica per a la direcció de les obres del projecte constructiu d'adaptació de l'arquitectura i instal.lacions als usos i condicions d'evacuació de la cua de maniobres de la línia 9 del metro de Barcelona sota la terminal.</t>
  </si>
  <si>
    <t>DO.TM-02609.27</t>
  </si>
  <si>
    <t>DO.RG-04116.2</t>
  </si>
  <si>
    <t>Serveis per a la direcció de les obres de ferm. Reforçament. Millora de ferm i obres complementàries a la carretera C-65z del pk 11,440 al pk 12,630. Condicionament de travessera. Tram: Llagostera.</t>
  </si>
  <si>
    <t>PC.MC-14010</t>
  </si>
  <si>
    <t>PC.MB-14021</t>
  </si>
  <si>
    <t>Serveis per a l'assistència tècnica per a la redacció del projecte constructiu de millora local. Seguretat viària. Actuacions de millora en trams d'alta accidentalitat de la xarxa de carreteres de la Generalitat de Catalunya. Any 2014</t>
  </si>
  <si>
    <t>Serv. Assist. tècnica per redac. projecte construc. millora local. Seg. viària. Millora característiques superficials ferm i reestudi  secció transversal. Ctra. C-35, pk 49,860 al 61,985. Tram: Vilalaba-Sasserra-Sant Celoni.</t>
  </si>
  <si>
    <t>EG.EG11</t>
  </si>
  <si>
    <t>Contracte de serveis per a l'assistència tècnica per a la realització dels informes preliminars dels emplaçaments dels projectes d'edificació.</t>
  </si>
  <si>
    <t>EV.EC17</t>
  </si>
  <si>
    <t>DO.TF-02676.7.1</t>
  </si>
  <si>
    <t>E1-TX-14313</t>
  </si>
  <si>
    <t>PE+DO. INV-11218</t>
  </si>
  <si>
    <t>PE+DO. INV-14298</t>
  </si>
  <si>
    <t>Serveis per l'assistència tècnica per a la realització dels treballs de cartografia corresponenents als estudis i projectes d'obra civil que són encarregats pel Departament de la Generalitat.</t>
  </si>
  <si>
    <t>Serveis per a la direcció d'obres del projecte de perllongament de la línia d'FGC a Sabadell. Senyalització i enclavaments. Tram:inici soterrament -Plaça Major.</t>
  </si>
  <si>
    <t>Serveis per l'assitència tècnica per a la redacció de l'estudi de l'oferta ferroviària de Rodalies de Catalunya i els índex d'ocupació i fiabilitat i costos del servei.</t>
  </si>
  <si>
    <t>Serveis per a l'assistència tècnica per a la redacció del projecte bàsic i executiu i la posterior direcció d'obra de la nova construcció de l'Institut Can Roca 4/3, a Terrassa.</t>
  </si>
  <si>
    <t>Serveis per a l'assistència tècnica per a la redacció del projecte bàsic i executiu i la posterior direcció d'obra de la nova construcció de l'Institut Les Aimerigues a Terrassa.</t>
  </si>
  <si>
    <t>Direcció d'Obra</t>
  </si>
  <si>
    <t>PM. GPV-08248.A-M2</t>
  </si>
  <si>
    <t>PE+DO. INH-14297</t>
  </si>
  <si>
    <t>PE+DO. INV-13322</t>
  </si>
  <si>
    <t>Assistència tècnica per a la redacció del projecte modificat núm. 2 de la nova construcció de la seu de les delegacions territorials de la Generalitat de Catalunya a les Terres de l'Ebre, a Tortosa.</t>
  </si>
  <si>
    <t>Assistència tècnica per a la redacció del projecte bàsic i executiu i la posterior direcció d'obra de la nova construcció 3/0 + espais per administració per CFA i EOI de la Secció de l'Institut Serra de Noet, a Berga.</t>
  </si>
  <si>
    <t>Assistència tècnica per a la redacció del projecte bàsic i executiu i la posterior direcció d'obra de la nova construcció de l'Institut Torrent dels Alous 4/3, a Rubí.</t>
  </si>
  <si>
    <t>Serveis per a la verificació de l'assegurament de la qualitat dels projec. executius i direcció d'execució conjunta de les obres de reparació i millora de la instal.lació de sanejament del Centre Penitenciari Quatre Camins. Substitució cobertes CPQC.</t>
  </si>
  <si>
    <t>Serveis per a l'assistència tècnica per a l'avaluació, diagnosi i seguiment dels serveis de Rodalies i Regionals de Catalunya i de la seva xarxa d'infraestructures. Identificació i proposta de millora de la fiabilitat i qualitat del servei.</t>
  </si>
  <si>
    <t>DE. JVX-14208+2</t>
  </si>
  <si>
    <t>AT-TX-14313</t>
  </si>
  <si>
    <t>Diferència 2013-2014</t>
  </si>
  <si>
    <t>CQ. PNC-09228.A</t>
  </si>
  <si>
    <t>DE. PNC-09228.A</t>
  </si>
  <si>
    <t>DO. PNC-09228.A</t>
  </si>
  <si>
    <t>Contracte de serveis per al control de qualitat de les obres de nova construcció escola 1 línia a l'Escola Els Vinyals de Lliçà de Vall (Vallès Oriental).</t>
  </si>
  <si>
    <t>Contracte de serveis per la direcció d'execució de les obres de nova construcció escola 1 línia a l'Escola Els Vinyals de Lliçà de Vall (Vallès Oriental).</t>
  </si>
  <si>
    <t>Contracte de serveis per a la direcció de les obres de nova construcció escola 1 línia a l'Escola Els Vinyals de Lliça de Vall (Vallès Oriental).</t>
  </si>
  <si>
    <t>CQ. PNB-12907</t>
  </si>
  <si>
    <t>DE. PNB-12907</t>
  </si>
  <si>
    <t>Control de qualitat de les obres de nova construcció escola 2 línies a l'Escola Can Fabra de Barcelona.</t>
  </si>
  <si>
    <t>Direcció d'execució de les obres de nova construcció escola 2 línies a l'Escola Can Fabra de Barcelona</t>
  </si>
  <si>
    <t>DE. CAP-13315</t>
  </si>
  <si>
    <t>Serveis per a la verificació de l'assegurament de la qualitat del projecte executiu i direcció d'execució de les obres de construcció del nou CAP d'Amposta.</t>
  </si>
  <si>
    <t>MEA. MEC-14L04</t>
  </si>
  <si>
    <t>Contracte de serveis per a la supervisió i control del manteniment de 216 edificis titularitat d'Infraestructures.cat. 4 lots.</t>
  </si>
  <si>
    <t>PE+DO. IAV-14296</t>
  </si>
  <si>
    <t>PE+DO. CAP-14302</t>
  </si>
  <si>
    <t>Serveis per a l'assistència tècnica per a la redacció del projecte bàsic i executiu i la posterior direcció d'obra de l'ampliació i adequació a 2/0 de la Secció d'Institut Can Periquet a Palau-Solità i Plegamans.</t>
  </si>
  <si>
    <t>Servies per a l'assistència tècnica per a la redacció del projecte bàsic i executiu i la posterior direcció d'obra de l'ampliació i reforma del CAP Dr. Mirambell, de Caldes de Montbuí.</t>
  </si>
  <si>
    <t>Subministrament i serveis</t>
  </si>
  <si>
    <t>?Infraestructures.cat</t>
  </si>
  <si>
    <t>DE. PNA-09212.A</t>
  </si>
  <si>
    <t>DO. PNA-09212.A</t>
  </si>
  <si>
    <t>Direcció de les obres de la nova construcció escola 1 línia a l'Escola d'Abrera (Baix Llobregat).</t>
  </si>
  <si>
    <t>Direcció d'execució de les obres de la nova construcció escola 1 línia a l'Escola d'Abrera (Baix Llobregat).</t>
  </si>
  <si>
    <t>DB. TM-11019. FA+2</t>
  </si>
  <si>
    <t>Direc. Conj. obres: actuacions millora evacuació i accessib.estació Poblenou línia 4 d'FMB. Fase A, actual. adaptació normativa i millora acces. Est. Peu Funicular FGC i execució obres proj. pas inferior línia BCN-Vallès FGC a Volpelleres.</t>
  </si>
  <si>
    <t>PE+DO. GET-14308</t>
  </si>
  <si>
    <t>Assistència tència per a la redacció del projecte bàsic i executiu i la posterior direcció d'Obra de la nova construcció del Pavelló Poliesportiu a la zona esportiva de Campclar, a Tarragona.</t>
  </si>
  <si>
    <t>DIO. UPC-13000</t>
  </si>
  <si>
    <t>Serv. per a la gestió, coord. i seguiment obres corresponents acabats de l'edifici A, acabats de l'edifici C, acabats de l'edifici I, infraestructures i urbanització, i adaptació dels solars BJK de la primera fase del Campus Diagona-Besòs UPC.</t>
  </si>
  <si>
    <t>CQ. PNA-09212.A</t>
  </si>
  <si>
    <t>DO. PNG-08479.A</t>
  </si>
  <si>
    <t>DE. PNG-08479.A</t>
  </si>
  <si>
    <t>Contracte de serveis per al control de qualitat de les obres de nova construcció escola 1 línia a l'Escola d'Abrera (Baix Llobregat).</t>
  </si>
  <si>
    <t>Contracte de serveis per a la direcció de les obres de nova construcció escola 1 línia a l'Escola La Sínia de Calonge. (Baix Empordà).</t>
  </si>
  <si>
    <t>Contracte de serveis per a la direcció d'execució de les obres de la nova contrucció escola 1 línia a l'Escola La Sínia de Calonge (Baix Empordà).</t>
  </si>
  <si>
    <t>PC. TA-07264.1</t>
  </si>
  <si>
    <t>CQ. PNG-08479.A</t>
  </si>
  <si>
    <t>Contracte de serveis per a l'assistència tècnica per a la redacció del projecte constructiu del carril bus d'entrada a Barcelona a l'autopista B-23 del pk 0,000 al pk 7,260.</t>
  </si>
  <si>
    <t>Contracte de serveis per a l'assistència tècnica del control de qualitat de les obres de la nova construcció escola 1 línia a l'Escola La Sínia de Calonge (Baix Empordà).</t>
  </si>
  <si>
    <t>PC. ML-14056</t>
  </si>
  <si>
    <t>Serveis per a l'assistència tècnica per a la redacció del projecte constructiu de millora local. Vairant i eixample puntual. Ctra. LV-4241, pk 34,750 al 34,900 i del pk 35,200 al 35,550. Tram: Sant Llorenç de Morunys-límit comarca Berguedà (Guixers)</t>
  </si>
  <si>
    <t>DE. UPC-13294</t>
  </si>
  <si>
    <t>CQ.UPC-13294</t>
  </si>
  <si>
    <t>Servies per a la direcció d'execució de les obres d'adaptació del projecte de l'edifici C del Campus Diagonal Besòs a Barcelona. Construcció dels acabats finals de l'edifici.</t>
  </si>
  <si>
    <t>Serveis per a l'assistència tècnica de control de qualitat de les obres d'adaptació del projecte de l'edifici C del Campus Diagonal Besòs a Barcelona. Construcció dels acabats finals de l'edifici.</t>
  </si>
  <si>
    <t>PE+DO. INM-10090</t>
  </si>
  <si>
    <t>Assistència tècnica per a la redacció del projecte bàsic i executiu i la posterior direcció d'obra de la nova construcció de la secció de l'Institut 2/0 Can Record a Sant Esteve de Palautordera.</t>
  </si>
  <si>
    <t>DE. UPC-13296</t>
  </si>
  <si>
    <t>Serveis per a la verificació de l'assegurament de la qualitat del projecte executiu i direcció d'execució de les obres de nova construcció d'infraestructures generals i urbanització del Campus Diagona - Besòs, a Barcelona.</t>
  </si>
  <si>
    <t>PE+DO. HBB-11233-C1</t>
  </si>
  <si>
    <t>PE+DO. HGG-14321</t>
  </si>
  <si>
    <t>Serveis per a l'assistència tència per a la redacció del projecte i posterior direcció d'obra del projecte complementari núm. 1 de les obres del Servei de Neonatologia i Unitat d'Hospitalització d'Obstetrícia de l'Hospital Germans Trias i Pujol.</t>
  </si>
  <si>
    <t>Contracte de serveis per a l'assistència tècnica per a la redacció del projecte bàsic i executiu i la posterior direcció d'Obra de l'ampliació i reforma de les urgències de l'Hospital Doctor Josep Trueta, de Girona.</t>
  </si>
  <si>
    <t>CQ.UPC-13292.2</t>
  </si>
  <si>
    <t>Serveis per al control de qualitat de les obres de nova construcció dels acabats de l'edifici A del Campus Diagonal Besòs a Barcelona (segona fase).</t>
  </si>
  <si>
    <t>PE+DO. CAP-13320</t>
  </si>
  <si>
    <t>Serveis per a l'assistència tècnica per a la redacció del projecte bàsic i executiu i la posterior direcció d'obra del nou centre de salut. Servei d'Urgències i CMA, a Granollers.</t>
  </si>
  <si>
    <t>PE+DO. ECO-13201</t>
  </si>
  <si>
    <t>ATI. TF-03474-F2</t>
  </si>
  <si>
    <t>Serveis per a l'assistència tècnica per a la redacció del projecte bàsic i executiu i la posterior direcció d'obra de la reforma de l'edifici situat a Via Laietana, 60, per ubicar-hi la seu de la Sindicatura de Comptes. (1v).</t>
  </si>
  <si>
    <t>Serveis per a l'assistència tècnica per a l'execució de les tasques de seguretat /safety (fase 2) de les obres del perllongament dels FGC a Terrassa.</t>
  </si>
  <si>
    <t>DO. MG-06136</t>
  </si>
  <si>
    <t>Serveis per a la direcció de les obres de millora local. Millora de nus. Rotonda a la carretera C-25, al pk 238,840. Tram: Riudellots de la Selva.</t>
  </si>
  <si>
    <t>Número d'Anuncis i Imports 2015</t>
  </si>
  <si>
    <t>Imports 2015</t>
  </si>
  <si>
    <t>Diferència 14-15</t>
  </si>
  <si>
    <t>Diferència 2014-2015</t>
  </si>
  <si>
    <t>EG. EG12</t>
  </si>
  <si>
    <t>CSS. UPC-13295</t>
  </si>
  <si>
    <t>Serveis per a l'assistència tècnica per a la realització dels informes preliminars dels emplaçaments dels projectes encarregats pel Servei Català de la Salut.</t>
  </si>
  <si>
    <t>Serveis per a l'assistència tècnica per a la coordinació de seguretat i salut de les obres de l'edifici I del Campus Diagonal - Besòs, a Barcelona. Construcció dels acabats finals de l'edifici.</t>
  </si>
  <si>
    <t>CSS. UPC-13294</t>
  </si>
  <si>
    <t>DE. UPC-13295</t>
  </si>
  <si>
    <t>Serveis per a l'assistència tècnica de coordinació de seguretat i salut de les obres d'adaptació del projecte de l'edifici C del Campus Diagonal Besòs a Barcelona. Construcció dels acabats finals de l'edifici.</t>
  </si>
  <si>
    <t>Serveis per l'assistència tècnica de la direcció d'execució de les obres de nova construcció dels acabats finals de l'edifici I del campus Diagonal-Besòs, a Barcelona.</t>
  </si>
  <si>
    <t>DO. MB-13015</t>
  </si>
  <si>
    <t>Direcció de les obres de millora local. Millora de la seguretat viària. Millora de les característiques superficials del ferm i reestudi de la secció transversal. Carretera C-55. pk 18,500 al 26,500. Tram: Castellbell i el Vilar - Manresa.</t>
  </si>
  <si>
    <t>CQ. UPC-13295</t>
  </si>
  <si>
    <t>CQ. HTT-12005</t>
  </si>
  <si>
    <t>DO. DG-9032.6</t>
  </si>
  <si>
    <t>Serveis per a l'assistència tècnica per al control de qualitat de les obres de Nova Construcció dels acabats finals de l'edifici I del Campus Diagonal - Besòs, a Barcelona.</t>
  </si>
  <si>
    <t>Serveis per a l'assistència tècnica del control de qualitat de les obres d'ampliació i reforma de la 2a fase del Servei d'Urgències de l'Hospital Joan XXIII de Tarragona.</t>
  </si>
  <si>
    <t>Direcció de les obres de millora general. Desdoblament de la carretera C-260. Del Pk 29,000 de la C-260 al pk 754,350 de l'N-II. Tram: Figueres.</t>
  </si>
  <si>
    <t>DE. PNM-13310</t>
  </si>
  <si>
    <t>DE. CAP-10002</t>
  </si>
  <si>
    <t>Serveis per a l'assistència tècnica per a la direcció d'execució de les obres de construcció del nou CAP Molí Nou, de Sant Boi de Llobregat.</t>
  </si>
  <si>
    <t>Serveis per a la verificació de l'assegurament de la qualitat del projecte executiu i direcció d'execució de les obres de Nova construcció de l'Escola Angeleta Ferrer de Mataró.</t>
  </si>
  <si>
    <t>DE. CAP-10070.1</t>
  </si>
  <si>
    <t>DO. CAP-10070.1</t>
  </si>
  <si>
    <t>Direcció d'execució de les obres de la Nova construcció del Centre d'Atenció Primària i de la Base Comarcal del SEM (Servei d'Emergències Mèdiques), a Roquetes.</t>
  </si>
  <si>
    <t>Direcció de les obres de la Nova construcció del Centre d'Atenció Primària i de la Base Comarcal del SEM (Servei d'Emergències Mèdiques) a Roquetes.</t>
  </si>
  <si>
    <t>CQ. HBB-11233</t>
  </si>
  <si>
    <t>EV. AE-MC-14053</t>
  </si>
  <si>
    <t>DE. HBB-11233</t>
  </si>
  <si>
    <t>Serveis per a l'assistència tècnica del control de qualitat de les obres de reforma de la unitat d'Hospitalització i del servei de neonatologia de l'Hospital Germans Trias i Pujol, de Badalona.</t>
  </si>
  <si>
    <t>Serveis per a l'assistència tècnica per a la redacció de l'estudi de millora local. Seguretat viària. Estudi de l'accidentalitat provocada per animals en llibertat a la xarxa de ctres. De la Generalitat de Catalunya. Any 2014.</t>
  </si>
  <si>
    <t>Serveis per a l'assistència tècnica per a la direcció d'execució de les obres de Reforma de la unitat d'hospitalització i del servei de neonatologia de l'Hospital Germans Trias i Pujol, de Badalona.</t>
  </si>
  <si>
    <t>DO+CSS. XA-06925.2</t>
  </si>
  <si>
    <t>Direcció de les obres i la coordinació de seguretat i salut de les obres del condicionament i millora del camí d'accés a Cortàs i Élier, des de la N-260. TM Bellver de Cerdanya (Ceredanya).</t>
  </si>
  <si>
    <t>EV. E1-TX-14330</t>
  </si>
  <si>
    <t>Serveis per a l'assistència tècnica per a la redacció de l'estudi de competitivitat i reptes estratègics de les empreses relacionades amb el transport de mercaderies per carretera a Catalunya.</t>
  </si>
  <si>
    <t>EV. EV-NB-14086</t>
  </si>
  <si>
    <t>DO. TM-02609.30</t>
  </si>
  <si>
    <t>Serveis per a l'assistència tècnica per a la redacció de l'estudi de viabilitat de millora general. Nova ctra. Vias de connexió entre els polígons industrials de Can Barri, A Bigues i Riells, i de Can Magre, a Santa Eulàlia de Ronçana.</t>
  </si>
  <si>
    <t>Direcció de les obres de la L9 del Metro de Barcelona. Tram I (Aeroport - Bifurcació) i Tram II ( Provençana-Zona Universitària). Condicionament i millora de control d'accessos de Pous i altres ubicacions.</t>
  </si>
  <si>
    <t>DO. INC-07391.A</t>
  </si>
  <si>
    <t>Direcció d'obra de la nova construcció institut 3/0 línies (sense gimnàs) a l'Institut de Cabrils (Manresa).</t>
  </si>
  <si>
    <t>CSS. INC-07391.A</t>
  </si>
  <si>
    <t>CQ. INC-07391.A</t>
  </si>
  <si>
    <t>Serveis per a la coordinació de seguretat i salut de les obres de la nova construcció institut 3/0 línies (sense gimnàs) a l'Institut de Cabrils (Maresme).</t>
  </si>
  <si>
    <t>Contracte de serveis per al control de qualitat de les obres de la nova construcció institut 3/0 línies (sense gimnàs) a l'Institut de Cabrils (Maresme).</t>
  </si>
  <si>
    <t>PC. VT-13007 (AMPL)</t>
  </si>
  <si>
    <t>Serveis per a l'assistència tècnica per a la redacció de l'ampliació del projecte de millora general. Connexió de la carretera C-37, pk 5,800,  amb la N-240, pk 17,450. Tram: Valls.</t>
  </si>
  <si>
    <t>EV.E35-TM-00509</t>
  </si>
  <si>
    <t>PC. MB-14065</t>
  </si>
  <si>
    <t>Serveis per a l'assistència tècnica per a la redacció de l'estudi dels canvis de via del Tram IV de la Línia 9 de Barcelona. Diagnosi, avaluació i estudi de les patalogies. Propostes de millora.</t>
  </si>
  <si>
    <t>Serveis per a l'assistència tècnica per a la redacció del projecte constructiu de millora local. Millora de nus. Nous ramals sentit nord a l'enllaç de Viladordis. Autopista C-16, pk 51,250. Tram: Manresa-Sant Fruitós de Bages.</t>
  </si>
  <si>
    <t>PC. MB-14066</t>
  </si>
  <si>
    <t>Serveis per a l'assistència tècnica per a la redacció del projecte constructiu de millora local. Millora de nus. Nous ramals sentit oest a l'enllaç del carrer Sallent. Ctra. C-55, Ronda nord de Manresa, pk 31,400 al 31,900. Tram: Manresa.</t>
  </si>
  <si>
    <t>CQ. MB-13015</t>
  </si>
  <si>
    <t>CQ. DG-9032.6</t>
  </si>
  <si>
    <t>CSS. DG-9032.6</t>
  </si>
  <si>
    <t>Control de qualitat de les obres de millora local. Millora de la seguretat viària. Millora de les característiques superficials del ferm i reestudi de la secció transversal. Carretera C-55. pk 18,500 al 26,500. Tram: Castellbell i el Vilar-Manresa.</t>
  </si>
  <si>
    <t>Control de qualitat de les obres de millora general. Desdoblament de la carretera C-260. Del pk 29,000 de la C-260 al pk 754,350 de l'N-II. Tram: Figueres.</t>
  </si>
  <si>
    <t>Coordinació de seguretat i salut de les obres de millora general. Desdoblament de la ctra. C-260. Del pk 29,000 de la C-260 al pk 754,350 de l'N-II. Tram: Figueres.</t>
  </si>
  <si>
    <t>DO. AB-01055-C2.F1</t>
  </si>
  <si>
    <t>CSS. HBB-11233</t>
  </si>
  <si>
    <t>DO. MB-14046</t>
  </si>
  <si>
    <t>CQ. MB-14046</t>
  </si>
  <si>
    <t>Direcció de les obres del projecte complementari núm. 2 de millora local. Talussos. Estabilització de talussos. Ctra. C-62, pk 10,350 a 27,020. Fase 1. Tram: Olost-Olvan.</t>
  </si>
  <si>
    <t>Coordinació de seguretat i salut de les obres de reforma de la unitat d'hospitalització i del servei de neonatologia de l'Hospital Germans Trias i Pujol, de Badalona.</t>
  </si>
  <si>
    <t>Direcció de les obres del projecte de millora local. Millora de nus. Nou enllaç entre l'Eix Trasnversal (pk 189,700) i la Ctra. BV-5202 (pk 1,980). Tram: Sant Julià de Vilatorta.</t>
  </si>
  <si>
    <t>Control de qualitat de les obres del projecte de millora local. Millora de nus. Nou enllaç entre l'Eix Transversal (pk 189,700) i la ctra. BV-5202 (pk 1,980). Tram: Sant Julià de Vilatorta.</t>
  </si>
  <si>
    <t>EP. EP43</t>
  </si>
  <si>
    <t>PC. ML-14057</t>
  </si>
  <si>
    <t>PC. MG-14079</t>
  </si>
  <si>
    <t>Serveis per a l'assistència tècnica per a la realització dels treballs de topografia corresponents als estudis i projectes d'obra civil i d'edificació.</t>
  </si>
  <si>
    <t>Redacció del proejecte constructiu de millora local. Variant puntual. Ctra. LV-4241, del pk 43,500 al 43,750. Tram: Sant Llorenç de Morunys - Límit Comarca Berguedà (Guixers).</t>
  </si>
  <si>
    <t>Redacció del projecte constructiu de millora local. Eixample i millora del traçat de la carretera N-141e, del pk 110,500 al 112,350. Tram: Bescanó.</t>
  </si>
  <si>
    <t>PC. TF-02676.2-C2</t>
  </si>
  <si>
    <t>Redacció del projecte complementari núm. 2 del perllongament de la línia d'FGC a Sabadell. Infraestructura. Urbanització tram inici soterrament - Sabadell Estació.</t>
  </si>
  <si>
    <t>CSS. INA-12903</t>
  </si>
  <si>
    <t>Coordinació de seguretat i salut de les obres de la nova construcció institut 4/2 línies + 2 aules a l'Institut Lluís de Requesens de Molins de Rei (Baix Llobregat).</t>
  </si>
  <si>
    <t>MEA.MEC-15L03</t>
  </si>
  <si>
    <t>Asistència tècnica per a la realització d'auditories de qualitat del manteniment de 19 edificis dels Mossos d'Escuadra.</t>
  </si>
  <si>
    <t>CQ. INA-12903</t>
  </si>
  <si>
    <t>Control de qualitat de les obres de la nova construcció institut 4/2 línies + 2 aules a l'Institut Lluís de Requesens de Molins de Rei (Baix Llobregat).</t>
  </si>
  <si>
    <t>PC. RE-14062</t>
  </si>
  <si>
    <t>DE. CAP-10007</t>
  </si>
  <si>
    <t>Redacció del projecte constructiu de ferm. Reforçament del ferm a la ctra. C-12, del Pk 19,680 al 23,700. Tram: Tortosa-Aldover.</t>
  </si>
  <si>
    <t>Direcció d'execució de les obres del nou CAP "Gornal", de l'Hospitalet de Llobregat.</t>
  </si>
  <si>
    <t>DE. CLT-10099.1+CLT-10099.2</t>
  </si>
  <si>
    <t>Direcció d'execució conjunta de les obres de construcció del Consultori Local de l'Estartit, de Torroella de Montgrí i de les obres de construcció (instal.lacions) del consultori local de l'Estartit, de Torroella de Montgrí.</t>
  </si>
  <si>
    <t>CQ. CAP-10007</t>
  </si>
  <si>
    <t>CQ. CLT-10099.1 + CLT-10099.2</t>
  </si>
  <si>
    <t>Control de qualitat de les obres de construcció del Centre d'Atenció Primària El Gornal, de l'Hospitalet de Llobregat.</t>
  </si>
  <si>
    <t>Control de qualitat conjunt de les obres de construcció (excepte instal.lacions) del Consultori Local de l'Estartit, de Torroella de Montgrí i de les obres de construcció (instal.lacions) del Consultori Local de l'Estartit, de Torroella de Montgrí.</t>
  </si>
  <si>
    <t>ATAM. DG-9032.6</t>
  </si>
  <si>
    <t>Serveis per a l'assistència tècnica ambiental de les obres de millora general. Desdoblament de la ctra. C-260. Del Pk 29,000 de la C-260 al pk 754,350 de N-II. Tram: Figueres.</t>
  </si>
  <si>
    <t>CQ. HBB-13279</t>
  </si>
  <si>
    <t>CSS. HBB-13279</t>
  </si>
  <si>
    <t>Serveis per a l'assistència tècnica del control de qualitat de les obres de remodelació de les instal.lacions generals elèctriques de l'Hospital Germans Trias i Pujol, a Badalona.</t>
  </si>
  <si>
    <t>Serveis per a l'assistència tècnica per la coordinació de seguretat i salut de les obres de remodelació de les instal.lacions generals elèctriques de l'Hospital Germans Trias i Pujol de Badalona.</t>
  </si>
  <si>
    <t>DF. ICF-14800</t>
  </si>
  <si>
    <t>Direcció facultativa i coordinació de seguretat i salut de les obres d'enderroc del complex industrial de l'antic escorxador l'Agudana de Cervera.</t>
  </si>
  <si>
    <t>PB. B-TF-09408.A1</t>
  </si>
  <si>
    <t>Assistència tècnica per a la redacció del projecte bàsic. Projecte actualitzat. Perllongament del soterrament de la línia d'FGC a Sabadell des de la Rambla Ibèria fins al Passeig de Can Feu.</t>
  </si>
  <si>
    <t>DE. HTT-12005-C1</t>
  </si>
  <si>
    <t>PC. VE-06008</t>
  </si>
  <si>
    <t>Direcció d'execució de les obres de l'ampliació i reforma de la 2a fase del Servei d'Urgències de l'Hospital Joan XXIII, de Tarragona. Obres complementàries de reforma i ampliació de la CMA.</t>
  </si>
  <si>
    <t>Assistència tècnica per a la redacció del projecte constructiu de millora general. Variant de Gandesa. Ctra. C-43, pk 12,560, fins a la carretera N-420. Tram: Gandesa.</t>
  </si>
  <si>
    <t>DE. TM-99500.1A-M1-C5.1</t>
  </si>
  <si>
    <t>Direcció d'execució i coordinació de seguretat i saltu de les obres d'adequació dels vestidors de les instal.lacions esportives de la Vall d'Hebron. (Teixonera). Fase 1.</t>
  </si>
  <si>
    <t>DO. TM-12002.2</t>
  </si>
  <si>
    <t>Direcció de les obres del projecte constructiu per a la millora de les condicions mecàniques de la superestructura de via de la Línia 2 de FMB, utilitzant la soliució Vanguard. Tram: Sant Antoni-Universitat del PK 101,050 al 101,250.</t>
  </si>
  <si>
    <t>PE+DO. INB-15278</t>
  </si>
  <si>
    <t>PE+DO. PNT-14334</t>
  </si>
  <si>
    <t>Redacció del projecte bàsic i executiu i la posterior direcció d'obra de la nova construcció de l'Institut Viladomat, 3/2, a Barcelona.</t>
  </si>
  <si>
    <t>Redacció del projecte bàsic i executiu i la posterior direcció d'obra de la nova construcció Escola d'Arrabassada, 2L a Tarragona.</t>
  </si>
  <si>
    <t>PE+DO. INB-14335</t>
  </si>
  <si>
    <t>Redacció del projecte bàsic i executiu i la posterior direcció d'obra de la nova construcció Institut Maria Espinalt 4/3, a Barcelona.</t>
  </si>
  <si>
    <t>CQ. TF-02676.7.2</t>
  </si>
  <si>
    <t>Control de qualitat de les obres de perllongament de la línia d'FGC a Sabadell. Senyalització i enclavaments. Tram: Plaça Major-Cotxeres.</t>
  </si>
  <si>
    <t>DO. TF-02676.7.2</t>
  </si>
  <si>
    <t>Direcció de les obres de perllongament de la línia d'FGC a Sabadell. Senyalització i enclavaments. Tram: Plaça Major-Cotxeres.</t>
  </si>
  <si>
    <t>DE. IAC-10037</t>
  </si>
  <si>
    <t>DO. IAC-10037</t>
  </si>
  <si>
    <t>PR. AT-00164-C3</t>
  </si>
  <si>
    <t>Direcció d'execució de les obres d'adequació de la planta tercera de l'Institut La Llauna de Badalona.</t>
  </si>
  <si>
    <t>Direcció d'obra de les obres d'adequació de la planta tercera de l'Institut La Llauna de Badalona.</t>
  </si>
  <si>
    <t>Redacció del projecte constructiu de millora local. Eixamplament de la calçada i enllumenat de les rotondes del nou accés a l'AP-2 des de la C-51, de la rotonda de l'Albornar al pk 3,800 de la T-240. Tram: La Bisbal del Penedès.</t>
  </si>
  <si>
    <t>DO. MB-12013</t>
  </si>
  <si>
    <t>DO. ME-13063</t>
  </si>
  <si>
    <t>DO. MB-14047</t>
  </si>
  <si>
    <t>CQ. BSV-09202</t>
  </si>
  <si>
    <t>DE. BSV-09202</t>
  </si>
  <si>
    <t>DO. BSV-09202</t>
  </si>
  <si>
    <t>Direcció de les obres del projecte de millora local. Millora de nus. Rotonda a la intersecció de la ctra. C-35, pk 57,530, amb la ctra. de Gualba (Nus de Llevant). Tram: Sant Celoni.</t>
  </si>
  <si>
    <t>Direcció de les obres del projecte de millora local. Drenatges. Millora del drenatge al pas inferior de l'antic ferrocarril. Ctra. C-12, pk 18,150. Tram: Tortosa.</t>
  </si>
  <si>
    <t>Direcció de les obres del projecte de millora local. Millra de les característiques superficials del ferm i del drenatge a la ctra. N-II, del pk 627,600 al 628,291 (carrer Sant Pau a Riera Canyadó). Tram: Badalona.</t>
  </si>
  <si>
    <t>Control de qualitat de les obres de rehabilitació integra i obres de millora del Casal de Gent Gran de Sant Ildefons a Cornellà de Llobregat.</t>
  </si>
  <si>
    <t>Direcció d'execució de les obres de rehabilitació integral i obres de millora del Casal de Gent Gran de Sant Ildefons a Cornellà de Llobregat.</t>
  </si>
  <si>
    <t>Direcció d'obra de rehabilitació integral i obres de millora del Casal de Gent Gran de Sant Ildefons a Cornellà de Llobregat.</t>
  </si>
  <si>
    <t>DO. MB-13013</t>
  </si>
  <si>
    <t>DE. PNC-07353</t>
  </si>
  <si>
    <t>DO. MB-13010</t>
  </si>
  <si>
    <t>CQ. PNC-07353</t>
  </si>
  <si>
    <t>Direcció de les obres del projecte de millora local. Seguretat viària. Millora de les característiques superficials del ferm i reestudi de la secció transversal. Ctra. C-58. pk 30,635 al 37,790. Tram: Vacarisses-Castellbell i el Vilar.</t>
  </si>
  <si>
    <t>Direcció d'execució de les obres de Nova construcció escola 1 línia. Escola Guerau de Peguera, de Torrelles de Foix.</t>
  </si>
  <si>
    <t>Direcció de les obres del projecte de millora local, seguretat viària. Millora de les característiques superficials del ferm i reestudi de la secció transversal. Ctra. C-58. pk 25,360 al 30,635. Tram: Viladecavalls-Vaquerisses.</t>
  </si>
  <si>
    <t>Control de qualitat de la Nova construcció escola 1 línia, Escola Guerau de Peguera, de Torrelles de Foix.</t>
  </si>
  <si>
    <t>CSS. TF-02676.3A. 2+2</t>
  </si>
  <si>
    <t>DO. TF-02676.3A.2</t>
  </si>
  <si>
    <t>PE+DO. JJT-05337.A</t>
  </si>
  <si>
    <t>Coordinació de seg. I salut conjunta de les obres Execució obres del projecte de perllongament de la línia d'FGC a Sabadell. Superestructura de via i catenària. Tram: Plaça Major-Plaça Espanya i Obres perllongament línia FGC a Sabadell. Alim. Elect.</t>
  </si>
  <si>
    <t>Direcció de les obres del projecte de perllongament de la línia d'FGC a Sabadell. Superestructura de via i catenària. Tram: Plaça Major-Plaça Espanya.</t>
  </si>
  <si>
    <t>Redacció del projecte bàsic i executiu i la posterior direcció d'obra de l'adequació del projecte per a la construcció del Fòrum de la Justícia, a Tarragona.</t>
  </si>
  <si>
    <t>PC. ER-14300</t>
  </si>
  <si>
    <t>PC. ER-14295</t>
  </si>
  <si>
    <t>CQ. UPC-13296</t>
  </si>
  <si>
    <t>PC. AR-08264.A2</t>
  </si>
  <si>
    <t>Redacció del projecte complementari núm. 1 de la xarxa de regadiu del Pantà de Guiamets al TM de Tivissa.</t>
  </si>
  <si>
    <t>Redacció del projecte constructiu de consolidació de la zona regable del Pantà de Guiamets als TTMM de Capçanes, els Guiamets, Marçà i Tivissa.</t>
  </si>
  <si>
    <t>Control de qualitat de les obres de nova construcció d'infraestructures generals i urbanització del Campus Diagonal Besòs a Barcelona.</t>
  </si>
  <si>
    <t>Redacció del projecte actualitzat núm. 2 del Regadiu Algerri-Balaguer. Sector C. TM: Balaguer.</t>
  </si>
  <si>
    <t>CQ. CAP-13317</t>
  </si>
  <si>
    <t>PC. MB-14049</t>
  </si>
  <si>
    <t>DE. CAP-13317</t>
  </si>
  <si>
    <t>Control de qualitat de les obres de la nova construcció del Centre d'Atenció Primària Vila de Gràcia, de Barcelona.</t>
  </si>
  <si>
    <t>Redacció del projecte constructiu de millora local. Millora de nus. Millora dels accessos des del nucli urbà d'Abrera a la ctra. C-55, del pk 0,000 al 0,380. Tram: Abrera.</t>
  </si>
  <si>
    <t>Direcció d'execució de les obres de la nova construcció del Centre d'Atenció Primària Vila de Gràcia, de Barcelona.</t>
  </si>
  <si>
    <t>Direcció d'obra</t>
  </si>
  <si>
    <t>DO. TF-02676.6.6</t>
  </si>
  <si>
    <t>PR. AG-01118.1-C4-A1</t>
  </si>
  <si>
    <t>DO. TF-02676.5</t>
  </si>
  <si>
    <t>Direcció de les obres del projecte de perllongament de la línia d'FGC a Sabadell. Alimentació elèctrica, comunicacions i instal·lacions no ferroviàries del túnel. Tram: Plaça Major - Cotxeres.</t>
  </si>
  <si>
    <t>Redacció del projecte constructiu de millora local. Talussos. Noves actuacions al condicionament de la ctra. GI-533, del pk 1,430 al 16,200. Tram: Girona-Santa Coloma de Farners.</t>
  </si>
  <si>
    <t>Direcció de les obres del perllongament de la línia d'FGC a Sabadell. Arquitectura i instal·lacions de les estacions Eix Macià i Plaça Espanya.</t>
  </si>
  <si>
    <t>PC. NL-15007</t>
  </si>
  <si>
    <t>PC. TM-14338</t>
  </si>
  <si>
    <t>Redacció del projecte constructiu de millora general. Nova ctra. Prolongació, eixamplament i millora del ferm de la ctra. L-311b, des de la rotonda de l'enllaç de l'A-2 (pk 520,000), fins al pk 0,950 de ka ctra, L-311b. Tram: Cervera.</t>
  </si>
  <si>
    <t>Redacció del projecte constructiu de millora de l'accessibilitat de l'estació de Zona Universitària a l'intercanviador L9-L3 des de la vorera costat muntanya de l'Avinguda Diagonal.</t>
  </si>
  <si>
    <t>PE+DO. JJT-05338.2.A</t>
  </si>
  <si>
    <t>Redacció del projecte bàsic i executiu i la posterior direcció de l'obra de la adequació del projecte de l'edifici Judicial a Tortosa.</t>
  </si>
  <si>
    <t>DO. MB-13009</t>
  </si>
  <si>
    <t>CQ. MB-13010</t>
  </si>
  <si>
    <t>CQ. MB-13013</t>
  </si>
  <si>
    <t>CQ. MB-13009</t>
  </si>
  <si>
    <t>Contracte de serv. per a la direcció de les obres del projecte constructiu de millora local. Seguretat viària. Millora de les característiques superficials del ferm i reestudi de la secció transversal. Ctra. C-16. OK 97+138 AL 112+630. Tm: Berga-Bag</t>
  </si>
  <si>
    <t>Contracte de serveis per a l'assistència tècnica de control de qualitat de les obres del projecte constructiu de millora local. Seguretat viària. Millora de les carácterístiques superficials del ferm i reestudi de la secció transversal. Ctra. C-58.</t>
  </si>
  <si>
    <t>Contracte de serv. per a l'assistència tècnica de control de qualitat de les obres del projecte constructiu de millora local. Seg. viària. Millora de les característiques superficials del ferm i reestudi de la secció transversal. C-58 Vacarisses-Cas.</t>
  </si>
  <si>
    <t>Contracte de serv. per a l'assistència tècnica de control de qualitat de les obres del projecte constructiu de millora local. Seguretat viària. Millora de les característiques superf. del ferm i reestudi de la secció transversal. C-16. T.m.Berga-Bagà</t>
  </si>
  <si>
    <t>CQ. TA-11227</t>
  </si>
  <si>
    <t>CQ. TF-02676.5</t>
  </si>
  <si>
    <t>CQ. TF-02676.6.2</t>
  </si>
  <si>
    <t>CQ. TF-02676.3A2</t>
  </si>
  <si>
    <t>Control de qualitat de les obres del projecte de nova estació d'autobusos sobre l'estació de l'AVE a Girona. Arquitectura i instal·lacions.</t>
  </si>
  <si>
    <t>Control de qualitat de les obres de perllongament de la línia d'FGC a Sabadell. Arquitectura i instal·lacions de les estacions Eix Macià i Plaça Espanya.</t>
  </si>
  <si>
    <t>Control de qualitat de les obres de perllongament de la línia d'FGC a Sabadell. Alimentació elèctrica, comunicacions i instal·lacions no ferroviàries del túnel. Tram: Plaça major-Cotxeres.</t>
  </si>
  <si>
    <t>Control de qualitat de les obres de perllongament de la línia d'FGC a Sabadell. Superestructura de via i catenària. Tram: Plaça Major-Plaça Espanya.</t>
  </si>
  <si>
    <t>Direccions d'0bra</t>
  </si>
  <si>
    <t>ATAM. TA-11227-1</t>
  </si>
  <si>
    <t>Assistència tècnica ambiental conjunta de les obres: Nova estació d'autobusos sobre l'estació de l'Ave a Girona. Arquitectura i instal·lacions i Execució de les obres de millora local. Millora de nus. Nou enllaç entre l'Eix Transversal (pk 189,700)</t>
  </si>
  <si>
    <t>E6-DAR-15000</t>
  </si>
  <si>
    <t>Assistència tècnica per a la promoció i la divulgació entre els regant dels nous sistemes de regadiu Segarra-Garrigues, així com per a la difusió de la resta d'infraestructures de regadiu que hi ha a Catalunya durant el segon semestre de 2015.</t>
  </si>
  <si>
    <t>CQ. RAM-15900</t>
  </si>
  <si>
    <t>Assistència tència de control de qualitat de les obres RAM 2015.</t>
  </si>
  <si>
    <t>PC. TA-08433.1</t>
  </si>
  <si>
    <t>PC. ML-14043</t>
  </si>
  <si>
    <t>Serveis per a l'assistència tècnica per a la redacció del projecte constructiu de la nova estació d'autobusos de Mollerussa.</t>
  </si>
  <si>
    <t>Serveis per a l'assistència tècnica per a la redacció del porjecte constructiu de millora local. Elements de seguretat viària. Barreres antiallaus a la ctra. C-28 als pk 38,400 al 38,550, del 40,100 al 40,250, 40,800 al 42,000. Tram: Baquèira-Tonyon.</t>
  </si>
  <si>
    <t>DE. ECO-15219</t>
  </si>
  <si>
    <t>Direcció d'execució de les obres d'adequació de l'edifici T, d'oficines, situat al passeig de la Zona Franca, 46 de Barcelona.</t>
  </si>
  <si>
    <t>DO. ECO-15219</t>
  </si>
  <si>
    <t>Direcció de les obres d'adequació de l'edifici T, d'oficines, situat al passeig de la Zona Franca, 46 de Barcelona.</t>
  </si>
  <si>
    <t>CQ. ECO-152192</t>
  </si>
  <si>
    <t>Control de qualita de les obres d'adequació de l'edifici T, d'oficines, situat al passeig de la Zona Franca, 46 de Barcelona.</t>
  </si>
  <si>
    <t>PC. MG-08128.2</t>
  </si>
  <si>
    <t>PC. MT-14080</t>
  </si>
  <si>
    <t>PC. ML-14044</t>
  </si>
  <si>
    <t>EV. EP-MC-15004</t>
  </si>
  <si>
    <t>PC. ML-14045</t>
  </si>
  <si>
    <t>EV. EA-TX-15282</t>
  </si>
  <si>
    <t>DO. TA-11227</t>
  </si>
  <si>
    <t>Redacció del projecte constructiu de millora loca. Eixamplament i reforç del ferm. Ctra. C-25, del pk 240,100 al 242,100. Tram: Riudellots de la Selva-Campllong.</t>
  </si>
  <si>
    <t>Redacció del projecte constructiu de millora local. Millora de la intersecció de la C-31, al pk 137,400, amb l'antiga C-246a. Tram: Calafell.</t>
  </si>
  <si>
    <t>Redacció del projecte constructiu de millora local. Seguretat viària. Ordenació de la travessera del Pi de Sant Just i tancament de rodones. Ctra. C-55 del pk 75,770 al 77,350. Tram: El Pi de Sant Just (Olius).</t>
  </si>
  <si>
    <t>Redac. Estudi previ millora local. Seg. Viària. Millora seg. Viària de la xarxa de ctres. De la Generalitat de Catalunya mitjançant l'elaboració d'un Pla d'implantació de Separadors de Fluxos de Trànsit en ctres. Convencionals calçada única.</t>
  </si>
  <si>
    <t>Redacció del projecte constructiu de millora local. Seguretat viària. Viseres antiallaus a la ctra. C-28, pk 39,550 (RUDA 14) I 40,450 (RUDA 49). Tram: Baquèira-Vall de Ruda (Naut Aran).</t>
  </si>
  <si>
    <t>Redacció de l'estudi d'alternatives de la Nova Estació Intermodal del Baix Llobregat al Prat de Llobregat.</t>
  </si>
  <si>
    <t>Direcció d'obres de la nova estació d'autobusos sobre l'estació de l'AVE a Girona. Arquitectura i instal·lacions.</t>
  </si>
  <si>
    <t>PC. VL-04001</t>
  </si>
  <si>
    <t>PC. VL-04002</t>
  </si>
  <si>
    <t>PC. TF-09408.1</t>
  </si>
  <si>
    <t>EV. EP-VB-15008</t>
  </si>
  <si>
    <t>CQ. UPC-15329</t>
  </si>
  <si>
    <t>PC. MB-15011</t>
  </si>
  <si>
    <t>PC. ME-14004</t>
  </si>
  <si>
    <t>PC. RE-14063</t>
  </si>
  <si>
    <t>PC. AE-14061</t>
  </si>
  <si>
    <t>PC. MC-14006</t>
  </si>
  <si>
    <t>Redacció del projecte constructiu de millora general. Variant de Bellcaire d'Urgell. Ctra. C-53 del pk 134,335 al 139,000. Tram: Bellcaire d'Urgell.</t>
  </si>
  <si>
    <t>Redacció del projecte constructiu de millora general. Variant de Tornabous i la Fuliola. Ctra. C-53 del pk 119,750 al 128,000. Tram: Tornabous-La Fuliola.</t>
  </si>
  <si>
    <t>Redacció del projecte constructiu del projecte actualitzat. Perllongament del soterrament de la línia d'FGC a Sabadell des de la Rambla Ibèria fins al Passeig de Can Feu.</t>
  </si>
  <si>
    <t>Redacció de l'estudi previ de millora general. Vairant de Sentmenat i Caldes de Montbui, entre el pk 31,200 de la Ctra. C-1415a. C-1413a i el pk 13 de la C-59. Tram: Sentmenat i Caldes de Montbui.</t>
  </si>
  <si>
    <t>Control de qualitat de les obres de nova construcció del centre de processament de dades (CPD) i d'espais annexos al Campus Diagonal Besòs.</t>
  </si>
  <si>
    <t>Redacció del projecte constructiu de millora local. Millora de nus. Rotonda a la intersecció de la ctra. BV-4511, pk 3,475, amb el carrer Sakura, accés polígon industrial Pla de Santa Anna. Tram: Sant Fruitós de Bages.</t>
  </si>
  <si>
    <t>Redacció del projecte constructiu de millora local. Millora de nus. Millora de la intersecció de l'Eix de l'Ebre (C-12) amb la ctra. N-420. Ctra. C-12, pk 63,470. Tram: Mòra la Nova.</t>
  </si>
  <si>
    <t>Redacció del projecte constructiu de Ferm. Reforçament del ferm i obres complementàries a la ctra. TV-3316, del pk 0,000 al 2,435. Tram: Alcanar.</t>
  </si>
  <si>
    <t>Redacció del projecte constructiu de millora general. Condicionament de la ctra. TV-3405, entre el pk 0,000 i el 5,231. Tram: Amposta.</t>
  </si>
  <si>
    <t>Redacció del projecte constructiu de millora local. Seguretat viària. Estudi i implantació de millores en seguretat viària per a motoristes a la xarxa de ctres. De la Generalitat. Any. 2014.</t>
  </si>
  <si>
    <t>DO. UPC-15329</t>
  </si>
  <si>
    <t>DE. UPC-15329</t>
  </si>
  <si>
    <t>Direcció de les obres de nova construcció del centre de processament de dades (CPD) i d'espais annexos al Campus Diagonal Besòs.</t>
  </si>
  <si>
    <t>Direcció d'execució de les obres de nova construcció del centre de processament de dades (CPD) i d'espais annexos al Campus Diagonal Besòs.</t>
  </si>
  <si>
    <t>DE. ECO-13201</t>
  </si>
  <si>
    <t>Direcció d'execució de les obres de reforma de l'edifici situat a Via Laietana, 60 per ubicar-hi la seu de la Sindicatura de Comtes, a Barcelona.</t>
  </si>
  <si>
    <t>CQ. ECO-13201</t>
  </si>
  <si>
    <t>Control de qualitat de les obres de reforma de l'edifici situat a Via Laietana, 60 per ubicar-hi la seu de la Sindicatura de Comptes, a Barcelona.</t>
  </si>
  <si>
    <t>PC. MB-15013</t>
  </si>
  <si>
    <t>Redacció del porjecte constructiu de millora local. Apantallament acústic. Ctra. C-17 entre el pk 27,400 i el 33,450 (TM la Garriga) i entre el pk 34,700 i el 39,950 (TM Tagamanent). Tram: La Garriga-Tagamanent.</t>
  </si>
  <si>
    <t>Redacció del projecte constructiu de millora local. Eixamplament i reforç del ferm. Ctra. C-25, del pk 238,000 al 240,100. Tram: Riudellots de la Selva.</t>
  </si>
  <si>
    <t>PC. ML-14030</t>
  </si>
  <si>
    <t>Redacció del projecte constructiu de millora local. Millora de nus. Ctra. C-14 del pk 142,390 al 142,420. Tram: Oliana.</t>
  </si>
  <si>
    <t>PC. MB-14040</t>
  </si>
  <si>
    <t>Redacció del projecte constructiu de millora local. Mesures correctores. Reparació del tram de la C-17 entre el pk 43,050 al 43,550. Tram: Centelles-Seva.</t>
  </si>
  <si>
    <t>PC. VL-04003</t>
  </si>
  <si>
    <t>Redacció del projecte constructiu de millora general. Variant d'Anglesola. Ctra. C-53 del pk 115,960 al 118,100. Tram: Anglesola.</t>
  </si>
  <si>
    <t>PC. MG-15015</t>
  </si>
  <si>
    <t>Redacció del projecte constructiu de millora local. Seguretat viària. Millora de les característiques superficials del ferm i reestudi de la secció transversal. Ctra. C-66 pk 41,900 al 55,800. Tram: Cornellà de Terri-Sant Ferriol.</t>
  </si>
  <si>
    <t>CSS. TF-02676.5</t>
  </si>
  <si>
    <t>Coordinació de seguretat i salut de les obres del projecte de perllongament de la línia d'FGC a Sabadell. Arquitectura i instal.lacions de les estacions Eix Macià i Plaça Espanya.</t>
  </si>
  <si>
    <t>Assistència tècnica per a l'execució de les tasques de seguretat/safety de les obres del perllongament dels FGC a Sabadell.</t>
  </si>
  <si>
    <t>ATI. TF-02676-F1</t>
  </si>
  <si>
    <t>EV. EG13</t>
  </si>
  <si>
    <t>Assistència  técnica per a la realització dels informes preliminars dels emplaçaments dels projectes d'edificació.</t>
  </si>
  <si>
    <t>EV. EP-XC-15021</t>
  </si>
  <si>
    <t>Redacció de l'estudi previ. Millora local. Carril bici al llarg del Maresme. Tram: Badalona-Blanes.</t>
  </si>
  <si>
    <t>DO. TF-02676.8</t>
  </si>
  <si>
    <t>Direcció de les obres de perllongament de la línia d'FGC a Sabadell. Urbanització Parc del Nord. Moviments de terres.</t>
  </si>
  <si>
    <t>DO. MG-05701-A2</t>
  </si>
  <si>
    <t>Direcció de les obres de millora local. Ponst i estructures. Rehabilitació del pont de la carretera C-66z sobre el riu Fluvià. Pk 58,190 al 58,400. Tram: Besalú.</t>
  </si>
  <si>
    <t>DE. XMA-15245</t>
  </si>
  <si>
    <t>PM. PNL-09318-M1</t>
  </si>
  <si>
    <t>Direcció d'execució de les obres RAM 2015, als Serveis Territorials al Baix Llobregat (V), a l'Institut de Pallejà.</t>
  </si>
  <si>
    <t>Redacció del projecte modificat núm. 1 de les obres de nova construcció (6 unitats) de l'Escola El Timó de Sidamon (El Pla de l'Urgell).</t>
  </si>
  <si>
    <t>PE+DO. INA-11213.1</t>
  </si>
  <si>
    <t>PE+DO. PAE-14336</t>
  </si>
  <si>
    <t>PE+DO. JJB-15301</t>
  </si>
  <si>
    <t>Redacció del projecte bàsic i executiu i la posterior direcció de les obres de l'ampliació - adequació - renovació Institut Santa Coloma de Cervelló 4/2 (1a fase) a Sta. Coloma de Cervelló. (1V)</t>
  </si>
  <si>
    <t>Redacció del projecte bàsic i executiu i la posterior direcció de les obres de la reforma de l'Escola Lluis Viñas i Viñoles, a Mora d'Ebre. (1V)</t>
  </si>
  <si>
    <t>Redacció del projecte bàsic i executiu i la posterior direcció d'obra de la reforma interior de l'Edifici Judicial al carrer Prim, a Badalona. (1v).</t>
  </si>
  <si>
    <t>Direcció d'execució de les obres d'adequació d'espais al Centre d'Atenció Primària Rambla Marina, de l'Hospitalet de llobregat.</t>
  </si>
  <si>
    <t>DE. CAP-13318</t>
  </si>
  <si>
    <t>PE+DO. PNL-07357.A</t>
  </si>
  <si>
    <t>Redacció del projecte bàsic i executiu i la posterior direcció d'obra de l'adequació del projecte de l'escola de 2 a 1,5 línies, a Almenar.</t>
  </si>
  <si>
    <t>DO. XMA-15245</t>
  </si>
  <si>
    <t>Direcció d'obra de les obres RAM 2015, als Serveis Territorials al Baix Llobregat (V), a l'Institut Pallejà.</t>
  </si>
  <si>
    <t>DO. TA-08433.2</t>
  </si>
  <si>
    <t>CQ. HHB-14323</t>
  </si>
  <si>
    <t>DE. HHB-14323</t>
  </si>
  <si>
    <t>Direcció de les obres del projecte constructiu de pas inferior d'accés a la nova estació d'autobusos de Mollerussa.</t>
  </si>
  <si>
    <t>Control de qualitat de les obres del projecte de connexió d'escomesa elèctrica de l'Hospital Universitari Vall d'Hebron de Barcelona.</t>
  </si>
  <si>
    <t>Direcció d'execució de les obres de connexió d'escomesa elèctrica de l'Hospital Universitari Vall d'Hebron de Barcelona.</t>
  </si>
  <si>
    <t>PC. MA-15901</t>
  </si>
  <si>
    <t>CSS. PNG-10080</t>
  </si>
  <si>
    <t>CQ. PNG-10080</t>
  </si>
  <si>
    <t>Redacció del projecte de recuperació dels sistemes naturals de l'àmbit fluvial del riu Ondara i Cercavins. TTMM de Granyanella, Tàrrega i Verdú. Mesures correctores i compensatòries del regadiu del sist. Segarra-Garrigues.</t>
  </si>
  <si>
    <t>Coordinació de seguretat i salut de les obres de nova construcció de l'Escola Vayreda, Roses, 2 línies Infantil i Primària .</t>
  </si>
  <si>
    <t>Control de qualitat de les obres de nova construcció de l'Escola Vayreda, Roses, 2 línies Infantil i Primària.</t>
  </si>
  <si>
    <t>CSS. PRL-15001</t>
  </si>
  <si>
    <t>Serveis per a la supervisió de la prevenció de riscos laborals i de la coordinació de seguretat i salut de les obres de la L9.</t>
  </si>
  <si>
    <t>PE+DO. JNP-15331</t>
  </si>
  <si>
    <t>Contracte de serveis per a l'assistència tècnica per a la redacció de l'avanprojecte, projectes bàsic i executiu, i la posterior direcció d'obra de la nova construcció del Centre Penitenciari de Preventius a Barcelona.</t>
  </si>
  <si>
    <t>CQ. TM-00509.47</t>
  </si>
  <si>
    <t>Control de qualitat de les obres del projecte de condicionament de l'accés a l'estació Aeroport T2 i altres treballs per a la posada en servei del tram Aeroport T1-Zona Universitària.</t>
  </si>
  <si>
    <t>PE+DO. IAA-13208</t>
  </si>
  <si>
    <t>Redacció del projecte bàsic i executiu i la posterior direcció de les obres de la reconversió de la nau Can Bertrand per a la nova construcció de l'Institut d'Hoteleria del Baix Llobregat a Sant Feliu de Llobregat.</t>
  </si>
  <si>
    <t>DO. TF-02676.3A.3</t>
  </si>
  <si>
    <t>Direcció de les obres del projecte de perllongament de la línia d'FGC a Sabadell. Superestructura de via i catenària. Tram: Plaça Espanya-Cotxeres.</t>
  </si>
  <si>
    <t>DE. GET-14308</t>
  </si>
  <si>
    <t>Serveis per a la verificació de l'assegurament de la qualitat del projecte executiu i direcció d'execució de les obres de construcció d'un poliesportiu a la zona esportiva de Camp Clar a Tarragona, i la conservació i manteniment del poliesportiu….</t>
  </si>
  <si>
    <t>DE. HBB-11233-C1</t>
  </si>
  <si>
    <t>ATAM. VT-13007+1</t>
  </si>
  <si>
    <t>Direcció execució obres del projecte compl. núm. 1  Servei de Neonatologia i Unitat d'Hospitalització d'Obstetrícia de l'Hospital Germans Trias i Pujol, Badalona. Remodelació àrea administrativa ICO i hospital de dia transtorns alimentació.</t>
  </si>
  <si>
    <t>Assistència tècnica ambiental conjunta de les obres de "Millora general. Variant Connexió de la ctra. C-37, pk 5,800 amb la N-420, pk 17,450. Tram: Valls. I "Millora general. Condicionament. Ctra. T-350, pk 0,0-2,759. Tram: Sta. Bàrbara-Masdenverge.</t>
  </si>
  <si>
    <t>CQ. CQC-2015.1</t>
  </si>
  <si>
    <t>Contracte de serveis per a l'assistència de control de qualitat d'actuacions d'obra civil amb inici previst durant l'any 20105.</t>
  </si>
  <si>
    <t>DO. AE-12057</t>
  </si>
  <si>
    <t>DO. VT-13007</t>
  </si>
  <si>
    <t>Direcció de les obres del projecte de millora general. Condicionament. Ctra. T-350, pk 0,000 al 2,759. Tram: Santa Bàrbara-Masdenverge.</t>
  </si>
  <si>
    <t>Direcció de les obres del projecte de millora general. Variant. Connexió de la ctra. C-37, pk 5,800, amb la N-240, pk 17,450. Tram: Valls.</t>
  </si>
  <si>
    <t>CQ. TF-02676.3A.3</t>
  </si>
  <si>
    <t>Control de qualitat de les obres del projecte de perllongament de la línia d'FGC a Sabadell. Superestructura de via i catenària. Tram: Plaça Espanya-Cotxeres.</t>
  </si>
  <si>
    <t>PE+DO. INL-10083</t>
  </si>
  <si>
    <t>Redacció del projecte bàsic i executiu i la posterior direcció d'obra de la nova construcció Institut 4/2 Joan Solà, a Torrefarrera. (2V).</t>
  </si>
  <si>
    <t>DO. MB-05004-A1</t>
  </si>
  <si>
    <t>Direcció de les obres del projecte de millora local. Millora de nus. Millora de la connexió de l'AP-7 i la C-33 amb la carretera C-17, del pk 14,700 al 15,100. Tram: Parests del Vallès.</t>
  </si>
  <si>
    <t>PE+DO. PAA-15309</t>
  </si>
  <si>
    <t>CQ. PNM-13310</t>
  </si>
  <si>
    <t>CSS. PNM-13310</t>
  </si>
  <si>
    <t>Redacció del projecte bàsic i executiu i la posterior direcció d'obra de l'ampliació i adequació a 1 línia de primària a l'Escola Cau de la Guineu (fase 1) a Corbera de Llobregat.</t>
  </si>
  <si>
    <t>Control de qualitat de les obres de reconversió antiga edificació (fàbrica Can Fàbregas del Paper) per a Nova construcció escola 2 línies a l'Escola Angeleta Ferrer, a Mataró.</t>
  </si>
  <si>
    <t>Coordinació de seguretat i salut de les obres de reconversió antiga edificació (fàbrica Can Fàbregas del Paper) per a Nova construcció escola 2 línies a l'Escola Angeleta Ferrer, a Mataró.</t>
  </si>
  <si>
    <t>CSS. TF-02676.3A.3/TF-02676.9</t>
  </si>
  <si>
    <t>Coord. Seg. salut conjunta de les obres "Projecte de perllongament de la línia d'FGC a Sabadell". Superestructura de via i catenària. Tram: Pl. Espanya-Cotxeres. TF-02676.3A.3 i projecte perllongament línia FGC a Sabadell. Arquitectura  i instal.</t>
  </si>
  <si>
    <t>DO. MB-15028</t>
  </si>
  <si>
    <t>Direcció de les obres dels sistemes de control per a la implantació d'un peatge tancat virtual, a diversos enllaços de l'autopista C-16 entre Terrassa i Manresa.</t>
  </si>
  <si>
    <t>PE+DO. CLT-12915</t>
  </si>
  <si>
    <t>Redacció del porjecte bàsic i executiu i la posterior direcció d'obra del nou Consultori Local Els Pallaresos.</t>
  </si>
  <si>
    <t>AT. UPA-14015.2</t>
  </si>
  <si>
    <t>E9-MA-15900</t>
  </si>
  <si>
    <t>Assistència tècnica per als treballs de restauració de les praderies de posidònia, afectades per la presència de morts de fondeig a l'espai Natura 2000 Massís de Cadiretes i Litoral del Baix Empordà.</t>
  </si>
  <si>
    <t>Assistència tècnica per al seguiment de les xarxes de control d'aigües subterrànies, superficials i de drenatge del reg Segarra-Garrigues. DIA 2010: Campanya 2015-2016.</t>
  </si>
  <si>
    <t>PC. TX-15342</t>
  </si>
  <si>
    <t>Redacció del projecte constructiu nova canalització d'aigües. Endegament del Barranc de Barenys. Pla Parcial Urbanístic Sector 03. T.M. de Salou.</t>
  </si>
  <si>
    <t>CSS. GET-14308</t>
  </si>
  <si>
    <t>DE. CAP-13320</t>
  </si>
  <si>
    <t>Assistència tècnica per a la coordinació de seguretat i salut de les obres de construcció d'un poliesportiu a la zona esportiva de Camp Clar a Tarragona.</t>
  </si>
  <si>
    <t>Serveis per a la verificació de l'assegurament de la qualitat del projecte executiu i direcció d'execució de les obres de Nova construcció del Centre de Salut. Servei d'Urgències i CMA a Granollers.</t>
  </si>
  <si>
    <t>DO. TF-02676.9</t>
  </si>
  <si>
    <t>CQ. CAP-12914</t>
  </si>
  <si>
    <t>CSS. CAP-12914</t>
  </si>
  <si>
    <t>DE. CAP-12914</t>
  </si>
  <si>
    <t>Direcció de les obres del projecte de perllongament de la línia d'FGC a Sabadell. Arquitectura i instal·lacions de l'estació Ca N'Oriach i de les cotxeres.</t>
  </si>
  <si>
    <t>Control de qualitat de les obres del nou Centre d'Atenció Primària de Sant Pere de Ribes.</t>
  </si>
  <si>
    <t>Coordinació de seguretat i salut de les obres del nou Centre d'Atenció Primària de Sant Pere de Ribes.</t>
  </si>
  <si>
    <t>Direcció d'execució de les obres de construcció del nou CAP a Sant Pere de Ribes.</t>
  </si>
  <si>
    <t>DE. INH-14297</t>
  </si>
  <si>
    <t>Serveis per a la verificació de l'assegurament de la qualitat del projecte executiu i direcció d'execució de les obres de Nova construcció 30+ espais per administració per CFA i EOI de la Secció d'Intitut Serra de Noet a Berga.</t>
  </si>
  <si>
    <t>30/11/015</t>
  </si>
  <si>
    <t>DE. CAP-13319</t>
  </si>
  <si>
    <t>DO. CAP-13319</t>
  </si>
  <si>
    <t>CSS. CAP-13319</t>
  </si>
  <si>
    <t>CQ. CAP-13319</t>
  </si>
  <si>
    <t>Direcció d'execució de les obres de Nova construcció del CAP Figueres 2, a Figueres.</t>
  </si>
  <si>
    <t>Direcció d'obra de construcció Nova construcció del CAP Figueres 2, a Figueres.</t>
  </si>
  <si>
    <t>Coordinació de Seguretat i Salut de les obres de Nova construcció del CAP Figueres 2, a Figueres.</t>
  </si>
  <si>
    <t>Control de qualitat de les obres de Nova construcció del CAP Figueres 2, a Figueres.</t>
  </si>
  <si>
    <t>DO. + CSS. VL-02137.1-C1</t>
  </si>
  <si>
    <t>Direcció d'obra i la coordinació de seguretat i salut de les obres de millora  local. Plantacions. Mesures correctores d'Impacte ambiental a la variant de la ctra. C-13 del pk 13,100 al 20,000. Tram: Vilanova de la Barca-Térmens.</t>
  </si>
  <si>
    <t>CQ. TF-02676.9</t>
  </si>
  <si>
    <t>DO. TF-05518.3.2</t>
  </si>
  <si>
    <t>Control de qualitat de les obres del projecte de perllongament de la línia d'FGC a Sabadell. Arquitectura i instal·lacions de l'estació Ca N'Oriach i de les cotxeres.</t>
  </si>
  <si>
    <t>Direcció d'obres d'adaptació a la normativa i millora de l'accessiblilitat de l'estació de Sarrià dels FGC.</t>
  </si>
  <si>
    <t>TA. TA-AB-15032</t>
  </si>
  <si>
    <t>Redacció del projecte de traçat de millora general. Condicionament. Millora del nivell de servei a la carretera C-17, entre l'autopista AP-7 i la carretera BV-1432, pk 14,500 al 21,000. Tram: Parets del Vallès - Lliçà d'Amunt.</t>
  </si>
  <si>
    <t>EV. E12-TM-02609</t>
  </si>
  <si>
    <t>PC. TA-10034-A1</t>
  </si>
  <si>
    <t>Redacció de l'estudi dels requeriments d'evacuació i ventilació de les provisionalitats de la L9 del metro de Barcelona per a la posada en servei de 2016.</t>
  </si>
  <si>
    <t>Redacció del projecte constructiu. Projecte actualitzat. Nova estació d'autobusos a Falset.</t>
  </si>
  <si>
    <t>DO. NB-07078.1-F1</t>
  </si>
  <si>
    <t>Direcció de les obres del projecte de millora general. Nova carretera. Millora de l'accessibilitat a la vialitat urbana de Barcelona. Calçada lateral a la C-31 sentit BCN, del pk 212,650 al 213,800. Document separata de la Fase 1 (trams 2 i 3).</t>
  </si>
  <si>
    <t>E1-UPA-15009</t>
  </si>
  <si>
    <t>PC. UPA-15334.A1</t>
  </si>
  <si>
    <t>E1-UPA-15005</t>
  </si>
  <si>
    <t>DE. HGG-14321</t>
  </si>
  <si>
    <t>Redacció de l'estudi de connectivitat i permeabilització territorial del PEIN Punta La Mora. Tarragona.</t>
  </si>
  <si>
    <t>Redacció del projecte actualitzat. Restitució del medi a l'entorn fluvial de l'assut del Riu Fluvià, a l'alçada de Ventalló i recuperació de l'antic meandre. Tram: Ventalló - Torroella de Fluvià.</t>
  </si>
  <si>
    <t>Redacció de l'estudi ambiental per a la recuperació ecològica de la finca Los Castillejos. Arbolí, Alforja, la Febró i Vilaplana.</t>
  </si>
  <si>
    <t>Verificació de l'assegurament de la qualitat del projecte executiu i direcció d'execució de les obres d'Ampliació i reforma de les urgències de l'Hospital Doctor Josep Trueta de Girona.</t>
  </si>
  <si>
    <t>PC. XG-15036</t>
  </si>
  <si>
    <t>Redacció del projecte constructiu de millora local. Via verda. Via ciclista de l'estació de Riells i Viabrea-Breda al nucli de Breda per la carretera GI-552, del pk 2,000 al 4,000. Tram: Riells i Viabrea - Breda.</t>
  </si>
  <si>
    <t>EV.AE-MB-15030</t>
  </si>
  <si>
    <t>PE+DO. CAP-15348</t>
  </si>
  <si>
    <t>PE+DO. CAP-15346</t>
  </si>
  <si>
    <t>EV.AE-MB-15031</t>
  </si>
  <si>
    <t>Redacció de l'estudi: Auditoria de seguretat viària d'actuacions en trams de la xarxa de carreteres de la Generalitat de Catalunya en l'àmbit de les carreteres C-16 al Berguedà i C-55 al Bages.</t>
  </si>
  <si>
    <t>Redacció del projecte bàsic i executiu i la posterior direcció d'obra de la construcció del Centre d'Atenció Primària Santa Eulàlia, a l'Hospitalet de Llobregat.</t>
  </si>
  <si>
    <t>Redacció del projecte bàsic i executiu i la posterior direcció d'obra de la construcció del Centre d'Atenció Primària Cotet, de Premià de Dalt.</t>
  </si>
  <si>
    <t>Redacció de l'estudi: Auditoria de seguretat viària d'actuacions en trams de la xarxa de carreteres de la Generalitat de Catalunya en l'àmbit de les carreteres C-58 al Vallès Occidental i Bages.</t>
  </si>
  <si>
    <t>PE+DO. GET-14308-C1</t>
  </si>
  <si>
    <t>IA. IA-NG-15068</t>
  </si>
  <si>
    <t>EI. EI-NG-15068/PC. NG-15068</t>
  </si>
  <si>
    <t>Redacció del projecte bàsic i executiu i la posterior direcció d'obra del projecte per a les obres complementàries al Poliesportiu de la zona esportiva de Camp Clar a Tarragona, per la compartimentació horitzontal interior, urbanització exterior …</t>
  </si>
  <si>
    <t>Redacció de l'estudi d'impacte ambeintal de millora general. Nova carretrera C-32. Tram: Lloret de Mar-Tossa de Mar.</t>
  </si>
  <si>
    <t>Redacció de l'estudi informatiu i del projecte constructiu de millora general. Nova carretera C-32. Tram: Lloret de Mar-Tossa de Mar.</t>
  </si>
  <si>
    <t>Número d'Anuncis i Imports 2016</t>
  </si>
  <si>
    <t>CQ. PNH-13301</t>
  </si>
  <si>
    <t>Control de qualitat de les obres de nova construcció Escola 1 Línia a l'Escola Emili Teixidor de Roda de Ter.</t>
  </si>
  <si>
    <t>CQ. TF-05518.3.1</t>
  </si>
  <si>
    <t>DE. PNH-13301</t>
  </si>
  <si>
    <t>CQ. GET-14308</t>
  </si>
  <si>
    <t>Control de qualitat de les obres del projecte d'adaptació a la normativa i millora de l'accessiblilitat de l'estació de Sarrià dels FGC. Ampliació d'andana i instal.lació d'ascensors.</t>
  </si>
  <si>
    <t>Direcció d'execució de les obres de nova construcció Escola 1 línia a l'Escola Emili Teixidor de Roda de Ter.</t>
  </si>
  <si>
    <t>Control de qualitat de les obres de construcció d'un poliesportiu a la zona esportiva de Camp Clar a Tarragona.</t>
  </si>
  <si>
    <t>Diferència 2015-2016</t>
  </si>
  <si>
    <t>DO. TF-05518.3.1</t>
  </si>
  <si>
    <t>Direcció de les obres del projecte d'adaptació a la normativa i millora de l'accessibilitat de l'estació de Sarrià dels FGC. Ampliació d'andana i instal·lació d'ascensors.</t>
  </si>
  <si>
    <t>PC. CP-06001</t>
  </si>
  <si>
    <t>Redacció del desglossat del projecte d'obra de concentració parcel·lària. TM d'Arbeca, Omellons i la Floresta.</t>
  </si>
  <si>
    <t>PE+DO. PGM -15353</t>
  </si>
  <si>
    <t>PE+DO. PGM -15352</t>
  </si>
  <si>
    <t>Redacció del projecte bàsic i executiu i la posterior direcció d'obra de l'adequació, reforma i millora del Parc de Bombers de Balaguer.</t>
  </si>
  <si>
    <t>Redacció del projecte bàsic i executiu i la posterior direcció d'obra de l'adequació, reforma i millora del Parc de Bombers de Girona.</t>
  </si>
  <si>
    <t>PE+DO. BSV-14291</t>
  </si>
  <si>
    <t>PC. AB-14009.F1</t>
  </si>
  <si>
    <t>PE+DO. INC-08226.A</t>
  </si>
  <si>
    <t>PC. AB-06081-A1.F1</t>
  </si>
  <si>
    <t>Assistència tècnica per a la redacció del Projecte bàsic i executiu i la posterior direcció d'obra de la rehabilitació i reforç estructural de les plantes 1 i 4 de la Residència i centre de dia per a gent gran La Mercè, a Tarragona.</t>
  </si>
  <si>
    <t>Serveis per l'assistència tècnica per a la redacció del projecte constructiu de millora general. Condicionament i ampliació a 3 carrils a l'autopista C-58, sentit Barcelona, del PK 12+600al 16+750 sentit Terrassa, del PK 15+800 AL 17 +000.</t>
  </si>
  <si>
    <t>Contracte de serveis per a l'assistència tècnica per a la redacció del projecte bàsic i executiu i la posterior direcció d'obra de l'adequació del projecte de nova construcció de l'Institut Ventura Gassol a Badalona a nous criteris funcionals d'un In</t>
  </si>
  <si>
    <t>Redacció de projecte constructiu de millora general. Condicionament. Reestudi de la secció transversal. Carretera C-352. Pk 20,640 al 22,740. Tram: La Roca del Vallès - Les Franqueses del Vallès.</t>
  </si>
  <si>
    <t>PC. TF-02676.12</t>
  </si>
  <si>
    <t>PC. TX-07266</t>
  </si>
  <si>
    <t>PC. TF-02676.11</t>
  </si>
  <si>
    <t>DE. PNM-13306</t>
  </si>
  <si>
    <t>CQ. PNM-13306</t>
  </si>
  <si>
    <t>DE. INM-09325.A</t>
  </si>
  <si>
    <t>Redacció del projecte constructiu de millora de l'accés de les cotxeres de Ca n'Oriac.</t>
  </si>
  <si>
    <t>Redacció del projecte constructiu d'integració urbana de la línia ferroviària Lleida-La Pobla al municipi de Balaguer.</t>
  </si>
  <si>
    <t>Redacció del projecte constructiu de desmuntatge de via i instal.lacions de túnels (Sabadell Estació - Sabadell Rambla) i estació Sabadell Rambla.</t>
  </si>
  <si>
    <t>Direcció d'execució de les obres de la nova construcció Escola 1 línia a l'Escola Soler de Vilardell a Sant Celoni.</t>
  </si>
  <si>
    <t>Control de qualitat de les obres de nova construcció Escola 1 línia a l'Escola Soler de Vilardell a Sant Celoni.</t>
  </si>
  <si>
    <t>Direcció d'execució de les obres d'actualització de nova construcció Institut 3/0 línies de l'Institut de Pineda de Mar.</t>
  </si>
  <si>
    <t>CQ. INM-09325.A</t>
  </si>
  <si>
    <t>DO. INM-09325.A</t>
  </si>
  <si>
    <t>CSS. PNH-13301</t>
  </si>
  <si>
    <t>Control de qualitat de les obres d'actualització de nova construcció Institut 3/0 línies de l'Institut de Pineda de Mar.</t>
  </si>
  <si>
    <t>Direcció de les obres d'actualització de nova construcció Institut 3/0 línies de l'Institut de Pineda de Mar.</t>
  </si>
  <si>
    <t>Assistència tècnica de coordinació de seguretat i salut de les obres de nova construcció Escola 1 línia a l'Escola Emili Teixidor de Roda de Ter.</t>
  </si>
  <si>
    <t>CSS. PNH-13306</t>
  </si>
  <si>
    <t>CSS. INM-09325.A</t>
  </si>
  <si>
    <t>Assistència tècnica de coordinació de seguretat i salut de les obres de nova construcció Escola 1 línia a l'Escola Soler de Viladrell a Sant Celoni.</t>
  </si>
  <si>
    <t>Assistència tècnica de coordinació de seguretat i salut de les obres d'actualització de nova construcció Institut 3/0 línies de l'Institut de Pineda de Mar.</t>
  </si>
  <si>
    <t>CQ. NB-07078.1.F1</t>
  </si>
  <si>
    <t>EV. AE-MT-15024</t>
  </si>
  <si>
    <t>PC. XT-15006</t>
  </si>
  <si>
    <t>Control de qualitat de les obres del projecte de millora general. Nova carretera. Millora de l'accessibilitat a la vialitat urbana de Badalona. Calçada lateral a la C-31 sentit Barcelona, del pk 212,650 al 213,800. Fase 1(trams 2 i 3). Tram: Badalona</t>
  </si>
  <si>
    <t>Redacció de l'estudi d'avaluació de seguretat viària. Condicionament urbà de la carretera C-31, del pk 141 al 146. Tram: Calafell-Cunit.</t>
  </si>
  <si>
    <t>Redacció del projecte constructiu de millora local. Via verda. Pista bici paral·lela a la carretera T-323, del pk 0,000 al 5,050. Tram: Mont-roig del Camp.</t>
  </si>
  <si>
    <t>DO. IAG-09265</t>
  </si>
  <si>
    <t>DE. IAG-09265</t>
  </si>
  <si>
    <t>CQ. IAG-09265</t>
  </si>
  <si>
    <t>CSS.IAG-09265</t>
  </si>
  <si>
    <t>Direcció d'execució de les obres de reforma i ampliació d'institut a 3/2 línies mes cicles formatius a l'Institut Montsortiu d'Arbúcies.</t>
  </si>
  <si>
    <t>Direcció de les obres de reforma i ampliació d'institut a 3/2 línies mes cicles formatius a l'Institut Montsortiu d'Arbúcies.</t>
  </si>
  <si>
    <t>Control de qualitat de les obres de reforma i ampliació d'institut a 3/2 línies mes cicles formatius a l'Institut Montsortiu d'Arbúcies.</t>
  </si>
  <si>
    <t>Coordinació de seguretat i salut de les obres de reforma i ampliació d'institut a 3/2 línies mes cicles formatius a l'Institut Montsortiu d'Arbúcies.</t>
  </si>
  <si>
    <t>PC. MB-15055</t>
  </si>
  <si>
    <t>PC. MB-15054</t>
  </si>
  <si>
    <t>PC. MB-15053</t>
  </si>
  <si>
    <t>PC. MB-07109-A1</t>
  </si>
  <si>
    <t>Redacció del projecte constructiu de millora local. Seguretat viària. Millora de les característiques superficials del ferm i reestudi de la secció transversal. Carretera C-55, del pk 11,400 al 18,500. Tram: Collbató-Castellbell i el Vilar.</t>
  </si>
  <si>
    <t>Redacció del projecte constructiu de millora local. Seguretat viària. Millora de les característiques superficials del ferm i reestudi de la secció transversal. Ctra. C-55, del pk 5,075 al 9,360. Tram: Olesa de Montserrat-Collbató.</t>
  </si>
  <si>
    <t>Redacció del projecte constructiu de millora local. Seguretat viària. Millora de les característiques superficials del ferm i reestudi de la secció transversal. Ctra. C-55, del pk 0,380 al 5,075. Tram: Abrera-Olesa de Montserrat.</t>
  </si>
  <si>
    <t>Redacció del projecte constructiu de millora local. Implantació d'un tercer carril a la ctra. C-55 del pk 9,360 a 11,400. Tram: Collbató.</t>
  </si>
  <si>
    <t>IA. TR-09414</t>
  </si>
  <si>
    <t>IA. TR-10020</t>
  </si>
  <si>
    <t>Redacció de l'estudi d'impacte ambiental del projecte de condicionament i millora de la xarxa de distribució del reg del Molí de Pals.</t>
  </si>
  <si>
    <t>Redacció de l'estudi d'impacte ambiental del projecte de condicionament i millora de la xarxa de distribució del reg de la comunitat de regants de la presa de Colomers.</t>
  </si>
  <si>
    <t>EI. EI-NB-15065</t>
  </si>
  <si>
    <t>PC. VB-01055</t>
  </si>
  <si>
    <t>PE+DO. HHB-15356</t>
  </si>
  <si>
    <t>Redacció de l'estudi informatiu de millora general. Nova carretera. Nou accés a Igualada sud des de la carretera C-37 al pk 64,400. Tram: Vilanova del Camí-Igualada.</t>
  </si>
  <si>
    <t>Redacció del projecte constructiu de millora general. Variant de Sagàs. Carretera C-62, del pk 23,000 al 25,600. Tram: Santa Maria de Merlès-Sagàs.</t>
  </si>
  <si>
    <t>Redacció del projecte bàsic i executiu i la posterior direcció de les obres del nou accès ambulatori i reforma del soterrani 2 per a consultes externes de l'Àrea Maternoinfantil de l'Hospital Vall d'Hebron, de Barcelona.</t>
  </si>
  <si>
    <t>DE. PGM-14318</t>
  </si>
  <si>
    <t>Direcció d'execució de les obres de reforma, ampliació i millora del Parc de Bombers existent a Vilafranca del Penedès. Fase 1 i Fase 2.</t>
  </si>
  <si>
    <t>DO. TF-13290</t>
  </si>
  <si>
    <t>IA. NB-15065</t>
  </si>
  <si>
    <t>Direcció de les obres del projecte d'adaptació a la normativa i millora de l'accessibilitat de l'estació de Putxet dels FGC. Remodelació d'accessos a vestíbul i andanes per a l'execució d'itineraris adaptats.</t>
  </si>
  <si>
    <t>Redacció de l'estudi d'impacte ambiental de millora general. Nova carretera. Nou accés a Igualada sud des de la carretera C-37, al pk 64,400. Tram: Vilanova del Camí - Igualada.</t>
  </si>
  <si>
    <t>Redacció del projecte constructiu de millora local. Seguretat viària. Reordenació dels accessos a la ctra. C-12, entre el pk 21,200 i el 23,400. Tram: Tortosa-Aldover.</t>
  </si>
  <si>
    <t>Redacció del projecte constructiu de millora local. Travesseres. Millora de la travessera d'Alcanar. Ctra. TP-3318, del pk 6,800 al 7,595, i TV-3321a, del pk 0,000 al 0,560. Tram: Alcanar.</t>
  </si>
  <si>
    <t>PC. ME-15041</t>
  </si>
  <si>
    <t>PC. ME-15042</t>
  </si>
  <si>
    <t>EG. EG14</t>
  </si>
  <si>
    <t>EG. EG15</t>
  </si>
  <si>
    <t>CQ. TF-13290</t>
  </si>
  <si>
    <t>Assistència tècnica per a la realització dels informes preliminars dels emplaçaments dels projectes d'edificació encarregats per Servei Català de Salut.</t>
  </si>
  <si>
    <t>Assistència tècnica per a la realització dels informes preliminars dels emplaçaments dels projectes d'edificació.</t>
  </si>
  <si>
    <t>Assistència tècnica de control de qualitat de les obres del projecte d'adaptació a la normativa i millora de l'accessibilitat de l'estació de Putxet dels FGC. Remodelació d'accessos a vestíbul i andanes per a l'execució d'itineraris adaptats.</t>
  </si>
  <si>
    <t>PC. ME-15057</t>
  </si>
  <si>
    <t>PC. ML-15051</t>
  </si>
  <si>
    <t>Redacció del projecte constructiu de millora local. Millora de nus. Millora d'intersecció a la carretera C-12, pk 79,490. tram: Ascó.</t>
  </si>
  <si>
    <t>Redacció del projecte constructiu de millora local. Seguretat viària. Mesures correctores d'allaus. Ctra. C-28, del pk 46,800 al 48,100, pk 51,000 i del pk 53,000 al 54,000. Tram: Variant dels Avets-Cap del Port de la Bonaigua (Alt Àneu).</t>
  </si>
  <si>
    <t>PE+DO. CAP-16204</t>
  </si>
  <si>
    <t>Redacció del projecte bàsic i executiu i la posterior direcció d'obra del nou Centre d'Atenció Primària de La Seu d'Urgell.</t>
  </si>
  <si>
    <t>PC. VB-03120-A1</t>
  </si>
  <si>
    <t>Redacció del projecte constructiu de millora general. Variant de la carretera C-59, del pk 20,000 al 25,000. tram: Sant Feliu de Codines.</t>
  </si>
  <si>
    <t>PC. TM-02609.22</t>
  </si>
  <si>
    <t>Redacció del projecte de l'alimentació provisional de L9 des de Zona Franca (Interconnexió elèctrica amb SER Sagrera.</t>
  </si>
  <si>
    <t>EP. EP45</t>
  </si>
  <si>
    <t>EP. EP44</t>
  </si>
  <si>
    <t>Serveis per a l'assistència tècnica per a la realització dels treballs de topografia corresponents als estudis i projectes d'obra civil i d'edificació a les comarques de Tarragona i Lleida.</t>
  </si>
  <si>
    <t>Serveis per a l'assistència tècnica per a la realització dels treballs de topografia corresponents als estudis i projectes d'obra civil i d'edificació a les comarques de Barcelona i Girona.</t>
  </si>
  <si>
    <t>CQ. CLT-12917</t>
  </si>
  <si>
    <t>Control de qualitat de les obres de construcció del Consultori Local de La Canonja.</t>
  </si>
  <si>
    <t>PC. TX-15358</t>
  </si>
  <si>
    <t>PC. MB-15056</t>
  </si>
  <si>
    <t>PC. AB-14009.F2</t>
  </si>
  <si>
    <t>Redacció del projecte constructiu de millora local. Via peatonal i ciclista a la carretera GI-524, del pk 3,400 (Can Blanc) al pk 6,500 (àrea d'aparcament del volcà de Santa Margarida). Tram: Santa Pau.</t>
  </si>
  <si>
    <t>Redacció del projecte constructiu de millora local. Millora de nus. Rotonda a la carretera BV-2244, pk 1,320. Tram: Sant Sadurní d'Anoia.</t>
  </si>
  <si>
    <t>Redacció del projecte constructiu de millora general. Condicionament. Nous carrisl de trenat a la calçada sentit Barcelona de l'autopista C-58, entre el nus de Sant Pau a Sabadell i l'autopista B-30 del pk 9,000-10,400. Tr: Badia del Vallès-Sabadell.</t>
  </si>
  <si>
    <t>PC. MG-16007</t>
  </si>
  <si>
    <t>EV. AE-MB-16003</t>
  </si>
  <si>
    <t>Redacció del projecte constructiu de millora local. Millora de nus. Rotonada i ordenació d'accessos a la ctra. C-152, pk 44,570 al 45,670. tram: La Vall d'en Bas-Les Presses.</t>
  </si>
  <si>
    <t>Redacció de l'estudi d'auditoria de seguretat viària d'actuacions en trams de la xarxa de ctres. de la Generalitat de Catalunya en l'àmbit de les carreteres C-55 i C-58 al Baix Llobregat i Bages, i C-352 al Vallès Oriental.</t>
  </si>
  <si>
    <t>EV. AE-MB-15045</t>
  </si>
  <si>
    <t>EV. AE-MB-15047</t>
  </si>
  <si>
    <t>Redacció de l'estudi acústic. Anàlisi de l'exposició al soroll induïda pel trànsit de l'autopista C-31, entre el pk 209,500 i el 214,000. Tram: Sant Adrià de Besós-Badalona.</t>
  </si>
  <si>
    <t>Redacció de l'estudi acústic. Anàlisi de l'exposició al soroll induïda pel trànsit de les carreteres C-58, C-58cc, C-17 i C-33, a l'entorn de Ciutat Meridiana. Tram: Barcelona.</t>
  </si>
  <si>
    <t>PC. MG-15046</t>
  </si>
  <si>
    <t>Redacció del projecte constructiu de millora local. Apantallament acústic a la carretera C-66, del pk 39,690 al 43,560. Tram: Cornellà de Terri.</t>
  </si>
  <si>
    <t>DE. IAM-13305</t>
  </si>
  <si>
    <t>CQ. IAM-13305</t>
  </si>
  <si>
    <t>DO. MC-06138</t>
  </si>
  <si>
    <t>Direcció d'execució de les obres de construcció de tallers per a Cicles Formatius i restitució de pista poliesportiva a l'Institut Baix Montseny, Sant Celoni.</t>
  </si>
  <si>
    <t>Control de qualitat de les obres de construcció de tallers per a Cicles Formatius i restitució de pista poliesportiva a l'Institut Baix Montseny, Sant Celoni.</t>
  </si>
  <si>
    <t>Direc obres proj. millora local. Mesures correctores impacte acústic ctres. C-58 al pk 31,144; C-55 pk 0,107: C-234 pk 1,140; C-35 pk 51,465 i pk 68,145; C-17 pk 22,550. Tram: Vacarisses-Abrera-Gavà-Vilalba-Sasserra-Hostalric-Canovelles.</t>
  </si>
  <si>
    <t>DO. TF-02699.A</t>
  </si>
  <si>
    <t>Direcció de les obres del projecte d'eixamplament d'andana direcció Sarrià de l'estació de Provença dels FGC.</t>
  </si>
  <si>
    <t>PE+DO. HVB-16220</t>
  </si>
  <si>
    <t>RSC. TF-02699.A</t>
  </si>
  <si>
    <t>Redacció del projecte bàsic i executiu i la posterior direcci´d'obra de les instal·lacions de la reforma i ampliació de l'Hospital de Viladecans.</t>
  </si>
  <si>
    <t>Assistència tècnica per al seguiment i control de les obres del projecte d'eixamplament d'andana direcció Sarrià de l'estació de Provença dels FGC.</t>
  </si>
  <si>
    <t>CQ. RAM-16900</t>
  </si>
  <si>
    <t>Serveis per a l'assistència tècnica de control de qualitat de les obres RAM 2016. 4 lots.</t>
  </si>
  <si>
    <t>EI. -TX-14314 i TX-14314</t>
  </si>
  <si>
    <t>PC. AB-14009.F3</t>
  </si>
  <si>
    <t>Assistència tècnica per a la redacció de l'estudi informatiu i del projecte constructiu de la nova estació Reus-Bellissens.</t>
  </si>
  <si>
    <t>Redacció del projecte constructiu de millora general. Condicionament. Ampliació de la calçada lateral sentit Terrassa a l'autopista C-58, del pk 14,500 al pk 18,800. Tram: Sabadell-Terrassa.</t>
  </si>
  <si>
    <t>AR-NB-07078.1.F1</t>
  </si>
  <si>
    <t>Assistència tècnica per a la redacció de l'estudi arqueològic. Millora general. Nova carretera. Millora de l'accessibilitat a la vialitat urbana de Badalona. Calçada lateral a la C-31 sentit Barcelona, del pk 212,650 al 213,800. Fase 1 (trams 2 i 3).</t>
  </si>
  <si>
    <t>DE. GET-14308.3</t>
  </si>
  <si>
    <t>CQ. GET-14308.3</t>
  </si>
  <si>
    <t>Direcció d'execució de les obres de Nova construcció del Pavelló Poliesportiu a la zona esportiva de Camp Clar a Tarragona. Instal·lacions.</t>
  </si>
  <si>
    <t>Control de qualitat de les obres de Nova construcció del Pavelló Poliesportiu a la zona esportiva de Camp Clar a Tarragona. Instal·lacions.</t>
  </si>
  <si>
    <t>CQ. TF-02699.A</t>
  </si>
  <si>
    <t>Assistència tècnica de control de qualitat de les obres del projecte d'eixamplament d'andana direcció Sarrià de l'estació de Provença dels FGC. Projecte Actualitzat.</t>
  </si>
  <si>
    <t>CSS. TF-02699.A</t>
  </si>
  <si>
    <t>Coordinació de seguretat i salut de les obres d'eixamplament d'andana direcció Sarrià de l'estació de Provença dels FGC. Projecte Actualitzat.</t>
  </si>
  <si>
    <t>DE. PAM-12048</t>
  </si>
  <si>
    <t>CSS. HGG-14321</t>
  </si>
  <si>
    <t>CSS. PAM-12048</t>
  </si>
  <si>
    <t>IN. TF-02699.A</t>
  </si>
  <si>
    <t>CQ. HGG-14321</t>
  </si>
  <si>
    <t>CQ. PAM-12048</t>
  </si>
  <si>
    <t>Direcció d'execució de les obres de reforma i ampliació de les urgències de l'Hospital Doctor Josep Trueta, de Girona.</t>
  </si>
  <si>
    <t>Direcció d'execució de les obres d'adequació de la fàbrica Llobet Guri per a l'Escola infantil i primària 2 línies Doctor Carles Salicrú de Calella.</t>
  </si>
  <si>
    <t>Coordinació de seguretat i salut de les obres de reforma i ampliació de les urgències de l'Hospital Doctor Josep Trueta, de Girona.</t>
  </si>
  <si>
    <t>Coordinació de seguretat i salut de les obres d'adequació de la fàbrica Llobet Guri per a l'Escola infantil i primària 2 línies Doctor Carles Salicrú de Calella.</t>
  </si>
  <si>
    <t>Inspecció prèvia d'edificis i estructures a les obres d'eixamplament d'andana direcció Sarrià de l'estació de Provença dels FGC. Projecte actualitzat.</t>
  </si>
  <si>
    <t>Control de qualitat de les obres de reforma i ampliació de les urgències de l'Hospital Doctor Josep Trueta, de Girona.</t>
  </si>
  <si>
    <t>Control de qualitat de les obres d'adequació de la fàbrica Llobet Guri per a l'Escola infantil i primària 2 línies Doctor Carles Salicrú de Calella.</t>
  </si>
  <si>
    <t>DO. MB-06015.F3</t>
  </si>
  <si>
    <t>ATAM. TF-02699.A</t>
  </si>
  <si>
    <t>Direcció de les obres de millora local. Túnels. Millora de la seguretat dels túnels de Parpers. Ctra. C-60. pk 5,740 al 7,750. Fase 3. Tram: Argentona-La Roca del Vallès.</t>
  </si>
  <si>
    <t>Assistència tècnica ambeintal de les obres d'eixamplament d'andan direcció Sarrià de l'estació Provença dels FGC. Projecte actualitzat.</t>
  </si>
  <si>
    <t>PC. ML-15043</t>
  </si>
  <si>
    <t>Redacció del projecte constructiu de millora local. Millora de nus. Ordenació de cruilla a la carretera C-12, pk 147,710. Tram: Corbins.</t>
  </si>
  <si>
    <t>EI. EI-MG-16008</t>
  </si>
  <si>
    <t>PC. XB-16010</t>
  </si>
  <si>
    <t>PC. ME-16009</t>
  </si>
  <si>
    <t>Redacció de l'estudi informatiu de millora local. Millora de nus. Ordenació d'accessos a la carretera C-65, del pk 23,270 al pk 24,150. Tram: Llambilles.</t>
  </si>
  <si>
    <t>Redacció del projecte constructiu de millora local. Via verda a la ctra. BV-4501, del pk 2,470 (parc de l'Agulla) al pk 5,960. Tram: Manresa-Santpedor.</t>
  </si>
  <si>
    <t>Redacció del projecte constructiu de millora local. Millora de nus. Millora de la intersecció de la carretera TV-3454, al pk 13,685 amb la carretera TV-3451. Tram: Deltebre.</t>
  </si>
  <si>
    <t>DO. TF-02676.2-C2+1</t>
  </si>
  <si>
    <t>Direcció conjunta de les obres del projecte complementari núm. 2 del perllongament de la línia d'FGC a Sabadell. Infraestructura. Urbanització. Tram: Inici soterrament-Sabadell Estació i de l'execució de les obres de nova estació autobusos Mollerussa</t>
  </si>
  <si>
    <t>PC. MA-16901</t>
  </si>
  <si>
    <t>IA. IA-TX-14314</t>
  </si>
  <si>
    <t>Redacció del projecte de recuperació dels sistemes naturals de l'àmbit fluvial del riu Corb i del Reguer. Mesures correctores i compensatòries del sistema Segarra-Garrigues.</t>
  </si>
  <si>
    <t>Redacció de l'estudi d'impacte ambiental de la nova estació Reus-Ballissens.</t>
  </si>
  <si>
    <t>EV. EA-TM-16202</t>
  </si>
  <si>
    <t>Redacció de l'estudi d'alternatives per a la millora de les condicions d'accessibilitat i evacuació dels intercanviadors de Sants-Estació (L3-L5 FMB/Rodalies-Llarga Distancia de Renfe), Passeig de Gràcia (L2, L3 i L4 FMB/ Rodalies-Llarga D. Renfe….</t>
  </si>
  <si>
    <t>CSS. JVV-08495</t>
  </si>
  <si>
    <t>Assistència tècnica de coordinació de seguretat i salut de l'obra d'enderroc de l'Edifici Judicial i projete d'intervenció arqueològica a l'edifici situat al passeig Lluis Companys, s/n de Barcelona.</t>
  </si>
  <si>
    <t>PC. XB-14019</t>
  </si>
  <si>
    <t>Redacció del projecte contructiu de millora general. Prolongació de l'avinguda Païssos Catalans entre la carretera de Viladordis i la plaça Prat de la Riba. Tram: Manresa.</t>
  </si>
  <si>
    <t>Redacció del projecte contructiu de condicionament del túnel i estacions entre Sabadell Estació (provisional) i Sabadell Rambla.</t>
  </si>
  <si>
    <t>PE+DO. IAV-16213</t>
  </si>
  <si>
    <t>PE+DO. PAV-16212</t>
  </si>
  <si>
    <t>Redacció del projecte bàsic i d'execució i la posterior direcció d'obra de l'ampliació 4/2 Institut Rovira i Foms, a Santa Perpetua de Mogoda.</t>
  </si>
  <si>
    <t>Redacció del projecte bàsic i executiu i la posterior direcció d'obra de l'ampliació de l'Escola Purificació Salas i Xandri, per a nova construcció edifici d'educació infantil, a Sant Quirze del Vallès.</t>
  </si>
  <si>
    <t>EV. E1-TX-16222</t>
  </si>
  <si>
    <t>PE+DO. PNB-14333</t>
  </si>
  <si>
    <t>EV. E1-TX-16218</t>
  </si>
  <si>
    <t>EV. E1-TX-14294</t>
  </si>
  <si>
    <t>PE+DO. IAA-16230</t>
  </si>
  <si>
    <t>Redacció de l'estudi de caracterització de la zona d'influència de la xarxa ferroviària soterrada dels FMB i dels FGC.</t>
  </si>
  <si>
    <t>Redacció del projecte bàsic i executiu i la posterior direcció d'obra de la substitució per a la nova construcció del Parc de Bombers existent a Moià per a un edifici de tipus industrialitzat.</t>
  </si>
  <si>
    <t>Redacció de l'estudi d'avaluació i orientació estratègica dels serveis regionals i de rodalia del Camp de Tarragona i de Girona de Rodalies de Catalunya.</t>
  </si>
  <si>
    <t>Redacció de l'estudi d'aplicació pràctica de la proposta de normes tècniques sobre segureat contra incendis a la xarxa ferroviària soterrada de Catalunya.</t>
  </si>
  <si>
    <t>Redacció del projecte bàsic i executiu i la posterior direcció d'obra de l'ampliació Escola Gavà Mar a Gavà per a Institut-Escola.</t>
  </si>
  <si>
    <t>PB. B-TF-11225</t>
  </si>
  <si>
    <t>DE. HVB-15345 + HVB-16220</t>
  </si>
  <si>
    <t>Redacció del projecte bàsic de perllongament de la línia Llobregat-Anoia dels FGC a Barcelona. Tram: Plaça Espanya-Gràcia.</t>
  </si>
  <si>
    <t>Serveis per a la verificació de l'assegurament de la qualitat dels projectes executius i direcció d'execució de les obres "Ampliació i reforma de l'Hospital de Viladecans. i Instal·lacions de la reforma i ampliació de l'Hospital de Viladecans".</t>
  </si>
  <si>
    <t>PE+DO.JVX-14209.A</t>
  </si>
  <si>
    <t>Serveis per l'Assistència Tècnica per a la redacció del projecte bàsic i executiu i la posterior direcció d'obra de l'adequació del projecte de les obres RAM per a la substitució de les cobertes al Centre Penitenciari de Quatre Camins.</t>
  </si>
  <si>
    <t>604bis</t>
  </si>
  <si>
    <t>PC.DC-05068-C1.3</t>
  </si>
  <si>
    <t>Projecte</t>
  </si>
  <si>
    <t>Contracte de serveis per l'A.T. Per a la redacció del projecte constructiu de millora del local. Seguretat viària. Millora de les característiques superficials del ferm  i reestudi de la secció transversal. Ctra. C-25 PK 180+400 al PK 235+800.Tram Vi</t>
  </si>
  <si>
    <t>PC. RB-16014</t>
  </si>
  <si>
    <t>PE+DO. PAL-16214</t>
  </si>
  <si>
    <t>Redacció del projecte bàsic i executiu i la posterior direcció d'obra de l'ampliació de l'Escola Ramon Faus i Esteve 2,5 línies (5 aules), a Guissona.</t>
  </si>
  <si>
    <t>Redacció del projecte constructiu de ferm. Reforçament de ferm i obres complementàries a la carretera C-31 del pk 208,570 al 215,779. Tram: Sant Adrià de Besòs-Montgat.</t>
  </si>
  <si>
    <t>EV. EP-TX-16224</t>
  </si>
  <si>
    <t>Redacció de l'estudi previ del nou tren-tramvia del Camp de Tarragona. Tram: Cambrils-Salou-Port Aventura-Tarragona.</t>
  </si>
  <si>
    <t>PE+DO. JVX-16223</t>
  </si>
  <si>
    <t>Redacció del projecte executiu i la posterior direcció d'obra de les obres RAM Cobertes i façanes a l'Edifici Judicial de Blanes.</t>
  </si>
  <si>
    <t>PC. MB-16016</t>
  </si>
  <si>
    <t>Redacció del projecte constructiu de millora local. Ponts i estructures. Pont sobre el riu Llobregat a Cabrianes. Carretera B-430, pk 0,800. Tram: Sallent.</t>
  </si>
  <si>
    <t>PE+DO.IAG-07283.A</t>
  </si>
  <si>
    <t>Redacció del projecte bàsic i executiu i la posterior direcció d'obra de l'ampliació i adequació de l'Institut Josep Brugulat, a Banyoles.</t>
  </si>
  <si>
    <t>PC. TA-07997.A1</t>
  </si>
  <si>
    <t>EV.EM-NB-16036</t>
  </si>
  <si>
    <t>Redacció del projecte constructiu de nou carril bus i via ciclista a la carretera C-245 entre Castelldefels i Cornellà de Llobregat.</t>
  </si>
  <si>
    <t>Redacció del Pla específic de mobilitat del Vallès.</t>
  </si>
  <si>
    <t>DF. JVV-08495</t>
  </si>
  <si>
    <t>CQ. CBB-07300.A</t>
  </si>
  <si>
    <t>CQ. CAP-13315</t>
  </si>
  <si>
    <t>Direcció d'obra, la direcció d'execució i la tramitació i gestió de la llicència d'obres, de les obres de l'enderroc de l'Edifici Judicial i Projecte d'intervenció Arqueològica a l'edifici situat al passeig Lluís Companys, s /n. de Barcelona</t>
  </si>
  <si>
    <t>Control de qualitat de les obres de la Comissaria d'Àrea Bàsica per a la policia de la Generalitat-Mossos d'Esquadra a Sarrià Sant Gervasi.</t>
  </si>
  <si>
    <t>Control de qualitat de les obres de consturcció del nou Centre d'Atenció Primària d'Amposta.</t>
  </si>
  <si>
    <t>DO. AT-00164-C2</t>
  </si>
  <si>
    <t>DO. MB-15012</t>
  </si>
  <si>
    <t>DO. AT-07039.F1</t>
  </si>
  <si>
    <t>DO. MB-14079</t>
  </si>
  <si>
    <t>DO. XL-15049</t>
  </si>
  <si>
    <t>DO. RB-09097</t>
  </si>
  <si>
    <t>DO. MG-15074</t>
  </si>
  <si>
    <t>CQ. INV-13322</t>
  </si>
  <si>
    <t>CQ. INC-07454.A</t>
  </si>
  <si>
    <t>CQ. MG-14079</t>
  </si>
  <si>
    <t>PC. MB-14021.1</t>
  </si>
  <si>
    <t>PC. AG-05087.1</t>
  </si>
  <si>
    <t>PC. MG-16027</t>
  </si>
  <si>
    <t>PC. MB-16021</t>
  </si>
  <si>
    <t>PC. MB-16026</t>
  </si>
  <si>
    <t>Direcció de les obres del projecte complementari núm. 2 de millora local. Plantacions. Mesures correctores d'impacte ambiental. Condicionament El Vendrell-Valls. Ctra. C-51, pk 10,000 al 19,500. Tram: Albinyana-Rodonyà.</t>
  </si>
  <si>
    <t>Direcció de les obres del projecte constructiu de millora de la seguretat viària i de la mobilitat del corredor C-55 / C-16 / C-58 al Bages. Implantació de sistemes de gestió de la seguretat viària i mobilitat. Tram: Terrassa-Abrera-Manresa.</t>
  </si>
  <si>
    <t>Direcció de les obres de millora general. Condicionament i reordenació dels accessos a la carretera TV-3141 del pk 0,000 al 7,000. Fase 1. Reordenació d'accessos. Tram: Cambrils-Reus.</t>
  </si>
  <si>
    <t>Direcció de les obres de millora local. Eixample i millora del traçat a la carretera N-141e, del pk 110,500 al 112,350. Tram: Bescanó.</t>
  </si>
  <si>
    <t>Direcció de les obres del projecte constructiu de ferm. Reforçament. Vial municipal (polígon industrial), de la carretera L-303, pk 20,120 a la carretera C-14, pk 87,970. Tram: Agramunt.</t>
  </si>
  <si>
    <t>Direcció de les obres del projecte constructiu de ferm. Millora de les característiques superficials i obres complementàries a la carretera B-204 del pk 1,110 al pk 4,230. Tram: Viladecans-El Prat de Llobregat.</t>
  </si>
  <si>
    <t>Direcció de les obres del projecte constructiu de millora local. Seguretat viària. Eixample d'obres de fàbrica i actuacions complementàries a la carretera GI-522, del pk 3,000 al 3,375. Tram: Sant Joan les Fonts.</t>
  </si>
  <si>
    <t>Control de qualitat de les obres de nova construcció Institut 3/4 L a l'Institut Torrent dels Alous de Rubí.</t>
  </si>
  <si>
    <t>Control de qualitat de les obres de nova construcció Institut nou 3/2 L de Vilafranca del Penedès.</t>
  </si>
  <si>
    <t>Control de qualitat de les obres del projecte constructiu de millora local. Eixample i millora del traçat a la carretera N-141e, del pk 110,500 al 112,350. Tram: Bescanó.</t>
  </si>
  <si>
    <t>Redacció del projecte constructiu de millora local. Seguretat viària. Millora de les característiques superficials del ferm i reestudi de la secció transversal. Ctra. C-35 del pk 49,860 al pk 55,450. Tram: Vilalba Sasserra-Sant Celoni.</t>
  </si>
  <si>
    <t>Redacció del projecte constructiu de millora general. Condicionament de la carretera GI-633, del pk 0,000 al 6,290. Tram: Sant Julià de Ramis (cruïlla amb la N-II)-Sant Jordi Desvalls.</t>
  </si>
  <si>
    <t>Redacció del projecte constructiu de millora local. Millora de nus. Rotonda i ordenació d'accessos a la carretera GI-533, del pk 2,470 al 3,740. Tram: Vilabrareix-Aiguaviva.</t>
  </si>
  <si>
    <t>Redacció del projecte construciu de millora local. Millora de nus. Rotonda a la ctra. BV-2429, pk 21,160. Tram: Subirats.</t>
  </si>
  <si>
    <t>Redacció del projecte constructiu de millora local. Ponts i estructures. Passarel·la per a vianants sobre la carretera C-35 entre el pk 57,000 i el 58,000. Tram: Sant Celoni.</t>
  </si>
  <si>
    <t>EV. EG16</t>
  </si>
  <si>
    <t>EV. EC18</t>
  </si>
  <si>
    <t>CSS. INC-07454.A</t>
  </si>
  <si>
    <t>DE. INC-07454.A</t>
  </si>
  <si>
    <t>Realització dels informes preliminars dels emplaçaments dels projectes d'edificació.</t>
  </si>
  <si>
    <t>Realització dels treballs de cartografia corresponents als estudis i projectes d'obra civil que són encarregats pels Departaments de la Generalitat.</t>
  </si>
  <si>
    <t>Coordinació de Seguretat i Salut de les obres de nova construcció Institut nou 3/2 L de Vilafranca del Penedès.</t>
  </si>
  <si>
    <t>Direcció d'execució de les obres de nova construcció Institut Nou 3/2 L de Vilafranca del Penedès.</t>
  </si>
  <si>
    <t>DO. INC-07454.A</t>
  </si>
  <si>
    <t>Direcció de les obres de nova construcció Institut nou 3/2 L de Vilafranca del Penedès.</t>
  </si>
  <si>
    <t>PC. TM-12002.3</t>
  </si>
  <si>
    <t>Redacció del projecte constructiu per a la millora de les condicions mecàniques de la superestructura de via de la Línia 2 de FMB, utilitzant la solució Vanguard. Tram: Universitat-Monumental.</t>
  </si>
  <si>
    <t>PC. TB-16238</t>
  </si>
  <si>
    <t>Serveis per a l'assistència tècnica per a la redacció del projecte d'arranjament de la resclosa de Colomers als TTMM de Foixà i Colomers.</t>
  </si>
  <si>
    <t>ATAM. MG-10479+5</t>
  </si>
  <si>
    <t>Assist. tècnica ambiental conjunta de les obres d'execució de millora local. Eixample i millora de traçat a la ctra. N-14, del pk 110,500 al 112,350. Tram: Bescanó; de la millora local. Seguretat viària. Eixample d'obres de fàbrica i actuacions Secto</t>
  </si>
  <si>
    <t>DE. INV-13322</t>
  </si>
  <si>
    <t>CSS. INV-13322</t>
  </si>
  <si>
    <t>Contracte de servei per a l'assitència tècnica de la direcció d'execució de les obres de nova construcció Institut 4/3 L a l'Institut Torrent dels Alous de Rubí.</t>
  </si>
  <si>
    <t>Contracte de servei per a l'assitència de Coordinació de Seguretat i Salut de les obres de nova construcció Institut 4/3 L a l'Institut Torrent dels Alous de Rubí.</t>
  </si>
  <si>
    <t>DE. INV-11218</t>
  </si>
  <si>
    <t>Direcció d'execució de les obres de la nova construcció de l'Institut 4/3 L Can Roca, de Terrassa.</t>
  </si>
  <si>
    <t>CSS. INV-09373.A</t>
  </si>
  <si>
    <t>Coordinació de Seguretat i Salut de les obres de nova construcció Institut 6/3 L + pavelló esportiu a l'Institut Leonardo Da Vinci de Sant Cugat del Vallès.</t>
  </si>
  <si>
    <t>DE. INV-14298</t>
  </si>
  <si>
    <t>Direcció d'execució de les obres de Nova construcció de l'Institut Les Aimerigues a Terrassa.</t>
  </si>
  <si>
    <t>DO. INV-09373.A</t>
  </si>
  <si>
    <t>Direcció de les obres de nova construcció Institut 6/3 L + pavelló esportiu a l'Institut Leonardo Da Vinci de Sant Cugat del Vallès.</t>
  </si>
  <si>
    <t>DE. INV-09373.A</t>
  </si>
  <si>
    <t>Direcció d'execució de les obres de nova construcció Institut 6/3 L + pavelló esportiu a l'Institut Leonardo Da Vinci de Sant Cugat del Vallès.</t>
  </si>
  <si>
    <t>CQ. INV-09373.A</t>
  </si>
  <si>
    <t>Control de qualitat de les obres de nova construcció Institut 6/3 L + pavelló esportiu a l'Institut Leonardo Da Vinci de Sant Cugat del Vallès.</t>
  </si>
  <si>
    <t>PE+DO. CAP-16219</t>
  </si>
  <si>
    <t>Redacció del projecte bàsic i executiu i la posterior direcció d'obra de les obres RAM del Centre d'Atenció Primària Cappont, de Lleida.</t>
  </si>
  <si>
    <t>CQ. INV-11218</t>
  </si>
  <si>
    <t>Control de qualitat de les obres de la nova construcció de l'Institut 4/3 L Can Roca, de Terrassa.</t>
  </si>
  <si>
    <t>CQ. INV-14298</t>
  </si>
  <si>
    <t>Control de qualitat de les obres de Nova construcció de l'Institut Les Aimerigues a Terressa.</t>
  </si>
  <si>
    <t>TA-NB-01134.F1</t>
  </si>
  <si>
    <t>Redacció del projecte de traçat de millora general. Nova carretera. Eix del Llobregat. Implantació d'un tercer carril reversible a la carretera C-16, del pk 96,500 al 117,300. Tram: Berga-Bagà.</t>
  </si>
  <si>
    <t>AT-TX-15360</t>
  </si>
  <si>
    <t>Assistència tècnica per al seguiment del posicionament dels trens en temps real i recollida de dades de l'operativa del servei de Rodalies de Catalunya.</t>
  </si>
  <si>
    <t>DO. AP-01950.2</t>
  </si>
  <si>
    <t>Direcció de les obres del projecte de concentració parcel·lària del terme municipal de Balaguer. Fase 2.</t>
  </si>
  <si>
    <t>DE. CAP-13206+CLT-13281</t>
  </si>
  <si>
    <t>Direcció d'execució de les obres "Ampliació del Centre d'Atenció Primària El Pla, de Sant Feliu de Llobregat" i "Construcció del Consultori Local de la Pobla de Montornès".</t>
  </si>
  <si>
    <t>CSS. PNM-13278</t>
  </si>
  <si>
    <t>DE. PNM-13278</t>
  </si>
  <si>
    <t>Coordinació de seguretat i salut de les obres de nova construcció escola 2 línies sense gimnàs a l'Escola Els Quatre Vents, a Canovelles.</t>
  </si>
  <si>
    <t>Direcció d'execució de les obres de nova construcció escola 2 línies sense gimnàs a l'Escola Els Quatre Vents, a Canovelles.nova construcció escola 2 línies sense gimnàs a l'Escola Els Quatre Vents, a Canovelles.</t>
  </si>
  <si>
    <t>CSS.INV-11218</t>
  </si>
  <si>
    <t>CSS.INV-14298</t>
  </si>
  <si>
    <t>Contracte de serveis per a l'assistència tècnica de coordinació de seguretat i salut de les obres de nova construcció Institut 4/3 L. Can Roca de Terrassa.</t>
  </si>
  <si>
    <t>Contracte de serveis per a l'assistència tècnica de coordinació de seguretat i salut de les obres de nova construcció Institut 3/2 L+4  Aules.Les Aimerigues de Terrassa.</t>
  </si>
  <si>
    <t>TX-16240 TX-16240.1 TX-16240.2</t>
  </si>
  <si>
    <t>Contracte de serveis per a l'assistència tècnica per a la redacció del projecte bàsic d'implantació ample UIC a l'estació terminal de mercaderies ADIF-Vilamalla i del projecte constructiu d'implantació ample UIC a l'estació terminal de mercaderies…</t>
  </si>
  <si>
    <t>DO. MC-SR-01102.1</t>
  </si>
  <si>
    <t>Direcció de les obres del projecte de recuperació dels sistemes naturals de l'àmbit fluvial del Riu Sió i el Barranc de Pisquera. T.M. Tarroja de Segarra, Ossó de Sió, Puigverd d'Agramunt i Agramunt. Mesures correctores i compensatòries del regadius.</t>
  </si>
  <si>
    <t>EV. AE-XC-16020</t>
  </si>
  <si>
    <t>Redacció dels annexos d'actualització de projectes constructius de la DGIMT.</t>
  </si>
  <si>
    <t>IA. NB-01134.F1</t>
  </si>
  <si>
    <t>Redacció de l'estudi d'impacte ambiental de millora general. Nova carretera. Eix llobregat. Implantació d'un tercer carril reversible a la ctra. C-16, del pk 96,500 al 117,300. Tram: Berga-Bagà.</t>
  </si>
  <si>
    <t>EA-UPA-16252</t>
  </si>
  <si>
    <t>Redacció de l'Estuid Ambiental. Recuperació fluvial. Restauració morfològica i ecològica del tram final del riu Ondara al seu pas per l'àmbit regable del canal d'Urgell al Pla d'Urgell, aigües avall de l'embomal de Barbens.</t>
  </si>
  <si>
    <t>CQ. PNM-13278</t>
  </si>
  <si>
    <t>Control de qualitat de les obres de nova construcció escola 2 línies sense gimnàs a l'Escola Els Quatre Vents, a Canovelles.</t>
  </si>
  <si>
    <t>PC. TA-16248</t>
  </si>
  <si>
    <t>Redacció del projecte d'arranjament de diverses estacions i parades d'autobusos (La Seu d'Urgell, Olot, Torroella de Montgrí, Amposta, Tortosa, Sabadell, Quatre Camins, Blanes i Llançà).</t>
  </si>
  <si>
    <t>Projectes i Direccions Facultatives</t>
  </si>
  <si>
    <t>PE+DF. ATC-16262</t>
  </si>
  <si>
    <t>Redacció del projecte bàsic i d'execució i la posterior direcció facultativa de les obres de remodelació d'oficines territorials de l'Agència Tributària de Catalunya a Vilafranca del Penedès.</t>
  </si>
  <si>
    <t>PE+DF. ATC-16269</t>
  </si>
  <si>
    <t>Redacció del projecte bàsic i d'execució i la posterior direcció facultativa de les obres de remodelació d'oficines territorials de l'Agència Tributària de Catalunya a La Bibal d'Empordà.</t>
  </si>
  <si>
    <t>PE+DF. ATC-16272</t>
  </si>
  <si>
    <t>Redacció del projecte bàsic i d'execució i la posterior direcció facultativa de les obres de remodelació d'oficines territorials de l'Agència Tributària de Catalunya a Santa Coloma de Farners.</t>
  </si>
  <si>
    <t>PE+DF. ATC-16268</t>
  </si>
  <si>
    <t>Redacció del projecte bàsic i d'execució i la posterior direcció facultativa de les obres de remodelació d'oficines territorials de l'Agència Tributària de Catalunya a Mataró.</t>
  </si>
  <si>
    <t>PE+DF. ATC-16260</t>
  </si>
  <si>
    <t>Redacció del projecte bàsic i d'execució i la posterior direcció facultativa de les obres de remodelació d'oficines territorials de l'Agència Tributària de Catalunya a Reus.</t>
  </si>
  <si>
    <t>PE+DF. ATC-16267</t>
  </si>
  <si>
    <t>Redacció del projecte bàsic i d'execució i la posterior direcció facultativa de les obres de remodelació d'oficines territorials de l'Agència Tributària de Catalunya a La Seu d'Urgell.</t>
  </si>
  <si>
    <t>PE+DF. ATC-16261</t>
  </si>
  <si>
    <t>Redacció del projecte bàsic i d'execució i la posterior direcció facultativa de les obres de remodelació d'oficines territorials de l'Agència Tributària de Catalunya a Sant Feliu de Llobregat.</t>
  </si>
  <si>
    <t>Redacció del projecte bàsic i d'execució i la posterior direcció facultativa de les obres de remodelació d'oficines territorials de l'Agència Tributària de Catalunya a Manresa.</t>
  </si>
  <si>
    <t>PE+DF. ATC-16266</t>
  </si>
  <si>
    <t>PE+DF. ATC-16259</t>
  </si>
  <si>
    <t>Redacció del projecte bàsic i d'execució i la posterior direcció facultativa de les obres de remodelació d'oficines territorials de l'Agència Tributària de Catalunya a Tortosa.</t>
  </si>
  <si>
    <t>PE+DF. ATC-16264</t>
  </si>
  <si>
    <t>Redacció del projecte bàsic i d'execució i la posterior direcció facultativa de les obres de remodelació d'oficines territorials de l'Agència Tributària de Catalunya a Terrassa.</t>
  </si>
  <si>
    <t>PE+DF. ATC-16265</t>
  </si>
  <si>
    <t>Redacció del projecte bàsic i d'execució i la posterior direcció facultativa de les obres de remodelació d'oficines territorials de l'Agència Tributària de Catalunya a Granollers.</t>
  </si>
  <si>
    <t>Redacció del projecte bàsic i d'execució i la posterior direcció facultativa de les obres de remodelació d'oficines territorials de l'Agència Tributària de Catalunya a Vic.</t>
  </si>
  <si>
    <t>PE+DF. ATC-16270</t>
  </si>
  <si>
    <t>Redacció del projecte bàsic i d'execució i la posterior direcció facultativa de les obres de remodelació d'oficines territorials de l'Agència Tributària de Catalunya a Sabadell.</t>
  </si>
  <si>
    <t>PE+DF. ATC-16263</t>
  </si>
  <si>
    <t>Redacció del projecte bàsic i d'execució i la posterior direcció facultativa de les obres de remodelació d'oficines territorials de l'Agència Tributària de Catalunya a Figueres.</t>
  </si>
  <si>
    <t>PE+DF. ATC-16271</t>
  </si>
  <si>
    <t>CQ. AR-0264.A2</t>
  </si>
  <si>
    <t>Control de qualitat de les obres del projecte actualitzat núm. 2 del Regadiu Algerri-Balaguer. Sector C. TM Balaguer.</t>
  </si>
  <si>
    <t>DO. AR-08264.A2</t>
  </si>
  <si>
    <t>Direcció de les obres del projecte actualitzat núm. 2 del regadiu Algerri-Balaguer. Sector C. TM de Balaguer.</t>
  </si>
  <si>
    <t>CSS. AR-08264.A2</t>
  </si>
  <si>
    <t>Coordinació de seguretat i salut de les obres del projecte actualitzat núm. 2 del regadiu Algerri-Balaguer. Sector C. TM de Balaguer.</t>
  </si>
  <si>
    <t>CQ. AP-01950.2</t>
  </si>
  <si>
    <t>Control de qualitat de les obres de concentració parcel·lària del terme municipal de Balaguer. Fase 2.</t>
  </si>
  <si>
    <t>Canvi data el 21/10/16</t>
  </si>
  <si>
    <t>DO. SC-SCC-15044</t>
  </si>
  <si>
    <t>Direcció i coordinació de seguretat i salut conjunta de manteniment de les obres del Plec. Conservació semi-integral. Plantacions. Conservació de plantacions i mesures correctores d'impacte ambiental de carreteres de Catalunya 2016-2017.</t>
  </si>
  <si>
    <t>PB+DO. IAA-16255</t>
  </si>
  <si>
    <t>Redacció del projecte bàsic i d'execució i la posterior direcció d'obra de la reconversió adequació i ampliació Institut Badia i Margarit 3/2 sense gimnàs, a Igualada.</t>
  </si>
  <si>
    <t>Direccións d'Obra</t>
  </si>
  <si>
    <t>EP. EP46</t>
  </si>
  <si>
    <t>PC. ML-10032-A1</t>
  </si>
  <si>
    <t>Assistència tècnica per a la realització dels treballs de topografia corresponents als estudis i projectes d'obra civil d'edificació a les comarques de Tarragona i Lleida.</t>
  </si>
  <si>
    <t>Assistència tècnica per a la redacció del projecte constructiu de millora local. Millora de nus. Carretera N-II, pk 452,160 i L-800 pk 0,000. Tram: Alcarràs.</t>
  </si>
  <si>
    <t>PC. TX-16249</t>
  </si>
  <si>
    <t>PC. ER-00942.8</t>
  </si>
  <si>
    <t>Redacció del projecte constructiu de mitigació del risc d'inundació al barri de la Salut del TM de Salou.</t>
  </si>
  <si>
    <t>Redacció del projecte constructiu d'ampliació del regadiu del Segrià Sud Zona M3.1 i M3B.1 als TTMM d'Almatret, Maials, Riba-roja d'Ebre i Seròs.</t>
  </si>
  <si>
    <t>PC. TX-16221</t>
  </si>
  <si>
    <t>Redacció del projecte constructiu per a la consolidació estructural de l'estació de Baró de Viver. L1 dels FMB.</t>
  </si>
  <si>
    <t>CSS. PAC-09603</t>
  </si>
  <si>
    <t>Coordinació de seguretat i salut de l'execució de les obres d'ampliació i reforma de l'Escola de Gironella.</t>
  </si>
  <si>
    <t>PE+DF. XMG-17541</t>
  </si>
  <si>
    <t>Redacció del projecte i l'estudi de seguretat i salut i la posterior direcció facultativa de les obres RAM 2017 als Serveis Territorials a Girona V. Institut Frederic Martí Carreras, a Palafrugell.</t>
  </si>
  <si>
    <t>PE+DF. XMG-17549</t>
  </si>
  <si>
    <t>Redacció del projecte i l'estudi de seguretat i salut i la posterior direcció facultativa de les obres RAM 2017 als Serveis Territorials a Girona XIII. Escola Puig i Segalar, a Viladamat.</t>
  </si>
  <si>
    <t>PE+DF. XMG-17543</t>
  </si>
  <si>
    <t>Redacció del projecte i l'estudi de seguretat i salut i la posterior direcció facultativa de les obres RAM 2017 als Serveis Territorials a Girona VII. Escola Sant Gregori, a Sant Gregori.</t>
  </si>
  <si>
    <t>PE+DF. XMG-17544</t>
  </si>
  <si>
    <t>Redacció del projecte i l'estudi de seguretat i salut i la posterior direcció facultativa de les obres RAM 2017 als Serveis Territorials a Girona VIII. Escola Puig d'Arques, a Cassà de la Selva.</t>
  </si>
  <si>
    <t>PE+DF. XMA-17501</t>
  </si>
  <si>
    <t>Redacció del projecte i l'estudi de seguretat i salut i la posterior direcció facultativa de les obres RAM 2017 als Serveis Territorials del Baix Llobregat II. Escola Lola Anglada, a Esplugues de Llobregat.</t>
  </si>
  <si>
    <t>PE+DF. XMH-17532</t>
  </si>
  <si>
    <t>Redacció del projecte i l'estudi de seguretat i salut i la posterior direcció facultativa de les obres RAM 2017 als Serveis Territorials a Catalunya Central I. Escola Institut Muntanya del Drac, a Manresa.</t>
  </si>
  <si>
    <t>PE+DF. XMG-17537</t>
  </si>
  <si>
    <t>Redacció del projecte i l'estudi de seguretat i salut i la posterior direcció facultativa de les obres RAM 2017 als Serveis Territorials a Girona I. Institut La Bisbal, a Bisbal de l'Empordà.</t>
  </si>
  <si>
    <t>PE+DF. XMM-17531</t>
  </si>
  <si>
    <t>Redacció del projecte i l'estudi de seguretat i salut i la posterior direcció facultativa de les obres RAM 2017 als Serveis Territorials a Maresme-Vallès Oriental IV. Institut Alexandre Satorras, a Mataró.</t>
  </si>
  <si>
    <t>Redacció del projecte i l'estudi de seguretat i salut i la posterior direcció facultativa de les obres RAM 2017 als Serveis Territorials a Maresme-Vallès Oriental II. Institut de Granollers.</t>
  </si>
  <si>
    <t>PE+DF. XMM-17529</t>
  </si>
  <si>
    <t>PE+DF. XMV-17556</t>
  </si>
  <si>
    <t>Redacció del projecte i l'estudi de seguretat i salut i la posterior direcció facultativa de les obres RAM 2017 als Serveis Territorials Vallès Occidental I. Institut Can Planas, a Barberà del Vallès.</t>
  </si>
  <si>
    <t>PE+DF. XMV-17557</t>
  </si>
  <si>
    <t>Redacció del projecte i l'estudi de seguretat i salut i la posterior direcció facultativa de les obres RAM 2017 als Serveis Territorials Vallès Occidental II. Institut La Ribera, a Montcada i Reixac.</t>
  </si>
  <si>
    <t>PE+DF. XMV-17559</t>
  </si>
  <si>
    <t>Redacció del projecte i l'estudi de seguretat i salut i la posterior direcció facultativa de les obres RAM 2017 als Serveis Territorials Vallès Occidental IV. Institut La Serra, a Sabadell.</t>
  </si>
  <si>
    <t>PE+DF. XMA-17504</t>
  </si>
  <si>
    <t>Redacció del projecte i l'estudi de seguretat i salut i la posterior direcció facultativa de les obres RAM 2017 als Serveis Territorials a Baix Llobregat V. Institut Daniel Blanxart, a Olesa de Montserrat.</t>
  </si>
  <si>
    <t>PE+DF. XMC-17509</t>
  </si>
  <si>
    <t>Redacció del projecte i l'estudi de seguretat i salut i la posterior direcció facultativa de les obres RAM 2017 als Serveis Territorials a Barcelona Comarques I. Escola Badalona Port, a Badalona.</t>
  </si>
  <si>
    <t>PE+DF. XMG-17538</t>
  </si>
  <si>
    <t>Redacció del projecte i l'estudi de seguretat i salut i la posterior direcció facultativa de les obres RAM 2017 als Serveis Territorials a Girona II. EEE Ventijol, a Blanes.</t>
  </si>
  <si>
    <t>PE+DF. XMG-17542</t>
  </si>
  <si>
    <t>Redacció del projecte i l'estudi de seguretat i salut i la posterior direcció facultativa de les obres RAM 2017 als Serveis Territorials a Girona VI. EEE Els Àngels, a Palamós.</t>
  </si>
  <si>
    <t>PE+DF. XMC-17514</t>
  </si>
  <si>
    <t>Redacció del projecte i l'estudi de seguretat i salut i la posterior direcció facultativa de les obres RAM 2017 als Serveis Territorials a Barcelona Comarques VI. Institut Bellvitge, a l'Hospitalet de Llobregat.</t>
  </si>
  <si>
    <t>PE+DF. XMT-17555</t>
  </si>
  <si>
    <t>Redacció del projecte i l'estudi de seguretat i salut i la posterior direcció facultativa de les obres RAM 2017 als Serveis Territorials a Tarragona VI. Escola Guillem de Claramunt, a La Secuita.</t>
  </si>
  <si>
    <t>PE+DF. XEM-17528</t>
  </si>
  <si>
    <t>Redacció del projecte i l'estudi de seguretat i salut i la posterior direcció facultativa de les obres RAM 2017 als Serveis Territorials a Maresme-Vallès Oriental I. Institut Sant Pol de Mar.</t>
  </si>
  <si>
    <t>PE+DF. XEL-17526</t>
  </si>
  <si>
    <t>Redacció del projecte i l'estudi de seguretat i salut i la posterior direcció facultativa de les obres RAM 2017 als Serveis Territorials a Lleida V. Escola Vidal i Abad, a Vilaller.</t>
  </si>
  <si>
    <t>PE+DF. XMM-17530</t>
  </si>
  <si>
    <t>Redacció del projecte i l'estudi de seguretat i salut i la posterior direcció facultativa de les obres RAM 2017 als Serveis Territorials a Maresme-Vallès Oriental III. Institut Bisbe Sivilla, a Calella.</t>
  </si>
  <si>
    <t>PE+DF. XMH-17536</t>
  </si>
  <si>
    <t>Redacció del projecte i l'estudi de seguretat i salut i la posterior direcció facultativa de les obres RAM 2017 als Serveis Territorials a Catalunya Central V. Escola Abad Oliva, a Sant Hipòlit de Voltregà.</t>
  </si>
  <si>
    <t>PE+DF. XMV-17566</t>
  </si>
  <si>
    <t>Redacció del projecte i l'estudi de seguretat i salut i la posterior direcció facultativa de les obres RAM 2017 als Serveis Territorials a Vallès Occidental XI. Institut Escola Industrial, a Sabadell.</t>
  </si>
  <si>
    <t>PE+DF. XMV-17560</t>
  </si>
  <si>
    <t>Redacció del projecte i l'estudi de seguretat i salut i la posterior direcció facultativa de les obres RAM 2017 als Serveis Territorials a Vallès Occidental V. Institut Pau Vila, a Sabadell.</t>
  </si>
  <si>
    <t>PE+DF. XMA-17505</t>
  </si>
  <si>
    <t>Redacció del projecte i l'estudi de seguretat i salut i la posterior direcció facultativa de les obres RAM 2017 als Serveis Territorials a Baix llobregat VI. Escola Vall de Palau, a Sant Andreu de la Barca.</t>
  </si>
  <si>
    <t>PE+DF. XEL-17522</t>
  </si>
  <si>
    <t>Redacció del projecte i l'estudi de seguretat i salut i la posterior direcció facultativa de les obres RAM 2017 als Serveis Territorials a Lleida. Escola Dr. Serés, a Alpicat.</t>
  </si>
  <si>
    <t>CSS. TM-12050</t>
  </si>
  <si>
    <t>Coordinació de seguretat i salut de les obres del projecte constructiu d'adaptació a la normativa i millora de l'accessibilitat de l'estació de Jaume I de la línia 4 de l'FMB.</t>
  </si>
  <si>
    <t>ATAM. TM-12050+1</t>
  </si>
  <si>
    <t>Assistència tècnica ambiental de les obres d'adaptació a la normativa i millora de l'accessibilitat de l'estació de Jaume I de la línia 4 de l'FMB i de les obres de millora local. Implantació tercer carril ctra. C-55 del pk 9,360 a 11,400. Collbató</t>
  </si>
  <si>
    <t>IN. TM-12050</t>
  </si>
  <si>
    <t>Inspecció prèvia d'edificis i estructures a les obres del projecte constructiu d'adaptació a la normativa i millora de l'accessibilitat de l'estació de Jaume I de la línia 4 de l'FMB.</t>
  </si>
  <si>
    <t>CQ. TM-12050</t>
  </si>
  <si>
    <t>Control de qualitat de les obres del projecte constructiu d'adaptació a la normativa i millora de l'accessibilitat de l'estació de Jaume I de la línia 4 de l'FMB.</t>
  </si>
  <si>
    <t>DO. TM-12050</t>
  </si>
  <si>
    <t>Direcció de les obres del projecte constructiu d'adaptació a la normativa i millora de l'accessibilitat de l'estació de Jaume I de la línia 4 de l'FMB.</t>
  </si>
  <si>
    <t>PE+DO. CCG-16273</t>
  </si>
  <si>
    <t>Redacció del projecte bàsic i d'execució i la posterior direcció d'obra de la remodelació de la Comissaria de la Policia de la Generalitat - Mossos d'Esquadra a Banyoles.</t>
  </si>
  <si>
    <t>PE+DF. XMC-17567</t>
  </si>
  <si>
    <t>Redacció del projecte i l'estudi de seguretat i salut i la posterior direcció facultativa de les obres RAM 2017 als Serveis Territorials a Barcelona Comarques XIV. Escola Busquets i Punset, a l'Hospitalet de Llobregat.</t>
  </si>
  <si>
    <t>PE+DF. XMC-17568</t>
  </si>
  <si>
    <t>Redacció del projecte i l'estudi de seguretat i salut i la posterior direcció facultativa de les obres RAM 2017 als Serveis Territorials a Barcelona Comarques XV. Escola Bernat Metge, a l'Hospitalet de Llobregat.</t>
  </si>
  <si>
    <t>PE+DF. XMC-17569</t>
  </si>
  <si>
    <t>Redacció del projecte i l'estudi de seguretat i salut i la posterior direcció facultativa de les obres RAM 2017 als Serveis Territorials a Barcelona Comarques XVI. Escola Milagros Consamau, a l'Hospitalet de Llobregat.</t>
  </si>
  <si>
    <t>PE+DF. XMC-17511</t>
  </si>
  <si>
    <t>Redacció del projecte i l'estudi de seguretat i salut i la posterior direcció facultativa de les obres RAM 2017 als Serveis Territorials a Barcelona Comarques III. Institut Pompeu Fabra, a Badalona.</t>
  </si>
  <si>
    <t>Número d'Anuncis i Imports 2017</t>
  </si>
  <si>
    <t>Imports 2016</t>
  </si>
  <si>
    <t>Diferència 15-16</t>
  </si>
  <si>
    <t>Diferència 16-17</t>
  </si>
  <si>
    <t>Imports 2017</t>
  </si>
  <si>
    <t>CQ. JJL-13309</t>
  </si>
  <si>
    <t>Control de qualitat de les obres del projecte Sales de Vistes en l'ampliació de l'Edifici Judicial del Canyeret.</t>
  </si>
  <si>
    <t>DE. CBB-07300.A</t>
  </si>
  <si>
    <t>Direcció d'execució de les obres de la Comissaria d'Àrea Bàsica per a la policia de la Generalitat-Mossos d'Esquadra a Sarrià Sant Gervasi.</t>
  </si>
  <si>
    <t>CSS. CBB-07300.A</t>
  </si>
  <si>
    <t>Coordinació de seguretat i salut de les obres de la Comissaria d'Àrea Bàsica per a la policia de la Generalitat-Mossos d'Esquadra a Sarrià Sant Gervasi.</t>
  </si>
  <si>
    <t>EV.E1-AP-01950.2</t>
  </si>
  <si>
    <t>Redacció de l'estudi de l'estat actual, proposta de millora dels hàbitats esteparis als secans de l'Algerri-Balaguer i d'adaptació a les declaracions d'impacte ambiental del proj. de regadiu i conc. parcel·lària zona regable del T.M. de Balaguer.</t>
  </si>
  <si>
    <t>DO. ML-05086-A1</t>
  </si>
  <si>
    <t>Direcció de les obres de millora local. Millora de nus. Ordenació dels accessos. Ctra. C-14, pk 76,660 (Atlet). Ctra. L-310 als nuclis de la Figuerosa, Riudovelles, Gra. San Martí de la orana i la Morana. Pk 5,220, 8,050, 15,900, 17,060 i 17,920.</t>
  </si>
  <si>
    <t>DO. XC-10020.1</t>
  </si>
  <si>
    <t>Direcció de les obres de la Via ciclista del Ter. Del PK 203,200 de la C-26 al Camí el Pont del Reixac. Tram: Sant Joan de les Abadesses.</t>
  </si>
  <si>
    <t>DE. JJL-13309</t>
  </si>
  <si>
    <t>Direcció d'execució de les obres del projecte Sales de Vistes en l'ampliació de l'Edifici Judicial del Canyeret.</t>
  </si>
  <si>
    <t>DO. PAC-09603</t>
  </si>
  <si>
    <t>Direcció d'obra de l'ampliació i reforma de l'Escola de Gironella.</t>
  </si>
  <si>
    <t>DE. PAC-09603</t>
  </si>
  <si>
    <t>Direcció d'execució de les obres d'ampliació i reforma de l'Escola de Gironella.</t>
  </si>
  <si>
    <t>CQ. PAC-09603</t>
  </si>
  <si>
    <t>Control de qualitat de l'ampliació i reforma de l'Escola de Gironella.</t>
  </si>
  <si>
    <t>DO. ML-06042.F1</t>
  </si>
  <si>
    <t>Direcció de les obres de millora local. Millora de nus. Ordenació d'accessos a la carretera L-313. pk 18,850 al 19,300 (Palou, TM de Torrefeta i Florejacs). Tram: Guissona.</t>
  </si>
  <si>
    <t>DO. ML-16006</t>
  </si>
  <si>
    <t>Direccio de les obres de millora local. Seguretat viària. Implantació de barreres antiallau i/o visera. Ctra. C-28, pk 53,000 al 54,000. Tram: Alt Àneu (Verge dels Ares-Variant dels Avets. Cap de Comials).</t>
  </si>
  <si>
    <t>EI.EI-TF-16241/PC. TF-16241</t>
  </si>
  <si>
    <t>Redacció de l'estudi informatiu i del projecte constructiu del nou baixador de la línia dels FGC Lleida-La Pobla de Segur a Lleida-Polígon Industrial del Segre.</t>
  </si>
  <si>
    <t>DO. MB-07109-A1</t>
  </si>
  <si>
    <t>Direcció de les obres de millora local. Implantació d'un tercer carril a la carretera C-55 del pk 9,360 al 11,400. Tram: Collbató.</t>
  </si>
  <si>
    <t>PE+DO. JNP-16250</t>
  </si>
  <si>
    <t>Redacció del projecte bàsic i executiu i la posterior direcció d'obra de la nova construcció d'un centre penitenciari obert a Tarragona, incloent l'arxiu soterrat per dependències judicials i el seu accés.</t>
  </si>
  <si>
    <t>PE+DO. CAP-16239</t>
  </si>
  <si>
    <t>Redacció del projecte bàsic i d'execució i la posterior direcció de les obres de l'ampliació i reforma del Centre d'Atenció Primària de Castellbisbal.</t>
  </si>
  <si>
    <t>CQ. INB-08492.A</t>
  </si>
  <si>
    <t>Control de qualitat de les obres de nova construcció Institut Martí i Pous (rehabilitació antiga fàbrica Fabra i Coats) de Barcelona.</t>
  </si>
  <si>
    <t>CSS. INB-08492.A</t>
  </si>
  <si>
    <t>Coordinació de seguretat i salut de les obres de nova construcció Institut Matí i Pous (rehabilitació antiga fàbrica Fabra i Coats) de Barcelona.</t>
  </si>
  <si>
    <t>DE. INB-08492.A</t>
  </si>
  <si>
    <t>Direcció d'execució de les obres de nova construcció Institut Matí i Pous (rehabilitació antiga fàbrica Fabra i Coats) de Barcelona.</t>
  </si>
  <si>
    <t>DO. INB-08492.A</t>
  </si>
  <si>
    <t>Direcció d'obra de nova construcció Institut Matí i Pous (rehabilitació antiga fàbrica Fabra i Coats) de Barcelona.</t>
  </si>
  <si>
    <t>CQ. ML-05086-A1</t>
  </si>
  <si>
    <t>Control de qualitat de les obres de millora local. Millora de nus. Ordenació dels accessos. Ctra. C-14, pk 76,660 (Altet). Ctra. L-310 als nuclis de la Figuerosa, Riudovelles, Gra. Sant Martí de la Morana i la Morana. pk 5,220, 8,050, 15,900, 17,060.</t>
  </si>
  <si>
    <t>CQ. MB-14007</t>
  </si>
  <si>
    <t>CQ. MB-07109-A1</t>
  </si>
  <si>
    <t>Control de qualitat de les obres del projecte constructiu de millora local. Millora de nus. Millora de l'enllaç entre la carretera de Viladordis i la ronda de Manresa. Ctra. C-55, pk 29,700. Tram: Mnaresa.</t>
  </si>
  <si>
    <t>Control de qualitat de les obres del projecte constructiu de millora local. Implantació d'un tercer carril a la ctra. C-55 del pk 9,360 a l'11,400. Tram: Collbató.</t>
  </si>
  <si>
    <t>Modificades dates el 31/01/17</t>
  </si>
  <si>
    <t>PC. MB-16037-F1</t>
  </si>
  <si>
    <t>Redacció del projecte constructiu de millora local. Millora de nus. Rotonda a la carretera C-31, pk 176,500. Fase 1. Tram: Sitges.</t>
  </si>
  <si>
    <t>PC. CL-16029</t>
  </si>
  <si>
    <t>Redacció del projecte constructiu de conservació extraordinària. Ponts i estructures. Execució vorera de vianants i adequació ampit a la normativa vigent. Ctra. C-1412b, pk 58,970. Tram: Tremp.</t>
  </si>
  <si>
    <t>PC. CL-16028</t>
  </si>
  <si>
    <t>Redacció del projecte constructiu de conservació extraordinària. Ponts i estructures. Demolició i execució nova estructura. Carretera L-311z, pk 7,500. Tram: Tarroja de Segarra.</t>
  </si>
  <si>
    <t>PC. TM-14299</t>
  </si>
  <si>
    <t>Redacció del projecte constructiu de rehabilitació de l'edifici de cotxeres i tallers de la Línia 3 dels FMB de Sant Genís.</t>
  </si>
  <si>
    <t>EP. EP47</t>
  </si>
  <si>
    <t>Realització dels treballs de topografia corresponents als estudis i projectes d'obra civil i d'edificació a les comarques de Barcelona.</t>
  </si>
  <si>
    <t>DO. XB-13313</t>
  </si>
  <si>
    <t>Direcció de les obres del projecte constructiu via ciclista a la carretera BV-5301 a Santa maria de Palautordera. tram: Santa Maria de Palautordera-Estació FFCC.</t>
  </si>
  <si>
    <t>DO. MB-14007</t>
  </si>
  <si>
    <t>Direcció de les obres del projecte constructiu de millora local. Millora de nus. Millora de l'enllaç entre la carretera de Viladordis i la ronda de Manresa. Ctra. C-55, pk 29,700. tram: Manresa.</t>
  </si>
  <si>
    <t>PE+DF. JVX-16243</t>
  </si>
  <si>
    <t>Redacció del projecte executiu i de l'estudi de seguretat i salut i la posterior direcció facultativa de les obres RAM d'adequació del clima de l'Audiènica a l'edifici judicial del Canyeret de Lleida.</t>
  </si>
  <si>
    <t>PE+DO IAT-16254</t>
  </si>
  <si>
    <t>Redacció del projecte bàsic i executiu i la posterior direcció d'obra de l'ampliació a 4/2 Institut Els Pallaresos.</t>
  </si>
  <si>
    <t>PE+DO IAV-16217</t>
  </si>
  <si>
    <t>Redacció del projecte i posterior direcció d'obra de l'ampliació i adequació Institut 3/2 + Cicles formatius a l'Institut La Ferreria (2v), a Montcada i Reixac.</t>
  </si>
  <si>
    <t>PE+DO IAC-16256</t>
  </si>
  <si>
    <t>Redacció del projecte bàsic i d'execució i la posterior direcció de les obres de l'ampliació per a Institut 2/0 a l'Escola Antoni Grau Minguell, a Sant Quintí de Mediona.</t>
  </si>
  <si>
    <t>PC. RB-16034</t>
  </si>
  <si>
    <t>Redacció del projecte constructiu de ferm. Reforçament del ferm i obres complementàries. Carretera B-300. Pk 0,250 al 8,230. tram: Calaf-La Molsosa.</t>
  </si>
  <si>
    <t>PC. RB-16035</t>
  </si>
  <si>
    <t>Redacció del projecte constructiu de ferm. Reforçament del ferm i obres complementàries. Carretera B-300. Pk 8,201 al 16,210. tram: La Molsosa-Pinós.</t>
  </si>
  <si>
    <t>PC. RE-16041</t>
  </si>
  <si>
    <t>Redacció del projecte constructiu de ferm. Reforçament del ferm a la carretera TV-3454 del pk 7,500 al 15,700. tram: Deltebre.</t>
  </si>
  <si>
    <t>PC. RB-16019</t>
  </si>
  <si>
    <t>Redacció del projecte constructiu de ferm. Millora de les característiques superficials i obres complementàries a la carretera C-1415a del pk 18,570 al 27,275 i del pk 28,270 al 32,585. tram: Terrassa-Sentmenat.</t>
  </si>
  <si>
    <t>PC. CB-16024</t>
  </si>
  <si>
    <t>Redacció del projecte constructiu de conservació extraordinària. Ponts i estructures. Rehabilitació d'obres de fàbrica a la carretera C-1415b. Pk 7,820. tram: Lliçà de Munt.</t>
  </si>
  <si>
    <t>PC. MG-15015.1</t>
  </si>
  <si>
    <t>Redacció del projecte constructiu de millora local. Seguretat viària. Millora de seguretat i reestudi de la secció transversal. Ctra. C-66, del pk 41,900 al 50,450. Tram: Cornellà del Terri-Serinyà.</t>
  </si>
  <si>
    <t>PC. RB-16054</t>
  </si>
  <si>
    <t>Redacció del projecte constructiu. Ferm. Millora de característiques superficials i obres complementàries a la ctra. C-17, del pk 36,250 al 43,050 i del 43,550 al 44,000. tram: Tagamanent-Centelles.</t>
  </si>
  <si>
    <t>PC. RB-16053</t>
  </si>
  <si>
    <t>Redacció del projecte constructiu. Ferm. Millora de característiques superficials i obres complementàries a la ctra. C-17, del pk 27,830 al 36,250. Tram: La Garriga-Tagamanent.</t>
  </si>
  <si>
    <t>CSS. PRL-17001</t>
  </si>
  <si>
    <t>Serveis per a la supervisió de la prevenció de riscos laborals de la coordinació de seguretat i salut de les obres de la L9.</t>
  </si>
  <si>
    <t>Diferència 2016-2017</t>
  </si>
  <si>
    <t>CQ. SNG-12935</t>
  </si>
  <si>
    <t>Control de qualitat de les obres de nova construcció Institut Escola 1 línia 1a fase: 1 línea ESO+2 aules (sense gimnàs) a l'Institut Escola Mestre Andreu de Sant Joan de les Abadesses.</t>
  </si>
  <si>
    <t>DE. SNG-12935</t>
  </si>
  <si>
    <t>Direcció d'execució de les obres de nova construcció Institut Escola 1 línia 1a fase: 1 línia ESO+2 aules (sense gimnàs) a l'Institut Escola Mestre Andreu de Sant Joan de les Abadesses.</t>
  </si>
  <si>
    <t>CQ. INB-15278</t>
  </si>
  <si>
    <t>Control de qualitat de les obres de nova construcció institut 3/2L+4 aules a l'Institut Viladomat de Barcelona.</t>
  </si>
  <si>
    <t>DE. INB-15278</t>
  </si>
  <si>
    <t>Direcció d'execució de les obres de nova construcció Institut 3/2 L + 4 aules a l'Institut Viladomat de Barcelona.</t>
  </si>
  <si>
    <t>PC. CL-16046</t>
  </si>
  <si>
    <t>Redacció del projecte constructiu. Conservació extraordinària. Ponts i estructures. Adequació ampits a la Normativa vigent pont damunt el riu Segre. Ctra. C-14, pk 144,200. Tram: Peramola.</t>
  </si>
  <si>
    <t>PC. ML-16048</t>
  </si>
  <si>
    <t>Redacció del projecte constructiu. Millora local. Millora de nus. Ordenació cruïlla entre les carreteres C-26 i L-903, Pk 2,490 de la C-26 i pk 0,000 de la L-903. Tram: Ivars de Noguera.</t>
  </si>
  <si>
    <t>PC. ML-16047</t>
  </si>
  <si>
    <t>Redacció del projecte constructiu constructiu de millora local. Millora de nus. Ordenació cruïlla a la carretera N-II, pk 496,670. Tram: Bellpuig d'Urgell.</t>
  </si>
  <si>
    <t>CQ. JJT-05338.2.A</t>
  </si>
  <si>
    <t>Control de qualitat de les obres d'adequació del projecte per a la construcció d'un edifici judicial a Tortosa.</t>
  </si>
  <si>
    <t>DE. JJT-05338.2.A</t>
  </si>
  <si>
    <t>Direcció d'execució de les obres d'adequació del projecte per a la construcció d'un edifici judicial a Tortosa.</t>
  </si>
  <si>
    <t>PE+DF. XMA-17571</t>
  </si>
  <si>
    <t>Redacció del projecte i l'estudi de seguretat i salut i la posterior direcció facultativa de les obres RAM 2017 als Serveis Territorial a Baix Llobregat XI. Escola Montpedrós, a Santa Coloma de Cervelló.</t>
  </si>
  <si>
    <t>PE+DO. PNC-16281</t>
  </si>
  <si>
    <t>Redacció del projecte bàsic i executiu i la posterior direcció d'obra de la nova construcció de l'Escola Ernest Lluch (1 línia + 4 aules), a l'Hospitalet de Llobregat.</t>
  </si>
  <si>
    <t>PE+DO. ING-16286</t>
  </si>
  <si>
    <t>Redacció del projecte bàsic i d'execució i la posterior direcció d'obra de la nova construcció Institut 2/0 + 3 aules + aula recolzament (sense gimnàs-vestidors, càtering - barra cafeteria-menjador), a Caldes de Malavella.</t>
  </si>
  <si>
    <t>PE+DO. IAM-16251</t>
  </si>
  <si>
    <t>Redacció del projecte bàsic i executiu de la 1a fase: Substitució edifici C per a cicles formatius: mecànica, transport i manteniment de vehicles, instal·lació i manteniment, química, a l'Institut de Mollet del Vallès.</t>
  </si>
  <si>
    <t>CSS. INB-15278</t>
  </si>
  <si>
    <t>Coordinació de seguretat i salut de les obres de nova construcció Institut Viladomat 3/2L + 4 aules a l'Institut Viladomat de Barcelona.</t>
  </si>
  <si>
    <t>PE+DO. HGG-16274</t>
  </si>
  <si>
    <t>Redacció del projecte bàsic i executiu i la posterior direcció d'obra de l'ampliació del bloc quirúrgic i de l'Hospital de dia oncològic (ICO) de l'Hospital Dr. Josep Trueta, de Girona.</t>
  </si>
  <si>
    <t>DO. ME-16009</t>
  </si>
  <si>
    <t>Direcció de les obres del projecte constructiu de millora local. Millora de nus. Millora de la intersecció de la carretera TV-3454, al pk 13,685 amb la carretera TV-3451. Tram: Deltebre.</t>
  </si>
  <si>
    <t>PE+DO. JNP-17210</t>
  </si>
  <si>
    <t>Redacció del projecte bàsic i executiu i la posterior direcció d'obra de la nova construcció de Centre Penitenciari Règim Obert 800 places Zona Franca, a Barcelona.</t>
  </si>
  <si>
    <t>PE+DO. HGG-17202</t>
  </si>
  <si>
    <t>Redacció del projecte d'instal·lacions i la posterior direcció d'obra de les instal·lacions de l'ampliació del bloc quirúrgic i de l'Hospital de dia oncològic (ICO) de l'Hospital Dr. Josep Trueta, de Girona.</t>
  </si>
  <si>
    <t>CQ. AL-05037</t>
  </si>
  <si>
    <t>Control de qualitat de les obres del projecte constructiu de millora general. Condicionament. Eixamplament i millora de traçat. Carretera C-14, pk 163,200 al 166,520. Tram: Organyà-Montant de Tost.</t>
  </si>
  <si>
    <t>DO. AL-05037</t>
  </si>
  <si>
    <t>Direcció de les obres del projecte constructiu de millora general. Condicionament. Eixamplament i millora de traçat. Carretera C-14, pk 163,200 al 166,520. Tram: Organyà-Montant de Tost.</t>
  </si>
  <si>
    <t>CSS. JJT-05338.2.A</t>
  </si>
  <si>
    <t>Coordinació de seguretat i salut de les obres d'adequació del projecte per a la construcció d'un edifici judicial a Tortosa.</t>
  </si>
  <si>
    <t>PC. AT-00164.1-A1</t>
  </si>
  <si>
    <t>Redacció del projecte constructiu de la millora general. Condicionament de la carretera C-51 a Vilardida. Pk-24,400 al 26,840. Tram: Vila-rodona.</t>
  </si>
  <si>
    <t>CQ. IAV-14296</t>
  </si>
  <si>
    <t>Control de qualitat de les obres de l'ampliació i adequació Escola a Institut 2/0 línies a l'Institut Can Periquet, a Palau Solità i Plegamans.</t>
  </si>
  <si>
    <t>DE. IAV-14296</t>
  </si>
  <si>
    <t>Direcció d'execució de les obres de l'ampliació i adequació Escola a Institut 2/0 línies a l'Institut Can Periquet, a Palau Solità i Plegamans.</t>
  </si>
  <si>
    <t>PE+DF. JVX-17205</t>
  </si>
  <si>
    <t>Redacció del projecte executiu i de l'estudi de seguretat i salut i la posterior direcció facultativa de les obres RAM a la seu principal de l'edifici judicial de Rubí en vestíbuls, zones de distribució i soterrani, i condicionaments previs….</t>
  </si>
  <si>
    <t>PE+DF. JVX-15294</t>
  </si>
  <si>
    <t>Redacció del projecte executiu i de l'estudi de seguretat i salut i la posterior direcció facultativa de les obres RAM als Serveis Centrals del Departament de Justícia a la Ronda de Sant Pere, 35 de Barcelona.</t>
  </si>
  <si>
    <t>AT. UPA-14015.3</t>
  </si>
  <si>
    <t>Assistència tècnica per als treballs de restauració  de les praderíes de posidònia, afectades per la presència de morts de fondeig als espais Natura 2000 de Montgrí-Medes-Baix Ter i Cap de Creu.</t>
  </si>
  <si>
    <t>PE+DO. PCL-16277</t>
  </si>
  <si>
    <t>Redacció del projecte bàsic i executiu i la posterior direcció d'obra del nou Parc de Bombers voluntaris, a Seròs.</t>
  </si>
  <si>
    <t>PE+DO. CAP-16285</t>
  </si>
  <si>
    <t>Redacció del projecte bàsic i executiu i la posterior direcció d'obra de la nova construcció del CAP Sant Esteve Sesrovires.</t>
  </si>
  <si>
    <t>DE. CAP-14302</t>
  </si>
  <si>
    <t>Direcció d'execució de les obres d'ampliació i reforma del Centre d'Atenció Primària Doctor Joan Mirambell i Folch de Caldes de Montbui.</t>
  </si>
  <si>
    <t>PE+DO. IAL-17201</t>
  </si>
  <si>
    <t>Redacció del projecte bàsic i executiu i la posterior direcció d'obra de l'ampliació i adequació Institut 3/2 + Cicles Formatius, a Guissona.</t>
  </si>
  <si>
    <t>CQ. CAP-14302</t>
  </si>
  <si>
    <t>Control de qualitat de les obres d'ampliació i reforma del Centre d'Atenció Primària Doctor Joan Mirambell i Folc, de Caldes de Montbui.</t>
  </si>
  <si>
    <t>EI. EI-NG-02083.2-A2</t>
  </si>
  <si>
    <t>Redacció de l'estudi informatiu de millora general. Nova ctra. C-37 de Vic a Olot. Variant de les Preses. Del Pk 171,600 de la ctra. C-37 a l'inici de la futura variant d'Olot. Tram: La Vall d'en Bas-Les Preses.</t>
  </si>
  <si>
    <t>CQ. INH-14297</t>
  </si>
  <si>
    <t>Control de qualitat de les obres de nova construcció Institut 3/0 + despatxos CFA i EOI a la Secció d'Institut Serra Noet, a Berga.</t>
  </si>
  <si>
    <t>CSS. INH-14297+1</t>
  </si>
  <si>
    <t>Coordinació de seguretat i salut conjunta per l'execució de les obres de Nova construcció 3/0 + espais per administració per CFA i EOI de la Secció d'Institut Serra de Noet a Berga. i per l'execució de les obres d'ampliació i reforma del Centre ….</t>
  </si>
  <si>
    <t>DE. INB-14335</t>
  </si>
  <si>
    <t>Direcció d'execució de les obres de nova construcció Institut 4/3 línies a l'Institut Maria Espinalt de Barcelona.</t>
  </si>
  <si>
    <t>PC. RO-17203</t>
  </si>
  <si>
    <t>Redacció del projecte constructiu per a la restitució de paràmetres geomètrics en aparells de via del tram IV de la Línia 9 del metro de Barcelona.</t>
  </si>
  <si>
    <t>PE+DO. ING-17214</t>
  </si>
  <si>
    <t>Redacció del projecte bàsic i d'execució , la certificació d'eficiència energètica del projecte, l'estudi de seg. i salut i el proj. d'activitats per a llicència ambiental i la posterior direcció d'obra de la nova construcció institut Vilablareix 4/3</t>
  </si>
  <si>
    <t>PE+DO. JVX-16244</t>
  </si>
  <si>
    <t>Redac.  proj. executiu i est. s.s. i posterior dir. obres RAM Reorganització funcional: sala de vistes, ampliació vestíbul principal, i nova disposició per office, cel·la d'espera i boxes forenses. Jutjta de Sant Feliu de Llobregat…</t>
  </si>
  <si>
    <t>PE+DO. JVX-17206</t>
  </si>
  <si>
    <t>Redacció del projecte i posterior direcció d'obra de les obres RAM a l'edifici dels jutjats de Sabadell de condicionament d'una planta sencera per a la ubicació de 2 jutjats de 1a instància.</t>
  </si>
  <si>
    <t>CQ. INB-14335</t>
  </si>
  <si>
    <t>Control de qualitat de les obres de nova construcció Institut 4/3 línies a l'Institut Maria Espinalt de Barcelona.</t>
  </si>
  <si>
    <t>CQ. RAM-17900</t>
  </si>
  <si>
    <t>Control de qualitat de les obres RAM 2017.</t>
  </si>
  <si>
    <t>IA.IA-NG-02083.2-A2</t>
  </si>
  <si>
    <t>Redacció de l'estudi d'impacte ambiental de millora general. Nova carretera C-37 de Vic a Olot. Variant de Les Preses. Del Pk 171,600 de la carretera C-37 a l'inici de la futura variant d'Olot. Tram: La Vall d'en Bas-Les Preses.</t>
  </si>
  <si>
    <t>EV. EG18</t>
  </si>
  <si>
    <t>CSS. INB-14335</t>
  </si>
  <si>
    <t>Coordinació de seguretat i salut de les obres de nova construcció Institut 4/3 línies a l'Institut María Espinalt de Barcelona.</t>
  </si>
  <si>
    <t>DE. PGM-15305</t>
  </si>
  <si>
    <t>Direcció d'execució de les obres de rehabilitació, adequació i millora del parc de Bombers de Figueres.</t>
  </si>
  <si>
    <t>DO. PGM-15305</t>
  </si>
  <si>
    <t>Direcció de les obres de rehabilitació, adequació i millora del parc de Bombers de Figueres.</t>
  </si>
  <si>
    <t>PC. TM-00509.58</t>
  </si>
  <si>
    <t>Redacció del projecte constructiu per a millorar les condicions ambientals en els llocs de treball en el Tarrer de la Zona Franca de L9.</t>
  </si>
  <si>
    <t>PC. TM-00509.55</t>
  </si>
  <si>
    <t>Redacció del projecte constructiu per optimitzar les fixacions dels aparells de via del tram IV de la Línia 9 del Metro de Barcelona.</t>
  </si>
  <si>
    <t>PC. TM-00509.57</t>
  </si>
  <si>
    <t>Redacció del projecte constructiu per l'execució de les obres del parament per minimitzar l'efecte del vent en estacions exteriors de la Zona Franca de la L9 de Metro de Barcelona.</t>
  </si>
  <si>
    <t>CSS. AL-05037</t>
  </si>
  <si>
    <t>Coordinació de seguretat i salut de les obres de millora general. Condicionament. Eixamplament i millora del traçat. Ctra. C-14, pk 163,200 al 166,520. Tram: Organyà-Montant de Tost.</t>
  </si>
  <si>
    <t>EG. EG17</t>
  </si>
  <si>
    <t>Realització dels informes preliminars dels emplaçaments del projectes d'edificació encarregats per Servei Català de la Salut.</t>
  </si>
  <si>
    <t>EV.GE-MB-14040</t>
  </si>
  <si>
    <t>Assistència tècnica per a la redacció de l'estudi geotècnic. Mesures correctores. Anàlisi d'estabilitat de talús. Reparació del tram de la C-17 entre el pk 43,050 i el 43,550. Tram: Centelles-Seva.</t>
  </si>
  <si>
    <t>CQ. ML-15067</t>
  </si>
  <si>
    <t>Control de qualitat de les obres del projecte de millora local. Seguretat viària. Travesseres d'Anglesola, Tomabous i Tarrós, la Fuliola i Boldú, i Bellcaire d'Urgell a la Ctra. C-53, i travesseres d'Algerri i Castelló de Farfanya a la C-26.</t>
  </si>
  <si>
    <t>PE+DO. HHB-15356-C1</t>
  </si>
  <si>
    <t>Redacció del projecte complementari núm. 1 i la posterior direcció de les obres del nou accés ambulatori i reforma del soterrani per a consultes externes de l'Àrea Maternoinfantil de l'Hospital Vall d'Hebron, de Barcelona.</t>
  </si>
  <si>
    <t>CQ. MG-08128.2</t>
  </si>
  <si>
    <t>Control de qualitat de les obres del projecte de millora local. Eixamplament i reforç del ferm. Carretera C-25, del pk 240,100 al 242,100. Tram: Riudellots de la Selva-Campllong.</t>
  </si>
  <si>
    <t>PE+DO. VGM-17222</t>
  </si>
  <si>
    <t>Redacció del projecte executiu i l'estudi de seguretat i salut i la posterior direcció d'obra de les obres RAM a l'Institut de Seguretat Pública de Catalunya a Mollet del Vallès. Adequació i millora de les instal·lacions de climatització pel seu ús..</t>
  </si>
  <si>
    <t>PE+DO. VGM-17227</t>
  </si>
  <si>
    <t>Redacció del projecte executiu i l'estudi de seguretat i salut i la posterior direcció d'obra de les obres RAM al Complex Central de Sabadell. Modificació i millora dels accessos al Comples, i actuacions diverses a l'edifici A del complex:…</t>
  </si>
  <si>
    <t>PC. CB-16062</t>
  </si>
  <si>
    <t>Redacció del projecte constructiu de conservació extraordinària. Ponts i estructures. Rehabilitació d'obra de fàbrica a la carretera BP-4313, pk 42,160. Tram: Balsareny.</t>
  </si>
  <si>
    <t>PC. TA-16203</t>
  </si>
  <si>
    <t>Redacció del projecte constructiu de la nova estació d'autobusos d'Almacelles.</t>
  </si>
  <si>
    <t>E1-R0-17209</t>
  </si>
  <si>
    <t>Redacció de l'estudi de la nova xarxa de transport i accés IP de la Línia 9 de Metro de Barcelona.</t>
  </si>
  <si>
    <t>PE+DO. PNL-17211</t>
  </si>
  <si>
    <t>Redacció del projecte bàsic i executiu i la posterior direcció d'obra de la nova construcció Escola Pinyana, a Lleida.</t>
  </si>
  <si>
    <t>PE+DO. HMB-16284</t>
  </si>
  <si>
    <t>Red. proj. bàsic exec., estudi s.s., certif. efic. energètica, estudi patologies i el proj. activ. per a llicència ambiental i la posterior dir. obres de la reforma d'espais de l'Hospital de Mataró.</t>
  </si>
  <si>
    <t>PE+DO. JVX-17231</t>
  </si>
  <si>
    <t>Redac. projecte bàsic i executiu i la posterior dir. obra de les obres RAM de consolidació estructural, substitució fusteries exteriors, i adequació barreres arquitectòniques de l'edifici dels Serveis Territorials de Lleida al C. Sant Martí, 1.</t>
  </si>
  <si>
    <t>PE+DO. JVX-17230</t>
  </si>
  <si>
    <t>Redac. projecte bàsic i executiu i la posterior dir. obra de les obres RAM de consolidació estructural, adequació de les barreres arquitectòniques i reestructuració funcional de l'ed. judicial de Tremp, carrer Fom, 14.</t>
  </si>
  <si>
    <t>PE+DO. CGM-17226</t>
  </si>
  <si>
    <t>Redacció proj. executiu i est. s.s. i posterior dir. facultativa obres RAM. Reparació i rehab. diverses instal. i espais de les Comissaries de les Regions Policials de Girona, Metropolitana Nord, Metrop. Sud, Barcelona i actuació col. pilones protec.</t>
  </si>
  <si>
    <t>PC. DG-9032.6-C1</t>
  </si>
  <si>
    <t>Assistència tècnica del projecte constructiu de la millora general. Obres complementàries. Desdoblament de la carretera C-260, del pk 29,000  de la C-260 al pk 754,350 de la N-II. Tram: Figueres.</t>
  </si>
  <si>
    <t>PC. CB-16063</t>
  </si>
  <si>
    <t>Redacció del projecte constructiu de conservació extraordinària. Ponts i estructures. Rehabilitació d'obra de fàbrica a la carretera C-58, pk 38,437. Tram: Monistrol de Montserrat.</t>
  </si>
  <si>
    <t>PC. MT-16058</t>
  </si>
  <si>
    <t>Redacció del projecte constructiu de la Millora local. Drenatge longitudinal i cunetes remuntables a la carretera TV-3141 del pk 5,000 (Aigüesverds) al 7,020 (rotonda T-11). Tram: Reus.</t>
  </si>
  <si>
    <t>CQ. AB-14009.F1</t>
  </si>
  <si>
    <t>Control de qualitat de les obres del projecte de millora general. Condicionament. Ampliació a 3 carrils de l'autopista C-58, sentit Barcelona, del pk 12,600 al 16,750. Tram: Sant Quirze del Vallès-Terrassa.</t>
  </si>
  <si>
    <t>ATI-TM-02609.0 T2</t>
  </si>
  <si>
    <t>Contracte de serveis per a l'assistència tècnica per a l'execució de les tasques de seguretat/safety de la Línia 9 del metro de Barcelona. Tram II</t>
  </si>
  <si>
    <t>DO. MA-14901</t>
  </si>
  <si>
    <t>Direcció de l'obra del projecte de recuperació dels sistemes naturals de l'àmbit fluvial del Riu Set TM de l'Albagés, Montoliu de Lleida, Sunyer i Sudanell. Mesures correctores i compensatòries del regadiu del sistema Segarra Garrigues.</t>
  </si>
  <si>
    <t>CSS. MA-14901</t>
  </si>
  <si>
    <t>Coord. de s. i s. de les obres del projecte de recuperació dels sistemes naturals de l'àmbit fluvial del Riu Set TM de l'Albagés, Montoliu de Lleida, Sunyer i Sudanell. Mesures correctores i compensatòries del regadiu del sistema Segarra Garrigues.</t>
  </si>
  <si>
    <t>CQ. JVX-16215</t>
  </si>
  <si>
    <t>Control de qualitat de les obres RAM en el Pavelló Hospitalari de Terrassa consistent en l'estudi de patologies del voladís, reforç estructural, actuacions interiors i exteriors en façana Est i delimitació en l'aparcament privat.</t>
  </si>
  <si>
    <t>CQ. INA-11213.1</t>
  </si>
  <si>
    <t>Control de qualitat de les obres d'ampliació, adequació i reconversió de l'Escola Montpedròs a Institut 4/2 L (1a fase) a Santa Coloma de Cervelló.</t>
  </si>
  <si>
    <t>CQ. CGM-14315</t>
  </si>
  <si>
    <t>Control de qualitat de les obres RAM de condicionament i millores puntuals d'espais, instal·lacions i equipaments per a l'acreditació de laboratoris de lofoscòpia de les comissaries de Tarragona-Camp Clar. Ponent, Girona - Vista Alegre, Barcelona…</t>
  </si>
  <si>
    <t>CQ. MG-06136.1</t>
  </si>
  <si>
    <t>Control de qualitat de les obres del projecte de millora local. Millora de nus. Nou vial urbà de connexió entre la carretera C-25, pk 239,190, i el carrer Major. Tram: Riudellots de la Selva.</t>
  </si>
  <si>
    <t>ATAM. AL-05037</t>
  </si>
  <si>
    <t>Assistència tècnica ambiental de les obres del projecte constructiu de millora general. Condicionament. Eixamplament i millora de traçat. Carretera C-14, pk 163,200 al 166,250. Tram: Organyà-Montant de Tost.</t>
  </si>
  <si>
    <t>CSS. TA-16231</t>
  </si>
  <si>
    <t>Assistència tècnica de coordinació de seguretat i salut de les obres del projecte de parada d'autobusos a Sant Joan de les Abadesses.</t>
  </si>
  <si>
    <t>CQ. MA-14901</t>
  </si>
  <si>
    <t>Redacció del control de qualitat de les obres de recuperació dels sistemes naturals de l'ambit fluvial del Riu Set. TTMM del l'Albagés, Montoliu de Lleida, Sunyer i Sudanell.</t>
  </si>
  <si>
    <t>DO. ML-08030-A1</t>
  </si>
  <si>
    <t>Direcció de les obres del projecte de millora local. Millora de nus. Millora d'accessos a la població d'Alfés. Carretera C-12, pk 128,300 i 129,600. Tram: Alfés.</t>
  </si>
  <si>
    <t>DE. CAP-09398</t>
  </si>
  <si>
    <t>Direcció d'execució de les obres per al Nou Centre d'Atenció Primària Can Roca, de Terrassa.</t>
  </si>
  <si>
    <t>PE+DO CGM-17224</t>
  </si>
  <si>
    <t>Redac. proj. bàsic executiu i la posterior dir. obra de les obres RAM Estalvi energètic 1. Renovació d'equips de climatització i implantació de mesures per a la millora de l'eficiència energètica en diverses Comissaries de les Regions Policials…</t>
  </si>
  <si>
    <t>CQ. XMA-16575</t>
  </si>
  <si>
    <t>Control de qualitat de les obres RAM 2016 als Serveis Territorials al Baix Llobregat XVII. Escola Honorable Tarradellas, a el Prat de Llobregat.</t>
  </si>
  <si>
    <t>DO. NL-15007</t>
  </si>
  <si>
    <t>Direcció de les obres del projecte constructiu de millora general. Nova ctra. Prolongació, eixamplament i millora del ferm de la ctra. L-311b, des de la rotonda de l'enllaç de l'A-2 (pk 520,000), fins al pk 0,950 de ka ctra, L-311b. Tram: Cervera.</t>
  </si>
  <si>
    <t>PE+DO CGM-17225</t>
  </si>
  <si>
    <t>Redacció del projecte bàsic i executiu i la posterior direcció d'obra de les obres RAM de seguretat. Substitució i millora del sistema de gravadors i càmeres perimetrals de diverses Comissaries per a la millora de la seguretat.</t>
  </si>
  <si>
    <t>DE+CSS. JVX-16223</t>
  </si>
  <si>
    <t>Direcció d'execució i coordinació de seguretat i salut de les obres RAM Cobertes i façanes a l'Edifici Judicial de Blanes.</t>
  </si>
  <si>
    <t>CQ. ME-16009</t>
  </si>
  <si>
    <t>CQ. PGM-15305</t>
  </si>
  <si>
    <t>Control de qualitat de les obres de rehabilitació, adequació i millora del parc de Bombers de Figueres.</t>
  </si>
  <si>
    <t>PE+DO CGM-17223</t>
  </si>
  <si>
    <t>Redacció proj. bàsic i exec. i la posterior dir. obra de les obres RAM Estalvi energètic 1. Renovació equips climatització i implantació mesures millora ef. energ. en diverses Comissaries de les Regions Policials de Griona i la Metropolitana Nord.</t>
  </si>
  <si>
    <t>DO. ML-15067</t>
  </si>
  <si>
    <t>Direcció de les obres del projecte de millora local. Seguretat viària. Travesseres d'Anglesola, Tomabous i Tarrós, la Fuliola i Boldú, i Bellcaire d'Urgell a la Ctra. C-53, i travesseres d'Algerri i Castelló de Farfanya a la C-26.</t>
  </si>
  <si>
    <t>CSS. PGM-15305</t>
  </si>
  <si>
    <t>Coordinació de seguretat i salut de les obres de rehabilitació, adequació i millora del parc de Bombers de Figueres.</t>
  </si>
  <si>
    <t>PE+DF ICF-15336</t>
  </si>
  <si>
    <t>Redacció del projecte executiu i posterior direcció facultativa de les obres de restauració de la façana principal de l'edifici situat a Gran Via de les corts Catalanes, 635 de Barcelona.</t>
  </si>
  <si>
    <t>CQ. DGB-15357</t>
  </si>
  <si>
    <t>Control de qualitat de les obres de reforma i adaptació d'instal·lacions a la Seu del Departament d'Interior, per incorporar mesures correctores d'expedient de Llicència Ambiental.</t>
  </si>
  <si>
    <t>esmena el 19/05/17</t>
  </si>
  <si>
    <t>CQ. TM-99456.1-C9</t>
  </si>
  <si>
    <t>Control de qualitat de les obres del projecte complementari núm. 9 del perllongament de la línia 2 dels FMB. tram: Pep Ventrura-Badalona Pompeu Fabra. Actuacions d'arranjament de la Creu i Anselm Clavé a l'entorn de la Plaça Pompeu Fabra de Badalona.</t>
  </si>
  <si>
    <t>Direcció de les obres del projecte complementari núm. 9 del perllongament de la línia 2 dels FMB. tram: Pep Ventrura-Badalona Pompeu Fabra. Actuacions d'arranjament de la Creu i Anselm Clavé a l'entorn de la Plaça Pompeu Fabra de Badalona.</t>
  </si>
  <si>
    <t>DO. TM-99456.1-C9</t>
  </si>
  <si>
    <t>CSS. TM-99456.1-C9</t>
  </si>
  <si>
    <t>Coordinació de S.S. de les obres del projecte complementari núm. 9 del perllongament de la línia 2 dels FMB. tram: Pep Ventura-Badalona Pompeu Fabra. Actuacions d'arranjament de la Creu i Anselm Clavé a l'entorn de la Plaça Pompeu Fabra de Badalona.</t>
  </si>
  <si>
    <t>DO. AB-14009.F1</t>
  </si>
  <si>
    <t>Direcció de les obres del projecte de millora general. Condicionament. Ampliació a 3 carrils de l'autopista C-58, sentit Barcelona, del pk 12,600 al 16,750. Tram: Sant Quirze del Vallès-Terrassa.</t>
  </si>
  <si>
    <t>CSS. ML-08030-A1</t>
  </si>
  <si>
    <t>Coordinació de Seguretat i Salut de millora local. Millora de nus. Millora d'accessos a la població d'Alfés. Carretera C-12, pk 128,300 i 129,600. Tram: Alfés.</t>
  </si>
  <si>
    <t>CQ. ML-08030-A1</t>
  </si>
  <si>
    <t>Control de qualitat de les obres del projecte constructiu de millora local. Millora de nus. Millora d'accessos a la població d'Alfés. Carretera C-12, pk 128,300 i 129,600. Tram: Alfés.</t>
  </si>
  <si>
    <t>CSS. TM-02609.23.1-M2</t>
  </si>
  <si>
    <t>Coordinació de seg. i salut de les obres del projecte modificat núm. 2 d'escales mecàniques. Estacions del Prat, Ciutat Aeroportuària, Motors, Torrassa, Collblanc, Campus Sud i Gomal, corresponents als trams I i II de la L9 de Metro de Barcelona.</t>
  </si>
  <si>
    <t>CSS. MG-08128.2 + MG-06136.1</t>
  </si>
  <si>
    <t>Coord seg. i salut de les obres del proj. millora local. Eixamplament i reforç del ferm. Ctra. C-25, del pk 240,100 al 242,100. tram: Riudellots de la Selva-Campllong. i millora nus. Nou vial urbà de connexió entre C-25 pk 239,190 i c/ Major.</t>
  </si>
  <si>
    <t>CQ. CAP-13319-C1</t>
  </si>
  <si>
    <t>Control de qualitat de les obres del projecte complementari núm. 1 de la nova construcció del CAP Figueres 2.</t>
  </si>
  <si>
    <t>PE+DF PGM-17217</t>
  </si>
  <si>
    <t>Redacció del projecte executiu i la posterior direcció facultativa de les obres RAM de desplaçament de gual existent a l'avinguda de la Pelegrina al Parc de Bombers de Vilafranca del Penedès.</t>
  </si>
  <si>
    <t>PE+DF PGM-17218</t>
  </si>
  <si>
    <t>Redacció del projecte executiu i la posterior direcció facultativa de les obres RAM d'arranjament de coberta al Parc de Bombers d'Amer a Girona.</t>
  </si>
  <si>
    <t>DO. MG-08128.2+1</t>
  </si>
  <si>
    <t>Direcció conjunta de les obres del proj. millora local. Eixamplament i reforç del ferm. Ctra. C-25, del pk 240,100 al 242,100. tram: Riudellots de la Selva-Campllong. i millora nus. Nou vial urbà de connexió entre C-25 pk 239,190 i c/ Major.</t>
  </si>
  <si>
    <t>EA. R0-17208</t>
  </si>
  <si>
    <t>Redacció de l'estudi d'alternatives, elaboració del pla de migració i redacció dels Plecs i Projectes per a l'evolució del Post Comandament Central i Telecomandaments de la Línia 9 de Metro de Barcelona i la seva integració amb línies convencionals.</t>
  </si>
  <si>
    <t>CSS. INA-11213.1</t>
  </si>
  <si>
    <t>Coordinació de seguretat i salut de les obres d'ampliació, adequació i reconversió de l'Escola Montpedrós a Institut 4/2 L (1a fase) a Santa Coloma de Cervelló.</t>
  </si>
  <si>
    <t>DO. AB-06081.A1-F1</t>
  </si>
  <si>
    <t>Direcció de les obres del projecte constructiu de millora general. Condicionament. Reestudi de la secció transversal. Ctra. C-352. pk 20,640 al 22,740. Tram: La Roca del Vallès-Les Franqueses del Vallès.</t>
  </si>
  <si>
    <t>CSS. AB-14009.F1</t>
  </si>
  <si>
    <t>Coordinació de seguretat i salut de les obres del projecte de millora general. Condicionament. Ampliació a 3 carrils de l'autopista C-58, sentit Barcelona, del pk 12,600 al 16,750. Tram: Sant Quirze del Vallès-Terrassa.</t>
  </si>
  <si>
    <t>CSS. CAP-13319-C1</t>
  </si>
  <si>
    <t>Coordinació de Seguretat i Salut  de les obres del projecte complementari núm. 1 de la nova construcció del CAP Figueres 2.</t>
  </si>
  <si>
    <t>DE. CAP-13319-C1</t>
  </si>
  <si>
    <t>Direcció d'execució de les obres del projecte complementari núm. 1 de la nova construcció del CAP Figueres 2.</t>
  </si>
  <si>
    <t>CSS. MB-14052</t>
  </si>
  <si>
    <t>Coordinació de seguretat i salut de les obres de millora local. Ponjts i estructures. Ampliació i condicionament del marge dret del viaducte de la C-31 sobre el riu Llobregat., del pk 195,100 al 198,285. tram: El Prat de Llobregat-l'Hospitalet de LL.</t>
  </si>
  <si>
    <t>ATAM. AB-14009-F1+AB-14009-F2</t>
  </si>
  <si>
    <t>Assistència tècnica ambiental conjunta de les obres del projecte constructiu de millora general. Condicionament. Ampliació a 3 carrils de l'autopista C-58, sentit Barcelona, del pk 12,600 al 16,750. tram: Sant Quirze del Vallès-Terrassa. …</t>
  </si>
  <si>
    <t>DO. MB-14052</t>
  </si>
  <si>
    <t>Direcció de les obres de millora local. Ponjts i estructures. Ampliació i condicionament del marge dret del viaducte de la C-31 sobre el riu Llobregat., del pk 195,100 al 198,285. tram: El Prat de Llobregat-l'Hospitalet de LL.</t>
  </si>
  <si>
    <t>CQ. UPA-15002</t>
  </si>
  <si>
    <t>Control qualitat obres projecte constructiu millora ambiental. Millores de restauració de la connectivitat per l'herpetofauna de l'Estany de la Cardonera i de l'Estany d'en Pou amb la ctra. GI-602, pk 5,500 al pk 6,000 i del pk 9,500 al 10,000.</t>
  </si>
  <si>
    <t>CQ. HHB-16201</t>
  </si>
  <si>
    <t>Control de qualitat de les obres RAM d'actuació a l'anell d'alta tensió per cobrir les necessitats de l'àrea de laboratoris, microbiologia i edificis de suport de l'Hospital Vall d'Hebron, de Barcelona.</t>
  </si>
  <si>
    <t>CQ. S2-PNA-02455</t>
  </si>
  <si>
    <t>Control de qualitat de les actaucions per al condicionament de la coberta i els paraments exteriors del Centre d'educació infantil i primària Lluís Vives de castelldefels.</t>
  </si>
  <si>
    <t>CQ. MEB-16L01</t>
  </si>
  <si>
    <t>Control de qualitat de les obres de les actuacions pel condicionament de la coberta del CEIP El Garigot de Castelldefels; per al condicionament del drenatge de la pista esportiva del CEIP Miquel Martí i Pol de Sant Feliu de Llobregat i ....</t>
  </si>
  <si>
    <t>CQ. CAP-16205.1</t>
  </si>
  <si>
    <t>Control de qualitat de les obres RAM del Centre d'Atenció Primària Roger de Flor, de Barcelona.</t>
  </si>
  <si>
    <t>CQ. NL-15007</t>
  </si>
  <si>
    <t>Control qualitat obres del projecte constructiu de millora general. Nova ctra. Prolongació, eixamplament i millora del ferm de la ctra. L-311b, des de la rotonda de l'enllaç de l'A-2 (pk 520,000), fins al pk 0,950 de ka ctra, L-311b. Tram: Cervera.</t>
  </si>
  <si>
    <t>CQ. CAP-16205.2</t>
  </si>
  <si>
    <t>CQ. CAP-09398</t>
  </si>
  <si>
    <t>Control de qualitat de les obres RAM del Centre d'Atenció Primària Can Gibert del Pla, de Girona.</t>
  </si>
  <si>
    <t>Control de Qualitat de les obres per al Nou Centre d'Atenció Primària Can Roca, de Terrassa.</t>
  </si>
  <si>
    <t>CQ. CAP-16235</t>
  </si>
  <si>
    <t>Control de qualitat de les obres RAM del Centre d'Atenció Primària Bages, de Manresa.</t>
  </si>
  <si>
    <t>CQ. S2-BSV-06427</t>
  </si>
  <si>
    <t>Control de qualitat de les actuacions per a la resolució de les incidències detectades per obtenir la llicència ambiental a la residència i centre de dia AC Sandino. Barcelona.</t>
  </si>
  <si>
    <t>PE+DO.CAP-17237</t>
  </si>
  <si>
    <t>Redacció del projecte bàsic i executiu i la posterior direcció de les obres de la construcció del Centre d'Atenció Primària de Riells i Viabrea.</t>
  </si>
  <si>
    <t>modificades data presentació i obertura el 14/06/17</t>
  </si>
  <si>
    <t>CQ. CAP-16210</t>
  </si>
  <si>
    <t>Control de qualiat de les obres RAM del Centre d'Atenció Primària Sant Miquel, de Granollers.</t>
  </si>
  <si>
    <t>CQ. BSV-16238</t>
  </si>
  <si>
    <t>Control de qualitat de les obres RAM de condicionament i millora del Casal de Gent Gran de Sant Ildefons a Cornellà de Llobregat.</t>
  </si>
  <si>
    <t>CQ. MB-14052</t>
  </si>
  <si>
    <t>Control de qualitat de les obres del projecte constructiu de millora local. Ponts i estructures. Ampliació i condicionament del marge dret del viaducte de la C-31 sobre el riu Llobregat, del pk 195,100 al 195,285. Tram: el Prat de Llobregat-Hospitale</t>
  </si>
  <si>
    <t>DO. MB-14040</t>
  </si>
  <si>
    <t>Direcció de les obres del projecte constructiu de millora local. Mesures correctores. Reparació del tram de la C-17 entre el pk 43,050 i pk 43,550. Tram: Centelles-Seva.</t>
  </si>
  <si>
    <t>CSS. UPA-15002</t>
  </si>
  <si>
    <t>Coordinació s.s.  obres projecte constructiu millora ambiental. Millores de restauració de la connectivitat per l'herpetofauna de l'Estany de la Cardonera i de l'Estany d'en Pou amb la ctra. GI-602, pk 5,500 al pk 6,000 i del pk 9,500 al 10,000.</t>
  </si>
  <si>
    <t>DO. UPA-15002</t>
  </si>
  <si>
    <t>Direcció de les obres projecte constructiu millora ambiental. Millores de restauració de la connectivitat per l'herpetofauna de l'Estany de la Cardonera i de l'Estany d'en Pou amb la ctra. GI-602, pk 5,500 al pk 6,000 i del pk 9,500 al 10,000.</t>
  </si>
  <si>
    <t>PM. IAG-09265-M1</t>
  </si>
  <si>
    <t>Redacció del projecte modificat núm. 1  de les obres de reforma i ampliació d'institut a 3/2 línies mes cicles formatius a l'Institut Montsortiu d'Arbúcies.</t>
  </si>
  <si>
    <t>CQ. MB-14040</t>
  </si>
  <si>
    <t>Control de qualitat de les obres del projecte constructiu de millora local. Mesures correctores. Reparació del tram de la C-17 entre el pk 43,050 i pk 43,550. Tram: Centelles-Seva.</t>
  </si>
  <si>
    <t>PE+DO. CAP-17238</t>
  </si>
  <si>
    <t>Redacció del projecte bàsic i d'execució i la posterior direcció de les obres de construcció del CAP de Sant Feliu de Codines.</t>
  </si>
  <si>
    <t>PE+DO. HHB-16282</t>
  </si>
  <si>
    <t>Redacció del projecte bàsic i executiu i la posterior direcció de l'obra de la implantació d'heliport a la coberta de l'Àrea de Traumatologia de l'Hospital Vall d'Hebron, de Barcelona.</t>
  </si>
  <si>
    <t>CSS. MB-14040</t>
  </si>
  <si>
    <t>Coordinació de seguretat i salut de les obres del projecte constructiu de millora local. Mesures correctores. Reparació del tram de la C-17 entre el pk 43,050 i pk 43,550. Tram: Centelles-Seva.</t>
  </si>
  <si>
    <t>PE+DO. XME-17572</t>
  </si>
  <si>
    <t>Redacció del projecte bàsic i d'execució i la posterior direcció d'obra de les obres RAM 2017 als Serveis Territorials a les Terres de l'Ebre I. Reforç i consolidació estructural a l'Escola Teresa Subirats i Mestre de Mas de Barberans.</t>
  </si>
  <si>
    <t>PE+DO. CGM-17251</t>
  </si>
  <si>
    <t>Redacció projecte bàsic i exec. i la posterior dir. obres RAM renovació d'elements bàsics d'instal·lacions esgotats (calderes, incendis, SAI's) en diverses comissaries i renovació de màquines de clima i millores funcionals a Bcn-Comissaria Les Corts.</t>
  </si>
  <si>
    <t>DE. CLT-12915</t>
  </si>
  <si>
    <t>Direcció d'execució de les obra del nou Consultori Local Els Pallaresos.</t>
  </si>
  <si>
    <t>CQ. VT-08112. F1</t>
  </si>
  <si>
    <t>Control de qualitat de les obres del projecte constructiu de millora general. Variant de Sarral. Ctra. C-241d, del pk 7,700 a l'11,100. Fase 1. rotonda a la ctra. TP-2311, pk 10,100. Tram: Sarral.</t>
  </si>
  <si>
    <t>PE+DO. CAP-1729</t>
  </si>
  <si>
    <t>Redacció del projecte bàsic i executiu i la posterior direcció d'obra de la construcció del Centre d'Atenció Primària Gorg de Badalona.</t>
  </si>
  <si>
    <t>DO. VT-08112. F1</t>
  </si>
  <si>
    <t>Direcció de les obres del projecte constructiu de millora general. Variant de Sarral. Ctra. C-241d, del pk 7,700 a l'11,100. Fase 1. rotonda a la ctra. TP-2311, pk 10,100. Tram: Sarral.</t>
  </si>
  <si>
    <t>modificada data presentació 26/06/17</t>
  </si>
  <si>
    <t>CSS. ML-15067</t>
  </si>
  <si>
    <t>Coordinació de seg. i salut de les obres del projecte de millora local. Seguretat viària. Travesseres d'Anglesola, Tomabous i Tarrós, la Fuliola i Boldú, i Bellcaire d'Urgell a la Ctra. C-53, i travesseres d'Algerri i Castelló de Farfanya a la C-26.</t>
  </si>
  <si>
    <t>EV. E9-MA-17900</t>
  </si>
  <si>
    <t>Redacció de l'estudi pel seguiment de les xarxes de control d'aigües subterrànies, superficials i de drenatge del reg Segarra-Garrigues. DIA 201 Campanya 2017-2018.</t>
  </si>
  <si>
    <t>CQ. ATC-16269</t>
  </si>
  <si>
    <t>Control de qualitat de les obres de remodelació d'oficines territorials de l'Agència Tributària de Catalunya a La Bibal d'Empordà.</t>
  </si>
  <si>
    <t>CQ. XMA-16574</t>
  </si>
  <si>
    <t>Control de qualitat de les obres RAM 2016 als Serveis Territorials al Baix Llobregat XVI, Institut Escola del Prat, del Prat de Llobregat.</t>
  </si>
  <si>
    <t>moficades data presentac ió 8/06/17 i 27/06/17</t>
  </si>
  <si>
    <t>PE+DO. CGM-17253</t>
  </si>
  <si>
    <t>Red. proj. bàsic i executiu i posterior dir. obres RAM Millores funcionals en àrees de detinguts a les comissaries de Badalona i Blanes. Barreres Arquitectòniques a la comissaria d'Arenys de Mar. Arranjament de Marquesines a les comissaries Borges…</t>
  </si>
  <si>
    <t>PE+DO. CGM-17250</t>
  </si>
  <si>
    <t>Red. proj. bàisc i executiu i posterior dir. obres RAM Estalvi energètic 3. Millores i adequacions d'equips de climatització, tancament exteriors, protecció solar i aïllaments a les comissaries de Granollers, Lleida i La Seu d'Urgell.</t>
  </si>
  <si>
    <t>PE+DO. CGM-17248</t>
  </si>
  <si>
    <t>Red. proj. bàsic i executiu i posterior dir. obres RAM de millores en els sistemes de seguretat i videovigilància en comissaries de les Regions Policials de Girona, Catalunya Central, Pirineu i Ponent.</t>
  </si>
  <si>
    <t>Direccion d'Obra</t>
  </si>
  <si>
    <t>CSS. AB-06081.A1-F1</t>
  </si>
  <si>
    <t>Coordinació de Seg. i Salut. de les obres del projecte constructiu de millora general. Condicionament. Reestudi de la secció transversal. Ctra. C-352. pk 20,640 al 22,740. Tram: La Roca del Vallès-Les Franqueses del Vallès.</t>
  </si>
  <si>
    <t>modificació data presentació 29/06/17</t>
  </si>
  <si>
    <t>modificada data presentació 03/07/17</t>
  </si>
  <si>
    <t>CQ. CLT-12915</t>
  </si>
  <si>
    <t>Control de qualitat de les obres del nou Consultori Local Els Pallaresos.</t>
  </si>
  <si>
    <t>CQ. AB-06081.A1-F1</t>
  </si>
  <si>
    <t>Control de qualitat de les obres del projecte constructiu de millora general. Condicionament. Reestudi de la secció transversal. Ctra. C-352. pk 20,640 al 22,740. Tram: La Roca del Vallès-Les Franqueses del Vallès.</t>
  </si>
  <si>
    <t>CQ. CAP-16236</t>
  </si>
  <si>
    <t>Control de qualitat de les obres RAM del Centre d'Atenció Primària Sant Pere i Sant Pau, de Tarragona.</t>
  </si>
  <si>
    <t>PC. AG-03020.3.1</t>
  </si>
  <si>
    <t>Redacció del projecte constructiu Millora general. Condicionament. Corredor Brugent - Ter. Variant d'Anglès. De la ctra. C-63, pk 38,000 a la ctra. N-141e, pk 101,150. Tram: Anglès.</t>
  </si>
  <si>
    <t>EG. E1-XA-08344.1</t>
  </si>
  <si>
    <t>Redacció de l'estudi geotècnic del projecte de millora del ferm i del drenatge del camí de Castelltallat a Salo. TM de Sant Mateu de Bages.</t>
  </si>
  <si>
    <t>CSS. NL-15007</t>
  </si>
  <si>
    <t>Coordinació de seguretat i salut de les obres del projecte constructiu de millora general. Nova carretera. Prolongació. Eixamplament i millora del ferm de la carretera L-311b. Tram: Cervera.</t>
  </si>
  <si>
    <t>EV. E3-ER-14300</t>
  </si>
  <si>
    <t>Redacció de la memòria ambiental del projecte complementari núm. 1 de la xarxa de regadiu del pantà de Guiamets al TM de Tivissa.</t>
  </si>
  <si>
    <t>CSS. CLT-12915</t>
  </si>
  <si>
    <t>Coordinació de seguretat i salut de les obres del projecte execució de les bores de construcció del nou Consultori Local Els Pallaresos.</t>
  </si>
  <si>
    <t>CSS. CAP-09398</t>
  </si>
  <si>
    <t>Coordinació de seguretat i salut de les obres per al Nou Centre d'Atenció Primària Can Roca, de Terrassa.</t>
  </si>
  <si>
    <t>CQ. UPA-15001</t>
  </si>
  <si>
    <t>Control de qualitat de les obres per a la restitució del Tractament Terciari tou de les aigües residuals tractades a l'EDAR de Tordera.</t>
  </si>
  <si>
    <t>PC. MB-16065</t>
  </si>
  <si>
    <t>Redacció del projecte constructiu de millora local. Seguretat viària. Revisió dels límits de velocitat, millora dels accessos a camins i finques i talussos. Ctra. C-58, pk 25,360 al 37,790. Tram: Viladecavalls-Castellbell i el Vilar.</t>
  </si>
  <si>
    <t>modificació data presentació 07/07/17</t>
  </si>
  <si>
    <t>EV. AE-MC-16057</t>
  </si>
  <si>
    <t>Redacció de l'estudi de millora local. Seguretat viària. Estudi d'identificació dels Trams de Concentració d'Accidents 2012-2016 de la xarxa de carreteres de la Generalitat de Catalunya.</t>
  </si>
  <si>
    <t>PM.PNG-10091-M1</t>
  </si>
  <si>
    <t>Redacció del projecte modificat núm. 1 de les obres de la Nova construcció de l'Escola Pirineu de Campdevànol.</t>
  </si>
  <si>
    <t>CQ. S1-SNA-08314</t>
  </si>
  <si>
    <t>Control de qualitat de les obres d'ampliació i adequació de les instal·lacions de la sala de la caldera d'ACS de l'IES de Masquefa.</t>
  </si>
  <si>
    <t>PE+DO. XMV-17573</t>
  </si>
  <si>
    <t>Redacció del projecte i posterior direcció de les obres RAM 2017 als Serveis Territorials del Vallès Occidental XII. Adequació espais ESO, 3a i 4a fase de la conversió d'una part de l'edif. Escola Elisa de Barberà del Vallès en Int. Bitàcola 2/0 lín.</t>
  </si>
  <si>
    <t>PE+DO. BSV-15315.A</t>
  </si>
  <si>
    <t>Redacció del projecte bàsic i executiu i la posterior direcció de les obres de reofrma de la cuina i magatzems de la residència per a gent gran Els Arcs, a Figueres.</t>
  </si>
  <si>
    <t>PM. AT-07039.F1-M1</t>
  </si>
  <si>
    <t>Redacció del projecte modificat núm. 1 de les obres de millora general. Condicionament i reordenació dels accessos a la carretera TV-3141 del pk 0,000 al 7,000. Fase 1. Reordenació d'accessos. Tram: Cambrils-Reus.</t>
  </si>
  <si>
    <t xml:space="preserve">PE+DO. PNH-17246 </t>
  </si>
  <si>
    <t>Redacció del projecte bàsic i executiu i la posterior direcció de les obres de nova construcció Escola La Serreta de Santpedor (1 línia).</t>
  </si>
  <si>
    <t>Coordinació de seg. i salut de les obres del proj. constructiu de millora local. Ponts i estructures. Ampliació i condicionament del marge dret del viaducte de la C-31 sobre el riu Llobregat, pk 195,100 al 195,285. Tram: el Prat de Ll.-Hospitalet Ll.</t>
  </si>
  <si>
    <t>PR+DF. IAC-10037-C1</t>
  </si>
  <si>
    <t>Redacció del projecte bàsic i executiu i la posterior direcció facultativa de les obres del projecte complementari núm. 1 a l'Institut La Llauna, a Badalona.</t>
  </si>
  <si>
    <t>CQ. HVB-15345</t>
  </si>
  <si>
    <t>Control de qualitat de les obres d'arquitectura de l'ampliació i reforma de l'Hospital de Viladecans.</t>
  </si>
  <si>
    <t>CQ. UPA-15003</t>
  </si>
  <si>
    <t>Control de qualitat de les obres de millora ambiental. Recuperació dels sistemes dunars a l'Empordà.</t>
  </si>
  <si>
    <t>DO. UPA-15003</t>
  </si>
  <si>
    <t>Direcció de les obres de millora ambiental. Recuperació dels sistemes dunars a l'Empordà.</t>
  </si>
  <si>
    <t>CQ. MET-15L04</t>
  </si>
  <si>
    <t>Control de qualitat de les obres RAM de 6 comissaries de la policia de la Generalitat-Mossos d'Esquadra als TT.MM. d'Amposta, Gandesa, Tortosa, Valls, Momblanc i Cambrils.</t>
  </si>
  <si>
    <t>CSS. VT-08112. F1</t>
  </si>
  <si>
    <t>Coordinació de seguretat i salut de les obres del projecte constructiu de millora general. Variant de Sarral. Ctra. C-241d, del pk 7,700 a l'11,100. Fase 1. rotonda a la ctra. TP-2311, pk 10,100. Tram: Sarral.</t>
  </si>
  <si>
    <t>PR. AB-01055-C3</t>
  </si>
  <si>
    <t>Redacció del projecte constructiu millora local. Talussos. Estabilització de talussos. Ctra. C-62. pk 10,350 al 32,600. Fase. 2. Tram: Olost-Olvan.</t>
  </si>
  <si>
    <t>PC. MG-15015.3</t>
  </si>
  <si>
    <t>Redacció del projecte constructiu de millora local. Seguretat viària. Eixamplament del pont sobre el riu Ser a la ctra. C-66, pk 53,200. Tram: Serinyà.</t>
  </si>
  <si>
    <t>PC. TM-02609.20.2</t>
  </si>
  <si>
    <t>Redacció del projecte de canvi de senyalèctica i de plafons de senyalització per adaptar la xarxa a la posada en servei de la Línia 10 Sud del metro de Barcelona.</t>
  </si>
  <si>
    <t>DO. TF-09408.A1</t>
  </si>
  <si>
    <t>Direcció de les obres del projecte actualitzat. Perllongament del soterrament de la línia d'FGC a Sabadell des de la Rambla Ibèria fins al passeig de Can Feu.</t>
  </si>
  <si>
    <t>CQ. TF-09408.A1</t>
  </si>
  <si>
    <t>Control de qualitat de les obres del projecte actualitzat. Perllongament del soterrament de la línia d'FGC a Sabadell des de la Rambla Ibèria fins al passeig de Can Feu.</t>
  </si>
  <si>
    <t>CP. PAR-1701</t>
  </si>
  <si>
    <t>Assistència tècnica i suport al tancament dels procediments de concentració parcel·lària en l'àmbit Segarra-Garrigues i altres. Actes de reorganització de la propietat, actes complentàries i tramitació de modificacions d'expedients.</t>
  </si>
  <si>
    <t>CQ. TX-15358</t>
  </si>
  <si>
    <t>Controld e qualitat de les obres del projecte constructiu de millora local. Via peatonal i ciclista a la carretera GI-524, del pk 3,400 (Can Blanc) al pk 6,500 (àrea d'aparcament del volcà de Santa Margarida). Tram: Santa Pau.</t>
  </si>
  <si>
    <t>PC. MB-16067</t>
  </si>
  <si>
    <t>Redacció del projecte constructiu de millora local. Seguretat viària. Estudi i implementació de millores en seguretat viària per a motoristes a la xarxa de carreteres de la Generalitat a la provincia de Barcelona. Any 2016.</t>
  </si>
  <si>
    <t>ATAM. TF-09408.A1 + MB-15055</t>
  </si>
  <si>
    <t>Assist. tèc. ambiental conjunta de les obres "Perllongament del soterrament de la línia d'FGC a Sabadell des de la Ramba Ibèria fins al Passeig Can Feu. i Millora carac. superficials ferm i reestudi sec. transversal. Ctra. C-55. Collbató-Castellbell.</t>
  </si>
  <si>
    <t>CSS. TF-09408.A1</t>
  </si>
  <si>
    <t>Coordinació de Seguretat i Salut de les obres del projecte actualitzat. Perllongament del soterrament de la línia d'FGC a Sabadell des de la Rambla Ibèria fins al passeig de Can Feu.</t>
  </si>
  <si>
    <t>CSS. UPA-15003</t>
  </si>
  <si>
    <t>Coordinació de Seguretat i Salut de les obres de millora ambiental. Recuperació dels sistemes dunars a l'Empordà.</t>
  </si>
  <si>
    <t>CSS. TX-15358</t>
  </si>
  <si>
    <t>Coordinació de seguretat i salut de les obres del projecte constructiu de millora local. Via peatonal i ciclista a la carretera GI-524, del pk 3,400 (Can Blanc) al pk 6,500 (àrea d'aparcament del volcà de Santa Margarida). Tram: Santa Pau.</t>
  </si>
  <si>
    <t>DO. TX-15358</t>
  </si>
  <si>
    <t>Direcció de les obres del projecte constructiu de millora local. Via peatonal i ciclista a la carretera GI-524, del pk 3,400 (Can Blanc) al pk 6,500 (àrea d'aparcament del volcà de Santa Margarida). Tram: Santa Pau.</t>
  </si>
  <si>
    <t>IN. TF-09408.A1</t>
  </si>
  <si>
    <t>Inspecció prèvia d'edificis del projecte actualitzat. Perllongament del soterrament de la línia d'FGC a Sabadell des de la Rambla Ibèria fins al passeig de Can Feu.</t>
  </si>
  <si>
    <t>Unitat i supervisió de projectes i obra (UASPO). Concessió. Estacions i determinades infraestructures del tram 2 de la línia 9 del Metro de Barcelona.</t>
  </si>
  <si>
    <t>PE+DO. ECO-17219 (2V)</t>
  </si>
  <si>
    <t>Redacció del projecte bàsic i executiu i la posterior direcció de les obres de la implantació de les oficines de l'Edifici del Districte administratiu de la Generalitat de Catalunya.</t>
  </si>
  <si>
    <t>PC. AB-15032.F4</t>
  </si>
  <si>
    <t>Redacció del projecte constructiu millora general. Ordenació d'accessos a la ctra. C-17 del pk 18,700 al 21,000 i nou enllaç al pk 19,700. Tram: Granollers-Lliçà d'Amunt.</t>
  </si>
  <si>
    <t>PC. AB-15032.F1</t>
  </si>
  <si>
    <t>Redacció del projecte constructiu millora general. Nou ramal d'enllaç de la C-17 al pk 14,800 amb l'AP-7 al pk 137,000, sentit Barcelona. Tram: Parets del Vallés-Mollet del Vallés.</t>
  </si>
  <si>
    <t>PC. AB-15032.F2</t>
  </si>
  <si>
    <t>PC. AB-15032.F3</t>
  </si>
  <si>
    <t>Redacció del projecte constructiu millora general. Tercer carril calçada sentit nord en la ctra. C-17, del pk 15,100 al 18,700. Tram: Parets del Vallès-Granollers.</t>
  </si>
  <si>
    <t>Redacció del projecte constructiu millora general. Tercer carril calçada sentit sur en la ctra. C-17, del pk 14,700 al 18,700. Tram: Parets del Vallès-Granollers.</t>
  </si>
  <si>
    <t>CSS. TX-14327.F1</t>
  </si>
  <si>
    <t>CQ. TX-14327.F1</t>
  </si>
  <si>
    <t>DO. TX-14327.F1</t>
  </si>
  <si>
    <t>Contracte de serveis per a l'assistència tècnica de Coordinació de seguretat i salut de les obres del projecte constructiu Via cicloturística Intercatalunya. Estudi de corredors i traçat: Lleida - Girona. Fase 1: Lleida - Cervera.</t>
  </si>
  <si>
    <t>Contracte de serveis per a l'assistència tècnica de control de qualitat de les obres del projecte constructiu Via cicloturística Intercatalunya. Estudi de corredors i traçat: Lleida - Girona. Fase 1: Lleida - Cervera.</t>
  </si>
  <si>
    <t>Contracte de serveis per a la direcció de les obres del projecte constructiu Via cicloturística Intercatalunya. Estudi de corredors i traçat: Lleida - Girona. Fase 1: Lleida - Cervera.</t>
  </si>
  <si>
    <t>PC. CB-16025</t>
  </si>
  <si>
    <t>PC. MB-16056</t>
  </si>
  <si>
    <t>Redacció del projecte constructiu: Conservació extraordinària. Ponts i estructures. Rehabilitació d'obres de fàbrica a la carretera C-16, PK 115+130,la B-400,PK 10+300,la C-55,PK 38+170 i 39+970. Tram: Guardiola de Berguedà, Saldes i S. Joan Vilatorrada.</t>
  </si>
  <si>
    <t>Redacció del projecte constructiu Millora local. Apantallament acústic a la carretera C-17, al PK 21+200 (Cal Pastor) i PK 22+600 (Can Duran). Tram: Granollers - Canovelles.</t>
  </si>
  <si>
    <t>CQ. PNT-14334</t>
  </si>
  <si>
    <t>PC. MA-14901</t>
  </si>
  <si>
    <t>PC. MA-17905</t>
  </si>
  <si>
    <t>CSS. AT-00164.1-C1</t>
  </si>
  <si>
    <t>TA. TA-CMB-17035</t>
  </si>
  <si>
    <t>PC. MB-16066</t>
  </si>
  <si>
    <t>Control de qualitat de les obres de  nova construcció Escola d'Arrabassada, 2L a Tarragona.</t>
  </si>
  <si>
    <t>Redacció del projecte de mesures correctores de la concentració parcel·laria del TM d'Alfés. Mesures correctores i compensatòries del regadiu del sistema Segarra-Garrigues. DIA 2010.</t>
  </si>
  <si>
    <t>Redacció del projecte de naturalització i recuperació dels sistemes naturals a l'embassament de l'Albagés. Mesures correctores i compensatòries del regadiu del sistema Segarra-Garrigues. DIA 2010.</t>
  </si>
  <si>
    <t>Coordinació de seguretat i salut de les obres "Projecte complementari núm. 1. Intervenció arqueològica al Jaciment de Vilardia. C-51. Tram: Vila-rodona-Montferri.</t>
  </si>
  <si>
    <t>Red. proj. traçat. Millora local. Millora de nus. Millora d'accessibilitat a Montmeló. Noves connexions al ramal de sortida de la C-17 sentit Granollers, PK 14+600, i al ramal de sortida de l'A P-7 (sortida 14), al PK 136+200, sentit BCN. Tram: Parets V.</t>
  </si>
  <si>
    <t>Redacció del projecte constructiu Millora local. Ponts i estructures. Ampliació vorera de la BV-1225 al pas superior de la carretera C-55 (Ronda de Manresa). PK 28+530. Tram: Manresa.</t>
  </si>
  <si>
    <t>DO. MB-13013-C1</t>
  </si>
  <si>
    <t>Direcció de les obres del projecte complementari núm. 1de millora local. Seguretat viària. Millora de les característiques superficials del ferm i reestudi de la secció transversal. Ctra. C-58. pk 30,635 al 37,790. Tram: Vacarisses-Castellbell i el Vilar.</t>
  </si>
  <si>
    <t>Direcció de les obres  del projecte complementari núm.1 millora de la seguretat viària. Millora de les característiques superficials del ferm i reestudi de la secció transversal. Carretera C-55. pk 18,500 al 26,500. Tram: Castellbell i el Vilar - Manresa.</t>
  </si>
  <si>
    <t>DO. MB-15056</t>
  </si>
  <si>
    <t>Direcció de les obres del projecte constructiu de millora local. Millora de nus. Rotonda a la carretera BV-2244, pk 1,320. Tram: Sant Sadurní d'Anoia.</t>
  </si>
  <si>
    <t>CSS. HVB-15345+ HVB-16220</t>
  </si>
  <si>
    <t>Coordinació de seguretat i salut de les obres: "Ampliació i reforma de l'Hospital de Viladecans. Instal·lacions de la reforma i ampliació de l'Hospital de Viladecans.</t>
  </si>
  <si>
    <t>CQ. AB-14009.F2</t>
  </si>
  <si>
    <t>Control qualitat obres proj. constr. millora general. Condicionament. Nous carrils de trenat a la calçada sentit Barcelona de l'autopista C-58 entre el nus de Sant Pau a Sabadell i l'autopista B-30,del PK 9+000 al 10+400. Tram: Badia del Vallès - Sabadell</t>
  </si>
  <si>
    <t>CSS. AB-14009.F2</t>
  </si>
  <si>
    <t>PE+DO. PSL-17236</t>
  </si>
  <si>
    <t>CSS. PNT-14334</t>
  </si>
  <si>
    <t>DE. PNT-14334</t>
  </si>
  <si>
    <t>Coord. S.S. obres proj. constr. millora general. Condicionament. Nous carrils de trenat a la calçada sentit Barcelona de l'autopista C-58 entre el nus de Sant Pau a Sabadell i l'autopista B-30,del PK 9+000 al 10+400. Tram: Badia del Vallès - Sabadell</t>
  </si>
  <si>
    <t>Assistència tècnica per a la redacció del projecte bàsic i executiu i la posterior direcció de les obres de la reforma i ampliació del Parc de Bombers de Solsona. (2 voltes).</t>
  </si>
  <si>
    <t>Assistència tècnica de cood. de S. S.  de les obres de  nova construcció Escola d'Arrabassada, 2L a Tarragona.</t>
  </si>
  <si>
    <t>Direcció d'execució de les obres de  nova construcció Escola d'Arrabassada, 2L a Tarragona.</t>
  </si>
  <si>
    <t>PE+DO. PNC-17258</t>
  </si>
  <si>
    <t>PE+DO. INH-17232</t>
  </si>
  <si>
    <t>Redacción del proyecto básico y de ejecución y la posterior dirección de las obras de la nueva construcción Escuela 1 línea Jacint Verdaguer, a la Granada.</t>
  </si>
  <si>
    <t>Redacción del proyecto básico y de ejecución y la posterior dirección de obra de la nueva construcción del Instituto 3/0, en Gurb.</t>
  </si>
  <si>
    <t>PE+DO. CCT-17215</t>
  </si>
  <si>
    <t>Contracte de serveis per a l'assistència tècnica per a la redacció del projecte bàsic i executiu i postrior direcció de les obres de la nova contrucció d'una comissaria de districte de la Policia de la Generalitat-Mossos d'Esquadra a Torredembarra.</t>
  </si>
  <si>
    <t>RO-17221</t>
  </si>
  <si>
    <t>Redacció dels projectes constructius i dels plecs de bases per a la licitació en els àmbits dels Subsistemes d'Energia Electromecànics de la Línia 9 de metro de Barcelona, segons actuacions definides en el Pla General d'Obsolescència 2016.</t>
  </si>
  <si>
    <t>Redacció del projecte constructiu Nova estació entre Collblanc i Pubilla Casas de la línia 5 de l'FMB. Arquitectura i instal·lacions. Projecte actualitzat.</t>
  </si>
  <si>
    <t>PC. TM-09294.A2</t>
  </si>
  <si>
    <t>CSS XL-04084</t>
  </si>
  <si>
    <t>Coordinació de segureta i salut de les obres del projecte constructiu de millora general. Condicionament i eixamplament. Ctra. LP-3322 del pk 10,600 al 14,500. Tram: Linyola-Bellcaire d'Urgell.</t>
  </si>
  <si>
    <t>PC. R0-17220</t>
  </si>
  <si>
    <t>CQ. MT-09081</t>
  </si>
  <si>
    <t>PC. PC-CMT-17003</t>
  </si>
  <si>
    <t>Redacció dels projectes constructius i dels plecs de bases per licitació en l'àmbit dels subsistemes de telecomunicacions de la L9 del metro de Barcelona segons actuacions definides en el Pla General d'Obsolescència 2016.</t>
  </si>
  <si>
    <t>Control de qualitat de les obres del projecte constructiu de millora local. Millora de nus. Rotonda a la carretera TP-2002, pk 1,660, intersecció amb les carreteres TP-2003 i TV-2004. Tram: Vila-rodona.</t>
  </si>
  <si>
    <t>Redacció del projecte constructiu de millora local. Seguretat viària. Eixamplament de vorera pel marge esquerra de la carretera C-14, del pk 45,920 al 46,120. Tram: Solivella.</t>
  </si>
  <si>
    <t>PC. R0-17266</t>
  </si>
  <si>
    <t>CQ. PGM-15354</t>
  </si>
  <si>
    <t>CQ. ML-14045.1</t>
  </si>
  <si>
    <t>Redacció del projecte de millora de la rigidesa de la via superior per la reducció del nivell de vibracions existents a la L9/L10 del Metro de Barcelona. Zones de Collblanc i de Bon Pastor.</t>
  </si>
  <si>
    <t>Control de qualitat de les obres d'adequació d'espais per al trasllat de la Sala de Control d'Emergències de Girona a l'edifici Santa Caterina.</t>
  </si>
  <si>
    <t>Control de qualitat de les obres del projecte constructiu de millora local. Seguretat viària. Viseres antiallaus a la carretera C-28, PK 39+550 (RUDA14). Tram: Baquèira - Vall de Ruda (Naut Aran).</t>
  </si>
  <si>
    <t>CSS MG-15015.2</t>
  </si>
  <si>
    <t>EI. EI-CNG-17036</t>
  </si>
  <si>
    <t>Assistència tècnica per la Coordinació de seguretat i salut per l'execució de les obres de millora local. Seguretat viària. Millores de seguretat i reestudi de la secció transversal. Carretera C-66, PK 50+450 al 55+800. Tram: Serinyà – Sant Ferriol.</t>
  </si>
  <si>
    <t>Assistència tècnica per a la redacció de l´estudi informatiu: Nou vial de connexió sobre el riu Fluvià entre la carretera GIV-6303 i la carretera GIV-6216 a Sant Pere Pescador. Tram: Sant Pere Pescador.</t>
  </si>
  <si>
    <t>PC. PC-CMB-17022</t>
  </si>
  <si>
    <t>Redacció del projecte constructiu: Millora local. Seguretat viària. Implantació d'un tercer carril. Ctra. C-55 pk 20,800 al 22,070. Tram: Sant Vicenç de Castellet-Castellgalí.</t>
  </si>
  <si>
    <t>CSS. MT-09081</t>
  </si>
  <si>
    <t>CQ. RE-13061.1</t>
  </si>
  <si>
    <t>DO. XG-15036 (Lots 1 i 2)</t>
  </si>
  <si>
    <t>CSS. CAP-13320</t>
  </si>
  <si>
    <t>DO. AT-00164.1-C1</t>
  </si>
  <si>
    <t>PC. UG-01528-A1</t>
  </si>
  <si>
    <t>CSS. ML-14045.1</t>
  </si>
  <si>
    <t>Coordinació de seguretat i salut de les obres del projecte constructiu de millora local. Millora de nus. Rotonda a la carretera TP-2002, PK 1+660, intersecció amb les carretera TP-2003 i TV-2004. Tram: Vila-rodona.</t>
  </si>
  <si>
    <t>Control de qualitat de les obres de ferm. Reforçament del ferm a la carretera C-12, del PK 19+600 al 23+500. Tram: Tortosa - Aldover.</t>
  </si>
  <si>
    <t>Direcció de les obres del projecte constructiu de millora local. Via verda. Via ciclista de l’estacióde Riells i Viabrea – Breda al nucli de Breda per la carretera GI-552, del PK 2+000 al 4+000. Tram: Riells i Viabrea – Breda.</t>
  </si>
  <si>
    <t>Assistència tècnica de coordinació de seguretat i salut de les obres de construcció del nou Centre de Salut. Servei d'Urgències i CMA, a Granollers.</t>
  </si>
  <si>
    <t>Direcció de les obres del projecte complementari núm. 1. Intervenció arqueològica al Jaciment de Vilardida. C-51. Tram: Vila-rodona- Montferri.</t>
  </si>
  <si>
    <t>Redacció del projecte constructiu: Projecte actualitzat. Camí de ronda entre la Platja de Fenals i la Platja de Lloret, al terme municipal de Lloret de Mar.</t>
  </si>
  <si>
    <t>Coordinació de seguretat i salut de les obres del projecte constructiu de millora local. Seguretat viària. Viseres antiallaus a la carretera C-28, PK 39+550 (RUDA14). Tram: Baquèira - Vall de Ruda (Naut Aran).</t>
  </si>
  <si>
    <t>PC. MB-10067.F1</t>
  </si>
  <si>
    <t>Redacció del projecte constructiu de millora local. Seguretat viària. Reordenació dels accessos a la C-243c, pk 8,600. Accés a Ca n'Amat. Tram: Ullastrell.</t>
  </si>
  <si>
    <t>DO. ML-14045.1</t>
  </si>
  <si>
    <t>Direcció de les obres del projecte constructiu de millora local. Seguretat viària. Viseres antiallaus a la carretera C-28, pk 39,550 (RUDA14). Tram: Baquèira-Vall de Ruda (Naut Aran).</t>
  </si>
  <si>
    <t>DO. XL-04084</t>
  </si>
  <si>
    <t>Direcció de les obres del projecte constructiu de millora general. Condicionament i eixamplament. Carretera LP-3322 del PK 10+600 al 14+500. Tram: Linyola - Bellcaire d'Urgell.</t>
  </si>
  <si>
    <t>PC.TF-08272-C1</t>
  </si>
  <si>
    <t>Redacció del projecte complementari núm. 1 del pas inferior de la carretera GIV-5217 sota les vies del tren cremallera de FGC a Queralbs. Mesures d'estabilització del desguàs del drenatge del pas inferior. Tram: Queralbs.</t>
  </si>
  <si>
    <t>CQ. CAP-17212</t>
  </si>
  <si>
    <t>Control de qualitat de les obres RAM d'actuació de reparació dels despreniments a la façana del Centre d'Atenció Primària de Canet de Mar.</t>
  </si>
  <si>
    <t>CQ. CAP-13320</t>
  </si>
  <si>
    <t>Control de qualitat de les obres de construcció del nou Centre de Salut. Servei d'Urgències i CMA, a Granollers.</t>
  </si>
  <si>
    <t>CQ.TF-02676.11</t>
  </si>
  <si>
    <t>Control de qualitat del projecte constructiu. Condicionament del túnel i estacions entre Sabadell Estació (provisional) i Sabadell Rambla.</t>
  </si>
  <si>
    <t>CQ. XL-04084</t>
  </si>
  <si>
    <t>Control de qualitat de les obres del projecte constructiu de millora general. Condicionament i eixamplament. Carretera LP-3322 del PK 10+600 al 14+500. Tram: Linyola - Bellcaire d'Urgell.</t>
  </si>
  <si>
    <t>CSS. RE-13061.1</t>
  </si>
  <si>
    <t>Coordinació de seguretat i salut de les obres "Projecte constructiu de ferm. Reforçament del ferm a la carretera C-12, del PK 19+600 al 23+500. Tram: Tortosa-Aldover.</t>
  </si>
  <si>
    <t>DO. RE-13061.1</t>
  </si>
  <si>
    <t>Direcció de les obres del projecte constructiu de ferm. Reforçament del ferm a la carretera C-12, del PK 19+600 al 23+500. Tram: Tortosa - Aldover.</t>
  </si>
  <si>
    <t>CSS. MB-15056+MB-13013.C1+MB-13015-C1</t>
  </si>
  <si>
    <t>Coord. S.S conjunta obres del "Proj. constructiu millora local. Millora de nus. Rotonda ctra. BV-2244, PK 1,320. Tram: Sant Sadurní Anoia. Proj. compl. 1 millora seg. viària. Millora local… Ctra. C-58. Tram: Vacarisses-Castellbell i el Vilar i ….</t>
  </si>
  <si>
    <t>PC. CB-16061</t>
  </si>
  <si>
    <t>Redacció del projecte constructiu de conservació extraordinària. Ponts i estructures. Rehabilitació d'obres de fàbrica a la C-155, PK 6+900, a la BV-5303, PK 10+870, i a la BV-5105, PK 2+300. Tram: Palau-solità i Plegamans, Seva i la Roca del Vallès.</t>
  </si>
  <si>
    <t>PC. CB-16060</t>
  </si>
  <si>
    <t>Redacció del projecte constructiu de conservació extraordinària. Ponts i estructures. Rehabilitació d'obres de fàbrica a la N-II, PK 644+120, i a la C-1413a, PK 2+480. Tram: Mataró i el Papiol.</t>
  </si>
  <si>
    <t>PC. PC-CMB-17024</t>
  </si>
  <si>
    <t>Redacció del projecte constructiu de millora local. Millora de nus. Millora de la capacitat a la rotonda de la carretera C-1415b, PK 7+050. Tram: Lliça d'Amunt.</t>
  </si>
  <si>
    <t>PC.TM-00509.53.2</t>
  </si>
  <si>
    <t>Redacció del Projecte de millora dels llocs de treball dels Tallers i cotxeres de la Línia 9 de Metro de Barcelona. Fase 2.</t>
  </si>
  <si>
    <t>CQ. JJB-15301</t>
  </si>
  <si>
    <t>Control de qualitat de les obres RAM reforma interior de l'edifici judicial del carrer Prim a Badalona.</t>
  </si>
  <si>
    <t>CSS. JJB-15301</t>
  </si>
  <si>
    <t>Coordinació de seguretat i salut de l'execució de les obres RAM reforma interior de l'edifici judicial del carrer Prim a Badalona.</t>
  </si>
  <si>
    <t>CQ. XG-15036 (Lots 1 i 2)</t>
  </si>
  <si>
    <t>Control de qualitat de les obres del projecte constructiu de millora local. Via verda. Via ciclista de l’estació de Riells i Viabrea - Breda al nucli de Breda per la carretera GI-552, del PK 2+000 al 4+000. Tram: Riells i Viabrea - Breda.</t>
  </si>
  <si>
    <t>DO. ML-14030</t>
  </si>
  <si>
    <t>Direcció de les obres del projecte constructiu de millora local. Millora de nus. Carretera C-14, del PK 142+390 al 142+420. Tram: Oliana.</t>
  </si>
  <si>
    <t>CQ. XA-16237</t>
  </si>
  <si>
    <t>Control de qualitat de les obres del projecte de condicionament i millora del camí de servei del canal Xerta Sénia i actuacions complementàries. TTMM de Xerta, Aldover, Tortosa i Roquetes (Baix Ebre).</t>
  </si>
  <si>
    <t>CQ. MB-15056</t>
  </si>
  <si>
    <t>Control de qualitat de les obres del projecte constructiu de millora local. Millora de nus. Rotonda a la carretera BV-2244, PK 1+320. Tram: Sant Sadurní d´Anoia.</t>
  </si>
  <si>
    <t>CQ. MB-13015-C1</t>
  </si>
  <si>
    <t>Control de qualitat obres del projecte compl. núm. 1 de millora de la seg. viària. Millora de les característiques superficials del ferm i reestudi de la secció transversal. Ctra. C-55. PK 18+500 al 26+500. Tram: Castellbell i el Vilar - Manresa.</t>
  </si>
  <si>
    <t>PC.MAB-17078</t>
  </si>
  <si>
    <t>Redacció del projecte constructiu de la renovació de l'enclavament del Triangle Ferroviari de les línies 2,4 i 9 de FMB. Barcelona.</t>
  </si>
  <si>
    <t>CQ. ML-14030</t>
  </si>
  <si>
    <t>Control de qualitat de les obres del projecte constructiu de millora local. Millora de nus. Carretera C-14 del PK 142+390 al 142+420.</t>
  </si>
  <si>
    <t>DO. MG-15015.2</t>
  </si>
  <si>
    <t>Direcció de les obres del projecte constructiu de millora local. Seguretat viària. Millores de seguretat i reestudi de la secció transversal. Carretera C-66, PK 50+450 al 55+800. Tram: Serinyà – Sant Ferriol.</t>
  </si>
  <si>
    <t>EV. EA-CNB-17087</t>
  </si>
  <si>
    <t>Redacció de l'estudi d’alternatives de traçat de l'Estudi d'oportunitat de la Ronda sud de Vic.</t>
  </si>
  <si>
    <t>EV. EM-CNB-17087</t>
  </si>
  <si>
    <t>Redacció de l’estudi d’impacte sobre la mobilitat de l'Estudi d'oportunitat de la Ronda sud de Vic.</t>
  </si>
  <si>
    <t>CSS. XG-15036 (Lot 1+ Lot 2)</t>
  </si>
  <si>
    <t>Coord. Seg. i Salut de l'execució de les obres del projecte constructiu de millora local. Via verda. Via ciclista de l’estació de Riells i Viabrea - Breda al nucli de Breda per la carretera GI-552, del PK 2+000 al 4+000. Tra m: Riells i Viabrea - Breda.</t>
  </si>
  <si>
    <t>CQ. MG-16049</t>
  </si>
  <si>
    <t>Control de qualitat de les obres del projecte constructiu de millora local. Millora de nus. Rotonda a la intersecció entre les carreteres C-31 i GI-632. PK 353+500 de la C-31 i PK 0+00 de la GI-632. Tram: Ullà - la Tallada d'Empordà.</t>
  </si>
  <si>
    <t>PC.MAB-17079</t>
  </si>
  <si>
    <t>Redacció del projecte constructiu: Renovació de l'enclavament de la cotxera i taller de Sant Genís de la línia 3 de FMB. Barcelona.</t>
  </si>
  <si>
    <t>PC. AG-07040.3</t>
  </si>
  <si>
    <t>Redacció del projecte constructiu de millora general. Condicionament de la carretera GI-642, del PK 0+000 al 3+512. Tram: La Pera - Parlavà.</t>
  </si>
  <si>
    <t>PC. AG-07040.2</t>
  </si>
  <si>
    <t>Redacció del projecte constructiu de millora general. Condicionament de la carretera GI-643, del PK 4+550 al 7+882. Tram: Serra de Daró - Parlavà.</t>
  </si>
  <si>
    <t>PC. MG-16069</t>
  </si>
  <si>
    <t>Redacció del projecte constructiu de millora local. Rotonda a la carretera GI-522, PK 2+200. Tram: Sant Joan les Fonts.</t>
  </si>
  <si>
    <t>DO. MA-15901</t>
  </si>
  <si>
    <t>Direcció de les obres de recuperació dels sistemes naturals de l'àmbit fluvial dels rius Ondara i Cercavins. TTMM de Granyanella, Tàrrega i Verdú. Mesures correctores i compensatòries del regadiu del sist. Segarra-Garrigues. Declaració Imp. Ambiental 2010</t>
  </si>
  <si>
    <t>CQ. MA-15901</t>
  </si>
  <si>
    <t>Control de Qualitat obres de recuperació dels sist. naturals de l'àmbit fluvial dels rius Ondara i Cercavins. TTMM de Granyanella, Tàrrega i Verdú. Mesures correctores i compensatòries del regadiu del sist. Segarra-Garrigues. Declaració Imp. Amb. 2010.</t>
  </si>
  <si>
    <t>PC. AG-07040.1</t>
  </si>
  <si>
    <t>Redacció del projecte constructiu de millora general. Condicionament de la carretera GI-643, del PK 0+000 al 4+550. Tram: Gualta - Serra de Daró.</t>
  </si>
  <si>
    <t>Dir. obres del proj. constructiu de millora general. Condicionament. Nous carrils de trenat a la calçada sentit Barcelona de l'autopista C-58, entre el nus de Sant Pau a Sabadell i l'autopista B-30, del PK 9+000 al 10+400. Tram: Badia del Vallès-Sabadell.</t>
  </si>
  <si>
    <t>PC.TA-16247</t>
  </si>
  <si>
    <t>DO. AB-14009.F2</t>
  </si>
  <si>
    <t>Redacció del projecte constructiu. Nova estació d'autobusos de Palamós.</t>
  </si>
  <si>
    <t>PC. MB-06010-A1</t>
  </si>
  <si>
    <t>Redacció del projecte constructiu de millora local. Millora de nus. Seguretat viària. Carrils de canvi de velocitat a la carretera C-17, del PK 40+000 al 40+500. Tram: Tagamanent - Sant Martí de Centelles.</t>
  </si>
  <si>
    <t>CQ.TM-11018.FA</t>
  </si>
  <si>
    <t>Control de qualitat de les obres del projecte constructiu d'actuacions de millora de l'evacuació i de l'accessibilitat de l'estació de Vallcarca de la línia 3 de l'FMB. FASE A.</t>
  </si>
  <si>
    <t>IA. IA-CVB-17034</t>
  </si>
  <si>
    <t>Redacció de l'estudi d'impacte ambiental de millora general. Variant sud-oest de la Ronda de Ter del PK 4+000 de la carretera C-153 al PK 2+000 de la carretera BV-5222. Tram: Gurb-les Masies de Roda.</t>
  </si>
  <si>
    <t>CSS. MG-08007-A1+MG-16049</t>
  </si>
  <si>
    <t>Coord. seg. i salut conjunta obres proj. constructius:Millora local. Millora nus. Rotonda a la ctra GI-652 al PK 0+800. Tram: Torrent. Rotonda a la intersecció entre les carreteres C-31 i GI-632. PK 353+500 de la C-31 i PK 0+000 de la GI-632. Tram: Ullà..</t>
  </si>
  <si>
    <t>CSS. ML-14030</t>
  </si>
  <si>
    <t>Coordinació de seguretat i salut conjunta de l'execució de les obres del projecte constructiu de millora local. Millora de nus. Carretera C-14, del PK 142+390 al 142+420. Tram: Oliana.</t>
  </si>
  <si>
    <t>DO. MG-08007-A1+MG-16049</t>
  </si>
  <si>
    <t>Direcció conjunta obres proj. constructius:Millora local. Millora nus. Rotonda a la ctra GI-652 al PK 0+800. Tram: Torrent. Rotonda a la intersecció entre les carreteres C-31 i GI-632. PK 353+500 de la C-31 i PK 0+000 de la GI-632. Tram: Ullà-la Tallada.</t>
  </si>
  <si>
    <t>CQ. INM-10090</t>
  </si>
  <si>
    <t>Contracte de serveis per a l'assistència tècnica de control de les obres de nova construcció Institut 2/0 línies a l'Institut Can Record de Sant Esteve Palautordera.</t>
  </si>
  <si>
    <t>CQ. PNL-07357.A</t>
  </si>
  <si>
    <t>Contracte de serveis per a l'assistència tècnica de control de qualitat de les obres de la nova construcció Escola 1,5 L (sense gimnàs) a l'Escola de L'Almenar.</t>
  </si>
  <si>
    <t>PE+DF. XMT-18517</t>
  </si>
  <si>
    <t>Redacció del projecte executiu i l'estudi de seguretat i salut i la posterior direcció facultativa de les obres RAM 2018 als Serveis Territorials a Tarragona IV. Institut Camí de Mar (Calafell).</t>
  </si>
  <si>
    <t>PE+DF. XMT-18516</t>
  </si>
  <si>
    <t>Redacció del projecte executiu i l'estudi de seguretat i salut i la posterior direcció facultativa de les obres RAM 2018 als Serveis Territorials a Tarragona III. Institut Pere Martell (Tarragona).</t>
  </si>
  <si>
    <t>PE+DF. XMT-18515</t>
  </si>
  <si>
    <t>Redacció del projecte executiu i l'estudi de seguretat i salut i la posterior direcció facultativa de les obres RAM 2018 als Serveis Territorials a Tarragona II. Institut Jaume Huguet (Valls).</t>
  </si>
  <si>
    <t>PE+DF. XMT-18514</t>
  </si>
  <si>
    <t>Redacció del projecte executiu i l'estudi de seguretat i salut i la posterior direcció facultativa de les obres RAM 2018 als Serveis Territorials a Tarragona I: CEE Font del Lleó (Reus), Institut Josep Tapiró (Reus) i Institut Salvador Vilaseca (Reus).</t>
  </si>
  <si>
    <t>PE+DF. XMA-18507</t>
  </si>
  <si>
    <t>Redacció del projecte executiu i l'estudi de seguretat i salut i la posterior direcció facultativa de les obres RAM 2018 als Serveis Territorials a Baix Llobregat IV: Institut Josefina Castellví (Viladecans) i Escola Jaume March (Gavà).</t>
  </si>
  <si>
    <t>PE+DF. XMM-18509</t>
  </si>
  <si>
    <t>Red. proj. exec. i estud. s.s. i la posterior direcció facultativa de les obres RAM 2018 als Serveis Territorials a Maresme-Vallès Oriental I: Institut Marta Estrada (Granollers), Escola La Muntanya (Aiguafreda) i Escola l'Estelada (Cànoves i Samalús).</t>
  </si>
  <si>
    <t>PE+DF. XMC-18528</t>
  </si>
  <si>
    <t>Red. proj. exec. i estud. s.s. i post. dir. facult. ob. RAM 2018 als Serv. Territ. BCN comarques V: Inst. Ca L'Arnús (Badalona), Esc. Ferran de Sagarra, Inst. Les Vinyes, Esc.Riera Alta, E. Sagrada Família, Inst. Ramon Berenguer IV de Sta. Coloma Gramenet</t>
  </si>
  <si>
    <t>PE+DF. XMM-18511</t>
  </si>
  <si>
    <t>Red. proj. exec. i estud. s.s. i post. dir. facultativa obres RAM 2018 als Serveis Territorials a Maresme-Vallès Oriental III: Institut de Sant Pol de Mar (Sant Pol de Mar), Institut Bisbe Sivilla (Calella) i Institut de Tiana (Tiana).</t>
  </si>
  <si>
    <t>PE+DF. XMH-18503</t>
  </si>
  <si>
    <t>Red. proj. exec. i est. s.s. i la posterior direcció facultativa de les obres RAM 2018 als Serveis Territorials a Catalunya Central IV: Institut Pere Vives i Vich (Igualada) i Institut Pla de les Moreres (Vilanova del Camí).</t>
  </si>
  <si>
    <t>PE+DF. XMC-18527</t>
  </si>
  <si>
    <t>Red. proj. exec.  i l'estudi de seguretat i salut i la posterior direcció facultativa de les obres RAM 2018 als Serveis Territorials Barcelona comarques IV: Institut Can Puig (Sant Pere de Ribes), Institut Cubelles (Cubelles) i Escola Montcau (Gelida).</t>
  </si>
  <si>
    <t>PE+DF. XMA-18506</t>
  </si>
  <si>
    <t>Red. proj. exec. i est. de seguretat i salut i la posterior direcció facultativa de les obres RAM 2018 als Serveis Territorials a Baix Llobregat III: Institut Joan Oró (Martorell), Institut Torrelles (Torrelles Llobregat) i Escola Angel Guimerà (Pallejà).</t>
  </si>
  <si>
    <t>PE+DF. XML-18513</t>
  </si>
  <si>
    <t>Redacció del projecte executiu i l'estudi de seguretat i salut i la posterior direcció facultativa de les obres RAM 2018 als Serveis Territorials a Lleida II: Escola R. Estadella (Guissona), Institut (La Granadella) i Escola (Vilanova de Meià).</t>
  </si>
  <si>
    <t>Redacció del projecte executiu i l'estudi de seguretat i salut i la posterior direcció facultativa de les obres RAM 2018 als Serveis Territorials a Lleida I: Escola (Els Alamus) i Institut Màrius Torres (Lleida).</t>
  </si>
  <si>
    <t>PE+DF. XMC-18526</t>
  </si>
  <si>
    <t>PE+DF. XML-18512</t>
  </si>
  <si>
    <t>Red. proj. exec. i l'estudi s.s. i  post. direcció facultativa de les obres RAM 2018 als Serveis Territorials Barcelona comarques III: Escola Joaquim Ruyra (L'Hospitalet de Llobregat) i Institut Apel·les Mestres (L'Hospitalet de Llobregat).</t>
  </si>
  <si>
    <t>PE+DF. XMM-18510</t>
  </si>
  <si>
    <t>PE+DF. XMG-18522</t>
  </si>
  <si>
    <t>Redacció del projecte executiu i l'estudi de seguretat i salut i la posterior direcció facultativa de les obres RAM 2018 als Serveis Territorials Serveis territorials a Girona II. Escola Puig i Segalar (Viladamat).</t>
  </si>
  <si>
    <t>Red. proj. exec. i est. s.s. i post. dir. facult. obr RAM 2018 als Serveis Territorials a Maresme-Vallès Oriental II: Escola Àngela Bransuela (Mataró), Escola Tomàs Viñas (Mataró), Institut les Cinc Sènies (Mataró) i Institut Alexandre Satorras (Mataró).</t>
  </si>
  <si>
    <t>PE+DF. XMA-18508</t>
  </si>
  <si>
    <t>Redacció del projecte executiu i l'estudi de seguretat i salut i la posterior direcció facultativa de les obres RAM 2018 als Serveis Territorials a Baix Llobregat V: Institut Severo Ochoa (Esplugues Llobregat) i Escola Pau Casals (St. Joan Despí).</t>
  </si>
  <si>
    <t>PE+DF. XMC-18525</t>
  </si>
  <si>
    <t>Redacció del projecte i l'estudi de seguretat i salut i la posterior direcció facultativa de les obres RAM 2018 als Serveis Territorials Barcelona comarques II. Escola Bernat Metge (L'Hospitalet de Llobregat).</t>
  </si>
  <si>
    <t>PE+DF. XMH-18501</t>
  </si>
  <si>
    <t>Redacció del projecte executiu i l'estudi de seguretat i salut i la posterior direcció facultativa de les obres RAM 2018 als Serveis Territorials a Catalunya Central II, Escola Vall de Nèspola-Zer Moianès (Mura) i Institut Francesc Ribalta (Solsona).</t>
  </si>
  <si>
    <t>PE+DF. XMV-18520</t>
  </si>
  <si>
    <t>Redacció del projecte i l'estudi de seguretat i salut i la posterior direcció facultativa de les obres RAM 2018 als Serveis Territorials a Vallès Occidental III. Institut Torre del Palau (Terrassa).</t>
  </si>
  <si>
    <t>PE+DF. XMH-18502</t>
  </si>
  <si>
    <t>Red. proj. exec. i l'estudi de s.s. i la post. direc. facult. de les obres RAM 2018 als Serveis Territorials a Catalunya Central III: Institut Pere Barnils (Centelles), Institut Escola Marta Mata (Torelló) i Escola Abat Oliba (Sant Hipòlit de Voltregà).</t>
  </si>
  <si>
    <t>PE+DF. XMC-18524</t>
  </si>
  <si>
    <t>Red. proj. exec. i est. s.s. ob. RAM 2018 als Serv. Territ. a BCN comarques I: Inst. Eugeni d'Ors, Inst. Margarida Xirgu, Esc. Frederic Mistral, Esc. Busquets i Punset, Esc. Milagros Consarnau, Inst. Bellvitge i Inst. Rubió i Ors de l'Hospitalet de Llob.</t>
  </si>
  <si>
    <t>PE+DF. XMH-18500</t>
  </si>
  <si>
    <t>Redacció del projecte executiu i l'estudi de seguretat i salut i la posterior direcció facultativa de les obres RAM 2018 als Serveis Territorials a Catalunya Central I, Institut Manresa Sis (Manresa) i Escola Muntanya del Drac (Manresa).</t>
  </si>
  <si>
    <t>PE+DF. XMA-18504</t>
  </si>
  <si>
    <t>Redacció del projecte executiu i l'estudi de seguretat i salut i la posterior direcció facultativa de les obres RAM 2018 als Serveis Territorials a Baix LLobregat I: Institut Cornellà (Cornellà Llobregat) i Institut Esteve Terrades (Cornellà Llobregat).</t>
  </si>
  <si>
    <t>PE+DF. XMA-18505</t>
  </si>
  <si>
    <t>Redacció del projecte executiu i l'estudi de seguretat i salut i la posterior direcció facultativa de les obres RAM 2018 als Serveis Territorials a Baix LLobregat II: Institut Olorda (Sant Feliu Llobregat) i Escola Montserrat (Sant Just Desvern).</t>
  </si>
  <si>
    <t>PC-CCB-17025</t>
  </si>
  <si>
    <t>Redacció del projecte constructiu de conservació extraordinària. Reubicació del cablejat de les instal·lacions de seguretat del túnel d'Amadeu Torner. Ctra. C-31 del pk 198,080 al 198,453. Tram: L'Hospitalet de Llobregat.</t>
  </si>
  <si>
    <t>PE+DO. CGM-17249</t>
  </si>
  <si>
    <t>Redacció del projecte executiu i posterior direcció d'obra de les obres RAM d'actualització i homogeneització dels sistemes de control de persones i accessos a les comissaries.</t>
  </si>
  <si>
    <t>PE+DF. XMG-18521</t>
  </si>
  <si>
    <t>Redacció del projecte executiu i l'estudi de seguretat i salut i la posterior direcció facultativa de les obres RAM 2018 als Serveis Territorials a Girona I. Escola Joan Maragall (Santa Pau).</t>
  </si>
  <si>
    <t>PE+DF. XMV-18519</t>
  </si>
  <si>
    <t>Red. proj. exec. i est. s.s. i la posterior dir. facultativa obres RAM 2018 als Serveis Territorials al Vallès Occidental II: Institut La Serra (Sabadell), Institut Pau Vila (Sabadell) i Institut Castellarnau (Sabadell).</t>
  </si>
  <si>
    <t>PE+DF. XMV-18518</t>
  </si>
  <si>
    <t>Redacció del projecte executiu i l'estudi de seguretat i salut i la posterior direcció facultativa de les obres RAM 2018 als Serveis Territorials a Vallès Occidental I: Institut Can Planes (Barberà del Vallès), Institut La Ribera (Montcada i Reixac).</t>
  </si>
  <si>
    <t>PE+DF. XME-18530</t>
  </si>
  <si>
    <t>Red. proj. exec. i est. s.s. i posterior direc. facultativa de les obres RAM 2018 als Serveis Territorials Terres Ebre: Escola El Marjal (Les Cases d'Alcanar), Institut Ramon Berenguer IV (Amposta) i Escola Lluis Viñas Viñoles (Móra d'Ebre).</t>
  </si>
  <si>
    <t>DE. ECO-17219</t>
  </si>
  <si>
    <t>Verificació de l'assegurament de la qualitat proj. exec. i dir. exec. obres de distribució dels espais interiors i les seves instal·lacions per a la implantació del nou complex al districte administratiu de la Generalitat de Catalunya Fase 1 a Barcelona.</t>
  </si>
  <si>
    <t>PE+DF. XMG-18523</t>
  </si>
  <si>
    <t>Redacció del projecte executiu i l'estudi de seguretat i salut i la posterior direcció facultativa de les obres RAM 2018 als Serveis Territorials Serveis territorials Girona III. Institut Escola d'Art (Olot).</t>
  </si>
  <si>
    <t>PC-ANL-17088</t>
  </si>
  <si>
    <t>Redacció del projecte constructiu Nova estació d'autobusos. Tàrrega.</t>
  </si>
  <si>
    <t>EV. EP-XNC-17091</t>
  </si>
  <si>
    <t>Redacció de l'estudi previ: Noves estacions ferroviàries: Terrassa - Can Boada, Terrassa Sud, Sabadell - Can Llong, Girona Sud i Girona Nord.</t>
  </si>
  <si>
    <t>PM. XC-10020.1-M1</t>
  </si>
  <si>
    <t>Redacció del projecte modificat núm. 1 de les obres de la via ciclista del Ter. Del PK 203+200 de la C-26 al Camí el Pont del Reixac. Tram: Sant Joan de les Abadesses.</t>
  </si>
  <si>
    <t>PC. AG-05087.2</t>
  </si>
  <si>
    <t>Redacció del projecte constructiu: Millora general. Condicionament de les carreteres GI-633, del pk 9,180 al 10,480, i GI-634, del pk 6,308 al 0,470. Tram: Colomers Verges.</t>
  </si>
  <si>
    <t>PC. XC-10020.3</t>
  </si>
  <si>
    <t>Redacció del projecte constructiu: Via ciclista del Ter. Tram: Llanars-Vilallonga de Ter.</t>
  </si>
  <si>
    <t>Serveis per a l'assistència tècnica de coordinació de seguretat i salut de treballs de reparació a executar en el període de garantia de les obres. 2 lots.</t>
  </si>
  <si>
    <t>CSS. INF-17910</t>
  </si>
  <si>
    <t>DO. CAP-09398</t>
  </si>
  <si>
    <t>Direcció de les obres per al Nou CAP Can Roca, de Terrassa.</t>
  </si>
  <si>
    <t>PC. PC-CMB-17023</t>
  </si>
  <si>
    <t>Red. proj constructiu: Millora local. Seg. viària. Implantació passos de fauna, tanques cinegètiques i senyal. específica. Ctra. C-58 del PK 25,360 al 37,790, C-55 del PK 18,500 al 26,500 i C-16 del PK 97,138 al 117,350. Tram: Viladecavalls - Bagà.</t>
  </si>
  <si>
    <t>IA-CNG-17036</t>
  </si>
  <si>
    <t>Redacció de l’estudi d’impacte ambiental del Nou Vial de connexió sobre el riu Fluvià entre la carretera GIV-6303 i la carretera GIV-6216 a Sant Pere Pescador. Tram: Sant Pere Pescador.</t>
  </si>
  <si>
    <t>IA-VG-05143-A2</t>
  </si>
  <si>
    <t>Redacció de l'estudi d'impacte ambiental de la Millora general. Variant de Torroella de Montgrí. Carretera c-31, PK 348+500 al 353+500. Tram: Gualta ¿ La Tallada d'Empordà.</t>
  </si>
  <si>
    <t>EI. EI-VG-05143-A2</t>
  </si>
  <si>
    <t>Redacció de l'estudi informatiu: Millora general. Variant de Torroella de Montgrí. Carretera C-31, PK 348+500 al 353+500. Tram: Gualta - la Tallada d'Empordà.</t>
  </si>
  <si>
    <t>Redacció del projecte d'instal·lacions i la posterior direcció de les obres de l'ampliació i reforma del Bloc quirúrgic de l'Hospital Arnau de Vilanova de Lleida.</t>
  </si>
  <si>
    <t>PE+DO. HLL-17273 (1v)</t>
  </si>
  <si>
    <t>PE+DO. HLL-14319 (1v)</t>
  </si>
  <si>
    <t>Redacció del projecte bàsic i executiu i la posterior direcció de les obres d'ampliació i reforma del Bloc Quirúrgic de l'Hospital Arnau de Vilanova, de Lleida.</t>
  </si>
  <si>
    <t>Redacció del projecte de traçat i del projecte constructiu de millora general. Nova carretera entre Riba-roja i la Granja d'Escarp. Tram: Riba-roja d'Ebre - la Granja d'Escarp.</t>
  </si>
  <si>
    <t>EV-MA-18900</t>
  </si>
  <si>
    <t>Assistència tècnica pel seguiments dels treballs de millora de l’habitat estepari. Mesures compensatòries del regadiu del sistema Segarra-Garrigues. Campanya 2018-2019</t>
  </si>
  <si>
    <t>CQ. MG-15015.2</t>
  </si>
  <si>
    <t>Control de qualitat de les obres del projecte constructiu de millora local. Seguretat viària. Millora de seguretat i reestudi de la secció transversal. Carretera C-66, PK 50+450 al PK 55+800. Tram: Serinyà – Sant Ferriol.</t>
  </si>
  <si>
    <t>TA. TA-NC-00100-A2 / PC. NC-00100-A2</t>
  </si>
  <si>
    <t>DE. HHB-15356</t>
  </si>
  <si>
    <t>Direcció d'execució de les obres del nou accés ambulatori i reforma de la planta soterrani per a Consultes Externes de l'Àrea MaternoInfantil del'Hospital Vall d'Hebrón de Barcelona.</t>
  </si>
  <si>
    <t>EV. AE-XC-10020.3</t>
  </si>
  <si>
    <t>Redacció de l'estudi complementari de traçat de la via ciclista del Ter. Tram: Vilallonga de Ter - Setcases.</t>
  </si>
  <si>
    <t>PM. NB-07078.1-F1-M1</t>
  </si>
  <si>
    <t>Redac. proj. modif. núm. 1 de les obres de millora general. Nova carretera. Millora de l'accessibilitat a la vialitat urbana de Badalona. Calçada lateral a la C-31 sentit Barcelona, del PK 212+650 al 213+800. Fase 1 (trams 2 i 3). Tram: Badalona.</t>
  </si>
  <si>
    <t>PC. PC-CMB-17037</t>
  </si>
  <si>
    <t>Redacció del projecte constructiu: Millora local. Millora de nus. Rotonda a la carretera BV-5105, PK 0+745. Tram: La Roca del Vallès (Santa Agnès de Malanyanes).</t>
  </si>
  <si>
    <t>modificada data presentació en perfil 15/12/17</t>
  </si>
  <si>
    <t>TA. TA-CMB-17063 / PC. CMB-17063</t>
  </si>
  <si>
    <t>Redacció del projecte de traçat i del projecte constructiu de millora local. Millora de nus. Millora d´accessibilitat a Mollet. Enllaç de Mollet del Vallès - Pol. Ind. de Martorelles. Carretera C-17 al PK 12+000. Tram: Mollet del Vallès.</t>
  </si>
  <si>
    <t>EI. EI-CVB-17034</t>
  </si>
  <si>
    <t>Redacció de l'estudi informatiu de Millora general. Variant sud-oest de la Ronda de Ter del PK 4+000 de la carretera C-153 al PK 2+000 de la carretera BV-5222. Tram: Gurb - les Masies de Roda.</t>
  </si>
  <si>
    <t>PC. PC-CXG-17032</t>
  </si>
  <si>
    <t>Redacció del projecte constructiu de portada d'aigües a la finca Sant Mateu. Carretera C-37, PK 168+000, marge esquerre. Tram: La Vall d'en Bas.</t>
  </si>
  <si>
    <t>CQ. INL-10083</t>
  </si>
  <si>
    <t>Control de qualitat de les obres de nova construcció 4/2 línies de l'Institut Joan Solà de Torrefarrera.</t>
  </si>
  <si>
    <t>CSS. HHB-15356</t>
  </si>
  <si>
    <t>Coordinació de seguretat i salut per l'execució de les obres del nou accés ambulatori i reforma de la planta soterrani per a Consultes Externes de l'Àrea MaternoInfantil de l'Hospital Vall d'Hebrón de Barcelona.</t>
  </si>
  <si>
    <t>TA. TA-CAB-17038</t>
  </si>
  <si>
    <t>Redacció del projecte de traçat: Millora general. Condicionament. Tercer carril a l'autopista C-16, del PK 22+000 al 23+800. Tram: Terrassa.</t>
  </si>
  <si>
    <t>CSS. MB-15055</t>
  </si>
  <si>
    <t>Coord. s.s. exec. obres proj. constructiu millora local. Seg. viària. Millora característiques superficials ferm i reestudi de la sec.transversal. C-55, del PK 11+400 al 18+500, i C-58, del PK 37+790 al 39+145. Tram: Collbató – Castellbell i el Vilar.</t>
  </si>
  <si>
    <t>CSS. PNL-07357.A</t>
  </si>
  <si>
    <t>Coordinació de seguretat i salut de les obres de la nova Construcció Escola 1,5 L (sense gimnàs) a l'Escola d'Almenar.</t>
  </si>
  <si>
    <t>PE+DO. CAP-17268 (1v)</t>
  </si>
  <si>
    <t>CSS. INL-10083</t>
  </si>
  <si>
    <t>Redacció del projecte bàsic i executiu i la posterior direcció de les obres d'ampliació del Centre d'Atenció Primària Roquetes, de Sant Pere de Ribes.</t>
  </si>
  <si>
    <t>Coordinació de seguretat i salut de l'execució de les obres de Nova construcció 4/2 línies de l'Institut Joan Solà de Torrefarrera.</t>
  </si>
  <si>
    <t>modificada data presentació perfil 19/12/17</t>
  </si>
  <si>
    <t>CSS. MA-15901</t>
  </si>
  <si>
    <t>Coord. S.S obres. Proj recuperació dels sist. naturals de l'àmbit fluvial dels rius Ondara i Cercavins: TM de Granyanella, Tàrrega i Verdú. Mesures correctores i compens atòries del regadiu del sistema Segarra-Garrigues. Dec. Imp. Ambiental 2010</t>
  </si>
  <si>
    <t>PE+DO. HGG-17216 (1v)</t>
  </si>
  <si>
    <t>Redacció del projecte d'instal·lacions i posterior direcció de les obres de l'ampliació del Bloc Quirúrgic de l'Hospital de Blanes.</t>
  </si>
  <si>
    <t>PE+DO. HGG-17270 (1v)</t>
  </si>
  <si>
    <t>Redacció del projecte bàsic i executiu i la posterior direcció de les obres d'adequació de la UCI pediàtrica i de neonatologia de l'Hospital Universitari Doctor Josep Trueta, de Girona.</t>
  </si>
  <si>
    <t>DE. INM-10090</t>
  </si>
  <si>
    <t>Direcció d'execució de les obres de nova construcció Institut 2/0 línies a l'Institut Can Record de Sant Esteve Palautordera.</t>
  </si>
  <si>
    <t>PC. TX-14327.F2, F3 i F4</t>
  </si>
  <si>
    <t>Redacció del projecte constructiu: Via cicloturística Intercatalunya. Fase 2: Cervera – Manresa. Fase 3: Manresa – Vic. Fase 4: Vic – Girona.</t>
  </si>
  <si>
    <t>PE+DO. HTT-16283 (2v)</t>
  </si>
  <si>
    <t>Redacció del projecte bàsic i executiu i la posterior direcció de les obres del nou edifici d'aparcament i reserva de futur creixement de l'Hospital Verge de la Cinta de Tortosa.</t>
  </si>
  <si>
    <t>DE. PNL-07357.A</t>
  </si>
  <si>
    <t>Direcció d'execució de les obres de la nova construcció Escola 1,5L(sense gimnàs) a l'Escola d'Almenar.</t>
  </si>
  <si>
    <t>PC. PC-CML-17071</t>
  </si>
  <si>
    <t>Redacció del projecte constructiu Millora local. Millora de drenatge de la OD 92.1. Carretera C-25, pk 92,100. Tram: Estaràs.</t>
  </si>
  <si>
    <t>PC. MT-15024</t>
  </si>
  <si>
    <t>Redacció del projecte construcció Millora local. Seguretat viària. Condicionament urbà de la carretera C-31, del pk 143,600 al 146,640. Tram: Cunit.</t>
  </si>
  <si>
    <t>DO. TM-11018.A+TF-02676.11</t>
  </si>
  <si>
    <t>Direcció conjunta de les obres del: proj. actuacions millora evacuació i accessibilitat de l'estació Vallcarca de la línia 3 FMB. Fase A i condicionament túnel i estacions entre Sabadell Estació (prov.) i Sabadell Rambla.</t>
  </si>
  <si>
    <t>PC. MAB-17077</t>
  </si>
  <si>
    <t>Redacció del projecte constructiu: renovació dels enclavaments de relés a les estacions de Sagrada Família, Passeig de Gràcia i Paral·lel a la línia 2 de FMB. Barcelona.</t>
  </si>
  <si>
    <t>PC. PC-CMB-17031</t>
  </si>
  <si>
    <t>Redacció del projecte constructiu millora local. Millora de talussos a les carreteres N-141b i M-141g. Tram: Aguilar de Segarra.</t>
  </si>
  <si>
    <t>PC. CML-17081</t>
  </si>
  <si>
    <t>Redacció del projecte constructiu: Millora local. Millora de nus a la ctra. C-13, pk 87,126. Tram: Tremp.</t>
  </si>
  <si>
    <t>Número d'Anuncis i Imports 2018</t>
  </si>
  <si>
    <t>Diferència 2017-2018</t>
  </si>
  <si>
    <t>PE+DO. CAP-17263</t>
  </si>
  <si>
    <t>Redacció del projecte bàsic i executiu i la posterior direcció de les obres de la nova construcció del Centre d'Atenció Primària de Navarcles.</t>
  </si>
  <si>
    <t>PE+DO. CAP-17240</t>
  </si>
  <si>
    <t>Redacció del projecte bàsic i executiu i la posterior direcció de les obres de la nova construcció del Centre d'Atenció Primària Can Llong, a Sabadell.</t>
  </si>
  <si>
    <t>DE. JJB-15301</t>
  </si>
  <si>
    <t>Direcció d'execució de les obres RAM reforma interior de l'edifici judicial del carrer Prim a Badalona.</t>
  </si>
  <si>
    <t>CQ. GET-14308.4</t>
  </si>
  <si>
    <t>Control de qualitat de les obres de Nova construcció del Pavelló Poliesportiu a la zona esportiva de Camp Clar a Tarragona. Instal·lacions específiques pels jocs.</t>
  </si>
  <si>
    <t>PE+DO HGG-17213</t>
  </si>
  <si>
    <t>Redacció del projecte executiu i l'estudi de seguretat i salut i la posterior direcció de les obres d'ampliació del Bloc quirúrgic de l'Hospital de Blanes.</t>
  </si>
  <si>
    <t>EV. EX-CMC-17095</t>
  </si>
  <si>
    <t>Redacció de l'estudi d'auditories de seguretat viària d'actuacions en trams de la xarxa de carreteres de la Generalitat de Catalunya en l'àmbit de les carreteres C-63 a la Selva, i B-224 a l'Anoia i Baix Llobregat.</t>
  </si>
  <si>
    <t>PE+DO. INT-17269</t>
  </si>
  <si>
    <t>Redacció del projecte bàsic i executiu i la posterior direcció d'obra de la nova construcció Institut 3/0 a Roda de Berà.</t>
  </si>
  <si>
    <t>CQ. HHB-15356</t>
  </si>
  <si>
    <t>Control de Qualitatde de les obres del nou accés ambulatori i reforma del soterrani 2 per consultes externes de l’Àrea Maternoinfantil de l’Hospital Vall d’Hebron de Barcelona.</t>
  </si>
  <si>
    <t>PE+DO. PNL-17265 (2v)</t>
  </si>
  <si>
    <t>Redacció del projecte bàsic i executiu i la posterior direcció d'obra de la nova construcció Escola 4 unitats Ramon Perelló-Zer Guicivervi a Vilagrassa.</t>
  </si>
  <si>
    <t>DE. GET-14308.4</t>
  </si>
  <si>
    <t>Direcció d'execució de les obres de nova construcció del Pavelló Poliesportiu a la zona esportiva de camp Clar, a Tarragona. Instal·lacions específiques pels jocs.</t>
  </si>
  <si>
    <t>E1-PX-08400.4</t>
  </si>
  <si>
    <t>Redacció del document ambiental. Modernització a pressió natural del sector 3 de la zona regable del Canal de Pinyana, TM Portell, Vilanova de Segrià, Benavent de Segrià, Torreserona, Corbins i Alguaire.</t>
  </si>
  <si>
    <t>CSS TM-11018.FA + TF-02676.11</t>
  </si>
  <si>
    <t>Coord. S.S. obres Proj. actuacions millora de l'evacuació i de l'accessibilitat de l'estació de Vallcarca de la línia 3 de l'FMB. FASE A. Clau: TM-11018.FA i Condicionament del túnel i estacions entre Sabadell Estació (provisional) i Sabadell Rambla.</t>
  </si>
  <si>
    <t>E8-MA-15900</t>
  </si>
  <si>
    <t>Redacció dels Treballs de recerca de mesures destinades a la millora de l'habitat dels juvenils d'àliga cuabarrada en les ZEPA de Granyena i de Valls de Sió. Declaració d’Impacte Ambiental 2010.</t>
  </si>
  <si>
    <t>E7-MA-16900</t>
  </si>
  <si>
    <t>Redacció de l’estudi i seguiment de la població de conills a la Plana de Lleida i avaluació de la necessitat d’implantació de vedrunes. Mesures correctores i compensatòries del regadiu del sistema Segarra-Ga rrigues.</t>
  </si>
  <si>
    <t>PE+DO. CAP-17280 (2v)</t>
  </si>
  <si>
    <t>Redacció del projecte bàsic i executiu i la posterior direcció d'obra del nou Centre d'Atenció Primària El Papiol.</t>
  </si>
  <si>
    <t>DE. INL-10083</t>
  </si>
  <si>
    <t>direcció d'execució de les obres de Nova construcció de 4/2 línies de l'Institut Joan Solà de Torrefarrera.</t>
  </si>
  <si>
    <t>CSS. INM-10090</t>
  </si>
  <si>
    <t>Coordinació de seguretat i salut de les obres de nova construcció Institut 2/0 línies a l'Institut Can Record de Sant Esteve Palautordera.</t>
  </si>
  <si>
    <t>EI. EI-CVG-17101</t>
  </si>
  <si>
    <t>Redacció de l'estudi informatiu. Variant de Sils i Riudarenes a la C-63 del PK 14+254 al 22+000. Sils - Riudarenes.</t>
  </si>
  <si>
    <t>PC.MA-17910</t>
  </si>
  <si>
    <t>Redac. Plec. Conservació de plantacions i de les mesures compensatòries i correctores dels proj. de recup. dels sistemes naturals de l’àmbit fluvial dels rius i altres actuacions de rest. ambiental del regadiu del sist. Segarra-Garrigues.</t>
  </si>
  <si>
    <t>MSA. S4-CAP-02714</t>
  </si>
  <si>
    <t>Redacció del projecte executiu i la posterior direcció facultativa de les actuacions de subsanació de deficiències al CAP de Cardedeu.</t>
  </si>
  <si>
    <t>CQ. PAE-14336</t>
  </si>
  <si>
    <t>Control de qualitat de les obres de reforma i adequació escola 2L a l'Escola Lluís Viñas i Viñoles de Mora d'Ebre.</t>
  </si>
  <si>
    <t>CQ. MG-08007-A1</t>
  </si>
  <si>
    <t>Control de qualitat de les obres del projecte constructiu de millora local. Millora de nus. Rotonda a la carretera GI-652 al PK 0+800. Tram: Torrent.</t>
  </si>
  <si>
    <t>CQ.MB-15055</t>
  </si>
  <si>
    <t>Control qualitat obres proj. constructiu millora local. Seg. viària. Millora característiques superficials del ferm i reestudi de la secció transversal. Ctra. C-55, del PK 11,400 al 18,500, i C-58, PK 37,790 al 38,1455. Tram: Collbató-Castellbell i el V.</t>
  </si>
  <si>
    <t>DO.MB-15055</t>
  </si>
  <si>
    <t>Dir. obres proj. constructiu millora local. Seg. viària. Millora característiques superf.  ferm i reestudi de la secció transversal. Ctra. C-55, del PK 11+400 al 18+500, i C-58, del PK 37+790 al 39+145. Tram: Collbató – Castellbell i el Vilar.</t>
  </si>
  <si>
    <t>CSS. GET-14308.4</t>
  </si>
  <si>
    <t>Coordinació de seguretat i salut de les obres del: Nou Poliesportiu a la Zona Esportiva de Camp Clar, a Tarragona. Instal·lacions específiques pels Jocs.</t>
  </si>
  <si>
    <t>PB. B-TX-15282 / PC. TX-15282</t>
  </si>
  <si>
    <t>Redacció del projecte bàsic i del projecte constructiu: Nova Estació Intermodal del Baix Llobregat al Prat de Llobregat.</t>
  </si>
  <si>
    <t>DO. MT-09081</t>
  </si>
  <si>
    <t>Direcció de les obres del projecte constructiu de millora local. Millora de nus. Rotonda a la carretera TP-2002, pk 1,660, intersecció amb les carreteres TP-2003 i TV-2004. Tram: Vila-rodona.</t>
  </si>
  <si>
    <t>EV. AE-MB-15055</t>
  </si>
  <si>
    <t>Redacció de l'estudi Auditoria de seguretat viària de les obres de millora de les característiques superficials del ferm i reestudi de la secció transversal. Ctra. C-55, del pk 11,400 al 18,500, i C-58, del pk 37,790 al 39,145. Tram: Collbató-Castellbell.</t>
  </si>
  <si>
    <t>EA-UPA-17285</t>
  </si>
  <si>
    <t>Redacció de l'estudi ambiental, millora connectivitat. Estudi de migració dels efectes sobre les poblacions d'avifauna en els ctres. C-31 entre el pk 319,000 i el pk 320,600 a Sta. Cristina d'Aro i de la C-65 entre el pk 4,000 i el pk 312,000 de la C-31..</t>
  </si>
  <si>
    <t>CQ. S3-PNT-02551(VO1)</t>
  </si>
  <si>
    <t>Control de qualitat per a la resolució de les deficiències d'obra del CEIP Port-Rodó de Tortosa.</t>
  </si>
  <si>
    <t>PE+DF. XMC-18529</t>
  </si>
  <si>
    <t>Red. proj. i est. s.s. i posterior direcció facultativa de les obres RAM 2018 als Serveis Territorials Barcelona comarques VI: Institut Joaquim Mir (Vilanova i la Geltrú),Escola Canigó (Vilanova i la Geltrú) i Escola Cossetània (Vilanova i la Geltrú).</t>
  </si>
  <si>
    <t>DE. INA-11213.1</t>
  </si>
  <si>
    <t>Direcció d'execució de les obres d'ampliació, adequació i reconversió de l'Escola Montpedròs a Institut 4/2 L (1a fase) a Santa Coloma de Cervelló.</t>
  </si>
  <si>
    <t>Projectes i Direccions d'obra</t>
  </si>
  <si>
    <t>Canvi dates (publicat en perfil 2/02/18)</t>
  </si>
  <si>
    <t>CQ. AL-05020.2</t>
  </si>
  <si>
    <t>Control de qualitat de les obres del projecte constructiu de millora general. Reforçament, eixamplament i millora del traçat de la carretera C-28 del PK 41+920 al 45+850. Tram: Baquèira - límit de comarca.</t>
  </si>
  <si>
    <t>CSS. XA-16237</t>
  </si>
  <si>
    <t>Coordinació de seguretat i salut de les obres del projecte de condicionament i millora del camí de servei del canal Xerta Sénia i actuacions complementàries. TTMM de Xerta, Aldover, Tortosa i Roquetes (Baix Ebre).</t>
  </si>
  <si>
    <t>DO. XA-16237</t>
  </si>
  <si>
    <t>Direcció de les obres del projecte de condicionament i millora del camí de servei del canal Xerta Sénia i actuacions complementàries. TTMM de Xerta, Aldover, Tortosa i Roquetes (Baix Ebre).</t>
  </si>
  <si>
    <t>modificada data presentació en perfil 7/02/18</t>
  </si>
  <si>
    <t>PC. VR-03921.1.F2</t>
  </si>
  <si>
    <t>Redacció del projecte d’ampliació i modernització del regadiu de la Conca de Tremp. Canonada de transport. Fase 2. Tram pk 1+520 a pk 3+415. TTMM Talarn i Tremp.</t>
  </si>
  <si>
    <t>ATAM. TM-11018.FA</t>
  </si>
  <si>
    <t>Assistència tècnica ambiental per a l´execució de les obres del projecte constructiu d´actuacions de millora de l´evacuació i de l´accessibilitat de l´estació de Vallcarca de la línia 3 de l´FMB.</t>
  </si>
  <si>
    <t>PC. PC-CMB-17103</t>
  </si>
  <si>
    <t>Redacció del projecte constructiu Millora local. Millora de nus. Rotonda a la intersecció de la carretera N-II, PK 647+685, amb la Ronda Joan d’Àustria. Tram: Mataró.</t>
  </si>
  <si>
    <t>MSA. S6-PNG-03495</t>
  </si>
  <si>
    <t>Redacció del projecte executiu i de l'estudi de seguretat i salut i la posterior direcció facultativa de les actuacions per al condicionament de la coberta, de les façanes, dels tancaments i d'alguns espais del CEIP Marta Mala de Girona.</t>
  </si>
  <si>
    <t>PE+DO. PNT-17278</t>
  </si>
  <si>
    <t>Redacció del projecte bàsic i executiu i la posterior direcció d'obra de la Nova construcció Escola Teresa Godes i Domènech de 7 unitats al Montmell.</t>
  </si>
  <si>
    <t>PE+DF. XMT-18531</t>
  </si>
  <si>
    <t>Redacció del projecte i l'estudi de seguretat i salut i la posterior direcció facultativa de les obres RAM 2018 als Serveis Territorials a Tarragona V, Escola Mestral (Vila-Seca) i Escola Sant Bernat Calvó(Vila-Seca).</t>
  </si>
  <si>
    <t>Redacció del projecte i l'estudi de seguretat i salut i la posterior direcció facultativa de les obres RAM 2018 als Serveis Territorials Barcelona comarques IV: Institut Can Puig (Sant Pere de Ribes) i Institut Cubelles (Cubelles).</t>
  </si>
  <si>
    <t>PE+DF. XMC-18532</t>
  </si>
  <si>
    <t>Redacció del projecte executiu i l'estudi de seguretat i salut i la posterior direcció facultativa de les obres RAM 2018 als Serveis Territorials Serveis territorials Barcelona comarques VII: Escola Montcau (Gelida).</t>
  </si>
  <si>
    <t>MSA. S6-CAP-06508</t>
  </si>
  <si>
    <t>Redacció del projecte executiu i de l'estudi de seguretat i salut i la posterior direcció facultativa de les actuacions de subsanació de deficiències al CAP de Cunit.</t>
  </si>
  <si>
    <t>Direcció de les obres del projecte constructiu de millora general. Reforçament, eixamplament i millora del traçat de la carretera C-28 del PK 41,920 al 45,850. Tram: Baquèira - límit de comarca.</t>
  </si>
  <si>
    <t>PM. MB-15028-M1</t>
  </si>
  <si>
    <t>Red. proj. modif. núm. 1 obres de millora local. Instal. control. Sist. de control per a implantació d'un sist. de peatge tancat virtual, a diversos enllaços de l'autopista C-16 entre Terrassa i Manresa. Tram: Terrassa - Manresa.</t>
  </si>
  <si>
    <t>MSA. S8-CAP-05507</t>
  </si>
  <si>
    <t>Redacció del projecte executiu i de l'estudi de seguretat i salut i la posterior direcció facultativa de les actuacions per a la subsanació de deficiències al CAP de Cubelles.</t>
  </si>
  <si>
    <t>PC.TF-03474.5</t>
  </si>
  <si>
    <t>Redacció del projecte constructiu de retirada de l'estructura de la reixa del pou de ventilació antic de la Rambla Egara a Terrassa.</t>
  </si>
  <si>
    <t>nova convocatòra perfil 14/02/18</t>
  </si>
  <si>
    <t>DO. AL-05020.2</t>
  </si>
  <si>
    <t>MSA.S3-ING-05570</t>
  </si>
  <si>
    <t>Redacció del projecte executiu, l'estudi de seguretat i salut i la posterior direcció facultativa d'obres actuacions per al condicionament dels paraments exteriors i reparacions en paviments de l'IES Vallvera de Salt.</t>
  </si>
  <si>
    <t>PE+DO. PNG-17276</t>
  </si>
  <si>
    <t>Redacció del projecte bàsic i executiu i la posterior direcció d'obra de la Nova construcció Escola 1 línia Josep Ribot i Olivas a Vilamalla.</t>
  </si>
  <si>
    <t>CSS. TM-02609.1+2</t>
  </si>
  <si>
    <t>Coord. Seg. i Salut conjunta obres: Projecte de l'ATC senyal. i PCC de la línia 9 de metro de BCN i Projec. const. sist. tancament andanes línia 9 metro BCN. i Exec. obres proj. xarxa transmisió inalàmbrica banda ampla de la línia 9 metro BCN….</t>
  </si>
  <si>
    <t>PC. UPA-15009.1</t>
  </si>
  <si>
    <t>Redacció del projecte constructiu. Millora connectivitat. Permeabilització infraestructures. Itinerari ecohistòric i ordenació ús públic a la zona de Punta la Móra dins de l'espai PEIN de Tamarit-Punta la Móra. Tarragona.</t>
  </si>
  <si>
    <t>PE+DO. PNH-17282</t>
  </si>
  <si>
    <t>Redacció del projecte bàsic i executiu i la posterior direcció d'obra de la nova construcció Escola 1 línia (sense gimnàs) Pla del Puig de Sant Fruitós del Bages.</t>
  </si>
  <si>
    <t>PC. PC-CMB-17076</t>
  </si>
  <si>
    <t>Redacció del projecte constructiu millora local. Ponts i estructures. Pas inferior per a vianants i ciclistes a la carretera C-59, pk 15,050. Tram: Caldes de Montbui.</t>
  </si>
  <si>
    <t>PE+DO PNV-17277</t>
  </si>
  <si>
    <t>Redacció del projecte bàsic i executiu i la posterior direcció d'obra de la Nova construcció Escola de 2 línies Virolet de Sabadell.</t>
  </si>
  <si>
    <t>PE+DO PNT-17275</t>
  </si>
  <si>
    <t>Redacció del projecte bàsic i executiu i la posterior direcció d'obra de la nova construcció Escola 1 línia a Maspujols.</t>
  </si>
  <si>
    <t>IA-CVG-17101</t>
  </si>
  <si>
    <t>Redacció de l'estudi d'impacte ambiental de la  variant de Sils i Riudarenes a la C-63 del PK 14+254 al 22+000. Sils - Riudarenes.</t>
  </si>
  <si>
    <t>CSS. R0-17203.1</t>
  </si>
  <si>
    <t>DO. R0-17203.1</t>
  </si>
  <si>
    <t>CQ. VL-02137.1-C2</t>
  </si>
  <si>
    <t>CQ.R0-17203.1</t>
  </si>
  <si>
    <t>EV. AE-AB-06081-A1.F1</t>
  </si>
  <si>
    <t>CQ. CAP-16211</t>
  </si>
  <si>
    <t>CSS. AL-05020.2</t>
  </si>
  <si>
    <t>Coordinació de seguretat i salut de les obres del projecte constructiu per a la restitució de paràmetres geomètrics en aparells de via del tram IV de la Línia 9 de metro de Barcelona. Entre les estacions de Bon Pastor i Sagrera.</t>
  </si>
  <si>
    <t>Direcció de les obres del projecte constructiu de restitució de paràmetres geomètrics en aparells de via del tram IV de la Línia 9 de metro de Barcelona. Entre les estacions de Bon Pastor i Sagrera.</t>
  </si>
  <si>
    <t>Control de qualitat de les obres del projecte constructiu de millora local. Actuacions a la xarxa de reg i xarxa de pluvials a la Variant de Vilanova de la Barca. Carretera C-13z al PK 17+700. Tram: Vilanova de l a Barca.</t>
  </si>
  <si>
    <t>Control de qualitat de les obres del projecte constructiu per a la restitució de paràmetres geomètrics en aparells de via del tram IV de la Línia 9 de metro de Barcelona. Entre les estacions de Bon Pastor i Sagrera.</t>
  </si>
  <si>
    <t>Redacció de l’estudi d’auditoria de seguretat viària de les obres de millora general. Condicionament. Reestudi de la secció transversal. Carretera C-352. PK 20+640 al 22+740. Tram: la Roca del Vallès - les Franqueses del Vallès.</t>
  </si>
  <si>
    <t>Control de qualitat de de les obres RAM del Centre d'Atenció Primària Antoni Creus, de Terrassa.</t>
  </si>
  <si>
    <t>Coordinació de seguretat i salut de l'execució les obres del projecte constructiu de millora general. Reforçament, eixamplament i millora del traçat de la carretera C-28 del PK 41+920 al 45+850. Tram: Baqueira - límit de comarca.</t>
  </si>
  <si>
    <t>DO. VL-02137.1-C2</t>
  </si>
  <si>
    <t>Direcció de les obres del projecte constructiu de millora local. Actuacions a la xarxa de reg i xarxa de pluvials a la Variant de Vilanova de la Barca. Carretera C-13z al PK 17+700. Tram: Vilanova de la Barca.</t>
  </si>
  <si>
    <t>CQ. CLT-10089.1+CLT-10089.2</t>
  </si>
  <si>
    <t>Control de qualitat de les obres: "Execució de les obres del projecte d'arquitectura d'un nou Consultori Local a Verges i Execució de les obres del projecte d'instal·lacions d'un nou Consultori Local a Verges.</t>
  </si>
  <si>
    <t>PC. UPA-17286</t>
  </si>
  <si>
    <t>Redacció del Plec. Conservació ambiental. Conservació i manteniment del Programa d’Infraestructura Verda de Catalunya. 2019-2020.</t>
  </si>
  <si>
    <t>CQ. BSV-15316</t>
  </si>
  <si>
    <t>Control de qualitat obres d'instal·lació de dues escales d'emergència, una bugaderia i habitacions de la residència per a gent gran Mil·lenari a Barcelona.</t>
  </si>
  <si>
    <t>ATAM. AL-05020.2</t>
  </si>
  <si>
    <t>Assistència tècnica ambiental per a l´execució de les obres del millora general. Reforçament, eixamplament i millora del traçat de la carretera C-28 del PK 41+920 al 45+850. Tram: Baquèira-límit de comarca.</t>
  </si>
  <si>
    <t>EV. AE-MG-15015.2</t>
  </si>
  <si>
    <t>Redacció de l’estudi d’auditoria de seguretat viària de les obres de millora local. Seguretat viària. Millores de seguretat i reestudi de la secció transversal. Carretera C-66, PK 50+450 al 55+800. Tram: Serinyà - Sant Ferriol.</t>
  </si>
  <si>
    <t>CSS. VL-02137.1-C2</t>
  </si>
  <si>
    <t>Coordinació de seguretat i salut de les obres del projecte constructiu de millora local. Actuacions a la xarxa de reg i xarxa de pluvials a la Variant de Vilanova de la Barca. Carretera C-13z al PK 17+700. Tram: Vilanova de la Barca.</t>
  </si>
  <si>
    <t>MSA. S9-CAP-05550</t>
  </si>
  <si>
    <t>Redacció del projecte executiu i la posterior direcció facultativa de les obres d’adequació de la instal·lació de climatització i resolució de filtracions del Centre d’atenció primària Can Serra de l’Hospitalet de Llobregat.</t>
  </si>
  <si>
    <t>CQ.TM-02609.20.2.1</t>
  </si>
  <si>
    <t>Control de qualitat de les obres del projecte constructiu de canvi de la senyalèctica i plafons de senyalització per adaptar la xarxa a la posada en servei de la Línia 10 Sud del metro de Barcelona. Estacions Foc Cisell i Foneria.</t>
  </si>
  <si>
    <t>MSA. S10-CAP-05465</t>
  </si>
  <si>
    <t>Redacció del projecte executiu i posterior direcció facultativa de les obres d’adequació d’accessos i instal·lacions del Centre d’atenció primària de Cervelló.</t>
  </si>
  <si>
    <t>PE+DO CAP-18202</t>
  </si>
  <si>
    <t>Redacció del projecte bàsic i executiu i la posterior direcció d'obra de la construcció del nou Centre d'Atenció Primària de Pineda de Mar.</t>
  </si>
  <si>
    <t>MSA. S1-PNA-07373</t>
  </si>
  <si>
    <t>Redacció del projecte executiu i la posterior direcció facultativa de les obres de rehabilitació de la coberta del centre d'educació infantil i primària Campderrós de Vallirana.</t>
  </si>
  <si>
    <t>DO. JJB-15301</t>
  </si>
  <si>
    <t>Direcció de les obres RAM reforma interior de l'edifici judicial del carrer Prim de Badalona.</t>
  </si>
  <si>
    <t>CSS. MG-08128.1</t>
  </si>
  <si>
    <t>Coordinació de seguretat i salut de l'execució de les obres del projecte constructiu de millora local. Eixamplament i reforç del ferm. Carretera C-25, del PK 238+000 al 240+100. Tram: Riudellots de la Selva.</t>
  </si>
  <si>
    <t>PE+DO HHB-18276</t>
  </si>
  <si>
    <t>Redacció del projecte bàsic i executiu i la posterior direcció d'obra de les obres de connexió d'escomesa elèctrica a l'Hospital Vall d'Hebron de Barcelona, 2a fase.</t>
  </si>
  <si>
    <t>PC. UPA-17284</t>
  </si>
  <si>
    <t>Redacció del projecte constructiu. Millora ambiental. Recuperació ambiental de la riera Mugueta i Rec del Molí a Castelló d'Empúries. Alt Empordà.</t>
  </si>
  <si>
    <t>PC. UPA-17288</t>
  </si>
  <si>
    <t>Redacció del projecte constructiu. Millora ambiental. Recuperació ambiental i posada en valor dels camins ramaders del Perelló.</t>
  </si>
  <si>
    <t>CSS. CAP-15348</t>
  </si>
  <si>
    <t>Coordinació de seguretat i salut de les obres de construcció del nou Centre d'Atenció Primària Santa Eulàlia, de l'Hospitalet de Llobregat.</t>
  </si>
  <si>
    <t>CQ. CAP-15348</t>
  </si>
  <si>
    <t>Control de qualitat de les obres de construcció del nou CAP Santa Eulàlia, de l'Hospitalet de Llobregat.</t>
  </si>
  <si>
    <t>CQ. RAM-18900</t>
  </si>
  <si>
    <t>DE. CAP-15348</t>
  </si>
  <si>
    <t>Direcció d'execució de les obres de construcció del nou Centre d'Atenció Primària Santa Eulàlia, de l'Hospitalet de Llobregat.</t>
  </si>
  <si>
    <t>Control de qualitat de les obres RAM 2018. 4 lots.</t>
  </si>
  <si>
    <t>Redacció de l'anàlisi i validació de la ventilació del túnel i estacions de la Línia 10 Sud entre Pou Bifurcació i Pou d'Atac Motors.</t>
  </si>
  <si>
    <t>EV. E14-TM-02609</t>
  </si>
  <si>
    <t>CQ. ICF-15336</t>
  </si>
  <si>
    <t>Control de qualitat de les obres de restauració de la façana principal de l'edifi situat a la Gran Via de les Corts Catalanes, 635 (cantonada c/ Roger de Llúria, 36) de Barcelona.</t>
  </si>
  <si>
    <t>MSA. S20-PNC-04317</t>
  </si>
  <si>
    <t>Redacció del projecte executiu i la posterior direcció facultativa de les obres de rehabilitació de la façana històrica del centre d'educació infantil i primària El Progrés de Badalona.</t>
  </si>
  <si>
    <t>PE+DO. CAP-18277</t>
  </si>
  <si>
    <t>Redacció del projecte bàsic i executiu i la posterior direcció d'obra del nou servei de rehabilitació del CAP de Falset.</t>
  </si>
  <si>
    <t>PE+DO. HTT-18275</t>
  </si>
  <si>
    <t>Redacció del projecte bàsic i executiu i la posterior direcció d'obra de les obres del nou servei de radioteràpia de l'Hospital Verge de la Cinta, de Tortosa.</t>
  </si>
  <si>
    <t>PE+DO. CAP-18201</t>
  </si>
  <si>
    <t>Redacció del projecte bàsic i executiu i la posterior direcció d'obra de les obres d'ampliació i reforma del CAP de Malgrat de Mar.</t>
  </si>
  <si>
    <t>21/03/18 modificada data presentació</t>
  </si>
  <si>
    <t>28/03/18  i 15/03/18 modificada data presentació (dos canvis data presentació)</t>
  </si>
  <si>
    <t>4/05/18 desistiment licitació</t>
  </si>
  <si>
    <t>25/01/18 anul·lació expedient</t>
  </si>
  <si>
    <t>AT-UPA-14015.4</t>
  </si>
  <si>
    <t>Assistència tècnica per als treballs de restauració de les praderies de Posidònia, afectades per la presència de morts defondeig i altres elements al litoral de l'Alt Empordà.</t>
  </si>
  <si>
    <t>30/05/18 desistiment de la licitació</t>
  </si>
  <si>
    <t>CSS. PRL-18001</t>
  </si>
  <si>
    <t>Contracte de serveis per a la supervisió de la prevenció de riscos laborals i de la coordinació de seguretat i salut de les obres de la L9.</t>
  </si>
  <si>
    <t>E2-INF-18500</t>
  </si>
  <si>
    <t>Serveis per l'assistència tècnica per a la investigació i assessorament en temes geotècnics de les infraestructures gestionades per Infraestructures de la Generalitat de Catalunya i per l'ens Infraestructures Ferroviàries de Catalunya.</t>
  </si>
  <si>
    <t>Serveis per l'assistència tècnica per a la investigació i assessorament en temes estructurals de les infraestructures gestionades per Infraestructures de la Generalitat de Catalunya i per l'ens Infraestructures Ferroviàries de Catalunya.</t>
  </si>
  <si>
    <t>E1-INF-18500</t>
  </si>
  <si>
    <t>CQ. CGM-17223</t>
  </si>
  <si>
    <t>Contracte de serveis per a l'assistència tècnica per al control de qualitat de les obres RAM renovació d'equips de clima i implantació de mesures per a la millora de l'eficiència energètica de diverses comissaries de Mossos d'Esquadra</t>
  </si>
  <si>
    <t>CQ-PAA-15309</t>
  </si>
  <si>
    <t>Contracte de serveis per a l'assistència tècnica de control de qualitat de les obres d'ampliació i adequació a 1L (sense gimnàs) a l'Escola CAU de la Guineu a Corbera de Llobregat.</t>
  </si>
  <si>
    <t>CQ. BSV-15315.A</t>
  </si>
  <si>
    <t>CQ. PGM-15307</t>
  </si>
  <si>
    <t>CQ.PGM-17218</t>
  </si>
  <si>
    <t>CQ.PAL-16214</t>
  </si>
  <si>
    <t>CQ.PNL-16216</t>
  </si>
  <si>
    <t>CQ CAP-15346</t>
  </si>
  <si>
    <t>Contracte de serveis per l'assistència tècnica per al control de qualitat de les obres de reforma de la cuina i el magatzem a la residència Els Arcs a Figueres.</t>
  </si>
  <si>
    <t>Contracte de serveis per a l'assitència tècnica per al control de qualitat de les obres RAM reforma i ampliació d'espais tècnics i millora del Parc de Bombers existent a Granollers.</t>
  </si>
  <si>
    <t>Contracte de serveis per a l'assistència tècnica per al control de qualitat de les obres RAM d'arranjament de la coberta del Parc de Bombers d'Amer.</t>
  </si>
  <si>
    <t>Contracte de serveis per a l'assistència tècnica per al control de qualitat de les obres d'ampliació a 2,5 L a l'Escola Ramon Faus i Esteve a Guissona</t>
  </si>
  <si>
    <t>Contracte de serveis per a l'assistència tècnica per al control de qualitat de la nova construcció de l'Escola 1 L a l'Escola El Vinyet de Solsona</t>
  </si>
  <si>
    <t>Contracte de serveis per l'assistència tècnica de control de qualitat  de les obres de construcció del nou centre d'atenció primària Cotet, a Premià de Dalt..</t>
  </si>
  <si>
    <t>CQ. MG-08128.1</t>
  </si>
  <si>
    <t>CQ.IAV-16213</t>
  </si>
  <si>
    <t>TA-NC-00100-A2 NC-00100-A2</t>
  </si>
  <si>
    <t>Contracte de serveis per a l'assistència tècnica de control de qualitat de les obres del projecte constructiu de millora local. Eixamplament i reforç del ferm. Carretera C-25, del PK 238+000 al 240+100. Tram : Riudellots de la Selva.</t>
  </si>
  <si>
    <t>Contracte de serveis per l'assistència tècnica de control de qualitat de les obres d'ampliació a Institut 4/2 La Rovira-Forns de Santa Perpètua de Mogoda.</t>
  </si>
  <si>
    <t>Contracte de serveis per a l'assitència tècnica de control de qualitat de les obres d'Instal·lacions de la reforma i ampliació de l'Hospital de Viladecans.</t>
  </si>
  <si>
    <t>Contrato de servicios para la asistencia técnica para la redacción de proyecto de trazado y del proyecto constructivo de mejora general; nueva carretera entre Riba-Roja y La Granja d'Escarp.</t>
  </si>
  <si>
    <t>CQ. HVB-16220</t>
  </si>
  <si>
    <t>CQ. CGM-17225</t>
  </si>
  <si>
    <t>Contracte de serveis per a l'assistència tècnica de control dequalitat de les obres RAM de substitució i millora del sistemade gravadors i càmeres perimetrals de diverses comissaries deMossos d'Esquadra.</t>
  </si>
  <si>
    <t>CQ. INC-08226.A</t>
  </si>
  <si>
    <t>Contracte de serveis per a l'assistència tècnica de control de qualitat de les obres de la nova construcció de l'Institut Ventura Gassol de Badalona.</t>
  </si>
  <si>
    <t>CQ. CAP-16204</t>
  </si>
  <si>
    <t>Contracte de serveis per a l'assistència tècnica de control de qualitat de les obres de construcció del nou Centre d'Atenció Primària de la Seu d'Urgell.</t>
  </si>
  <si>
    <t>CQ. MB-11049</t>
  </si>
  <si>
    <t>Contracte de serveis per a l¿assistència tècnica del control de qualitat de les obres del projecte constructiu de millora local. Millora de nus de la carretera C-35, PK 53+080, amb la BV-5301, PK 0+000. Tram: Santa Maria de Palautordera.</t>
  </si>
  <si>
    <t>CQ. MB-16021</t>
  </si>
  <si>
    <t>Contracte de serveis per a l¿assistència tècnica de control de qualitat de les obres del projecte constructiu de millora local. Millora de nus. Rotonda a la carretera BV-2429, PK 21+160. Tram: Subirats.</t>
  </si>
  <si>
    <t>DE. PMB-14333</t>
  </si>
  <si>
    <t>Contracte de serveis per a l'assistència tècnica de la direcció d'execució de les obres de substitució del Parc de Bombers existent a Moià per un edifici de tipus industrialitzat.</t>
  </si>
  <si>
    <t>ATAM. AB-14009.F3.1</t>
  </si>
  <si>
    <t>Contracte de serveis per a l'Assistència tècnica ambiental de les obres: Projecte constructiu de Millora general. Condicionament. Ampliació de la calçada lateral sentit Terrassa a l'autopista C-58, del PK 14+500 al 18+800. Sabadell - Terrassa.</t>
  </si>
  <si>
    <t>DO. ML-16047</t>
  </si>
  <si>
    <t>Contracte de serveis per a la direcció de les obres de millora local. Millora de nus. Ordenació cruïlla a la carretera N-II, PK 496+670. Tram: Bellpuig.</t>
  </si>
  <si>
    <t>DE. INC-08226.A</t>
  </si>
  <si>
    <t>Contracte de serveis per a la direcció d'execució de les obres de la nova construcció de l'Institut Ventura Gassol de Badalona.</t>
  </si>
  <si>
    <t>DO. MB-11049 + MB-16021</t>
  </si>
  <si>
    <t>Dir. conj. obres dels proj. constructius de: "Millora local. Millora de nus de la ctra C-35, PK 53+080, amb la BV-5301, PK 0+000. Tram: Santa Maria de Palautordera. Millora de nus. Rotonda a la ctra BV-22129, PK 21+160. Tram: Subirats.</t>
  </si>
  <si>
    <t>DE. PAE-14336</t>
  </si>
  <si>
    <t>Contracte de serveis per a la Direcció d'execució de les obres de reforma i adequació escola 2L a l'Escola Lluís Viñas i Viñoles de Mora d'Ebre.</t>
  </si>
  <si>
    <t>CSS. PAE-14336</t>
  </si>
  <si>
    <t>Coordinació de Seguretat i Salut conjunta de les obres: Reforma i adequació escola 2L a l'Escola Lluís Viñas i Viñoles de Mora d'Ebre. Reforma i adequació escola i  Instal·lació d'elements de protecció solar.</t>
  </si>
  <si>
    <t>CSS. INC-08226.A+PAA-15309</t>
  </si>
  <si>
    <t>Assist. tèc. conj. de Coord. S.S. obres Nova construcció de l'Institut Ventura Gassol de Badalona i de les obres d'Ampliació i adequació Escola a 1L (sense gimnàs) a l'Escola Cau de la Guineu a Corbera de Llobregat.</t>
  </si>
  <si>
    <t>CSS.CAP-16204+CSS. CAP-16219</t>
  </si>
  <si>
    <t>l'Assistència tècnica conjunta de Coordinació de Seguretat i Salut de les obres de construcció del nou Centre d'Atenció Primària de la Seu d'Urgell i de les obres RAM del Centre d'Atenció Primària Cappont, de Lleida.</t>
  </si>
  <si>
    <t>DO. TM-12002.3</t>
  </si>
  <si>
    <t>Direcció de les obres del projecte constructiu per a la millora de les condicions mecàniques de la superestructura de via de la Línia 2 de FMB. Tram: Universitat-Monumental.</t>
  </si>
  <si>
    <t>CQ. TM-12002.3</t>
  </si>
  <si>
    <t>Control de qualitat de les obres del projecte constructiu per a la millora de les condicions mecàniques de la superestructura de via de la Línia 2 de FMB. Tram: Universitat-Monumental.</t>
  </si>
  <si>
    <t>CSS. TM-12002.3</t>
  </si>
  <si>
    <t>Assist. tècnica de coordinació de segureatat i salut de les obres del projecte constructiu per a la millora de les condicions mecàniques de la superestructura de via de la Línia 2 de FMB. Tram: Universitat-Monumental.</t>
  </si>
  <si>
    <t>CQ. PMB-14333</t>
  </si>
  <si>
    <t>CQ. CGM-17248</t>
  </si>
  <si>
    <t>Contracte de serveis per a l'assistència tècnica per al control de qualitat de les obres RAM de millores de seguretat i videovigilància de diverses comissaries de Mossos d'Esquadra.</t>
  </si>
  <si>
    <t>ATAM. AT-00164.1-A1</t>
  </si>
  <si>
    <t>Assistència tècnica ambiental. Millora general. Condicionament de la carretera C-51 a Vilardida. Pk 24,400 al 26,840. Tram: Vila-rodona.</t>
  </si>
  <si>
    <t>CQ. IAA-16230</t>
  </si>
  <si>
    <t>Contracte de serveis per a l'assistència tècnica del control de qualitat de les obres d'ampliació a l'Escola Gavà Mar a Gavà per a Institut-Escola.</t>
  </si>
  <si>
    <t>DO.MG-08128.1</t>
  </si>
  <si>
    <t>Direcció de les obres del projecte constructiu de millora local. Eixamplament i reforç de la carretera C-25, del pk 238,000 al 240,100. Tram: Riudellots de la Selva.</t>
  </si>
  <si>
    <t>DO.TA-16248+TA-08259.A1</t>
  </si>
  <si>
    <t>Direcció conjunta de les obres del "Proj. actualitzat. Nova estació autobusos La Bisbal Empordà" i "Millora puntual. Arranjament diverses estacins i parades autobusos. (Amposta, Blanes, Igualada, La Seu d'Urgell, Olot, Quatre Camins, Sant Vicenç …."</t>
  </si>
  <si>
    <t>CQ. TA-08259.A1</t>
  </si>
  <si>
    <t>Control de qualitat de les obres del projecte actualitzat. Nova estació d'autobusos de la Bisbal d'Empordà.</t>
  </si>
  <si>
    <t>CSS. TA-16248 L1+ TA-08259.A1</t>
  </si>
  <si>
    <t>Assist. tèncica coordinació seg. i salut conjunta de les obres millora puntual. Arranjament de diverses estacions i parades d'autobusos (La Seu d'Urgell, Olot, Torroella de Montgrí, Sabadell, Blanes, Vic, Sant Feliu de Palleros i Tossa de Mar) i …</t>
  </si>
  <si>
    <t>CSS. TA-16248 L2</t>
  </si>
  <si>
    <t>Coordinació de seguretat i salut de les obres de millora puntual. Arranjament de diverses estacions i parades d'autobusos (Amposta, tortosa, Quatre Camins, Reus, Tarragona, Igualada i Valls).</t>
  </si>
  <si>
    <t>DE. BSV-14291</t>
  </si>
  <si>
    <t>Contracte de serveis per a la direcció d'execució de les obres de rehabilitació i reforç estructural de les plantes 1 a 4 de la residència i centre de dia per a gent gran La Mercè de Tarragona.</t>
  </si>
  <si>
    <t>CQ. TA-16248</t>
  </si>
  <si>
    <t>Control qualitat obres Millora puntual. Arranjament de diverses estacions i parades d'autobusos (Amposta, Blanes, Igualada, la Seu d'Urgell, Olot, Quatre Camins -Sant Vicenç dels Horts, Reus, Sabadell, S. Feliu de Pallerols, Tarragona, Torroella Montgrí..</t>
  </si>
  <si>
    <t>CQ. CAP-16206</t>
  </si>
  <si>
    <t>Control de qualitat de les obres RAM del Centre d'Atenció Primària Santa Margarida de Montbui, del Centre d'Atenció Primària Rosa dels Vents, de Barberà del Vallès i del Consultori Local de Santa Agnès de Malanyanes.</t>
  </si>
  <si>
    <t>CQ. CAP-16219</t>
  </si>
  <si>
    <t>Control de qualitat de les obres RAM del Centre d'Atenció Primària Cappont.</t>
  </si>
  <si>
    <t>CQ. BSV-14291</t>
  </si>
  <si>
    <t>Control de qualitat de les obres de rehabilitació i reforç estructural de les plantes 1 a 4 de la residència i centre de dia per a gent gran La Mercè de Tarragona.</t>
  </si>
  <si>
    <t>CSS- ML-10032.A1</t>
  </si>
  <si>
    <t>Contracte de serveis per a l'Assistència tècnica per la Coordinació de seguretat i salut de l'execució de les obres del projecte constructiu de millora local. Millora de nus. Carretera N-II, PK 452+160, i L-800, PK 0+000. Tram: Alcarràs.</t>
  </si>
  <si>
    <t>CSS. BSV-14291</t>
  </si>
  <si>
    <t>Contracte de serveis per a l'assistència tècnica de coordinació de seguretat i salut de les obres de rehabilitació i reforç estructural de les plantes 1 a 4 de la residència i centre de dia per a gent gran La Mercè a Tarragona.</t>
  </si>
  <si>
    <t>DE.VGM-17222</t>
  </si>
  <si>
    <t>DE.CGM-17225</t>
  </si>
  <si>
    <t>CQ.XB-06047</t>
  </si>
  <si>
    <t>CQ. AG-05087.1</t>
  </si>
  <si>
    <t>CQ. ML-16047</t>
  </si>
  <si>
    <t>CQ. VGM-17222</t>
  </si>
  <si>
    <t>CSS. VGM-17222</t>
  </si>
  <si>
    <t>CQ. AT-00164.1-A1</t>
  </si>
  <si>
    <t>CQ. CAP-16209</t>
  </si>
  <si>
    <t>Contracte de serveis per a la direcció d'execució de les obres RAM d'adequació i millora de les instal·lacions de climatització per al seu ús durant tot l'any, a l'edifici D de l'Institut de Seguretat Pública de Catalunya.</t>
  </si>
  <si>
    <t>Contracte de serveis per a la Direcció d'execució de les obres RAM de substitució i millora del sistema de gravadors i càmeres perimetrals de diverses comissaries de Mossos d'Esquadra.</t>
  </si>
  <si>
    <t>Control de qualitat de la "Millora local. Millora de nus. Vial de connexió de la Ronda nord de Granollers entre la rotonda de Francesc Macià i el Sector V Industrial, al marge esquerre del Congost. Tram: les Franqueses del Vallès".</t>
  </si>
  <si>
    <t>Control de Qualitat de les obres del projecte constructiu de millora general. Condicionament de la carretera GI-633, del PK 0+000 al 6+290. Tram: Medinyà (cruïlla amb l'N-II) - Sant Jordi Desvalls.</t>
  </si>
  <si>
    <t>Control de qualitat de les obres del projecte constructiu de millora local. Millora de nus. Ordenació cruïlla a la carretera N-II, PK 496+670. Tram: Bellpuig.</t>
  </si>
  <si>
    <t>Control de qualitat de les obres RAM d'adequació i millora de les instal·lacions de climatització per a seu ús durant tot l'any, a l'edifici D de l'institut de Seguretat Pública de Catalunya.</t>
  </si>
  <si>
    <t>Coordinació de seguretat i salut de les obres RAM d'adequació i millora de les instal·lacions de climatització per al seu ús durant tot l'any, a l'edifici D de l'institut de Seguretat Pública de Catalunya.</t>
  </si>
  <si>
    <t>Control de qualitat de les obres del projecte constructiu de millora general. Condicionament de la carretera C-51 a Vilardida. PK 24+400 al 26+840. Tram: Vila-rodona.</t>
  </si>
  <si>
    <t>Control de qualitat de les obres RAM del Centre d'Atenció Primària Les Indianes de Montcada i Reixac.</t>
  </si>
  <si>
    <t>CQ. S4-BSV-05494</t>
  </si>
  <si>
    <t>Control de qualitat de les actuacions de rehabilitació per a la resolució de les patologies en façana i paviments exteriors al casal de Gent Gran de Torelló.</t>
  </si>
  <si>
    <t>CSS. MG-16027</t>
  </si>
  <si>
    <t>Coordinació de seguretat i salut de les obres del projecte constructiu de millora local. Millora de nus. Rotonda i ordenació d'accessos a la carretera GI-533, del pk 2,470 al 3,740. tram: Vilablareix-Aiguaviva.</t>
  </si>
  <si>
    <t>CSS. PMB-14333</t>
  </si>
  <si>
    <t>CSS. ML-16047+MB-16021</t>
  </si>
  <si>
    <t>CSS-CGM-17223+1</t>
  </si>
  <si>
    <t>CSS. AG-05087.1</t>
  </si>
  <si>
    <t>CSS. AT-00164.1-A1</t>
  </si>
  <si>
    <t>ATAM. AG-05087.1</t>
  </si>
  <si>
    <t>Coordinació de seguretat i salut de l'execució de les obres de substitució del Parc de Bombers existent a Moià per un edifici de tipus industrialitzat.</t>
  </si>
  <si>
    <t>Coord. seg. i s. conjunta obres: Projecte de millora local. Millora de nus. Ordenació cruïlla a la carretera N-II, PK 496+670. Tram: Bellpuig. i Projecte de millora local. Millora de nus. Rotonda a la carretera BV-2429, PK 21+160. Tram: Subirats.</t>
  </si>
  <si>
    <t>Coord. S.S.: "Exec. obres RAM renovació d'equips de clima i implantació de mesures per a la millora de l'eficiència energ. diverses comissaries Mossos d'Esquadra. i exec. obr. RAM subst. i millora sist. gravadors i càmeres perim. de diverses comissaries.</t>
  </si>
  <si>
    <t>Coordinació de Seguretat i Salut de l'execució de les obres del projecte constructiu de millora general. Condicionament de la carretera GI-633, del PK 0+000 al 6+290. Tram: Medinyà (cruïlla amb l¿N-II) - Sant Jordi Desvalls.</t>
  </si>
  <si>
    <t>Coordinació de Seguretat i Salut de l'execució de les obres del projecte constructiu de millora general. Condicionament de la carretera C-51 a Vilardida. PK 24+400 al 26+ 840. Tram: Vila-rodona.</t>
  </si>
  <si>
    <t>Contracte de serveis per a l'assistència tècnica ambiental. Millora general. Condicionament de la carretera GI-633, del PK 0+000 al 6+290. Tram: Medinyà (cruïlla amb l¿N-II)-Sant Jordi Desvalls.</t>
  </si>
  <si>
    <t>CQ. SOC-17267</t>
  </si>
  <si>
    <t>DE. SOC-17267</t>
  </si>
  <si>
    <t>CSS. SOC-17267+BSV-15315.A…</t>
  </si>
  <si>
    <t>CQ. AB-14009.F3</t>
  </si>
  <si>
    <t>CQ. MB-12049.A1</t>
  </si>
  <si>
    <t>Contracte de serveis per a l'assistència tècnica per al control de qualitat de les obres de reforma i ampliació de l'oficina de treball del SOC a Salt.</t>
  </si>
  <si>
    <t>Contracte de serveis per a l'assistència tècnica per a la direcció d'execució de les obres de reforma i ampliació de l'oficina de treball del SOC a Salt.</t>
  </si>
  <si>
    <t>Coord. S.S. obres reforma i ampliació de l'oficina de treball del SOC a Salt; reforma cuina i magatzem a la resid. Els Arcs a Figueres; obres  proj. arquit. nou consultori local a Verges; i ob. proj. instal. nou consultori local a Verges.</t>
  </si>
  <si>
    <t>Control de qualitat de les obres del projecte constructiu de millora general. Condicionament. Ampliació de la calçada lateral sentit Terrassa a l'autopista C-58, del PK 14+500 al 18+800. Tram: Sabadell-Terrassa.</t>
  </si>
  <si>
    <t>C.Q. obres proj. constructiu Millora local. Millora nus. Nova rotonda a l'enllaç nord de Tona de la ctra. C-17, PK 52+800, marge dret, i adequació vial de servei crta. C-17, entre el PK 51+300 i el PK 53+530, marge dret. Tram: Tona.</t>
  </si>
  <si>
    <t>CSS.MB-11049+2</t>
  </si>
  <si>
    <t>CQ. PNC-09359.A</t>
  </si>
  <si>
    <t>CQ. CAP-16234</t>
  </si>
  <si>
    <t>CQ. PAV-16212</t>
  </si>
  <si>
    <t>CSS. AB-14009-F3.1</t>
  </si>
  <si>
    <t>Coor. seguretat i salut de les obres dels proj. construc.: Millora local. Millora nus ctra. C-35, pk 53,080, amb la BV-5301, pk 0,000. Tram: Santat Maria de Palautordera. Millora local. Millora nus. Nova rotonda a l'enllaç nord de Tona de la Ctra. C-17…</t>
  </si>
  <si>
    <t>Contracte de serveis per a l'assistència tècnica de control de qualitat de les obres de la de nova construcció de l'Escola Agnès de Sitges, 1 línia.</t>
  </si>
  <si>
    <t>Contracte de serveis per a l'assistència tècnica de control de qualitat de les obres RAM dels Centres d'Atenció Primària El Carmel de Barcelona i de Sant Fost de Campsentelles.</t>
  </si>
  <si>
    <t>Contracte de serveis per a l'assistència tècnica de control de qualitat de les obres d'ampliació Escola per a nova construcció edifici educació infantil a l'Escola Purificació Salas i Xandri de Sant Quirze del Vallès.</t>
  </si>
  <si>
    <t>Assistència tècnica de coordinació de seguretat i salut de les obres del projecte constructiu de millora general. Condicionament. Ampliació de la calçada lateral sentit Terrassa a l'autopista C-58, del pk 14,500 al 18,800. Sabadell-Terrassa.</t>
  </si>
  <si>
    <t>DO. AT-00164.1-A1</t>
  </si>
  <si>
    <t>DE. PAA-15309 + IAA-16230</t>
  </si>
  <si>
    <t>Contracte de serveis per a la direcció de les obres del projecte constructiu de millora general. Condicionament de la carretera C-51 a Vilardida. PK 24+400 al 26+840. Tram: Vila-rodona.</t>
  </si>
  <si>
    <t>Direcció d'execució conjunta de les obres d'ampliació i adequació Escola 1 L(sense gimnàs) a Escola Cau de la Guineu a Corbera de Llobregat  i de les obres d'ampliació de l'Escola Gavà Mar a Gavà per a Institut-Escola.</t>
  </si>
  <si>
    <t>DE.CGM-17248</t>
  </si>
  <si>
    <t>PC. NB-15065</t>
  </si>
  <si>
    <t>DO. ML-10032.A1</t>
  </si>
  <si>
    <t>DO. AG-05087.1</t>
  </si>
  <si>
    <t>DO. MB-12049.A1</t>
  </si>
  <si>
    <t>PM. MB-07109-A1-M1</t>
  </si>
  <si>
    <t>CQ.ML-10032.A1</t>
  </si>
  <si>
    <t>CSS. IAA-16230</t>
  </si>
  <si>
    <t>Contracte serveis per a l'assistència tècnica per a la Direcció d'Execució de les obres RAM de millores de seguretat i videovigilància en diverses comissaries de Mossos d'Esquadra.</t>
  </si>
  <si>
    <t>Contracte de serveis per a l¿assistència tècnica per a la redacció del projecte constructiu de la Millora general. Nova carretera. Nou accés a Igualada sud des de la carretera C-37, al PK 64+400. Vilanova del Camí - Igualada.</t>
  </si>
  <si>
    <t>Contracte de serveis per a la direcció de les obres del projecte constructiu de millora local. Millora de nus. Carretera N-II, PK 452+160, i L-800, PK 0+000. Tram: Alcarràs.</t>
  </si>
  <si>
    <t>Contracte de serveis per a la direcció de les obres del projecte constructiu de millora general. Condicionament de la carretera GI-633, del PK 0+000 al 6+290. Tram: Medinyà (cruïlla amb l'N-II) - Sant Jordi Desvalls.</t>
  </si>
  <si>
    <t>Dir. obres millora local. Millora de nus. Nova rotonda a l'enllaç Nord de Tona de la carretera C-17, a l'alçada del PK 52+800, marge dret, i adequació del vial de servei de la carretera C-17, entre el PK 51,300 i 53,530, marge dret. Tram: Tona.</t>
  </si>
  <si>
    <t>Contracte de serveis per a l'assistència tècnica per a la redacció del projecte modificat núm. 1 de millora local. Implantació d'un tercer carril a la carretera C-55 del PK 9+360 a l'11+400. Tram: Collbató.</t>
  </si>
  <si>
    <t>Contracte de serveis per a l'assistència tècnica de control de qualitat de les obres del projecte constructiu de millora local. Millora de nus. Carretera N-II, PK 452+160, i L-800, PK 0+000. Tram: Alcarràs.</t>
  </si>
  <si>
    <t>Assistència tècnica de Coordinació de Seguretat i Salut en l'execució de les obres d'ampliació de l'Escola Gavà Mar a Gavà per a Institut-Escola.</t>
  </si>
  <si>
    <t>DO. MG-07061.1</t>
  </si>
  <si>
    <t>Contracte de serveis per a la direcció de les obres del projecte constructiu de millora local. Millora de nus. Rotonda a la carretera GI-632, PK 2+500. Tram: Bellcaire d'Empordà.</t>
  </si>
  <si>
    <t>CQ. MG-07061.1</t>
  </si>
  <si>
    <t>Contracte de serveis per a l'assistència tècnica de control de qualitat de les obres del projecte constructiu de millora local. Millora de nus. Rotonda a la carretera GI-632, PK 2+500. Tram: Bellcaire d'Empordà.</t>
  </si>
  <si>
    <t>CQ. TM-02609.20.2.2</t>
  </si>
  <si>
    <t>Control de qualitat de les obres del Projecte de canvi de senyalèctica i de plafons de senyalització per adaptar la xarxa a la posada en servei de la Línia 10 Sud del metro de Barcelona. Estacions Ildefons Cerdà, Provençana i estacions Viaducte. F. 2 i 3.</t>
  </si>
  <si>
    <t>CQ. IAC-10037-C1</t>
  </si>
  <si>
    <t>Control de qualitat del projecte complementari núm. 1 de les obres d'adequació secretaria, lavabos P2, vestidors, incendis P2, façana, porta, xemeneia i parallamps a l'Institut La Llauna de Badalona.</t>
  </si>
  <si>
    <t>CSS.XB-06047</t>
  </si>
  <si>
    <t>Coordinació de seguretat i salut de l'execució de les obres del projecte constructiu "Vial de connexió entre la ronda nord de Granollers i el sector V industrial. Les franqueses del Vallès".</t>
  </si>
  <si>
    <t>DO.XB-06047</t>
  </si>
  <si>
    <t>Direcció de les obres del projecte constructiu de millora local. Millora de nus. Vial de connexió de la Ronda nord de Granollers entre la rotonda de Francesc Macià i el Sector V Industrial, al marge esquerre del Congost. Tram: Les Franqueses del Vallès.</t>
  </si>
  <si>
    <t>CQ. MG-16027</t>
  </si>
  <si>
    <t>Contracte de serveis per a l'assistència tècnica de control de qualitat de les obres del projecte constructiu de millora local. Millora de nus. Rotonda i ordenació d'accessos a la carretera GI-533, del PK 2+470 al 3+740. Tram: Vilablareix d'Aiguaviva.</t>
  </si>
  <si>
    <t>CSS. ECO-17219</t>
  </si>
  <si>
    <t>CQ. ECO-17219</t>
  </si>
  <si>
    <t>Control de qualitat de les obres de distribució dels espais interiors i les seves instal·lacions per a la implantació del nou complex al districte administratiu de la Generalitat de Catalunya Fase 1 a Barcelona.</t>
  </si>
  <si>
    <t>Coordinació de seguretat i salut de l'execució de les obres de distribució dels espais interiors i les seves instal·lacions per a la implantació del nou complex al districte administratiu de la Generalitat de Catalunya Fase 1 a Barcelona.</t>
  </si>
  <si>
    <t>CSS. MG-07061.1</t>
  </si>
  <si>
    <t>Coordinació de seguretat i salut de l'execució de les obres del projecte constructiu de millora local. Millora de nus. Rotonda a la carretera GI-632, PK 2+500. Tram: Bellcaire d'Empordà.</t>
  </si>
  <si>
    <t>DE. PNC-09359.A</t>
  </si>
  <si>
    <t>Direcció d'execució de les obres de la nova construcció a l'Escola Agnès de Sitges, 1 línia.</t>
  </si>
  <si>
    <t>CQ. CGM-17224</t>
  </si>
  <si>
    <t>DE. CLT-10089.1 + CLT-10089.2</t>
  </si>
  <si>
    <t>DE. PNL-16216</t>
  </si>
  <si>
    <t>DE. PAL-16214</t>
  </si>
  <si>
    <t>Contracte de serveis per a l'assistència tècnica per al control de qualitat de les obres RAM de renovació d'equips de clima i implantació de mesures per a la millora de l'eficiència energètica de diverses comissaries de Mossos d'Esquadra.</t>
  </si>
  <si>
    <t>Contracte de serveis per a l'assistència tècnica conjunta de direcció d'execució de les obres del projecte d'arquitectura d'un nou Consultori Local a Verges. Clau: CLT-10089.1 i les obres del projecte d'instal·lacions d'un nou Consultori Local a Verges.</t>
  </si>
  <si>
    <t>Contracte de serveis per a l'assistència tècnica de la Direcció d'execució de les obres de la nova construcció de l'Escola El Vinyet de Solsona.</t>
  </si>
  <si>
    <t>Contracte de serveis per a l'assistència tècnica de direcció d'execució de les obres d'ampliació a 2,5 L a l'Escola Ramón Faus i Esteve a Guissona.</t>
  </si>
  <si>
    <t>CSS. CAP-15346</t>
  </si>
  <si>
    <t>Contracte de serveis per a l'assistència tècnica per a la coordinació de seguretat i salut de les obres de construcció del nou Centre d'Atenció Primària Cotet, a Premià de Dalt.</t>
  </si>
  <si>
    <t>DE. CGM-17224</t>
  </si>
  <si>
    <t>Contracte de serveis per a la direcció d'execució de les Obres RAM de renovació d'equips de clima i implantació de mesures per a la millora de l'eficiència energètica de diverses comissaries de Mossos d'Esquadra.</t>
  </si>
  <si>
    <t>DE. CAP-15346</t>
  </si>
  <si>
    <t>Contracte de serveis per a l'assistència tècnica de la direcció d'execució de les obres de construcció del nou Centre d'Atenció Primària Cotet, a Premià de Dalt.</t>
  </si>
  <si>
    <t>DE. PGM-15352</t>
  </si>
  <si>
    <t>Contracte de serveis per a l'assistència tècnica per a la direcció d'execució de les obres d'Adequació, reforma i millora del Parc de Bombers de Girona.</t>
  </si>
  <si>
    <t>DE. CGM-17223</t>
  </si>
  <si>
    <t>Contracte de serveis per a l'assistència tècnica per a la direcció d'execució de les obres RAM renovació d'equips de clima i implantació de mesures per a la millora de l'eficiència energètica de diverses comissaries de Mossos d'Esquadra.</t>
  </si>
  <si>
    <t>CQ. MC-14006</t>
  </si>
  <si>
    <t>Control de qualitat de les obres del projecte constructiu de millora local. Seguretat viària. Estudi i implantació de millores en seguretat viària per a motoristes a la xarxa de carreteres de la Generalitat. Any 2014.</t>
  </si>
  <si>
    <t>DO. AB-14009.F3.1</t>
  </si>
  <si>
    <t>Contracte de serveis per a la direcció de les obres del projecte constructiu de millora general. Condicionament. Ampliació de la calçada lateral sentit Terrassa a l'autopista C-58, del PK 14+500 al 18+800. Tram: Sabadell-Terrassa.</t>
  </si>
  <si>
    <t>DO. TM-02609.20.2.2</t>
  </si>
  <si>
    <t>Direcció de les obres del projecte de canvi de senyalèctica i de plafons de senyalització per adaptar la xarxa a la posada en servei de la Línia 10 Sud del metro de Barcelona. Estacions Ildefons Cerdà, Provençana i estacions Viaducte. Fases 2 i 3.</t>
  </si>
  <si>
    <t>DE. CAP-16204</t>
  </si>
  <si>
    <t>Contracte de serveis per a la Direcció d'execució de les obres de Construcció del nou Centre d'Atenció Primària de la Seu d'Urgell.</t>
  </si>
  <si>
    <t>DE. CAP-16219</t>
  </si>
  <si>
    <t>Contracte de serveis per a la Direcció d'execució de les obres corresponents al Projecte: obres RAM del Centre d'Atenció Primària Cappont, de Lleida.</t>
  </si>
  <si>
    <t>DE. CGM-17253</t>
  </si>
  <si>
    <t>Contracte de serveis per a la Direcció d'execució de les obres corresponents al Projecte: RAM de millores funcionals de diverses comissaries de Mossos d'Esquadra.</t>
  </si>
  <si>
    <t>CSS. PGM-15352+CGM-17224+CCG-16273</t>
  </si>
  <si>
    <t>Assistència tècnica per a la Coordinació de seguretat i salut de l'execució de les obres: "Adequació, reforma i millora del Parc de Bombers de Girona. Obres RAM de renovació d'equips de clima diverses comissaries Mossos obres remodelació Comis. a Banyoles</t>
  </si>
  <si>
    <t>DE. IAV-16213</t>
  </si>
  <si>
    <t>Contracte de serveis per a l'assistència tècnica de direcció d'execució de les obres d'ampliació a Institut 4/2 L Rovira-Forns de Santa Perpètua de Mogoda.</t>
  </si>
  <si>
    <t>CSS. PNL-16216+PAL-16214</t>
  </si>
  <si>
    <t>Coordinació de seguretat i salut conjunta de les obres de l'execució de les obres de nova construcció de l'Escola El Vinyet de Solsona i execució de les obres d'ampliació de l'Escola Ramón Faus i Esteve de Guissona.</t>
  </si>
  <si>
    <t>DE. PGM-15307</t>
  </si>
  <si>
    <t>Contracte de serveis per a la direcció d'execució de les obres RAM Reforma i ampliació d'espais tècnics i millora del Parc de Bombers existent a Granollers.</t>
  </si>
  <si>
    <t>CQ. PGM-15352</t>
  </si>
  <si>
    <t>Contracte de serveis per a l'assistència tècnica per al control de qualitat de les obres d'Adequació, reforma i millora del Parc de Bombers de Girona.</t>
  </si>
  <si>
    <t>CQ.VE-06008.1</t>
  </si>
  <si>
    <t>Contracte de serveis per a l'assistència tècnica de control de qualitat de les obres del projecte constructiu de millora general. Variant de Gandesa. Actuacions d'enllaç a la variant. Carretera C-43, PK 11+700 al 13+600. Tram: Gandesa.</t>
  </si>
  <si>
    <t>CSS. CGM-17253+PGM-15307</t>
  </si>
  <si>
    <t>Coordinació de Seguretat i Salut conjunta de les obres: "RAM de millores funcionals de diverses comissaries de Mossos d'Esquadra. i "Reforma, ampliació d'espais tècnics i millora del Parc de Bombers existent a Granollers.</t>
  </si>
  <si>
    <t>DO. MC-14006</t>
  </si>
  <si>
    <t>Direcció de les obres del projecte constructiu de millora local. Seguretat viària. Estudi i implantació de millores en seguretat viària per a motoristes a la xarxa de carreteres de la Generalitat. Any 2014.</t>
  </si>
  <si>
    <t>PC. TM-11018.1</t>
  </si>
  <si>
    <t>Redacció del projecte constructiu: Millora de l'accessibilitat de l'estació de Vallcarca de la Línia 3 dels FMB. Ascensor de carrer. Barcelona.</t>
  </si>
  <si>
    <t>DO.NB-03114.1-A1-C4</t>
  </si>
  <si>
    <t>Direcció de les obres del projecte complementari de millora local. Talussos. Adequació del marge del riu Llobregat adjacent al vial Port-Aeroport. Tram: El Prat de Llobregat.</t>
  </si>
  <si>
    <t>CQ. CGM-17253</t>
  </si>
  <si>
    <t>Control de qualitat de les obres RAM de millores funcionals de diverses comissaries de les regions policials de Girona, Metropolitana Nord, Ponent i Metropolitana Sud.</t>
  </si>
  <si>
    <t>30/10/18 declarada deserta</t>
  </si>
  <si>
    <t>CSS. PNC-09359.A</t>
  </si>
  <si>
    <t>Contracte de serveis per a l'Assistència Tècnica de la Coordinació de seguretat i salut per l'execució de les obres Nova construcció Escola Agnès de Sitges, Clau: PNC-09359.A (Lot1+Lot2).</t>
  </si>
  <si>
    <t>CSS.VE-06008.1</t>
  </si>
  <si>
    <t>Contracte de serveis per a l'Assistència Tècnica de Coordinació de Seguretat i Salut de les obres del projecte constructiu de millora general. Variant de Gandesa. Actuacions d'enllaç a la variant. Carretera C-43, PK 11+700 al 13+600. Tram: Gandesa.</t>
  </si>
  <si>
    <t>ATAM. VE-06008.1</t>
  </si>
  <si>
    <t>Contracte de serveis de l'assistència tècnica ambiental. Millora general. Variant de Gandesa. Actuacions d'enllaç a la variant. Carretera C-43, PK 11+700 al 13+600. Tram: Gandesa. Clau: ATAM. VE-06008.1.</t>
  </si>
  <si>
    <t>DO. MG-16027</t>
  </si>
  <si>
    <t>Contracte de serveis per a la direcció de les obres del projecte constructiu de millora local. Millora de nus. Rotonda i ordenació d'accessos a la carretera GI-533, del PK 2+470 al 3+740. Tram: Vilablareix ¿ Aiguaviva.</t>
  </si>
  <si>
    <t>DE.VGM-17227</t>
  </si>
  <si>
    <t>Contracte de serveis per a la Direcció d'Execució de les obres RAM de substitució i millora de les instal·lacions de l'edifici A i accessos del complex Central de Sabadell.</t>
  </si>
  <si>
    <t>CSS.PAV-16212+IAV-16213</t>
  </si>
  <si>
    <t>PE+DF.XMA-19505</t>
  </si>
  <si>
    <t>PE+DF.XMA-19507</t>
  </si>
  <si>
    <t>PE+DF.XMA-19508</t>
  </si>
  <si>
    <t>PE+DF.XMC-19515</t>
  </si>
  <si>
    <t>PE+DF.XMC-19516</t>
  </si>
  <si>
    <t>PE+DF.XMC-19517</t>
  </si>
  <si>
    <t>PE+DF.XMC-19518</t>
  </si>
  <si>
    <t>PE+DF.XMH-19521</t>
  </si>
  <si>
    <t>PE+DF.XMH-19522</t>
  </si>
  <si>
    <t>PE+DF.XMH-19523</t>
  </si>
  <si>
    <t>PE+DF.XMH-19524</t>
  </si>
  <si>
    <t>PE+DF.XMG-19538</t>
  </si>
  <si>
    <t>PE+DF.XMG-19539</t>
  </si>
  <si>
    <t>PE+DF.XML-19525</t>
  </si>
  <si>
    <t>PE+DF.XML-19526</t>
  </si>
  <si>
    <t>PE+DF.XML-19512</t>
  </si>
  <si>
    <t>PE+DF.XML-19513</t>
  </si>
  <si>
    <t>PE+DF.XML-19533</t>
  </si>
  <si>
    <t>PE+DF.XML-19531</t>
  </si>
  <si>
    <t>PE+DF.XMV-19532</t>
  </si>
  <si>
    <t>PE+DF.XMV-19534</t>
  </si>
  <si>
    <t>PE+DF.XMV-19535</t>
  </si>
  <si>
    <t>PE+DF.XME-19519</t>
  </si>
  <si>
    <t>PE+DF.XME-19520</t>
  </si>
  <si>
    <t>PE+DF.XMA-19504</t>
  </si>
  <si>
    <t>PE+DF.XMV-19528</t>
  </si>
  <si>
    <t>PE+DF.XMC-19514</t>
  </si>
  <si>
    <t>PE+DF.XMM-19509</t>
  </si>
  <si>
    <t>PE+DF.XMM-19510</t>
  </si>
  <si>
    <t>PE+DF.XMM-19511</t>
  </si>
  <si>
    <t>EV-MA-19900</t>
  </si>
  <si>
    <t>PE+DF. XMA-19506</t>
  </si>
  <si>
    <t>PE+DF.XMV-19530</t>
  </si>
  <si>
    <t>PE+DF.XMV-19529</t>
  </si>
  <si>
    <t>PE+DF.XMG-19537</t>
  </si>
  <si>
    <t>PE+DF.XMG-19536</t>
  </si>
  <si>
    <t>PE+DF. XMC-19514</t>
  </si>
  <si>
    <t>Contracte de serv. Per A.T. per la Coordinació de seguretat i dalut de l'execució de les obres: Ampliació Escola Purificació Salas i Xandri , per a nova construc. D'edifici d'educació infantil, a Sant Quirze del Vallès. Ampliaicó a Institut 4/2Rovira-Forn</t>
  </si>
  <si>
    <t>Contracte de serveis per l'A.T. per a la redacció del projecte i l'estudi de seguretat i salut i la posterior direcció facultativa de les obres RAM 2019 als Serveis Territorials del Baix Llobregat (II): Institut Cornellà (Cornellà del Ll.), CFA adults…</t>
  </si>
  <si>
    <t>Contracte de serveis per l'A.T. per a la redacció del projecte i l'estudi de seguretat i salut i la posterior direcció facultativa de les obres RAM 2019 als Serveis Territorials del Baix Llobregat (IV): Institut Esteve Terrades i Illa (Cornellà de Ll.)…</t>
  </si>
  <si>
    <t>Contracte de serveis per l'A.T. per a la redacció del projecte i l'estudi de seguretat i salut i la posterior direcció facultativa de les obres RAM 2019 als Serveis Territorials del Baix Llobregat (V): Escola Montserrat(St.Just Desvern) i Inst. Joanot …</t>
  </si>
  <si>
    <t>Contracte de serveis per l'A.T. per a la redacció del projecte i l'estudi de seguretat i salut i la posterior direcció facultativa de les obres RAM 2019 als Serveis Territorials als Serv. Territorials a Barcelona Comarques (II):Institut Nou Hospital…</t>
  </si>
  <si>
    <t>Contracte de serveis per l'A.T. per a la redacció del projecte i l'estudi de seguretat i salut i la posterior direcció facultativa de les obres RAM 2019 als Serveis Territorials als Serv. Territorials a Barcelona Comarques (III):Escola J.Baltà Elies…</t>
  </si>
  <si>
    <t>Contracte de serveis per l'A.T. per a la redacció del projecte i l'estudi de seguretat i salut i la posterior direcció facultativa de les obres RAM 2019 als Serveis Territorials als Serv. Territorials a Barcelona Comarques (IV):Institut Eugeni d'Ors…</t>
  </si>
  <si>
    <t>Contracte de serveis per l'A.T. per a la redacció del projecte i l'estudi de seguretat i salut i la posterior direcció facultativa de les obres RAM 2019 als Serveis Territorials als Serv. Territorials a Barcelona Comarques (V): Escola A.March(Sta.Coloma G</t>
  </si>
  <si>
    <t>Contracte de serveis per l'A.T. per a la redacció del projecte i l'estudi de seguretat i salut i la posterior direcció facultativa de les obres RAM 2019 als Serveis Territorials als Serv. Territorials a Catalunya Central (I):Institut d'Auró (Santpedor)…</t>
  </si>
  <si>
    <t>Contracte de serveis per l'A.T. per a la redacció del projecte i l'estudi de seguretat i salut i la posterior direcció facultativa de les obres RAM 2019 als Serveis Territorials als Serv. Territorials a Catalunya Central (II): Escola El Rocal (Montesquiu)</t>
  </si>
  <si>
    <t>Contracte de serveis per l'A.T. per a la redacció del projecte i l'estudi de seguretat i salut i la posterior direcció facultativa de les obres RAM 2019 als Serveis Territorials als Serv. Territorials a Catalunya Central (III):Inst.Joan Mercader (Igual…</t>
  </si>
  <si>
    <t>Contracte de serveis per l'A.T. per a la redacció del projecte i l'estudi de seguretat i salut i la posterior direcció facultativa de les obres RAM 2019 als Serveis Territorials als Serv. Territorials a Catalunya Central (IV): Escola Mare de Déu…</t>
  </si>
  <si>
    <t>Contracte de serveis per l'A.T. per a la redacció del projecte i l'estudi de seguretat i salut i la posterior direcció facultativa de les obres RAM 2019 als Serveis Territorials als Serv. Territorials a Girona (IV): Escola Finestres, actualització proj…</t>
  </si>
  <si>
    <t>Contracte de serveis per l'A.T. per a la redacció del projecte i l'estudi de seguretat i salut i la posterior direcció facultativa de les obres RAM 2019 als Serveis Territorials als Serv. Territorials a Girona (V): Escola St. Esteve de Guialbes, act.proje</t>
  </si>
  <si>
    <t>Contracte de serveis per l'A.T. per a la redacció del projecte i l'estudi de seguretat i salut i la posterior direcció facultativa de les obres RAM 2019 als Serveis Territorials als Serv. Territorials a Lleida (I):Inst.Ronda, actualit.proj.,Inst.Joan Oró.</t>
  </si>
  <si>
    <t>Contracte de serveis per l'A.T. per a la redacció del projecte i l'estudi de seguretat i salut i la posterior direcció facultativa de les obres RAM 2019 als Serveis Territorials als Serv. Territorials a Lleida (II):Escola Aeso-ZER Pallars Jussà…</t>
  </si>
  <si>
    <t>Contracte de serveis per l'A.T. per a la redacció del projecte i l'estudi de seguretat i salut i la posterior direcció facultativa de les obres RAM 2019 als Serveis Territorials als Serv. Territorials a Tarragona(I): Escola César August(Tarragona)…</t>
  </si>
  <si>
    <t>Contracte de serveis per l'A.T. per a la redacció del projecte i l'estudi de seguretat i salut i la posterior direcció facultativa de les obres RAM 2019 als Serveis Territorials als Serv. Territorials a Tarragona(II): Inst.Baix Camp, actualització Proj…</t>
  </si>
  <si>
    <t>Contracte de serveis per l'A.T. per a la redacció del projecte i l'estudi de seguretat i salut i la posterior direcció facultativa de les obres RAM 2019 als Serveis Territorials als Serv. Territorials al Vallès Occidental (IX):Inst.Joan Marquès i Casals.</t>
  </si>
  <si>
    <t>Contracte de serveis per l'A.T. per a la redacció del projecte i l'estudi de seguretat i salut i la posterior direcció facultativa de les obres RAM 2019 als Serveis Territorials als Serv. Territorials al Vallès Occidental (VII): Institut Polinyà …</t>
  </si>
  <si>
    <t>Contracte de serveis per l'A.T. per a la redacció del projecte i l'estudi de seguretat i salut i la posterior direcció facultativa de les obres RAM 2019 als Serveis Territorials als Serv. Territorials al Vallès Occidental (VIII): Inst. La Ribera….</t>
  </si>
  <si>
    <t>Contracte de serveis per l'A.T. per a la redacció del projecte i l'estudi de seguretat i salut i la posterior direcció facultativa de les obres RAM 2019 als Serveis Territorials als Serv. Territorials al Vallès Occidental (X): Inst. Ca N'Oriac (Sabadell..</t>
  </si>
  <si>
    <t>Contracte de serveis per l'A.T. per a la redacció del projecte i l'estudi de seguretat i salut i la posterior direcció facultativa de les obres RAM 2019 als Serveis Territorials als Serv. Territorials al Vallès Occidental (XI):Inst. Can Jofresa...</t>
  </si>
  <si>
    <t>Contracte de serveis per l'A.T. per a la redacció del projecte i l'estudi de seguretat i salut i la posterior direcció facultativa de les obres RAM 2019 als Serveis Territorials als Serv. Territorials de les Terres de l'Ebre (I): Escola St. Llàtzer…</t>
  </si>
  <si>
    <t>Contracte de serveis per l'A.T. per a la redacció del projecte i l'estudi de seguretat i salut i la posterior direcció facultativa de les obres RAM 2019 als Serveis Territorials als Serv. Territorials de les Terres de l'Ebre (II):EscolaEl Verger (Garcia).</t>
  </si>
  <si>
    <t>Contracte de serveis per l'A.T. per a la redacció del projecte i l'estudi de seguretat i salut i la posterior direcció facultativa de les obres RAM 2019 als Serveis Territorials als Serv. Territorials del Baix Llobregat (I)…</t>
  </si>
  <si>
    <t>Contracte de serveis per l'A.T. per a la redacció del projecte i l'estudi de seguretat i salut i la posterior direcció facultativa de les obres RAM 2019 als Serveis Territorials als Serv. Territorials al V.Occidental (IV):Escola Bellaterra (Cerdanyola V..</t>
  </si>
  <si>
    <t>Contracte de serveis per l'A.T. per a la redacció del projecte i l'estudi de seguretat i salut i la posterior direcció facultativa de les obres RAM 2019 als Serveis Territorials als Serv. Territorials a Barcelona Comarques (I):Institut La Riera (Badalona)</t>
  </si>
  <si>
    <t>Contracte de serveis per l'A.T. per a la redacció del projecte i l'estudi de seguretat i salut i la posterior direcció facultativa de les obres RAM 2019 als Serveis Territorials del Maresme-Vallès (I): Inst.les Cinc Sènies (Mataró), Inst.de Tiana….</t>
  </si>
  <si>
    <t>Contracte de serveis per l'A.T. per a la redacció del projecte i l'estudi de seguretat i salut i la posterior direcció facultativa de les obres RAM 2019 als Serveis Territorials del Maresme-Vallès (II): Inst.Marta Estrada (Granollers) i Inst. Escola Mar..</t>
  </si>
  <si>
    <t>Contracte de serveis per l'A.T. per a la redacció del projecte i l'estudi de seguretat i salut i la posterior direcció facultativa de les obres RAM 2019 als Serveis Territorials del Maresme-Vallès (III): Inst.Escola Àngela Bransuela (Mataró)…</t>
  </si>
  <si>
    <t>Contracte de serveis per l'AT. Per l'execució de seguiments dels treballs de millora de l'hàbitat estepari. Mesures compensatòries del regadiu del sistema Segarra-Garrigues. Campanya 2019-2020.</t>
  </si>
  <si>
    <t>Redacció del projecte i l'estudi de seguretat i salut i la posterior direcció facultativa de les obres RAM 2019 als Serveis Territorials del Baix Llobregat (III): Escola Àngel Guimerà (Pallejà) i Institut El Palau (Sant Andreu de la Barca).</t>
  </si>
  <si>
    <t>Red. proj. i est. S.S. i posterior dir. facult. obres RAM 2019 als Serv. Territ. al Vallès Occidental (VI):Institut J.V. Foix (Rubí), Institut La Serreta (Rubí), Institut Montserrat Roig (Terrassa) i Escola Espronceda (Sabadell).</t>
  </si>
  <si>
    <t>Red. proj. i est. S.S. i posterior dir. facult. obres RAM 2019 als Serv. Territ. al Vallès Occidental (V): Institut Ribot i Serra (Sabadell), Escola La Mirada (Sant Cugat del Vallès), Institut Arraona (Sabadell) i Institut Can Planas (Barberà del Vallès).</t>
  </si>
  <si>
    <t>Red. proj. i est. S.S. i posterior dir. facult. obres RAM 2019 als Serv. Territ. a  Girona (III): Institut Santa Eugènia, actualització projecte, (Girona) i Escola Frigolet, actualització projecte, (Porqueres).</t>
  </si>
  <si>
    <t>Red. proj. i est. S.S. i posterior dir. facult. obres RAM 2019 als Serv. Territ. a  Girona (II): Institut Ermesenda (Girona) i Institut Sarrià (Sarrià de Ter).</t>
  </si>
  <si>
    <t>Red. proj. i est. S.S. i posterior dir. facult. obres RAM 2019 als Serv. Territ. a Barcelona Comarques (I): Institut La Riera (Badalona) i Institut Nou Santa Coloma (Santa Coloma de Gramanet).</t>
  </si>
  <si>
    <t>DE .CGM-17248</t>
  </si>
  <si>
    <t>Contracte de serveis per a l'assistència tècnica per a la Direcció d'Execució de les obres RAM de millores de seguretat i videovigilància en diverses comissaries de Mossos d'Esquadra.</t>
  </si>
  <si>
    <t>CQ. VGM-17227</t>
  </si>
  <si>
    <t>Control de qualitat de les obres RAM de substitució i millora de les instal·lacions de l'edifici A i accessos del complex Central de Sabadell.</t>
  </si>
  <si>
    <t>CQ. IAA-16255</t>
  </si>
  <si>
    <t>CSS. IAA-16255</t>
  </si>
  <si>
    <t>CSS. VGM-17227</t>
  </si>
  <si>
    <t>Contracte de serveis per a l'assistència tècnica de control de qualitat de les obres d'adequació i ampliació a Institut 3/2 L a l'Institut Badia Margarit d'Igualada.</t>
  </si>
  <si>
    <t>Contracte de serveis per a l'assistència tècnica per la coordinació de seguretat i salut de l'execució de les obres d'adequació i ampliació a Institut 3/2 L a l'Institut Badia i Margarit d'Igualada.</t>
  </si>
  <si>
    <t>Contracte de serveis per a l'assistència tècnica per la coordinació de seguretat i salut de l'execució de les obres RAM de substitució i millora de les instal·lacions de l'edifici A i accessos del complex Central de Sabadell.</t>
  </si>
  <si>
    <t>CSS. MC-14006</t>
  </si>
  <si>
    <t>Coordinació de seguretat i salut de l'execució de les obres del projecte constructiu de millora local. Seguretat viària. Estudi i implantació de millores en seguretat viària per a motoristes a la xarxa de carreteres de la Generalitat. Any 2014.</t>
  </si>
  <si>
    <t>22/11/18 desistiment licitació</t>
  </si>
  <si>
    <t>DE. PAV-16212</t>
  </si>
  <si>
    <t>Contracte de serveis per a l'assistència tècnica de Direcció d'execució de les obres d'Ampliació Escola per a nova construcció edifici educació infantil a l'Escola Purificació Salas i Xandri de Sant Quirzedel Vallès.</t>
  </si>
  <si>
    <t>DO.TM-09294.A2</t>
  </si>
  <si>
    <t>Direcció conjunta de les obres del "Projecte constructiu de la nova estació entre Collblanc i Pubilla Cases de la Línia 5 de l'FMB. Arquitectura i instal·lacions. Projecte actualitzat. Fase 1 (Lot 1 i Lot 2) i Fase 2".</t>
  </si>
  <si>
    <t>es va publicar també el 4/12/18 repetida</t>
  </si>
  <si>
    <t>DE. INB-07393.A</t>
  </si>
  <si>
    <t>Contracte de serveis per a l'assistència tècnica per a la direcció d'execució de les obres de la nova construcció Institut 3/2 L (actualització) Angeleta Ferrer i Sensat a Barcelona.</t>
  </si>
  <si>
    <t>CQ. INB-07393.A</t>
  </si>
  <si>
    <t>Contracte de serveis per a l'assistència tècnica de control de qualitat de les obres de nova construcció Institut 3/2 L (actualització) Angeleta Ferrer i Sensat a Barcelona.</t>
  </si>
  <si>
    <t>DE. IAA-16255</t>
  </si>
  <si>
    <t>Contracte de serveis per a l'assistència tècnica de Direcció d'execució de les obres d'adequació i ampliació a Institut 3/2 L a l'Institut Badia Margarit d'Igualada.</t>
  </si>
  <si>
    <t>CQ.CCG-16273</t>
  </si>
  <si>
    <t>Contracte de serveis per a l'assistència tècnica per al control de qualitat de les obres de Remodelació de la Comissaria de la Policia de la Generalitat-Mossos d'Esquadra a Banyoles.</t>
  </si>
  <si>
    <t>deserta i nova convocatòria.</t>
  </si>
  <si>
    <t>E2 -INF-18500</t>
  </si>
  <si>
    <t>Assit. tècnica per a la investigació i assessorament en temes geotècnics de les infraestructures gestionades per Infraestructures de la Generalitat de Catalunya, SAU (Infraestructures.cat) i per l'ens Infraestructures Ferroviàries de Catalunya (Ifercat).</t>
  </si>
  <si>
    <t>modificat pressupost i terminis</t>
  </si>
  <si>
    <t>CSS. TM-09294.A2</t>
  </si>
  <si>
    <t>Coordinació de Seguretat i Salut conjunta de les obres del Projecte constructiu de la nova estació entre Collblanc i Pubilla Cases de la Línia 5 de l'FMB. Arquitectura i instal·lacions. Projecte actualitzat. Fase 1(Lot1 i Lot2) i Fase 2.</t>
  </si>
  <si>
    <t>Número d'Anuncis i Imports 2019</t>
  </si>
  <si>
    <t>Diferència 2018-2019</t>
  </si>
  <si>
    <t>Diferència 2019-2020</t>
  </si>
  <si>
    <t>Contracte de serveis per a l'Assistència Tècnica de Coordinació de seguretat i salut de les obres de millora puntual. Arranjament de diverses estacions i parades d'autobusos. (Amposta, Tortosa, Quatre Camins, Reus, Tarragona, Igualada i Valls).</t>
  </si>
  <si>
    <t>CSS. TA-16248+TA-08259.A1</t>
  </si>
  <si>
    <t>Coord. de S.S. obres: Millora puntual. Arranjament diverses estacions i parades autobusos. (La Seu d'Urgell, Olot, Torroella de Montgrí, Sabadell, Blanes, Vic, Sant Feliu de Pallerols i Tossa de Mar) i proj. actualitzat. Nova estació autobusos a la Bisbal</t>
  </si>
  <si>
    <t>CSS. BSV-15316</t>
  </si>
  <si>
    <t>Coordinació de seguretat i salut de les obres d'instal·lació de dues escales d'emergència, una bugaderia i dues habitacions en la Residència per a gent gran del Mil·lenari, en el carrer Nou de la Rambla, 47-49, de Barcelona.</t>
  </si>
  <si>
    <t>DE. BSV-15316</t>
  </si>
  <si>
    <t>Direcció d'execució de les obres d'instal·lació de dues escales d'emergència, una bugaderia i dues habitacions en la Residència per a gent gran del Mil·lenari, en el carrer Nou de la Rambla, 47-49, de Barcelona.</t>
  </si>
  <si>
    <t>CQ. CAP-16207</t>
  </si>
  <si>
    <t>Control qualitat obres RAM del CAP de l'Ametlla de Mar, del CAP d'Alcanar, del Consultori Local de Pinell de Brai, del Consultori Local de Paüls, del Consultori Local de les Cases d'Alcanar i del Consultori Local d'Alfara de Carles.</t>
  </si>
  <si>
    <t>PE+DO. CAP-18202</t>
  </si>
  <si>
    <t>Concurs de projectes per a la de redacció del projecte bàsic, el projecte executiu i la posterior Direcció d'obra del projecte de construcció del nou Centre d'Atenció Primària de Pineda de Mar.</t>
  </si>
  <si>
    <t>PE+DO CAP-17281</t>
  </si>
  <si>
    <t>DE.CCG-16273</t>
  </si>
  <si>
    <t>Contracte de serveis per a l'assistència tècnica per a la redacció del projecte bàsic i executiu i la posterior direcció d'obra de les obres d'ampliació i reforma del Centre d'Atènció Primària a Tona.</t>
  </si>
  <si>
    <t>Contracte de serveis per a la direcció d'execució de les obres de Remodelació de la Comissaria de la Policia de la Generalitat - Mossos d'Esquadra a Banyoles.</t>
  </si>
  <si>
    <t>EV. EM-XXE-18113</t>
  </si>
  <si>
    <t>Contracte de serveis per a l'assistència tècnica per a la redació de l¿estudi: Enquesta de mobilitat quotidiana 2018 a l'àmbit territorial de les Terres de l'Ebre.</t>
  </si>
  <si>
    <t>CQ. JVX-17206</t>
  </si>
  <si>
    <t>DE. JVX-17206</t>
  </si>
  <si>
    <t>DO. BSV-15316</t>
  </si>
  <si>
    <t>Contracte de serveis per a l'A.T. de Control de qualitat de les obres RAM Jutjats de Sabadell. Condicionamnet de la planta 16 per a la ubicació de 2 Jutjats de 1a Instància.</t>
  </si>
  <si>
    <t>Contracte de serveis per la direcció d'execució de les obres corresponents al projecte: RAM Jutjats de Sabadell. Condicionament de la planta 16 per la ubicació de 2 jutjats de 1a. Instància.</t>
  </si>
  <si>
    <t>Contracte de serveis per a la direcció de les obres d'instal·lació de dues escales d'emergència, un bugaderia i dues habitacions en la Residència per a gent gran del Mil·lenari, en el carrer Nou de la Rambla, 47-49 d eBarcelona.</t>
  </si>
  <si>
    <t>DO. PNL-16216</t>
  </si>
  <si>
    <t>Contracte de serveis per a l'assistència tècnica de Direcció de l'obra de la Nova construcció de l'Escola El Vinyet de Solsona.</t>
  </si>
  <si>
    <t>DO. PGM-15307</t>
  </si>
  <si>
    <t>Contracte de serveis per a la direcció de les obres RAM Reforma i ampliació d'espais tècnics i millora del Parc de Bombers existent a Granollers.</t>
  </si>
  <si>
    <t>DE. BSV-15315.A</t>
  </si>
  <si>
    <t>Contracte de serveis per a l'assistència tècnica per a la direcció d'execució de les obres de reforma de la cuina i el magatzem a la residència Els Arcs a Figueres.</t>
  </si>
  <si>
    <t>DE. CGM-17250</t>
  </si>
  <si>
    <t>Direcció d'Execució de les obres RAM d'estalvi energètic 3. Millores i adequació d'equips de clima, tancaments exteriors, protecció solar i aillaments de diverses comissaries de Mossos d'Esquadra de Granollers, Lleida i La Seu d'Urgell.</t>
  </si>
  <si>
    <t>13/12/18 deserta 18/01/19 nova licitació</t>
  </si>
  <si>
    <t>DO. MG-07061.1 (2a. Licitació)</t>
  </si>
  <si>
    <t>CQ.TM-09294.A2</t>
  </si>
  <si>
    <t>Contracte de serveis per al control de qualitat de les obres del de la nova estació entre Collblanc i Pubilla Cases de la Línia 5 de l'FMB. Arquitectura i instal·lacions. Projecte actualitzat. Fase 1 (Lot 1 i Lot 2) i Fase 2".</t>
  </si>
  <si>
    <t>CQ. CGM-17250</t>
  </si>
  <si>
    <t>Control de qualitat de les obres RAM d'estalvi energètic 3. Millores i adequació d'equips de clima, tancaments exteriors, protecció solar i aillaments de diverses comissaries de Mossos d'Esquadra de Granollers, Lleida i La Seu d'Urgell.</t>
  </si>
  <si>
    <t>EV. ET-TA-07997.A1</t>
  </si>
  <si>
    <t>Contracte de serveis per a l'assistència tècnica per a la redacció de l'Estudi de trànsit. Nou carril bus i via ciclista a la carretera C-245 entre Castelldefels i Cornellà de Llobregat.</t>
  </si>
  <si>
    <t>ATAM. TM-09294.A2</t>
  </si>
  <si>
    <t>Contracte de Serveis per l'Assistència Tècnica Ambiental de l'execució de les obres nova estació entre Collblanc i Pubilla Cases de la Línia 5 de l'FMB. Arquitectura i instal lacions. Projecte actualitzat. Fase 1 (Lot 1 i Lot 2) i Fase 2.</t>
  </si>
  <si>
    <t>CQ. MA-16901</t>
  </si>
  <si>
    <t>PC.R0-18308</t>
  </si>
  <si>
    <t>Contracte de serveis per a l'assistència tècnica per a la redacció del Projecte constructiu per a la renovació del carril de la Línia 9 sud de metro de Barcelona.</t>
  </si>
  <si>
    <t>Control de qualitat de les obres de recuperació dels sistemes naturals de l'àmbit fluvial del riu Corb i del Reguer. Mesures correctores i compensatòries del regadiu del Sistemea Segarra-Garrigues. Declaració impacte ambiental 2010….</t>
  </si>
  <si>
    <t>CSS. MA-16901</t>
  </si>
  <si>
    <t>Coordinació de seguretat i salut de les obres de recuperació dels sistemes naturals de l'àmbit fluvial del riu Corb i del Reguer. Mesures correctores i compensatòries del regadiu del sistema Segarra - Garrigues. Declaració d'Impacte Ambiental 2010.</t>
  </si>
  <si>
    <t>CSS. INB-07393.A</t>
  </si>
  <si>
    <t>Contracte de serveis per a l'Assistència tècnica per la Coordinació de seguretat i salut de l'execució de les obres de nova construcció de l'Institut Angeleta Ferrer 3/2 de Barcelona.</t>
  </si>
  <si>
    <t>PE+DO CCG-16232</t>
  </si>
  <si>
    <t>Redacció del projecte bàsic i executiu i la posterior direcció d'obra de les obres de la nova construcció de la Comissaria de Districte de la Polícia de la Generalitat-Mossos d'Esquadra a la Jonquera.</t>
  </si>
  <si>
    <t>CQ. JVX-17231</t>
  </si>
  <si>
    <t>Contracte de serveis per a l'assistència tècnica de control de qualitat de les obres de les obres RAM a l'edifici dels Serveis Territorials de Lleida del Departament de Justícia.</t>
  </si>
  <si>
    <t>DE. JVX-17231</t>
  </si>
  <si>
    <t>Contracte de serveis per a la Direcció d'execució de les obres RAM a l'edifici dels Serveis Territorials de Lleida del Departament de Justícia.</t>
  </si>
  <si>
    <t>DO.VE-06008.1</t>
  </si>
  <si>
    <t>Contracte de serveis per a la direcció de les obres del projecte constructiu de millora general. Variant de Gandesa. Actuacions d'enllaç a la variant. Carretera C-43, PK 11+700 al 13+600. Tram: Gandesa.</t>
  </si>
  <si>
    <t>DO.MS.S1-TM-00509.8-C2</t>
  </si>
  <si>
    <t>Contracte de serveis per a la Direcció de les obres del Projecte constructiu de rehabilitació i reparació del Pou d'Havaneres.</t>
  </si>
  <si>
    <t>CQ. MB-16026</t>
  </si>
  <si>
    <t>Contracte de serveis per a l'assistència tècnica de control de qualitat de les obres de Millora local. Ponts i estructures. Passarel·la per a vianants sobre la carretera C-35. PK 57+000 al 58+000. Tram: Sant Celoni.</t>
  </si>
  <si>
    <t>CSS.CGM-17248</t>
  </si>
  <si>
    <t>Contracte de serveis per a l'assistència tècnica per la coordinació de seguretat i salut de les obres RAM de millores de seguretat i videovigilància en diverses comissaries de Mossos d'Esquadra.</t>
  </si>
  <si>
    <t>4/02/19 decisió de no adj. el contracte</t>
  </si>
  <si>
    <t>CQ.MS-S1. TM-00509.8-C2</t>
  </si>
  <si>
    <t>Control de qualitat de les obres del projecte constructiu de rehabilitació i reparació del Pou d'Havaneres.</t>
  </si>
  <si>
    <t>EI. EI-NG-02083.3</t>
  </si>
  <si>
    <t>Redacció de l'estudi informatiu Millora General. Nova carretera C-37 de Vic a Olot. Variant d'Olot. De l'enllaç Olot oest (connexió amb l'Av. Països Catalans) a la connexió amb l'autovia A-26. Tram: Olot.</t>
  </si>
  <si>
    <t>DO. MB-16026</t>
  </si>
  <si>
    <t>Contracte de serveis per a la direcció de les obres del projecte constructiu de Millora local. Ponts i estructures. Passarel·la per a vianants sobre la carretera C-35. PK 57+000 al 58+000. Tram: Sant Celoni.</t>
  </si>
  <si>
    <t>CSS. JVX-17206</t>
  </si>
  <si>
    <t>Contracte de serveis per a l'Assistència tècnica de Coordinació de Seguretat i Salut de les obres RAM Jutjats de Sabadell. Condicionament de la planta 16 per a la ubicació de 2 Jutjats de 1ª Instància.</t>
  </si>
  <si>
    <t>DO. MA-16901</t>
  </si>
  <si>
    <t>Dir. obres recuperació sist. naturals àmbit fluvial riu Corb i del Reguer. Mesures correctores i compensatòries del regadiu del sist. Segarra-Garrigues. Declaració Impacte Ambiental 2010. TM Vilagrassa, Bellpuig, Preixana, S. Martí Riucorb, Maldà i Nalec.</t>
  </si>
  <si>
    <t>DO. MC-13016.2</t>
  </si>
  <si>
    <t>Contracte de serveis per a la Direcció de les obres del projecte de millora de la senyalització d'orientació a Catalunya. Xarxa gestionada per la Generalitat de Catalunya. Resta de territori.</t>
  </si>
  <si>
    <t>Contracte de serveis per a la Coordinació de seguretat i salut de l'execució de les obres del projecte de millora de la senyalització d'orientació a Catalunya. Xarxa gestionada per la Generalitat de Catalunya. Resta de territori.</t>
  </si>
  <si>
    <t>CSS. MC-13016.2</t>
  </si>
  <si>
    <t>IA. IA-NG-02083.3</t>
  </si>
  <si>
    <t>Redacció de l'estudi d'impacte ambiental Millora General. Nova carretera C-37 de Vic a Olot. Variant d'Olot. De l'enllaç Olot oest (connexió amb l'Av. Països Catalans) a la connexió amb l'autovia A-26. Tram: Olot.</t>
  </si>
  <si>
    <t>CQ. MC-13016.2</t>
  </si>
  <si>
    <t>Control de qualitat de les obres del projecte de millora de la senyalització d'orientació a Catalunya. Xarxa gestionada per la Generalitat de Catalunya. Resta de territori.</t>
  </si>
  <si>
    <t>CSS. MS. S1-TM-00509.8-C2</t>
  </si>
  <si>
    <t>Contracte de serveis per a l'Assistència tècnica per la Coordinació de seguretat i salut de l'execució de les obres del Projecte constructiu de rehabilitació i reparació del Pou d'Havaneres.</t>
  </si>
  <si>
    <t>PC-CAB-17064</t>
  </si>
  <si>
    <t>Contracte de serveis per a l'assistència tècnica per a la redacció del projecte constructiu. Millora general. Condicionament del vial entre la carretera B-300 al PK 16+210 i la carretera BV-3002 al PK 10+342, al límit comarcal. Tram: Pinós.</t>
  </si>
  <si>
    <t>deserta i nova convocatòria 11/02/19</t>
  </si>
  <si>
    <t>CSS. CAP-16204+CAP-16219 (nou)</t>
  </si>
  <si>
    <t>Assistència tècnica conjunta de Coordinació de Seguretat i Salut de les obres de construcció del nou Centre d'Atenció Primària de la Seu d'Urgell. Clau: CAP-16204 i de les obres RAM del Centre d'Atenció Primària Cappont, de Lleida.</t>
  </si>
  <si>
    <t>CSS. CGM-17250+JVX-17231</t>
  </si>
  <si>
    <t>Coord. S.S. obres: RAM d'estalvi energètic 3. Millores i adequació equips clima, tancaments ext., protec. solar i aillaments diverses comissaries Mossos Esquadra Granollers, Lleida i La Seu d'Urgell i obres RAM ed. Serv. Territ. Lleida Dep. Justícia.</t>
  </si>
  <si>
    <t>CQ.MB-10067.F1</t>
  </si>
  <si>
    <t>Control de qualitat de les obres del projecte constructiu de millora local. Seguretat viària. Reordenació dels accessos a la C-243c, PK 8+660 (accés a Ca n'Amat), i millora de senyalització i ferm del PK 0 al 12+800. Tram: Martorell - Terrassa.</t>
  </si>
  <si>
    <t>PE+DF. JVX-18293</t>
  </si>
  <si>
    <t>Redacció del projecte bàsic, el projecte executiu i la posterior direcció facultativa d'adequació del projecte d'obra RAM de reparació de façanes i voladius de l'edifici judicial de Girona.</t>
  </si>
  <si>
    <t>PE+DF. JVX-18292</t>
  </si>
  <si>
    <t>Redacció del projecte bàsic, el projecte executiu i la posterior direcció facultativa d'adequació del projecte d'obra RAM de reparació de façanes i voladius de l'edifici Judicial de Puigcerdà.</t>
  </si>
  <si>
    <t>PC-BNG-18005</t>
  </si>
  <si>
    <t>Contracte de serveis per a l'assistència tècnica per a la redacció del projecte constructiu Via ciclista a la GI-524 del PK 0+600 al 3+400. Olot - Can Blanc (Santa Pau).</t>
  </si>
  <si>
    <t>CQ. CAP-17238</t>
  </si>
  <si>
    <t>Contracte de serveis per a l'assistència tècnica de control de qualitat de les obres de construcció del nou Centre d'Atenció Primària de Sant Feliu de Codines.</t>
  </si>
  <si>
    <t>Contracte de serveis per a l'assistència tècnica de Direcció d'execució de les obres de construcció del nou Centre d'Atenció Primària de Sant Feliu de Codines.</t>
  </si>
  <si>
    <t>DE. CAP-17238</t>
  </si>
  <si>
    <t>CSS. MB-16026</t>
  </si>
  <si>
    <t>Coordinació de Seguretat i Salut de les obres del projecte constructiu de Millora local. Ponts i estructures. Passarel¿la per a vianants sobre la carretera C-35 entre el PK 57+000 i el 58+000. Tram Sant Celoni.</t>
  </si>
  <si>
    <t>CSS. CAP-16285+CAP-17237+CAP-17238</t>
  </si>
  <si>
    <t>Coordinació de Seguretat i Salut de l'execució de les obres dels projectes: "Construcció del nou CAP de Sant Esteve Sesrovires.Construcció del nou CAP de Riells i Viabrea. i "Construcció del nou CAP de Sant Feliu de Codines.</t>
  </si>
  <si>
    <t>PC. MB-06045-C1</t>
  </si>
  <si>
    <t>Assistència tècnica per a la redacció del Projecte Constructiu. Millora local. Mesures correctores ambientals a la carretera B-402, PK 15+500 al 16+000. Tram: La Pobla de Lillet.</t>
  </si>
  <si>
    <t>CQ. RAM-19900</t>
  </si>
  <si>
    <t>Contracte de serveis per a l'assistència tècnica de control de qualitat de les obres RAM-2019 del Departament d'Ensenyament. 4 lots.</t>
  </si>
  <si>
    <t>PE+DF. JVX-18294</t>
  </si>
  <si>
    <t>Contracte de serveis per a l'assistència tècnica per la redacció del projecte bàsic, el projecte executiu i la posterior direcció facultativa d'adequació del projecte d'obra RAM de reparació de les cobertes de l'edifici judicial de Girona.</t>
  </si>
  <si>
    <t>PC. R0-18346</t>
  </si>
  <si>
    <t>Contracte de serveis per a l'assistència tècnica per a la redacció del projecte de renovació dels aparells de climatització de les oficines i vestuaris del Taller de la Zona Franca de la línia 9 de metro de Barcelona.</t>
  </si>
  <si>
    <t>EV. GE-CMB-18014.F1</t>
  </si>
  <si>
    <t>Contracte de serveis per a l'assistència tècnica per a la redacció de l'Estudi geològic: Estudi geotècnic. Pla d'auscultació per al seguiment i control de vessant de la C-17 entre el PK 43+050 i el 43+550. Centelles - Seva.</t>
  </si>
  <si>
    <t>EV. EV-FNB-18111</t>
  </si>
  <si>
    <t>Contracte de serveis per a l'assistència tècnica per a la redacció de l'estudi funcional i de viabilitat de possibles alternatives de millora de la capacitat i connectivitat dels FGC al Vallès.</t>
  </si>
  <si>
    <t>TA. TA-CNL-18032</t>
  </si>
  <si>
    <t>Contracte de serveis per a l'assistència tècnica per a la redacció del projecte de traçat: Nova variant. Ronda oest de Tàrrega. Carretera C-14, del PK 70+900 al 74+100. Tàrrega.</t>
  </si>
  <si>
    <t>DE. CAP-16285</t>
  </si>
  <si>
    <t>Contracte de serveis per a la direcció d'execució de les obres de construcció del nou Centre d'Atenció Primària de Sant Esteve Sesrovires.</t>
  </si>
  <si>
    <t>PE+DF. JVX-18290</t>
  </si>
  <si>
    <t>Redacció del projecte bàsic, el projecte executiu i la posterior direcció facultativa d'adequació del projecte d'obra RAM de construcció d'un sistema de protecció solar en l'edifici judicial de Sant Feliu de Guíxols.</t>
  </si>
  <si>
    <t>CQ. CAP-16285</t>
  </si>
  <si>
    <t>Contracte de serveis per a l'assistència tècnica de control de qualitat de les obres de construcció del nou Centre d'Atenció Primària de Sant Esteve Sesrovires.</t>
  </si>
  <si>
    <t>PE+DO.JVX-17272</t>
  </si>
  <si>
    <t>Redacció del projecte bàsic, el projecte executiu i la posterior direcció d'obra de les obres RAM de reforma de la instal·lació de climatització de l'edifici judicial de Sabadell.</t>
  </si>
  <si>
    <t>CSS.MB-10067.F1</t>
  </si>
  <si>
    <t>Coordinació de seguretat i salut de l'execució de les obres de millora local. Seguretat viària. Reordenació dels accessos a la C-243c, PK 8+660 (accés a Ca n'Amat), i millora de senyalització i ferm del PK 0 al 12+800.Tram: Martorell-Terrassa.</t>
  </si>
  <si>
    <t>PC. PC-CMB-17073</t>
  </si>
  <si>
    <t>Redacció del projecte constructiu de millora local. Talussos. Estabilització del terraplè, reparació del ferm i obres complementàries a la carretera C-55, del PK 45+629 al 45+970. Tram: Súria.</t>
  </si>
  <si>
    <t>PE+DF. JVX-18295</t>
  </si>
  <si>
    <t>Redacció del projecte bàsic, el projecte executiu i la posterior direcció facultativa d'adequació del projecte d'obra RAM del canvi i adequació de la instal·lació de climatització i ventilació de l'edifici judicial a Gavà.</t>
  </si>
  <si>
    <t>PC. CB-16059</t>
  </si>
  <si>
    <t>Redacció del projecte constructiu de conservació extraordinària. Ponts i estructures. Rehabilitació d'obra de fàbrica a la C-31, PK 209+310, marge dret. Tram: Sant Adrià del Besòs.</t>
  </si>
  <si>
    <t>PC. PC-CAG-17075</t>
  </si>
  <si>
    <t>Contracte de serveis per a l'assistència tècnica per a la redacció del projecte constructiu de millora general. Condicionament i reforç de ferm de la carretera GI-520 del PK 0+000 al 4+300. Tram: Viladrau.</t>
  </si>
  <si>
    <t>PC. PC-CMB-17049</t>
  </si>
  <si>
    <t>Contracte de serveis per a l'assistència tècnica per a la redacció del projecte constructiu de millora local. Drenatges. Condicionament de l'obra de drenatge transversal al PK 1+850 de les carreteres C-1413a i C-1413z. Tram: El Papiol.</t>
  </si>
  <si>
    <t>PE+DF. JVX-18288</t>
  </si>
  <si>
    <t>Redacció del projecte bàsic, el projecte executiu i la posterior direcció facultativa d'adequació del projecte d'obra RAM per al condicionament d'espais per a la ubicació d'un Nou Òrgan Judicial (1ª Instància 7 família). Palau de Justícia de Girona.</t>
  </si>
  <si>
    <t>PE+DF. JVX-18299</t>
  </si>
  <si>
    <t>Red. proj. bàsic, el proj. exec. i  posterior dir. facult. de substitució canonades distribució aigua del sist. de climatització i modernització de les instal·lacions PDCI, CCTV, intrusió i megafonia. Edifici Judicial La seu d'Urgell.</t>
  </si>
  <si>
    <t>DE. CAP-17237</t>
  </si>
  <si>
    <t>Contracte de serveis per a l'Assistència Tècnica per a la Direcció d'Execució de les obres de la construcció del nou CAP de Riells i Viabrea.</t>
  </si>
  <si>
    <t>CQ. CAP-17237</t>
  </si>
  <si>
    <t>Contracte de serveis per a l'Assistència Tècnica de Control de Qualitat de les obres de la construcció del Nou CAP a Riells i Viabrea.</t>
  </si>
  <si>
    <t>PE+DF. JVX-18291</t>
  </si>
  <si>
    <t>Redacció del projecte bàsic, el projecte executiu i la posterior direcció facultativa d'adequació del projecte d'obra RAM per al condicionament d'espais per a la Secció d'Apel·lacions i altres espais del Palau de Justícia de Barcelona.</t>
  </si>
  <si>
    <t>deserta, en data 15/02/19 nova convocatòria.</t>
  </si>
  <si>
    <t>DE. CGM-17224 (nova licitació)</t>
  </si>
  <si>
    <t>Contracte de serveis per a la Direcció d'execució de les Obres RAM de renovació d'equips de clima i implantació de mesures per a la millora de l'eficiència energètica de diverses comissaries de Mossos d'Esquadra.</t>
  </si>
  <si>
    <t>PE+DF.JVX-18289</t>
  </si>
  <si>
    <t>Redacció del projecte bàsic, el projecte executiu i la posterior direcció facultativa d'adequació del projecte d'obra RAM de substitució d'una planta refredadora en la instal·lació de climatització de l'edifici judicial de Figueres.</t>
  </si>
  <si>
    <t>EV. EP-CMB-18002</t>
  </si>
  <si>
    <t>Contracte de serveis per a l'Assistència tècnica per a la redacció de l'estudi previ: Millora de la seguretat viària a la C-243c un cop entri en servei el Quart Cinturó. C-243c del PK 0+000 al 12+900. Martorell - Terrassa.</t>
  </si>
  <si>
    <t>Contracte de serveis per a l'assistència tècnica per a la redacció del projecte constructiu. Millora local. Seguretat Viària. Ordenació del tram urbà i millora de la travessera a la carretera B-142z, del PK 2+340 al PK 2+790. Tram: Polinyà.</t>
  </si>
  <si>
    <t>PC. MB-06089-A1</t>
  </si>
  <si>
    <t>EA-CAB-18011 PC-CAB-18011</t>
  </si>
  <si>
    <t>Servicios para la asistencia técnica para la redacción del estudio de alternativas y del proyecto constructivo Condiconamiento de la C-17 entre el pk 43,050 y el 43,550. Centelles-Seva.</t>
  </si>
  <si>
    <t>DO.MB-10067.F1</t>
  </si>
  <si>
    <t>Direcció de les obres del projecte constructiu de millora local. Seguretat viària. Reordenació dels accessos a la C-243c, PK 8+660 (accés a Ca n'Amat), i millora de senyalització i ferm del PK 0 al 12+800. Tram: Martorell ¿ Terrassa.</t>
  </si>
  <si>
    <t>EV.EP-ANG-18027/EP-ANG-18023</t>
  </si>
  <si>
    <t>Contracte de serveis per a l'assistència tècnica per a la redacció de l'estudi previ del corredor BRCat Girona AV - Salt. Clau: EP-ANG-18027 i de l'estudi previ del corredor BRCat Blanes - Lloret de Mar. Clau: EP-ANG-18023.</t>
  </si>
  <si>
    <t>PE+DF. XMT-19542</t>
  </si>
  <si>
    <t>Redacció del projecte i l'estudi de seguretat i salut i la posterior direcció facultativa de les obres RAM 2019 als Serveis Territorials a Tarragona (III): Escola Cal·lípolis (Vila-seca) i Escola Antoni Torroja i Miret (Vila-seca).</t>
  </si>
  <si>
    <t>DE. ING-17214</t>
  </si>
  <si>
    <t>Contracte de serveis per a la direcció d'execució de les obres de nova construcció 4/3 L de l'Institut Vilablareix.</t>
  </si>
  <si>
    <t>CSS. ING-17214</t>
  </si>
  <si>
    <t>Contracte de serveis per a l'assistència tècnica per a la coordinació de seguretat i salut de les obres de nova construcció 4/3 L de l'Institut Vilablareix.</t>
  </si>
  <si>
    <t>CQ. ING-17214</t>
  </si>
  <si>
    <t>Contracte de serveis per a l'assistència tècnica de control de qualitat de les obres de nova construcció 4/3 L de l'Institut Vilablareix.</t>
  </si>
  <si>
    <t>DO. PR- 17290</t>
  </si>
  <si>
    <t>Contracte de serveis per a la direcció de les obres de modernització del reg de la demarcació de Lleida de la Junta de Sequiatge del Canal de Pinyana TM de Lleida - Sector A.</t>
  </si>
  <si>
    <t>CQ. PR-17290</t>
  </si>
  <si>
    <t>Contracte de serveis per a l'assistència tècnica de control de qualitat de les obres de modernització del reg de la demarcació de Lleida de la Junta de Sequiatge del Canal de Pinyana TM de Lleida - Sector A.</t>
  </si>
  <si>
    <t>CSS. PR-17290</t>
  </si>
  <si>
    <t>Coord. S.S. exec. obres proj. modernització reg del Canal de Pinyana. Proj. constructiu actualitzat de la modernització del reg de la demarcació de Lleida de la Junta de Sequiatge del Canal de Pinyana. TM de Lleida, Sector A.</t>
  </si>
  <si>
    <t>EV. EX-MC-14006</t>
  </si>
  <si>
    <t>Contracte de serveis per a l'assistència tècnica per a la redacció de l'estudi sobre l'auditoria de seguretat viària per a motoristes a la xarxa de carreteres de la Generalitat. Any 2014.</t>
  </si>
  <si>
    <t>MSA. CQ. S20-PNC-04317</t>
  </si>
  <si>
    <t>Contracte de serveis per al Control de Qualitat de les Obres de Rehabilitació de la façana històrica del CEIP el Progrés a Badalona.</t>
  </si>
  <si>
    <t>DO. XC-10020.2.2</t>
  </si>
  <si>
    <t>Contracte de serveis per a la direcció de les obres del projecte constructiu de Via ciclista del Ter. Del camí el Pont del Reixac a Llanars. Subtram: Pont de Perella - Sant Pau de Segúries.</t>
  </si>
  <si>
    <t>PE+DF. XMV-19541</t>
  </si>
  <si>
    <t>Red. proj. i est. S.S. i posterior dir. facul. obres RAM 2019 als Serv. Territ. Vallès Occidental (XII): Escola Enxaneta (Terrassa), i Escola Josep Maria Folch i Torres, actualització proj. (Palau Solità i Plegamans).</t>
  </si>
  <si>
    <t>PC.CB-16064</t>
  </si>
  <si>
    <t>Contracte de serveis per a l'assistència tècnica per a la redacció del projecte constructiu de conservació extraordinària. Ponts i estructures. Rehabilitació d'obres de fàbrica a la carretera N-II, PK 622+995 i 623+495. Tram: Sant Adrià del Besòs.</t>
  </si>
  <si>
    <t>CQ. XC-10020.2.2</t>
  </si>
  <si>
    <t>Contracte de serveis per a l'assistència tècnica de control de qualitat de les obres del projecte constructiu de Via ciclista del Ter. Del camí el Pont del Reixac a Llanars. Subtram: Pont de Perella - Sant Pau de Segúries.</t>
  </si>
  <si>
    <t>CQ. XMV-19541</t>
  </si>
  <si>
    <t>Control de qualitat de les obres RAM 2019 als Serveis Territorials al Vallès Occidental (XII), Escola Enxaneta (Terrassa), i Escola Josep Maria Folch i Torres, actualització projecte, (Palau-solità i Plegamans).</t>
  </si>
  <si>
    <t>ATAM. XC-10020.2.2</t>
  </si>
  <si>
    <t>Contracte de serveis per a l'Assistència tècnica ambiental de les obres del projecte constructiu de Via ciclista del Ter. Del camí el Pont del Reixac a Llanars. Subtram: Pont de Perella - Sant Pau de Segúries.</t>
  </si>
  <si>
    <t>CSS. XC-10020.2.2</t>
  </si>
  <si>
    <t>Contracte de serveis per a l'Assistència Tècnica de Coordinació de Seguretat i Salut de les obres del projecte constructiu de Via ciclista del Ter. Del camí el Pont del Reixac a Llanars. Subtram: Pont de Perella - Sant Pau de Segúries.</t>
  </si>
  <si>
    <t>PC-BMT-18013</t>
  </si>
  <si>
    <t>Redacció del projecte constructiu Passarel·la per a vianants i ciclistes per sobre de la T-315 (Avinguda de Bellissens) al pk 5,654. Reus.</t>
  </si>
  <si>
    <t>14/03/19 modif. presentació</t>
  </si>
  <si>
    <t>PC.PC-CAL-18031</t>
  </si>
  <si>
    <t>Contracte de serveis per a la redacció del projecte constructiu Millora integral. Eixamplament i afermat. Camí de Térmens a Bellvís. PK 1+590 al 6+480. Térmens - Bellvís.</t>
  </si>
  <si>
    <t>PC.R0-18355</t>
  </si>
  <si>
    <t>Contracte de serveis per a l'assistència tècnica per a la redacció del projecte constructiu per a la instal·lació d'elements de seguretat per accedir a la coberta del taller de la Zona Franca de la Línia 9 de metro de Barcelona.</t>
  </si>
  <si>
    <t>CSS. IAC-16256</t>
  </si>
  <si>
    <t>Contracte de serveis per a l'Assistència tècnica per la Coordinació de seguretat i salut de l'execució de les obres d'ampliació per a institut 2/0 línies a l'Institut Vall de Mediona de Sant Quintí de Mediona.</t>
  </si>
  <si>
    <t>DE. IAC-16256</t>
  </si>
  <si>
    <t>Contracte de serveis per a l'assistència tècnica de direcció d'execució de les obres d'ampliació per a Institut 2/0 línies a l'Institut Vall del Mediona de Sant Quintí de Mediona.</t>
  </si>
  <si>
    <t>CQ. IAC-16256</t>
  </si>
  <si>
    <t>Contracte de serveis per a l'assistència tècnica de control de qualitat de les obres d'ampliació per a Institut 2/0 línies a l'Institut Vall del Mediona de Sant Quintí de Mediona.</t>
  </si>
  <si>
    <t>PC. CXT-18010</t>
  </si>
  <si>
    <t>Contracte de serveis per a l'assistència tècnica per a la redacció del projecte constructiu: Nou vial amb estructura damunt de la C-14 per donar continuïtat alcamí de Mas Calvó. Reus-Vila-Seca.</t>
  </si>
  <si>
    <t>DE. CAP-16239</t>
  </si>
  <si>
    <t>Contracte de serveis per a la Direcció d'Execució de les obres corresponent al projecte d'ampliació i reforma del Centre d'Atenció Primària de Castellbisbal.</t>
  </si>
  <si>
    <t>CQ. CAP-16239</t>
  </si>
  <si>
    <t>Contracte de serveis per a l'assistència tècnica de Control de Qualitat de les obres del projecte d'ampliació i reforma del Centre d'Atenció Primària de Castellbisbal.</t>
  </si>
  <si>
    <t>EV. EP-ANB-18024/ANB-18025</t>
  </si>
  <si>
    <t>Contracte de serveis per a l'assistència tècnica per a la redacció de l'estudi previ del corredor BRCat Terrassa - Sabadell - Granollers , clau: EP-ANB-18024 i de l'estudi previ del corredor BRCat Manresa - Sant Joan de Vilatorrada.</t>
  </si>
  <si>
    <t>DE.HHB-15356-C1</t>
  </si>
  <si>
    <t>Direcció d'execució de les obres complementàries núm. 1 de l'obra del nou accés ambulatori i reforma de la planta soterrani per a Consultes Externes de l'Àrea Materno-Infantil de l'Hospital Vall d'Hebron de Barcelona.</t>
  </si>
  <si>
    <t>EV. EX-CXC-18016</t>
  </si>
  <si>
    <t>Contracte de serveis per a l'assistència tècnica per a la redacció dels treballs de Redacció dels annexos d'actualització d'estudis i projectes de Carreteres de la DGIM.</t>
  </si>
  <si>
    <t>EV. EG22</t>
  </si>
  <si>
    <t>Contracte de serveis per a l'assistència tècnica per a la realització dels dels informes preliminars dels emplaçaments dels projectes d'edificació.</t>
  </si>
  <si>
    <t>CQ.HHB-15356-C1</t>
  </si>
  <si>
    <t>Control de qualitat de les obres complementàries núm. 1 de l'obra del nou accés ambulatori i reforma de la planta soterrani per a Consultes Externes de l'Àrea Materno-Infantil de l'Hospital Vall d'Hebron de Barcelona.</t>
  </si>
  <si>
    <t>CSS. CAP-16239+HHB-15336-C1</t>
  </si>
  <si>
    <t>Coord. Seguretat i Salut de les obres corresponents als projectes: Ampliació i reforma del CAP de Castellbisbal i Nou accés ambulatori i reforma del soterrani per a consultes externes de l'Àrea Maternoinfantil de l'Hospital Vall d'Hebron de Barcelona.</t>
  </si>
  <si>
    <t>CSS. HHB-16282</t>
  </si>
  <si>
    <t>Coordinació de Seguretat i Salut de les obres d'implantació de l'heliport a la coberta de l'Àrea de Traumatologia de l'Hospital Vall d'Hebron, de Barcelona.</t>
  </si>
  <si>
    <t>CQ. HHB-16282</t>
  </si>
  <si>
    <t>Control de qualitat de les obres d'implantació de l'heliport a la coberta de l'Àrea de Traumatologia de l'Hospital Vall d'Hebron, de Barcelona.</t>
  </si>
  <si>
    <t>CQ. PAT-17108</t>
  </si>
  <si>
    <t>Contracte de serveis per a l'assistència tècnica de control de qualitat de les obres del projecte constructiu de rehabilitació de l'àrea d'estacionament de vehicles pesants de mercaderies perilloses del polígon industrial Riuclar. Tarragona.</t>
  </si>
  <si>
    <t>DE. HHB-16282</t>
  </si>
  <si>
    <t>Contracte de serveis per a la Direcció d'execució de les obres d'implantació de l'heliport a la coberta de l'Àrea de Traumatologia de l'Hospital Vall d'Hebron, de Barcelona.</t>
  </si>
  <si>
    <t>DO. PAT-17108</t>
  </si>
  <si>
    <t>Contracte de serveis per a la direcció de les obres de rehabilitació de l'àrea d'estacionament de vehicles pesants de mercaderies perilloses del polígon industrial Riuclar. Tarragona.</t>
  </si>
  <si>
    <t>CSS. PAT-17108</t>
  </si>
  <si>
    <t>Coordinació de seguretat i salut de l'execució de les obres del projecte de rehabilitació de l'àrea d'estacionament de vehicles pesants de mercaderies perilloses del polígon industrial Riuclar. Tarragona.</t>
  </si>
  <si>
    <t>PE+DO JVX-18300</t>
  </si>
  <si>
    <t>Redacció del projecte bàsic, el projecte executiu i la posterior direcció d'obra RAM per al condicionaments d'espais per a la ubicació d'un nou òrgan judicial (1ª Instància 7 Família) i altres espais a l'edifici judicial del Canyeret de Lleida.</t>
  </si>
  <si>
    <t>PE+DO. JVX-17271</t>
  </si>
  <si>
    <t>Redacció del projecte bàsic, el projecte executiu i la posterior direcció d'obra del condicionament d'instal·lacions, redistribució d'espais i treballs necessaris per l'obtenció de la llicència d'activitats de l'edifici del Palau de Justícia de Barcelona.</t>
  </si>
  <si>
    <t>PC. AB-14009-C1</t>
  </si>
  <si>
    <t>Redacció del projecte constructiu. Millora local. Mesures correctores d'impacte ambiental de l'ampliació de la C-58 del pk 12,600 al 18,800. Badia del Vallès-Terrassa.</t>
  </si>
  <si>
    <t>CSS. TF-02676.4-C1+TF-08272-C1</t>
  </si>
  <si>
    <t>Coord. S.S. obres: "Exec. obres del proj. compl. núm. 1 pas inferior de la ctra. GIV-5217 sota les vies del tren cremallera FGC a Queralbs, i exec. obres proj. comp. 1 actuacions millores inspecció i mant. de cel rasoselevats s/ vies Est. Sabadell.</t>
  </si>
  <si>
    <t>EV. EX-XXC-18017</t>
  </si>
  <si>
    <t>Contracte de serveis per a l'assistència tècnica per a la redacció dels annexos d'actualització d'estudis i projectes de Transports de la DGIM.</t>
  </si>
  <si>
    <t>CQ.TF-08272-C1</t>
  </si>
  <si>
    <t>Control de qualitat de les obres del projecte complementari núm. 1 del pas inferior de la carretera GIV-5217 sota les vies del tren cremallera d'FGC a Queralbs. Mesures d'estabilització del desguàs del drenatge del pas inferior. Tram: Queralbs.</t>
  </si>
  <si>
    <t>DO.TF-08272-C1</t>
  </si>
  <si>
    <t>Direcció de les obres del projecte complementari núm. 1 del pas inferior de la carretera GIV-5217 sota les vies del tren cremallera d'FGC a Queralbs. Mesures d'estabilització del desguàs del drenatge del pas inferior. Tram: Queralbs.</t>
  </si>
  <si>
    <t>DE. CCG-16273</t>
  </si>
  <si>
    <t>Contracte de serveis per a la direcció d'execució de les obres de Remodelació de la Comissaria de la Policia de la Generalitat-Mossos d'Esquadra a Banyoles.</t>
  </si>
  <si>
    <t>MSA. CQ.S6-PNG-03495</t>
  </si>
  <si>
    <t>Control de qualitat de les obres de condicionament de la coberta, de les façanes, dels tancaments i d'alguns espais del CEIP Marta Mata de Girona.</t>
  </si>
  <si>
    <t>DE. IAT-16254</t>
  </si>
  <si>
    <t>Contracte de serveis per a l'assistència tècnica per a la direcció d'execució de les obres d'ampliació Institut a 4/2 L de l'Institut Els Pallaresos.</t>
  </si>
  <si>
    <t>CSS. JVX-14209.A+JVX-14208+BSV-15316</t>
  </si>
  <si>
    <t>Coord. S.S. exec. obres RAM de substitució de les cobertes del Centre Penitenciari de Quatre Camins, incloent els mitjans de Seguretat de les mateixes, obres RAM de reparació i millora instal. de sanejament Centre Penitenciari Quatre Camins, i obres inst.</t>
  </si>
  <si>
    <t>CQ. JVX-14208</t>
  </si>
  <si>
    <t>Contracte de serveis per a l'assistència tècnica per al control de qualitat de les obres RAM a Centres Penitenciaris, reparació i millora de la instal·lació de sanejament del Centre Penitenciari de Quatre Camins, a la Roca del Vallès.</t>
  </si>
  <si>
    <t>PC. JNP-02722.3-F2.A</t>
  </si>
  <si>
    <t>Contracte de serveis per a l'assistència tècnica per a la redacció del projecte de reforç del ferm del nou accés al centre penitenciari de Quatre Camins.</t>
  </si>
  <si>
    <t>CQ. JVX-14209.A</t>
  </si>
  <si>
    <t>Contracte de serveis per a l'assistència tècnica per al control de qualitat de les obres RAM per a la substitució de les cobertes al Centre Penitenciari de Quatre Camins, incloent els mitjans de seguretat de les mateixes.</t>
  </si>
  <si>
    <t>CQ. IAT-16254</t>
  </si>
  <si>
    <t>Contracte de serveis per a l'assistència tècnica de control de qualitat de les obres d'ampliació Institut a 4/2 L de l'Institut Els Pallaresos.</t>
  </si>
  <si>
    <t>CSS. IAT-16254</t>
  </si>
  <si>
    <t>Contracte de serveis per a l'Assistència tècnica per la Coordinació de seguretat i salut de l'execució de les obres d'ampliació Institut a 4/2 L de l'Institut Els Pallaresos.</t>
  </si>
  <si>
    <t>DO.TF-02676.4-C1</t>
  </si>
  <si>
    <t>Contracte de serveis per a la direcció de les obres del projecte complementari núm.1 per a la millora de la inspecció i el manteniment de cel rasos elevats sobre les vies a l'estació de Sabadell Plaça Major.</t>
  </si>
  <si>
    <t>CQ.TF-02676.4-C1</t>
  </si>
  <si>
    <t>Contractació de la assistència tècnica pel control de qualitat de les obres del projecte complementari núm.1 per a la millora de la inspecció i el manteniment de cel rasos elevats sobre les vies a l'estació de Sabadell Plaça Major.</t>
  </si>
  <si>
    <t>CSS. XME-17572</t>
  </si>
  <si>
    <t>Contracte de serveis per a l'Assistència tècnica per la Coordinació de seguretat i salut de l'execució de les obres RAM 2017, als Serveis Territorials a les Terres de l'Ebre i a l'Escola Teresa Subirats i Mestre de Mas de Barberans.</t>
  </si>
  <si>
    <t>CQ.TM-04311.1</t>
  </si>
  <si>
    <t>Contracte de serveis per a l'assistència tècnica del control de qualitat de les obres de la millora de l'accessibilitat i adaptació a la normativa de l'intercanviador de l'estació de Maragall (L4 i L5 d'FMB). Fase 1.</t>
  </si>
  <si>
    <t>ATAM. TM-04311.1</t>
  </si>
  <si>
    <t>Contracte de serveis per a la Assistència Tècnica Ambiental. Millora de l¿accessibilitat i adaptació a la normativa de l¿intercanviador de l¿estació de Maragall (L4 i L5 d¿FMB). Fase 1.</t>
  </si>
  <si>
    <t>DO.TM-04311.1</t>
  </si>
  <si>
    <t>Contracte de serveis per a la direcció de les obres de la millora de l'accessibilitat i adaptació a la normativa de l'intercanviador de l'estació de Maragall (L4 i L5 d'FMB). Fase 1.</t>
  </si>
  <si>
    <t>CQ. XME-17572</t>
  </si>
  <si>
    <t>Contracte de serveis per a l'assistència tècnica de control de qualitat de les obres RAM 2017, als Serveis Territorials a les Terres de l'Ebre I, a l'Escola Teresa Subirats i Mestre de Mas de Barberans.</t>
  </si>
  <si>
    <t>DE. XME-17572</t>
  </si>
  <si>
    <t>Contracte de serveis per a l'assistència tècnica per a la direcció d'execució de les obres RAM 2017, als Serveis Territorials a les Terres de l'Ebre I, a l'Escola Teresa Subirats i Mestre de Mas de Barberans.</t>
  </si>
  <si>
    <t>CSS. TM-04311.1</t>
  </si>
  <si>
    <t>Contracte de serveis per a l'Assistència tècnica per la Coordinació de seguretat i salut de l'execució de les obres de la millora de l'accessibilitat i adaptació a la normativa de l'intercanviador de l'estació de Maragall (L4 i L5 d'FMB). Fase 1.</t>
  </si>
  <si>
    <t>MSA. CQ. S3-ING-05570</t>
  </si>
  <si>
    <t>Contracte de serveis per a l'assistència tècnica de control de qualitat de les obres de condicionament dels paraments exteriors i reparació de paviments de l'IES Vallvera de Salt.</t>
  </si>
  <si>
    <t>DE. CGM-17250 (2a. licitació)</t>
  </si>
  <si>
    <t>nova licitació 16/04/19</t>
  </si>
  <si>
    <t>CQ.S1-PNA-07373</t>
  </si>
  <si>
    <t>Control de qualitat de les obres de rehabilitació de la coberta del CEIP Campderrós de Vallirana.</t>
  </si>
  <si>
    <t>CQ. UPA-17286</t>
  </si>
  <si>
    <t>Control de qualitat dels serveis de conservació i manteniment ambiental corresponents al Plec de Conservació Ambiental. Conservació i manteniment del programa d'Infraestructura verda de Catalunya. 2019-2020.</t>
  </si>
  <si>
    <t>PE+DO. JVX-18298</t>
  </si>
  <si>
    <t>Redacció del projecte bàsic, el projecte executiu i la posterior direcció d'obra RAM. Modernització de climatització, PDCI, CCTV i intrusió a l'edifici judical d'Arenys de Mar.</t>
  </si>
  <si>
    <t>PC.TM-04426.1A</t>
  </si>
  <si>
    <t>Redacció del projecte constructiu de cobertura del Macropou i superfície, actuacions a la infraestructura per nova configuració de vies a la Línia 9 de Metro de Barcelona i nous forjats per l'aprofitament de l'espai interior del macropou.</t>
  </si>
  <si>
    <t>DE. IAG-07283.A</t>
  </si>
  <si>
    <t>Contracte de serveis per a la Direcció d'execució de les obres corresponents al Projecte: d'ampliació i adequació a Institut 4/3 línies + cicles formatius a l'Institut Josep Brugulat de Banyoles.</t>
  </si>
  <si>
    <t>CQ. IAG-07283.A</t>
  </si>
  <si>
    <t>Contracte de serveis per a l'assistència tècnica de control de qualitat de les obres d'ampliació i adequació a Institut 4/3 línies + cicles formatius a l'Institut Josep Brugulat de Banyoles.</t>
  </si>
  <si>
    <t>Contracte de serveis per a l'Assistència Tècnica de Coordinació de Seguretat i Salut de les obres d'ampliació i adequació a Institut 4/3 línies + cicles formatius a l'Institut Josep Brugulat de Banyoles.</t>
  </si>
  <si>
    <t>CSS. IAG-07283.A</t>
  </si>
  <si>
    <t>Modificacions. Nou termin presentació</t>
  </si>
  <si>
    <t>PC.MCG-18320.A1</t>
  </si>
  <si>
    <t>Contracte de serveis per a l'assistència tècnica per a la redacció del Projecte actualitzat sobre millora connectivitat fluvial. Restitució del medi a l'entorn fluvial de l'aprofitament hidroelèctric ubicat als rius Ritort i Fabert al TM de Molló.</t>
  </si>
  <si>
    <t>EV. E1-XA-19201</t>
  </si>
  <si>
    <t>Redacció de la Memòria Ambiental del Projecte constructiu de l'arranjament de la carretera d'accés a Les Llagunes i estabilització de talús en el seu creuament amb el barranc de Coma Sarrera. TM de Soriguera (Pallars Sobirà).</t>
  </si>
  <si>
    <t>PC. XA-19201</t>
  </si>
  <si>
    <t>Redacció del projecte constructiu de l'arranjament de la carretera d'accés a Les Llagunes i estabilització de talús en el seu creuament amb el barranc de Coma Sarrera. TM de Soriguera (Pallars Sobirà).</t>
  </si>
  <si>
    <t>PE+DO. JVX-15287</t>
  </si>
  <si>
    <t>Contracte de serveis per a l'assistència tècnica per la redacció del projecte bàsic, el projecte executiu i la posterior direcció d'obra RAM de consolidació estructural del Palau de justícia de Tarragona.</t>
  </si>
  <si>
    <t>nova licitació 30/04/19</t>
  </si>
  <si>
    <t>PE+DO. JVX-18296</t>
  </si>
  <si>
    <t>DE. JVX-17231 (nou)</t>
  </si>
  <si>
    <t>EV. E1-DJUS-13001</t>
  </si>
  <si>
    <t>EV.- EP51</t>
  </si>
  <si>
    <t>EV.- EC21</t>
  </si>
  <si>
    <t>PC.MG-15015-C1</t>
  </si>
  <si>
    <t>PC.MR-05919.8</t>
  </si>
  <si>
    <t>Contracte de serveis per a l'assistència tècnica per la redacció del projecte bàsic, el projecte executiu i la posterior direcció d'obra de les obres RAM per a l'adequació a ús judicial de l'immoble municipal Casa Serra i Moret de Vic.</t>
  </si>
  <si>
    <t>Contracte de serveis per a la direcció d'execució de les obres RAM a l'edifici dels serveis territorials de Lleida del Departament de Justícia.</t>
  </si>
  <si>
    <t>Contracte de serveis per a l'assistència tècnica per a la redacció d'auditoria energènica dels Centres Penitenciaris de la Generalitat de Catalunya.</t>
  </si>
  <si>
    <t>Contracte de serveis per a l'assistència tècnica per a la realització de topografia i de replanteig de projectes corresponents als estudis i projectes d'obra civil i d'edificació.</t>
  </si>
  <si>
    <t>Contracte de serveis per a l'assistència tècnica per a la realització dels treballs de cartografia corresponents als estudis i projectes d'obra civil que són encarregats pels Departaments de la Generalitat de Catalunya.</t>
  </si>
  <si>
    <t>Contracte de serveis per a l'assistència tècnica per a la redacció del projecte constructiu. Mesures correctores d'impacte ambiental a la millora de seguretat viària de la C-66 del PK 41+900 al 55+800. Cornellà del Terri - Sant Ferriol.</t>
  </si>
  <si>
    <t>Contracte de serveis per a l'assistència tècnica per al projecte constructiu del regadiu Xerta-Sénia. Adequació de les obres singulars dels trams 2 i 3 del canal i xarxa de reg de les Zones 2 i 3.</t>
  </si>
  <si>
    <t>MSA. DE. S6-PNG-07960</t>
  </si>
  <si>
    <t>Contracte de serveis per a la Direcció d'Execució de les obres d'adequació de la instal·lació de calefacció del CEIP l'Ardenya de Sant Feliu de Guíxols.</t>
  </si>
  <si>
    <t>CSS. S6-PNG-07960</t>
  </si>
  <si>
    <t>Contracte de serveis per a l'Assistència tècnica per la Coordinació de seguretat i salut de l'execució de les obres d'adequació de la instal·lació de calefacció del CEIP l'Ardenya.</t>
  </si>
  <si>
    <t>MSA. CQ. S6-PNG-07960</t>
  </si>
  <si>
    <t>Contracte de serveis per a l'assistència tècnica de control de qualitat de les obres d'adequació de la instal·lació de calefacció del CEIP l'Ardenya de Sant Feliu de Guíxols.</t>
  </si>
  <si>
    <t>CQ. MA-17910</t>
  </si>
  <si>
    <t>Control qualitat serv. conserv. i mant. ambiental corresponents al Plec de Conserv. de Plant. Conserv. de platacions i mesures compensatòries i correctors proj. recup. sist. natural àmbit fluvial dels rius i altres del sistema Segarra-Garrigues. DIA 2010.</t>
  </si>
  <si>
    <t xml:space="preserve">Modificacions. Nou termini presentació </t>
  </si>
  <si>
    <t>PC. MCG-18315</t>
  </si>
  <si>
    <t>Contracte de serveis per a l'assistència tècnica per a la redacció del projecte constructiu. Millora Connectivitat Fluvial. Eliminació de la resclosa de la central hidroelèctrica Salt Garida (Molí de les Puces).</t>
  </si>
  <si>
    <t>DE. XMV-17573</t>
  </si>
  <si>
    <t>Contracte de serveis per a la direcció d'execució de les obres RAM 2017, als Serveis Territorials al Vallès Occidental XII, per l'adequació d'espais ESO, conversió d'una part de l'escola en institut 2/0 línies a l'Institut Bitàcola de Barberà del Vallès.</t>
  </si>
  <si>
    <t>CQ. JVX-19220</t>
  </si>
  <si>
    <t>Contracte de serveis per a l'assistència tècnica per al control de qualitat de les obres de reforma del Centre de Transformació de l'Edifici Judicial "El Canyeret" ubicat al carrer Canyaret 1-5.</t>
  </si>
  <si>
    <t>CQ. XMV-17573</t>
  </si>
  <si>
    <t>Control de qualitat de les obres RAM 2017, als Serveis Territorials al Vallès Occidental XII, per l'adequació d'espais ESO, conversió d'una part de l'escola en institut 2/0 línies a l'Institut Bitàcola de Barberà del Vallès.</t>
  </si>
  <si>
    <t>CSS. XMV-17573</t>
  </si>
  <si>
    <t>Coordinació de seguretat i salut de les obres RAM 2017, als Serveis Territorials al Vallès Occidental XII, per l'adequació d'espais ESO, conversió d'una part de l'escola en institut 2/0 línies a l'Institut Bitàco</t>
  </si>
  <si>
    <t>EV-E11-MA-19900</t>
  </si>
  <si>
    <t>Contracte de serveis per a l'assistència per a la redacció del Protocol de control de la modernització dels regs històrics de 1800 ha en els espais de XN2000 de Belianes Preixana i Plans de Sió als TTMM de Tàrrega, Vilagrassa i Preixana. DIA 2010.</t>
  </si>
  <si>
    <t>DO. ML-15043</t>
  </si>
  <si>
    <t>Contracte de serveis per a la direcció de les obres del projecte constructiu de millora local. Millora de nus. Ordenació de cruïlla a la carretera C-12, PK 147+710. Tram: Corbins.</t>
  </si>
  <si>
    <t>CSS. ML-15043</t>
  </si>
  <si>
    <t>Contracte de serveis per a l'assistència tècnica de Coordinació de seguretat i salut de les obres de Millora local. Millora de nus. Ordenació de cruïlla a la carretera C-12, PK 147+710. Tram: Corbins.</t>
  </si>
  <si>
    <t>CQ. ML-15043</t>
  </si>
  <si>
    <t>Contracte de serveis per a l'assistència tècnica de control de qualitat de les obres del projecte constructiu de millora local. Millora de nus. Ordenació de cruïlla a la carretera C-12, PK 147+710. Tram: Corbins.</t>
  </si>
  <si>
    <t>CSS. MB-16040</t>
  </si>
  <si>
    <t>Coordinació de seguretat i salut de les obres del projecte constructiu de millora local. Millora de nus. Millora de la capacitat a la rotonda de la carretera C-59, PK 10+240. Tram: Palau-solità i Plegamans. (Actuació 1).</t>
  </si>
  <si>
    <t>CQ. MB-16040</t>
  </si>
  <si>
    <t>Control de qualitat de les obres del projecte constructiu de millora local. Millora de nus. Millora de la capacitat a la rotonda de la carretera C-59, PK 10+240. Tram: Palau-solità i Plegamans. (Actuació 1).</t>
  </si>
  <si>
    <t>DO. MB-16040</t>
  </si>
  <si>
    <t>Contracte de serveis per a la direcció de les obres del projecte constructiu de millora local. Millora de nus. Millora de la capacitat a la rotonda de la carretera C-59, PK 10+240. Tram: Palau-solità i Plegamans. (Actuació 1).</t>
  </si>
  <si>
    <t>ATAM. MG-15015.1</t>
  </si>
  <si>
    <t>Contracte de serveis per a la Assistència Tècnica ambiental. Millora local. Seguretat viària. Millores de seguretat i reestudi de la secció transversal. Carretera C-66, del PK 41+900 al 50+450. Tram: Cornellà del Terri - Serinyà.</t>
  </si>
  <si>
    <t>CSS. MG-15015.1</t>
  </si>
  <si>
    <t>Assistència tècnica per la coordinació de seguretat i salut de l'execució de les obres. Millora local. Seguretat viària. Millores de seguretat i reestudi de la secció transversal. Carretera C-66, PK 41+900 al 50+450. Tram: Cornellà deTerri¿Serinyà.</t>
  </si>
  <si>
    <t>DO. MG-15015.1</t>
  </si>
  <si>
    <t>Contracte de serveis per a la direcció de les obres del projecte constructiu de millora local. Seguretat viària. Millores de seguretat i reestudi de la secció transversal. Carretera C-66, PK 41+900 al 50+450. Tram: Cornellà de Terri ¿ Serinyà.</t>
  </si>
  <si>
    <t>CQ. MG-15015.1</t>
  </si>
  <si>
    <t>Control de qualitat de les obres del projecte constructiu de millora local. Seguretat viària. Millores de seguretat i reestudi de la secció transversal. Carretera C-66, PK 41+900 al 50+450. Tram: Cornellà de Terri ¿ Serinyà.</t>
  </si>
  <si>
    <t>PC. VB-98171-A2.2</t>
  </si>
  <si>
    <t>Contracte de serveis per a l'assistència tècnica per a la redacció del projecte constructiu. Millora general. Variant de la carretera B-224 del PK 36+000 de la C-15 al PK 14+000 de la B-224. Tram: Vallbona d'Anoia - Piera - Masquefa.</t>
  </si>
  <si>
    <t>DO. RE-16041.1</t>
  </si>
  <si>
    <t>Contracte de serveis per a la direcció de les obres del projecte constructiu de reforçament del ferm a la TV-3454 del PK 7+500 al 15+700. Deltebre. Rotonda PK 9+900.</t>
  </si>
  <si>
    <t>CQ. RE-16041.1</t>
  </si>
  <si>
    <t>Contracte de serveis per a l'assistència tècnica per al control de qualitat de les obres del projecte constructiu de reforçament del ferm a la TV-3454 del PK 7+500 al 15+700. Deltebre. Rotonda PK 9+900.</t>
  </si>
  <si>
    <t>CSS. RE-16041.1</t>
  </si>
  <si>
    <t>Contracte de serveis per a l'assistència tècnica per la coordinació de seguretat i salut de l'execució de les obres del projecte constructiu de reforçament del ferm a la TV-3454 del PK 7+500 al 15+700. Deltebre. Rotonda PK 9+900.</t>
  </si>
  <si>
    <t>PC. DB-05111.2</t>
  </si>
  <si>
    <t>Contracte de serveis per a l'assistència tècnica per a la redacció del projecte constructiu: Millora general. Desdoblament de la carretera B-224, del PK 24+000 al 26+000. Tram: Sant Esteve Sesrovires - Martorell.</t>
  </si>
  <si>
    <t>DO. UPA-17288</t>
  </si>
  <si>
    <t>Direcció de les obres del projecte constructiu de millora ambiental. Recuperació ambiental i posada en valor dels camins ramaders del Perelló.</t>
  </si>
  <si>
    <t>CQ. UPA-17288</t>
  </si>
  <si>
    <t>Control de qualitat d'execució de les obres del projecte constructiu de millora ambiental. Recuperació ambiental i posada en valor dels camins ramaders del Perelló.</t>
  </si>
  <si>
    <t>CSS. UPA-17288</t>
  </si>
  <si>
    <t>Coordinació de seguretat i salut de l'execució de les obres del projecte constructiu de millora ambiental. Recuperació ambiental i posada en valor dels camins ramaders del Perelló.</t>
  </si>
  <si>
    <t>CSS. ML-16048</t>
  </si>
  <si>
    <t>Coordinació de seguretat i salut de l'execució de les obres del projecte constructiu de millora local. Millora de nus. Ordenació cruïlla entre les carreteres C-26 i L-903. PK 2+490 de la C-26 i PK 0+000 de la L-903. Tram: Ivars de Noguera.</t>
  </si>
  <si>
    <t>DO. ML-16048</t>
  </si>
  <si>
    <t>Contracte de serveis per a la direcció de les obres del projecte constructiu de millora local. Millora de nus. Ordenació cruïlla entre les carreteres C-26 i L-903. PK 2+490 de la C-26 i PK 0+000 de l'L-903. Tram: Ivars de Noguera.</t>
  </si>
  <si>
    <t>CQ. ML-16048</t>
  </si>
  <si>
    <t>Control de qualitat de les obres del projecte constructiu de millora local. Millora de nus. Ordenació cruïlla entre les carreteres C-26 i L-903. PK 2+490 de la C-26 i PK 0+000 de l'L-903. Tram: Ivars de Noguera.</t>
  </si>
  <si>
    <t>CQ. JVX-16244</t>
  </si>
  <si>
    <t>Control de qualitat de les obres RAM de reorganització funcional, actualitzar climatització i arranjament de les façanes i coberta de l'Edifici Judicial de Sant Feliu de Llobregat ubicat al carrer Dalt, 10-12.</t>
  </si>
  <si>
    <t>DE. JVX-16244</t>
  </si>
  <si>
    <t>Direcció d'execució de les obres RAM de reorganització funcional, actualitzar climatització i arranjament de les façanes i coberta de l'Edifici Judicial de Sant Feliu de Llobregat ubicat al carrer Dalt, 10-12.</t>
  </si>
  <si>
    <t>DE. ATC-18301</t>
  </si>
  <si>
    <t>Contracte de serveis per a la direcció d'execució de les obres d'adequació de la segona planta de l'edifici T, situat al passeig de la Zona Franca, 46 de Barcelona.</t>
  </si>
  <si>
    <t>DO. ATC-18301</t>
  </si>
  <si>
    <t>Contracte de serveis per a la direcció de les obres d'adequació de la segona planta de l'edifici T, situat al passeig de la Zona Franca, 46 de Barcelona.</t>
  </si>
  <si>
    <t>CQ. ATC-18301</t>
  </si>
  <si>
    <t>Contracte de serveis per l'assistència tècnica de control de qualitat de les obres d'adequació de la segona planta de l'edifici T, situat al passeig de la Zona Franca, 46 de Barcelona.</t>
  </si>
  <si>
    <t>CSS. JVX-16244</t>
  </si>
  <si>
    <t>Coordinació de seguretat i salut de l'execució de les obres RAM de reorganització funcional, actualitzar climatització i arrajament de les façanes i coberta de l'edifici judicial de Sant Feliu de Llobregat ubicat al Carrer Dalt, 10-12.</t>
  </si>
  <si>
    <t>CSS. ATC-18301</t>
  </si>
  <si>
    <t>Contracte de serveis per a l'assistència tècnica de coordinació de seguretat i salut de les obres d'adequació de la segona planta de l'edifici T, situat al passeig de la Zona Franca, 46 de Barcelona.</t>
  </si>
  <si>
    <t>CQ. AB-14009.F3.2</t>
  </si>
  <si>
    <t>Contracte de serveis per a l'assistència tècnica per al control de qualitat de les obres del projecte constructiu de millora general. Rehabilitació dels viaductes de la C-58 sobre BP-1503 i la riera de Palau. Segona actuació. Terrassa.</t>
  </si>
  <si>
    <t>DO. AB-14009.F3.2</t>
  </si>
  <si>
    <t>Contracte de serveis per a la direcció de les obres del projecte constructiu de millora general. Rehabilitació dels viaductes de la C-58 sobre BP-1503 i la riera de Palau. Segona actuació. Terrassa.</t>
  </si>
  <si>
    <t>CSS. AB-14009.F3.2</t>
  </si>
  <si>
    <t>Coordinació de seguretat i salut de l'execució de les obres del projecte constructiu Millora general. Rehabilitació dels viaductes de la C-58 sobre BP-1503 i la riera de Palau. Segona actuació. Terrassa.</t>
  </si>
  <si>
    <t>DO. PC-MAB-17077</t>
  </si>
  <si>
    <t>Contracte de serveis per a la direcció de les obres del projecte constructiu de renovació dels enclavaments de relés de les estacions de Sagrada Família, Passeig de Gràcia i Paral·lel a la línia 2 d'FMB. Barcelona.</t>
  </si>
  <si>
    <t>CSS. MAB-17077</t>
  </si>
  <si>
    <t>Coordinació de seguretat i salut de l'execució de les obres del projecte constructiu de la renovació dels enclavaments de relés a les estacions de Sagrada Família, Passeig de Gràcia i Paral·lel a la línia 2 de FMB. Barcelona.</t>
  </si>
  <si>
    <t>CQ. PC-MAB-17077</t>
  </si>
  <si>
    <t>Contracte de serveis per a l'assistència tècnica de control de qualitat de les obres del projecte constructiu de renovació dels enclavaments de relés de les estacions de Sagrada Família, Passeig de Gràcia i Paral·lel a la línia 2 d'FMB. Barcelona.</t>
  </si>
  <si>
    <t>DO. TM-00509.57.1</t>
  </si>
  <si>
    <t>Contracte de serveis per a la direcció de les obres del projecte constructiu del parament per minimitzar l'efecte del vent en estacions exteriors de la Zona Franca de L9 de Barcelona. Estació Zona Franca.</t>
  </si>
  <si>
    <t>CQ. TM-00509.57.1</t>
  </si>
  <si>
    <t>Contracte de serveis per a l'assistència tècnica de control de qualitat de les obres del projecte constructiu del parament per minimitzar l'efecte del vent en estacions exteriors de la Zona Franca de L9 de Barcelona. Estació Zona Franca.</t>
  </si>
  <si>
    <t>DO.MA-17905</t>
  </si>
  <si>
    <t>Direcció de les obres del projecte de naturalització i recuperació dels sistemes naturals a l'Embassament de l'Albagés. Mesures correctores i compensatòries del Regadiu del Sistema Segarra-Garrigues. Declaració d'Impacte Ambiental 2010.</t>
  </si>
  <si>
    <t>CSS. TM-00509.57.1</t>
  </si>
  <si>
    <t>Contracte de serveis per a l'assistència tècnica de coordinació de seguretat i salut de les obres del projecte constructiu del parament per minimitzar l'efecte del vent en estacions exteriors de la Zona Franca de L9 de Barcelona. Estació Zona Franca.</t>
  </si>
  <si>
    <t>CQ.MA-17905</t>
  </si>
  <si>
    <t>Contracte de serveis per a l'assistència tècnica de control de qualitat de les obres projecte de naturalització i recuperació dels sistemes naturals a l'embassament de l'Albagés. TM El Cogul i l'Albagés.</t>
  </si>
  <si>
    <t>nova licitació 13/06/19</t>
  </si>
  <si>
    <t>CSS.MA-17905</t>
  </si>
  <si>
    <t>Contracte de Serveis per a l'assistència Tècnica per la Coordinació de Seguretat i Salut de les obres del projecte de naturalització i recuperaciódels sistemes naturals a l'embassament de l'Albagés. TM El Cogul i l'Albagés.</t>
  </si>
  <si>
    <t>MSA. CQ. S10-PNA-06362</t>
  </si>
  <si>
    <t>Contracte de serveis per a l'assistència tècnica de control de qualitat de les obres de rehabilitació dels vestidors, el gimnàs i pistes del CEIP Els Pins de Castelldefels.</t>
  </si>
  <si>
    <t>PE+DO JJV-18286</t>
  </si>
  <si>
    <t>Redacció del projecte bàsic, el projecte executiu i la posterior direcció d'obra adequació i reforma d'ascensors d'edificis judicials.</t>
  </si>
  <si>
    <t>EV-E9-MA-19900</t>
  </si>
  <si>
    <t>Contracte de serveis per a l'assitència tècnica pel seguiment de les xarxes de control d'aigües subterrànies, superficials i drenatge del Reg Segarra-Garrigues. Campanya 2019.</t>
  </si>
  <si>
    <t>PC. VB-12062.1</t>
  </si>
  <si>
    <t>Contracte de serveis per a l'assistència tècnica per a la redacció del projecte constructiu Variant de Sant Miquel de Balenyà, tram nord-est. Del PK 4+600 de la BV-5305 al PK 6+900 de la BV-5303. Seva.</t>
  </si>
  <si>
    <t>PC.TF-12001</t>
  </si>
  <si>
    <t>Contracte de de serveis per a l'assistència tècnica per a la redacció del projecte constructiu desplegament de la xarxa rescat a les línies Barcelona - Vallès i Llobregat - Anoia d'FGC.</t>
  </si>
  <si>
    <t>CQ. JVX-17205</t>
  </si>
  <si>
    <t>Control de qualitat de les obres RAM a la seu principal de l'EJ de Rubí en planta baixa i soterrani i condicionament previ a dues dependències judicials per alliberar espai a la seu principal i per el seu ús com arxiu.</t>
  </si>
  <si>
    <t>PC. XL-15022</t>
  </si>
  <si>
    <t>Redacció del projecte constructiu Via ciclista a l'entorn de la C-13 del pk 128,700 al 131,550. Sort-Rialp.</t>
  </si>
  <si>
    <t>PC. XA-19240</t>
  </si>
  <si>
    <t>Contracte de serveis per a l'assistència tècnica per a la redacció del projecte constructiu d'arranjament del camí d'accés a Hortoneda. TM Conca de Dalt (Pallars Jussà).</t>
  </si>
  <si>
    <t>PC. XA-19238</t>
  </si>
  <si>
    <t>Contracte de serveis per a l'assistència tècnica per a la redacció del projecteconstructiu d'arranjament i millora del Camí de Vilamajor a Masos de Millà i Mas de Marcó, TMd'Àger.</t>
  </si>
  <si>
    <t>PE+DO.JVP-18329</t>
  </si>
  <si>
    <t>Contracte de serveis per a l'assistència tècnica per la redacció del projecte bàsic, el projecte executiu i la posterior direcció d'obra del projecte d'Instal·lació elèctrica del Centre Penitenciari de Ponent a Lleida.</t>
  </si>
  <si>
    <t>DO. PC-MAB-17078</t>
  </si>
  <si>
    <t>CSS. MAB-17078</t>
  </si>
  <si>
    <t>CQ. PC-MAB-17078</t>
  </si>
  <si>
    <t>Contracte de serveis per a la direcció de les obres del projecte constructiu de renovació de l'enclavament del Triangle Ferroviari de les Línies 2, 4 i 9 d'FMB. Barcelona.</t>
  </si>
  <si>
    <t>Contracte de serveis per a l'assistència tècnica per a la coordinació de seguretat i salut de l'execució de les obres de renovació de l'enclavament del Triangle Ferroviari de les línies 2, 4 i 9 d'FMB. Barcelona.</t>
  </si>
  <si>
    <t>Contracte de serveis per a l'assistència tècnica de control de qualitat de les obres del projecte constructiu de renovació de l'enclavament del Triangle Ferroviari de les Línies 2, 4 i 9 d'FMB. Barcelona.</t>
  </si>
  <si>
    <t>PC-CMB-17106</t>
  </si>
  <si>
    <t>Assistència tècnica per a la redacció del projecte constructiu Millora local. Ponts i estructures. Millora de la capacitat hidràulica del pontó sobre la Riera de les cases Noves, al PK 8+620 de la carretera C-153. Tram: Les Masies de Roda.</t>
  </si>
  <si>
    <t>PE+DF. JJB-19258</t>
  </si>
  <si>
    <t>Contracte de serveis per a l'assistència tècnica per a la redacció del projecte bàsic i executiu i la posterior direcció facultativa de les obres per a la substitució dels ascensors de l'edifici judicial carrer Prim a Badalona.</t>
  </si>
  <si>
    <t>CQ. JNP-16250</t>
  </si>
  <si>
    <t>Contracte de serveis per a l'assistència tècnica de control de qualitat de les obres de nova construcció d'un Centre Penitenciari obert a Tarragona.</t>
  </si>
  <si>
    <t>DE. JNP-16250</t>
  </si>
  <si>
    <t>Contracte de serveis per a la Direcció d'execució de les obres de nova construcció d'un Centre Penitenciari obert a Tarragona.</t>
  </si>
  <si>
    <t>CSS. JNP-16250</t>
  </si>
  <si>
    <t>Contracte de serveis per a l'assistència tècnica de Coordinació de Seguretat i Salut de les obres de nova construcció d'un Centre Penitenciari obert a Tarragona.</t>
  </si>
  <si>
    <t>PC. R0-18308</t>
  </si>
  <si>
    <t>PC. MB-12048-A1</t>
  </si>
  <si>
    <t>Contracte de serveis per a l'assistència tècnica per a la redacció del projecte constructiu: Millora local. Seguretat viària. Reordenació d'accessos a la carretera C-35, PK 55+450 a 57+600. Tram: Sant Celoni.</t>
  </si>
  <si>
    <t>Edificació / Obra Civil</t>
  </si>
  <si>
    <t>AT. INF-19265 Assesorament BIM</t>
  </si>
  <si>
    <t>Assistència tècnica d'assessorament en l'ús i gestió de models relacionats amb la metodologia Building Information Modeling (en endavant, BIM) en fase de projecte, d'obra i de manteniment, en actuacions d'edificació i obra civil.</t>
  </si>
  <si>
    <t>PE+DO. GPV-17229</t>
  </si>
  <si>
    <t>Concurs de Projectes per a la redacció del projecte bàsic, el projecte executiu i la posterior direcció d'obra de la nova seu de la Delegació del Govern de la Generalitat de Catalunya a la Catalunya Central. Manresa.</t>
  </si>
  <si>
    <t>PC. CGG-19020</t>
  </si>
  <si>
    <t>Contracte de serveis per a l'assistència tècnica per a la redacció del Projecte constructiu. Protecció acústica a la C-253 del PK 40+850 al 41+250. Sant Feliu de Guíxols.</t>
  </si>
  <si>
    <t>DO. RL-08009-A1</t>
  </si>
  <si>
    <t>direcció de les obres del projecte constructiu de ferm. Reforçament del ferm i millora del drenatge longitudinal. Carretera C-462 del PK 67+474 al 81+969. Tram: Adraén (la Vansa i Fórnols) - cruïlla d'Ortedó, amb l'LV-4008 (Alàs i Cerc).</t>
  </si>
  <si>
    <t>CSS. RL-08009-A1</t>
  </si>
  <si>
    <t>Coord. S.S de l'execució de les obres del projecte constructiu de Reforçament del ferm i millora del drenatge longitudinal. Carretera C-462 del PK 67+474 al 81+969. Tram: Adraén (la Vansa i Fórnols) - cruïlla d'Ortedó, amb l'LV-4008 (Alàs i Cerc).</t>
  </si>
  <si>
    <t>CQ. RL-08009-A1</t>
  </si>
  <si>
    <t>Control de qualitat de les obres del projecte constructiu de ferm. Reforçament del ferm i millora del drenatge longitudinal. Carretera C-462 del PK 67+474 al 81+969. Tram: Adraén (la Vansa i Fórnols) - cruïlla d'Ortedó, amb la LV-4008 (Alàs i Cerc).</t>
  </si>
  <si>
    <t>PC.DT-98211.2-C5</t>
  </si>
  <si>
    <t>Contracte de serveis per a l'assistència tècnica per a la redacció del projecte constructiu: Desdoblament de la C-42 (antiga C-237)del PK 1+615 al 5+530.Tortosa - Aldea.</t>
  </si>
  <si>
    <t>PE+DO. ICT-19219</t>
  </si>
  <si>
    <t>Concurs de Projectes per a redacció del projecte i la posterior direcció de les obres del projecte de Construcció del Centre d'Interpretació dels Sòls del Pirineus a Tremp.</t>
  </si>
  <si>
    <t>PE+DO. JVX-18318</t>
  </si>
  <si>
    <t>Redacció del projecte bàsic, el projecte executiu i la posterior direcció d'obra de la Modernització d'ascensors, resolució de barreres arquitectòniques en els accessos i per a la descàrrega de mercaderies al Palau de Justícia de Barcelona.</t>
  </si>
  <si>
    <t>PC.TF-11225.F1</t>
  </si>
  <si>
    <t>Contracte de serveis per a l'Assistència Tècnica per a la redacció del Projecte Constructiu: Perllongament de la línia Llobregat - Anoia d'FGC a Barcelona. Plaça Espanya Gràcia. Infraestructura.</t>
  </si>
  <si>
    <t>PC. MC-13016.1-C1</t>
  </si>
  <si>
    <t>Contracte de serveis per a l'assistència tècnica per a la redacció del projecte constructiu de millora de la senyalització d'orientació i renovació de pòrtics. Entorn de Manresa.</t>
  </si>
  <si>
    <t>PC. PC-XMB-18018</t>
  </si>
  <si>
    <t>Contracte de serveis per a l'assistència tècnica per a la redacció del projecte constructiu del vial de connexió entre l'enllaç dels Moletons (PK 66+300 de la C-37) i l'enllaç del P.I. Pla de Rigat (PK 67+300 de la C-37). Vilanova del Camí.</t>
  </si>
  <si>
    <t>EV. EP-CDB-17105 + PC. PC</t>
  </si>
  <si>
    <t>Red. estudi previ millora com a via cívica de la N-150 (PK 13+683 a 16+250), entre la rotonda existent sobre la C-58c i l'enllaç amb la Ctra de Montcada, i via ciclista paral·lela a la N-150(PK 13+415 a 16+720). i el proj. constructiu  via ciclista....</t>
  </si>
  <si>
    <t>EV. EP-ANT-18026</t>
  </si>
  <si>
    <t>Contracte de serveis per a l'assistència tècnica per a la redacció de l'estudi previ del corredor BRCat Tarragona - Reus.</t>
  </si>
  <si>
    <t>CSS. PNC-16281</t>
  </si>
  <si>
    <t>Contracte de serveis per a l'Assistència tècnica per la Coordinació de seguretat i salut de l'execució de les obres de nova construcció Escola 1 línia + 4 aules Escola Ernest Lluch de l'Hospitalet de Llobregat.</t>
  </si>
  <si>
    <t>DO.TM-02609.20.2.2 Fases 4 i 5</t>
  </si>
  <si>
    <t>Dir. obres del projecte constructiu de canvi de senyalèctica i de plafons de senyalització per adaptar la xarxa a la posada en servei de la Línia 10 Sud del metro de Barcelona. Estacions Ildefons Cerdà, Provençana i estacions Viaducte. Fase 4 i 5.</t>
  </si>
  <si>
    <t>CQ.TM-02609.20.2.2 Fases 4 i 5</t>
  </si>
  <si>
    <t>Control qualitat obres del proj. constructiu de canvi de senyalèctica i de plafons de senyalització per adaptar la xarxa a la posada en servei de la Línia 10 Sud del metro de Barcelona. Estacions Ildefons Cerdà, Provençana i estacions Viaducte. Fases 4 5.</t>
  </si>
  <si>
    <t>CQ. PNC-16281</t>
  </si>
  <si>
    <t>Contracte de serveis per a l'assistència tècnica de control de qualitat de les obres de nova construcció Escola 1 línia + 4 aules Escola Ernest Lluch de l'Hospitalet de Llobregat.</t>
  </si>
  <si>
    <t>DE. PNC-16281</t>
  </si>
  <si>
    <t>Contracte de serveis per a l'assistència tècnica de direcció d'execució de les obres de nova construcció Escola 1 línia + 4 aules Escola Ernest Lluch de l'Hospitalet de Llobregat.</t>
  </si>
  <si>
    <t>PE+DO. HTT-18287</t>
  </si>
  <si>
    <t>Concurs de Projectes per a la redacció del projecte bàsic, el projecte executiu i la posterior direcció de les obres d'instal·lacions de l'edifici fase 1 de la transformació global de l'Hospital Joan XXIII, de Tarragona.</t>
  </si>
  <si>
    <t>Contracte de serveis per a l'assistència tècnica de la Direcció de les obres d'ampliació tallers i aules de Cicles Formatius a l'Institut Alfons Costafreda de Tàrrega.</t>
  </si>
  <si>
    <t>Edificiació</t>
  </si>
  <si>
    <t>DO. IAL-07337.1</t>
  </si>
  <si>
    <t>CSS. IAL-07337.1</t>
  </si>
  <si>
    <t>Contracte de serveis per a l'Assistència tècnica per la Coordinació de seguretat i salut de l'execució de les obres d'ampliació tallers i aules de Cicles Formatius a l'Institut Alfons Costafreda de Tàrrega.</t>
  </si>
  <si>
    <t>CQ. IAL-07337.1</t>
  </si>
  <si>
    <t>Contracte de serveis per a l'assistència tècnica de Control de qualitat de les obres d'ampliació tallers i aules de Cicles Formatius a l'Institut Alfons Costafreda de Tàrrega.</t>
  </si>
  <si>
    <t>DE. IAL-07337.1</t>
  </si>
  <si>
    <t>Contracte de serveis per a l'assistència tècnica de direcció d'execució de de les obres d'ampliació tallers i aules de Cicles Formatius a l'Institut Alfons Costafreda de Tàrrega.</t>
  </si>
  <si>
    <t>CQ. MB-16016</t>
  </si>
  <si>
    <t>Contracte de serveis per a l'assistència tècnica de control de qualitat de les obres del projecte constructiu de millora local. Ponts i estructures. Pont sobre el riu Llobregat a Cabrianes. Carrtera B-430 PK 0+800. Tram: Sallent.</t>
  </si>
  <si>
    <t>CSS. MB-16016</t>
  </si>
  <si>
    <t>Assistència tècnica per la Coordinació de seguretat i salut de l'execució de les obres del projecte constructiu de Millora local. Ponts i Estructures. Pont sobre el riu Llobregat a Cabrianes. Carretera B-430, PK 0+800. Tram: Sallent.</t>
  </si>
  <si>
    <t>DO. MB-16016</t>
  </si>
  <si>
    <t>Contracte de serveis per a la direcció de les obres del projecte constructiu de millora local. Ponts i estructures. Pont sobre el riu Llobregat a Cabrianes. Carretera B-430, PK 0+800. Tram: Sallent.</t>
  </si>
  <si>
    <t>EV. EX-CGC-18129</t>
  </si>
  <si>
    <t>Contracte de serveis per a l'assistència tècnica per a la redacció de l¿estudi d'identificació de Trams de Concentració d'Accidents de la xarxa de carreteres de la Generalitat de Catalunya (2014-2018).</t>
  </si>
  <si>
    <t>PC. AR-18351</t>
  </si>
  <si>
    <t>Contracte de serveis per a l'assistència tècnica per a la redacció del projecte constructiu del regadiu de Algerri-Balaguer. Sector C. Ampliació. TM de Balaguer.</t>
  </si>
  <si>
    <t>PC. MR-05919.7</t>
  </si>
  <si>
    <t>Assistència tècnica per a la redacció del Projecte constructiu del regadiu Xerta-Sénia. Xarxa de reg de la zona 1 i posada en servei i posterior manteniment de la captació, de la impulsió, del canal executat i del bombament del sector 1.</t>
  </si>
  <si>
    <t>PC-CPB-18108</t>
  </si>
  <si>
    <t>Contracte de serveis per l' A.T. per a la redacció del projecte constructiu: Millora de la senyalització d'orientació a les carreteres de la Generalitat de Catalunya a l'entorn de Vic.</t>
  </si>
  <si>
    <t>PC-CPB-18107</t>
  </si>
  <si>
    <t>Contracte de serveis per l' A.T. per a la redacció del projecte constructiu: Rotonda a l'enllaç sud del PK 3+105 de la C-55, a l'accés al Polígon Industrial del Molí. Olesa de Montserrat.</t>
  </si>
  <si>
    <t>EX-MG-15015.1</t>
  </si>
  <si>
    <t>Contracte de serveis per l'assistència tècnica per a la redacció de l'estudi d'auditoria de seguretat i reestudi de la secció transversal a la C-66 del PK 41+900 al 50+450. Cornellà de Terri.</t>
  </si>
  <si>
    <t>PE+DO.JVX-15287</t>
  </si>
  <si>
    <t>Contracte serveis per l'A.T. per la redacció del projecte bàsic, el projecte executiu i la posterior direcció d'obra RAM de consolidació estructural del Palau de justícia de Tarragona.</t>
  </si>
  <si>
    <t>PC.AL-05020.3</t>
  </si>
  <si>
    <t>PE.DO. JVX-18300</t>
  </si>
  <si>
    <t>PE.DO. JVX-17271</t>
  </si>
  <si>
    <t>Contracte de serveis per a l'assistència tècnica per a la redacció del projecte constructiu de reforçament, eixamplament i millora de traçat a la C-28 del PK 43+400 al 43+900. Naut Aran. Tonyon - Cap del Port.</t>
  </si>
  <si>
    <t>Redacció del projecte bàsic, el projecte executiu i la posterior direcció d'obra RAM per al condicionaments d'espais per a la ubicació d'un nou òrgan judicial 1ª Instància 7 (Família) i altres espais a l'edifici judicial del Canyeret de Lleida.</t>
  </si>
  <si>
    <t>Redacció del projecte bàsic, el projecte executiu i la posterior direcció d'obra de condicionament d'instal·lacions, redistribució d'espais i treballs necessaris per l'obtenció de la llicència d'activitats de l'edifici del Palau de Justícia de Barcelona.</t>
  </si>
  <si>
    <t>PC. R0-19268</t>
  </si>
  <si>
    <t>Contracte de serveis per a l'assistència tècnica per a la redacció del projecte constructiu d'actuacions necessàries per a la reducció del nivell de vibracions existents a la L9/L10 del metro de Barcelona. Zona Gorg.</t>
  </si>
  <si>
    <t>DE. CGM-17251</t>
  </si>
  <si>
    <t>Contracte de serveis per a la direcció d'execució de les obres RAM de renovació d'instal·lacions esgotades i renovació de màquines de clima i funcionals de diverses comissaries de Mossos d'Esquadra.</t>
  </si>
  <si>
    <t>CQ. CGM-17251</t>
  </si>
  <si>
    <t>Contracte de serveis per a l'assistència tècnica de control de qualitat de les obres RAM de renovació d'instal·lacions esgotades i renovació de màquines de clima i funcionals de diverses comissaries de Mossos d'Esquadra.</t>
  </si>
  <si>
    <t>CSS. CGM-17251</t>
  </si>
  <si>
    <t>Contracte de serveis per a l'Assistència Tècnica de Coordinació de Seguretat i Salut de les obres RAM de renovació d'instal·lacions esgotades i renovació de màquines de clima i funcionals de diverses comissaries de Mossos d'Esquadra.</t>
  </si>
  <si>
    <t>nova licitació 20/09/19</t>
  </si>
  <si>
    <t>CQ. PNC-16281 (nova licitació)</t>
  </si>
  <si>
    <t>DE. IAL-17201</t>
  </si>
  <si>
    <t>Contracte de serveis per a l'assistència tècnica de direcció d'execució de les obres d'ampliació i adequació Institut 3/2 + cicles formatius a Guissona.</t>
  </si>
  <si>
    <t>CSS. IAL-17201</t>
  </si>
  <si>
    <t>Contracte de serveis per a l'Assistència tècnica per la Coordinació de Seguretat i Salut d'execució de les obres d'ampliació i adequació Institut 3/2 + cicles formatius a Guissona.</t>
  </si>
  <si>
    <t>DE. ING-16286</t>
  </si>
  <si>
    <t>Contracte de serveis per a l'assistència tècnica de direcció d'execució de les obres de nova construcció Institut 2/0 + 3 aules + aula recolzament de l'Institut de Caldes de Malavella.</t>
  </si>
  <si>
    <t>CSS. ING-16286</t>
  </si>
  <si>
    <t>Contracte de serveis per a l'Assistència tècnica per la Coordinació de seguretat i salut d'execució de les obres de nova construcció Institut 2/0 + 3 aules + aula recolzament de l'Institut de Caldes de Malavella.</t>
  </si>
  <si>
    <t>CQ. ING-16286</t>
  </si>
  <si>
    <t>Contracte de serveis per a l'assistència tècnica de control de qualitat de de les obres de nova construcció Institut 2/0 + 3 aules + aula recolzament de l'Institut de Caldes de Malavella.</t>
  </si>
  <si>
    <t>CQ. IAL-17201</t>
  </si>
  <si>
    <t>Contracte de serveis per a l'assistència tècnica de control de qualitat de les obres d'ampliació i adequació Institut 3/2 + cicles formatius a Guissona.</t>
  </si>
  <si>
    <t>PC. PC-XMG-18021</t>
  </si>
  <si>
    <t>Contracte de serveis per a l'assistència tècnica per a la redacció del projecte constructiu de millora del ferm i obres complementàries al camí d'accés a Comaoriola. PK 0+000 al 4+935. Alp - Das.</t>
  </si>
  <si>
    <t>nova licitació 1/10/19</t>
  </si>
  <si>
    <t>PC. CMT-18015</t>
  </si>
  <si>
    <t>Contracte de serveis per a l'assistència tècnica per a la redacció del projecte constructiu Millora local. Ampliació de vorals de la C-51, del PK 8+226 a 9+060i del PK 9+600 a 10+140. El Vendrell-Albinyana.</t>
  </si>
  <si>
    <t>CQ. HGG-19237</t>
  </si>
  <si>
    <t>Contracte de serveis per a l'assistència tècnica de control de qualitat de de les obres RAM de l'Àrea d'observació i tractament de les urgències de l'Hospital Dr. Trueta de Girona.</t>
  </si>
  <si>
    <t>deserta, en data 4/09/19 nova convocatòria 17/10/19</t>
  </si>
  <si>
    <t>PC. TM-16202</t>
  </si>
  <si>
    <t>Redacció del projecte constructiu: millora de l'accessibilitat dels intercanviadors de Sants Estació (línies L3 i L5 dels FMB - línies ADIF), Pg. de Gràcia (línies L2, L3 i L4 FMB) i Catalunya (línies L1 i L3 FMB). Barcelona.</t>
  </si>
  <si>
    <t>PC. PC-BNG-18004.F1/PC. PC-BNG-18004.F2</t>
  </si>
  <si>
    <t>Contracte de serveis per a l'assistència tècnica per a la redacció del projecte constructiu de la via ciclista a la C-25 del PK 241+350 al 243+650. Campllong - Cassà de la Selva.</t>
  </si>
  <si>
    <t>CSS. MB-15048</t>
  </si>
  <si>
    <t>Serveis per a l'assistència tècnica per la coord. S.S. de l'execució de les obres del proj. constructiu de millora local. Apantallament acústic. Ctra. N-150, Ronda Sud de Terrassa, al pk 18,500, i ctra. C-59, variant Caldes de Montbui, al pk 14,400.</t>
  </si>
  <si>
    <t>DO. MB-15048</t>
  </si>
  <si>
    <t>Serveis per a la direcció de les obres del proj. constructiu de millora local. Apantallament acústic. Ctra. N-150, Ronda Sud de Terrassa, al pk 18,500, i ctra. C-59, variant Caldes de Montbui, al pk 14,400. TM Terrassa i Caldes de Montbui.</t>
  </si>
  <si>
    <t>CQ. MB-15048</t>
  </si>
  <si>
    <t>Control de qualitat de les obres del proj. constructiu de millora local. Apantallament acústic. Ctra. N-150, Ronda Sud de Terrassa, al pk 18,500, i ctra. C-59, variant Caldes de Montbui, al pk 14,400. TM Terrassa i Caldes de Montbui.</t>
  </si>
  <si>
    <t>PC. R0-19262</t>
  </si>
  <si>
    <t>Contracte de serveis per a l'assistència tècnica per a la redacció del projecte constructiu per a la renovació i millora de la instal·lació de protecció contra incendis de la cua de maniobres de la L9 sota la terminal 1 de l'Aeroport de Barcelona.</t>
  </si>
  <si>
    <t>DE. IAV-16217</t>
  </si>
  <si>
    <t>Contracte de serveis per a l'assistència tècnica de direcció d'execució de les obres d'ampliació i reforma a l'Institut La Ferreria de Montcada i Reixac.</t>
  </si>
  <si>
    <t>CQ. IAV-16217</t>
  </si>
  <si>
    <t>Contracte de serveis per a l'assistència tècnica de control de qualitat de les obres d'ampliació i reforma a l'Institut La Ferreria de Montcada i Reixac.</t>
  </si>
  <si>
    <t>DE. JVX-17230</t>
  </si>
  <si>
    <t>Contracte de serveis per a la direcció d'execució de les obres RAM de rehabilitació de patologies a l'edifici judicial de Tremp.</t>
  </si>
  <si>
    <t>CSS. IAV-16217</t>
  </si>
  <si>
    <t>Contracte de serveis per a l'Assistència tècnica per la Coordinació de seguretat i salut per l'execució de les obres d'ampliació i adequació a l'Institut La Ferreria de Montcada i Reixac.</t>
  </si>
  <si>
    <t>CQ. JVX-17230</t>
  </si>
  <si>
    <t>Contracte de serveis per a l'assistència tècnica per al control de qualitat de les obres RAM de rehabilitació de patologies a l'edifici judicial de Tremp.</t>
  </si>
  <si>
    <t>CSS. JVX-17230</t>
  </si>
  <si>
    <t>Contracte de serveis per a l'assistència tècnica per a la coordinació de seguretat i salut de les obres RAM de rehabilitació de patologies a l'edifici judicial de Tremp.</t>
  </si>
  <si>
    <t>PC.R0-19263</t>
  </si>
  <si>
    <t>Contracte de serveis pqe a l'assistència tècnica per a la redacció dels estudis de ventilació, evacuació i projecte constructiu d'adequació del vestíbul multimodal de la Plaça Europa. Estacions Europa-Fira de la L9 i FGC.</t>
  </si>
  <si>
    <t>DO.PC-MAB-17079</t>
  </si>
  <si>
    <t>Contracte de serveis per a la direcció de les obres del projecte constructiu de renovació de l'enclavament de la cotxera i taller de Sant Genís de la línia 3 d'FMB. Barcelona.</t>
  </si>
  <si>
    <t>CQ.PC-MAB-17079</t>
  </si>
  <si>
    <t>Contracte de serveis per a l'assistència tècnica de control de qualitat de les obres del projecte constructiu de renovació de l'enclavament de la cotxera i taller de Sant Genís de la línia 3 d'FMB. Barcelona.</t>
  </si>
  <si>
    <t>CSS. PC-MAB-17079</t>
  </si>
  <si>
    <t>Contracte de serveis per a l'Assistència tècnica per la Coordinació de seguretat i salut de l'execució de les obres del projecte constructiu de renovació de l'enclavament de la cotxera i taller de Sant Genís de la línia 3 de l'FMB. Barcelona.</t>
  </si>
  <si>
    <t>CSS.TM-11016.1</t>
  </si>
  <si>
    <t>Coord. seg. i salut en exec. obres actuacions millora evacuació i accessibilitat intercanviador estació Pl. Espanya (L1 i L3 d'FMB i L8 FGC) i actuacions millora evacuació acces. intercanviador estació Pl. Espanya (L1 i L3 FMB i L8 FGC). Ventilació,....</t>
  </si>
  <si>
    <t>CQ.TM-11016</t>
  </si>
  <si>
    <t>Contracte de serveis per a l'assistència tècnica de control de qualitat de les obres del projecte constructiu de millora de l'evacuació i de l'accessibilitat de l'intercanviador de l'estació de Plaça. Espanya (L1 i L3 d'FMB i L8 d'FGC).</t>
  </si>
  <si>
    <t>ATAM.TM-11016+TM-11016.1</t>
  </si>
  <si>
    <t>Assit. tècnica ambiental exec. obres actuacions millora evacuació i accessibilitat intercanviador estació Pl. Espanya (L1 i L3 d'FMB i L8 FGC) i actuacions millora evacuació acces. intercanviador estació Pl. Espanya (L1 i L3 FMB i L8 FGC). Ventilació,....</t>
  </si>
  <si>
    <t>DO.TM-11016+TM-11016.1</t>
  </si>
  <si>
    <t>Direcció conjunta de les obres actuacions millora evacuació i accessibilitat intercanviador estació Pl. Espanya (L1 i L3 d'FMB i L8 FGC) i actuacions millora evacuació acces. intercanviador estació Pl. Espanya (L1 i L3 FMB i L8 FGC). Ventilació,....</t>
  </si>
  <si>
    <t>DE. CAP-17238.A</t>
  </si>
  <si>
    <t>Contracte de serveis per a l'assistència tècnica de direcció d'execució de les obres de construcció del nou Centre d'Atenció Primària de Sant Feliu de Codines.</t>
  </si>
  <si>
    <t>DE.CAP-17237.A</t>
  </si>
  <si>
    <t>Contracte per a l'assistència tècnica de direcció d'execució de les obres del projecte actualitzat nova construcció del nou Centre d'Atenció Primària de Riells i Viabrea.</t>
  </si>
  <si>
    <t>DE. PGM-15353</t>
  </si>
  <si>
    <t>Contracte de serveis per a la direcció d'execució de les obres d'adequació i millora del Parc de Bombers de Balaguer.</t>
  </si>
  <si>
    <t>CQ. PGM-15353</t>
  </si>
  <si>
    <t>Contracte de serveis per a l'assistència tècnica per al control de qualitat de les obres d'adequació i millora del Parc de Bombers de Balaguer.</t>
  </si>
  <si>
    <t>CSS. PGM-15353</t>
  </si>
  <si>
    <t>Contracte de serveis per a l'assistència tècnica per a la coordinació de seguretat i salut de les obres d'adequació i millora del Parc de Bombers de Balaguer.</t>
  </si>
  <si>
    <t>CQ. XMH-19543</t>
  </si>
  <si>
    <t>Control de qualitat de les obres RAM 2019 als Serveis Territorials a Catalunya Central V: Centre de Recursos del Solsonès (Solsona) i Escola Flama, actualització projecte (Sant Fruitós del Bages).</t>
  </si>
  <si>
    <t>PE+DF. XMH-19543</t>
  </si>
  <si>
    <t>Redacció del proj. executiu i estudi S.S i la posterior direcció facultativa de les obres RAM 2019 als Serveis Territorials a Catalunya Central V: Centre de Recursos del Solsonès (Solsona) i Escola Flama, actualització projecte (Sant Fruitós del Bages).</t>
  </si>
  <si>
    <t>PE+DF. XMG-20517</t>
  </si>
  <si>
    <t>Redacció del projecte executiu i l'estudi de seguretat i salut i la posterior direcció facultativa de les obres RAM 2020 als Serveis Territorials a Girona (I): Institut Sant Quirze de Lloret de Mar.</t>
  </si>
  <si>
    <t>PE+DF.XMV-20506</t>
  </si>
  <si>
    <t>Redac. projecte i l'estudi de S. i S. i la posterior direcció facultativa de les obres RAM 2020 als Serveis Territorials al Vallès Occidental (IV): Institut Ca n'Oriac (Sabadell), Institut Jaume Cabré (dins Escola Joan Marques) (Terrassa) i Escola Auró.</t>
  </si>
  <si>
    <t>PE+DF.XMV-20505</t>
  </si>
  <si>
    <t>Redacció del projecte i l'estudi de seguretat i salut i la posterior direcció facultativa de les obres RAM 2020 als Serveis Territorials al Vallès Occidental (III): Institut Escola Pere Viver (Terrassa).</t>
  </si>
  <si>
    <t>PE+DF. XMC-20511</t>
  </si>
  <si>
    <t>Redac. proj. executiu i l'estudi S.S. i posterior direc. facultativa obres RAM 2020 als Serv. Territorials a Barcelona Comarques (II): Inst. Santa Coloma (Sta. Coloma Gramenet), Inst. Escola Folch i Torres (Badalona) i Inst. Escola Pallaresa (Sta. Coloma)</t>
  </si>
  <si>
    <t>PE+DF. XMC-20512</t>
  </si>
  <si>
    <t>Redacció del projecte executiu i l'estudi de seguretat i salut i la posterior direcció facultativa de les obres RAM 2020 als Serveis Territorials a Barcelona Comarques (III): Institut Eugeni d'Ors (Vilafranca del Penedès).</t>
  </si>
  <si>
    <t>PE+DF. XML-20502</t>
  </si>
  <si>
    <t>Redacció del projecte executiu i l'estudi de seguretat i salut i la posterior direcció facultativa de les obres RAM 2020 als Serveis Territorials a Lleida (II): Institut d'Alpicat (Alpicat), Institut Mollerussa IV (Mollerussa) i Institut de Serós (Serós).</t>
  </si>
  <si>
    <t>PE+DF. XML-20501</t>
  </si>
  <si>
    <t>Redacció del projecte execcutiu i l'estudi de seguretat i salut i la posterior direcció facultativa de les obres RAM 2020 als Serveis Territorials a Lleida (I): Institut d'Alcarràs (Alcarràs).</t>
  </si>
  <si>
    <t>PE+DF. XMH-20500</t>
  </si>
  <si>
    <t>Redacció del projecte executiu i l'estudi de seguretat i salut i la posterior direcció facultativa de les obres RAM 2020 als Serveis Territorials a la Catalunya Central (I): Escola Les Bases (Manresa) i Institut Manresa VI (Manresa).</t>
  </si>
  <si>
    <t>PE+DF. XMA-20509</t>
  </si>
  <si>
    <t>Redac. proj. executiu i l'estudi de S.S. i la posterior direc. facultativa obres RAM 2020 als Serveis Territorials al Baix LLobregat (III): Institut Rafael de Casanovas (Sant Boi de Llobregat) i Institut Viladecans VI (Viladecans).</t>
  </si>
  <si>
    <t>PE+DF. XMA-20508</t>
  </si>
  <si>
    <t>Redacció del projecte executiu i l'estudi de seguretat i salut i la posterior direcció facultativa de les obres RAM 2020 als Serveis Territorials al Baix LLobregat (II): Institut El Cairat (Esparreguera) i Institut Daniel Blanxart (Olesa de Montserrat).</t>
  </si>
  <si>
    <t>PE+DF. XMV-20503</t>
  </si>
  <si>
    <t>Redacció del projecte executiu i l'estudi de seguretat i salut i la posterior direcció facultativa de les obres RAM 2020 als Serveis Territorials al Vallès Occidental (I): Institut Escola El Viver (Montcada i Reixac).</t>
  </si>
  <si>
    <t>PE+DF. XMV-20504</t>
  </si>
  <si>
    <t>Redac. proj. exec. i l'est. S.S. i posterior dir. facult. obres RAM 2020 als Serv. Territ. al Vallès Occidental (II): Inst. Escola Els Pinetons (Ripollet), Inst. Narcisa Freixas (Sabadell), Escola La Mirada (St. Cugat), Inst. Sentment i Inst. Arraona.</t>
  </si>
  <si>
    <t>PE+DF. XME-20516</t>
  </si>
  <si>
    <t>Redacció del projecte executiu i l'estudi de seguretat i salut i la posterior direcció facultativa de les obres RAM 2020 als Serveis Territorials a les Terres de l'Ebre (I): Institut Escola Agustí Barberà (Amposta).</t>
  </si>
  <si>
    <t>PE+DF. XMA-20507</t>
  </si>
  <si>
    <t>Redac. proj. executiu i l'est. S.S. i posterior dir. facultativa obres RAM 2020 als Serveis Territorials al Baix Llobregat (I): CEE El Virolai (Cornellà de Llobregat) i Institut Francesc Macià (Cornellà de Llobregat).</t>
  </si>
  <si>
    <t>PE+DF. XMM-20513</t>
  </si>
  <si>
    <t>Redacció del projecte executiu i l'estudi de seguretat i salut i la posterior direcció facultativa de les obres RAM 2020 als Serveis Territorials al Maresme-Vallès Oriental (I): Institut Cinc Sènies (Mataró) i Institut Sant Pol (Sant Pol de Mar).</t>
  </si>
  <si>
    <t>CQ. XMT-19542</t>
  </si>
  <si>
    <t>Contracte de serveis per a l'assistència tècnica de control de qualitat de les obres RAM 2019 als Serveis Territorials a Tarragona (III): Escola Antoni Torroja i Miret (Vila-seca) i Escola Cal·lípolis (Vila-seca).</t>
  </si>
  <si>
    <t>PE+DF. XMC-20510</t>
  </si>
  <si>
    <t>Redac. proj. executiu i l'estudi S.S. i la posterior direcció facultativa de les obres RAM 2020 als Serveis Territorials a Barcelona Comarques (I): Institut Escola Pere Lliscart (L'Hospitalet de Llobregat) i Institut Jaume Botey (Hospitalet de Llobregat).</t>
  </si>
  <si>
    <t>CQ. CGM-17226</t>
  </si>
  <si>
    <t>Control de qualitat de les obres RAM. Reparació i rehab. diverses instal. i espais de les Comissaries de les Regions Policials de Girona, Metropolitana Nord, Metrop. Sud, Barcelona i actuació col. pilones protec.</t>
  </si>
  <si>
    <t>suspensió licitació per indicació de l'organisme que ha fet l'encarrec.</t>
  </si>
  <si>
    <t>DE. CAP-17240</t>
  </si>
  <si>
    <t>Contracte de serveis per a la direcció d'execució de les obres de construcció del nou Centre d'Atenció Primària Can Llong, de Sabadell.</t>
  </si>
  <si>
    <t>CQ. CAP-17240</t>
  </si>
  <si>
    <t>Contracte de serveis per a l'assistència tècnica per al control de qualitat de les obres de construcció del nou Centre d'Atenció Primària Can Llong, de Sabadell.</t>
  </si>
  <si>
    <t>PE+DF. JVX-18317</t>
  </si>
  <si>
    <t>Redacció del projecte bàsic i executiu i la posterior direcció facultativa de les obres de condicionament d'espais per al servei de patologia de l'IMLCFC i la modernització de les instal·lacions PCDI, CCTV, intrusió i megafonia als Jutjats de Girona.</t>
  </si>
  <si>
    <t>CSS. CAP-17240</t>
  </si>
  <si>
    <t>Contracte de serveis per a l'assistència tècnica per a la coordinació de seguretat i salut de les obres de construcció del nou Centre d'Atenció Primària Can Llong, de Sabadell.</t>
  </si>
  <si>
    <t>PC.TM-02609.33</t>
  </si>
  <si>
    <t>Contracte de serveis per a l'assistència tècnica per a la redacció del projecte constructiu d'adaptació de les receptores de la L9 i desenvolupament de la nova xarxa d'alimentació per a la mobilitat elèctrica.</t>
  </si>
  <si>
    <t>PC. JNP-16250.1</t>
  </si>
  <si>
    <t>AT-00164.1-A1-C1</t>
  </si>
  <si>
    <t>CSS. CAP-17239</t>
  </si>
  <si>
    <t>DE. CAP-17239</t>
  </si>
  <si>
    <t>CQ. CAP-17263</t>
  </si>
  <si>
    <t>CSS. CAP-17263</t>
  </si>
  <si>
    <t>CQ. CAP-17239</t>
  </si>
  <si>
    <t>Contracte de serveis per a l'assistència tècnica per a la redacció del projecte bàsic i executiu i la posterior direcció d'obra de les obres de l'arxiu soterrat per dependències judicials i la seva urbanització del Centre Penitenciari obert de Tarragona</t>
  </si>
  <si>
    <t>Coordinació de seguretat i salut per l'execució de les obres nova construcció del CAP El Gorg, de Badalona.</t>
  </si>
  <si>
    <t>Contracte de serveis per a l'assistència tècnica per a la redacció del projecte constructiu de millora local. Mesures correctores d'impacte ambiental del condicionament de la carretera C-51 a Vilardida PK 24+400 AL 26+840. Tram: Vila-rodona.</t>
  </si>
  <si>
    <t>Direcció d'execució de les obres nova construcció del CAP El Gorg, de Badalona.</t>
  </si>
  <si>
    <t>Control de qualitat de les obres del nou CAP de Navarcles.</t>
  </si>
  <si>
    <t>Coordinació de seguretat i salut per l'execució de les obres del nou CAP de Navarcles.</t>
  </si>
  <si>
    <t>Control de qualitat de les obres nova construcció del CAP El Gorg, de Badalona.</t>
  </si>
  <si>
    <t>PE+DF. XMV-20536</t>
  </si>
  <si>
    <t>PE+DF. XMG-20535</t>
  </si>
  <si>
    <t>PE+DF. XMT-20528</t>
  </si>
  <si>
    <t>PE+DF. XMA-20518</t>
  </si>
  <si>
    <t>PE+DF. XMM-20525</t>
  </si>
  <si>
    <t>PE+DF. XMC-20522</t>
  </si>
  <si>
    <t>PE+DF. XMA-20520</t>
  </si>
  <si>
    <t>PE+DF. XMV-20537</t>
  </si>
  <si>
    <t>PE+DF. XMM-20524</t>
  </si>
  <si>
    <t>PE+DF. XML-20533</t>
  </si>
  <si>
    <t>PE+DF. XMV-20538</t>
  </si>
  <si>
    <t>PE+DF. XMC-20521</t>
  </si>
  <si>
    <t>PE+DF. XMA-20519</t>
  </si>
  <si>
    <t>PE+DF. XMH-20530</t>
  </si>
  <si>
    <t>PE+DF. XMG-20534</t>
  </si>
  <si>
    <t>PE+DF. XMC-20523</t>
  </si>
  <si>
    <t>PE+DF. XML-20532</t>
  </si>
  <si>
    <t>PE+DF. XMM-20526</t>
  </si>
  <si>
    <t>PE+DF. XMM-20514</t>
  </si>
  <si>
    <t>PE+DF. XMH-20529</t>
  </si>
  <si>
    <t>PE+DF. XMH-20531</t>
  </si>
  <si>
    <t>PE+DO JVP-18238</t>
  </si>
  <si>
    <t>Redacció del projecte executiu i l'estudi de S.iS. I la posterior direcció facultativa de les obres RAM 2020 als Serveis Territorials al Vallès Occidental (V): I.E. Can Llobet (Barberà del Vallès).</t>
  </si>
  <si>
    <t>Redacció del projecte executiu i l'estudi de S.iS. I la posterior direcció facultativa de les obres RAM 2020 als Serveis Territorials a Girona (III): Institut Sant Feliu de Guíxols (Sant Feliu de Guíxols).</t>
  </si>
  <si>
    <t>Redacció del projecte executiu i l'estudi de S.iS. I la posterior direcció facultativa de les obres RAM 2020 als Serveis Territorials a Tarragona (I): Institut Ramon Berenguer IV (Cambrils), Escola Onze de Setembre (El Masroig) i Institut Martí i Franquès</t>
  </si>
  <si>
    <t>Redacció del projecte executiu i l'estudi de S.iS. I la posterior direcció facultativa de les obres RAM 2020 als Serveis Territorials al Baix Llobregat (IV). Institut Joan Miró (Cornellà Llobregat) i Inst. Esteve Terrades (Cornellà de Llobregat).</t>
  </si>
  <si>
    <t>Redacció del projecte executiu i l'estudi de S.iS. I la posterior direcció facultativa de les obres RAM 2020 als Serveis Territorials al Maresme-Vallès Oriental (V). I.E. Mar Mediterrània (Mataró) i Escola Salvador Espriu (Granollers).</t>
  </si>
  <si>
    <t>Redacció del projecte executiu i l'estudi de S.iS. I la posterior direcció facultativa de les obres RAM 2020 als Serveis Territorials a Barcelona Comarques (V). Institut Vilafranca, Escola Joaquim Ruyra i Inst. Torres i Bages (Hospitalet de Llobregat).</t>
  </si>
  <si>
    <t>Redacció del projecte executiu i l'estudi de S.iS. I la posterior direcció facultativa de les obres RAM 2020 als Serveis Territorials al Baix Llobregat (VI). Inst. Els Brugers (Gavà) i Escola Sant Jordi (Sant Vicenç dels Horts).</t>
  </si>
  <si>
    <t>Redacció del projecte executiu i l'estudi de S.iS. I la posterior direcció facultativa de les obres RAM 2020 als Serveis Territorials al Vallès Occidental (VI). Escola Bellaterra (Cerdanyola), Inst. Duc de Montblanc (Rubí) i Escola Ciutat d'Alba.</t>
  </si>
  <si>
    <t>Redacció del projecte executiu i l'estudi de S.iS. I la posterior direcció facultativa de les obres RAM 2020 als Serveis Territorials al Maresme-Vallès Oriental (IV). IE Angela Bransuela (Mataró) i Inst. Bisbe Sivilla (Calella).</t>
  </si>
  <si>
    <t>Redacció del projecte executiu i l'estudi de S.iS. I la posterior direcció facultativa de les obres RAM 2020 als Serveis Territorials a Lleida (IV): Institut de La Pobla (La Pobla de Segur) i Institut Aubenç (Oliana).</t>
  </si>
  <si>
    <t>Redacció del projecte executiu i l'estudi de S.iS. I la posterior direcció facultativa de les obres RAM 2020 als Serveis Territorials al Vallès Occidental (VII). Escola Joan Torredemer (Matadepera), Escola Roureda (Sabadell), Inst. Ribot i Serra (Sabadell</t>
  </si>
  <si>
    <t>Redacció del projecte executiu i l'estudi de S.iS. I la posterior direcció facultativa de les obres RAM 2020 als Serveis Territorials a Barcelona Comarques (IV): IE Llibertat (Badalona), Inst. La Bastida (Santa coloma de Gramenet) i Instl. Les Vinyes-</t>
  </si>
  <si>
    <t>Redacció del projecte executiu i l'estudi de S.iS. I la posterior direcció facultativa de les obres RAM 2020 als Serveis Territorials al Baix Llobregat (V). Escola Àngel Guimerà (Pallejà) i Escola Echegaray (Martorell).</t>
  </si>
  <si>
    <t>Redacció del projecte executiu i l'estudi de S.iS. I la posterior direcció facultativa de les obres RAM 2020 als Serveis Territorials a la Catalunya Central (III). Institut Joan Mercader (Igualada) i Escola Sant Vicenç (Sant Vicenç de Castellet)</t>
  </si>
  <si>
    <t>Redacció del projecte executiu i l'estudi de S.iS. I la posterior direcció facultativa de les obres RAM 2020 als Serveis Territorials a Girona (II). Institut El Padró (l'Escala), Escola de Llers (Llers) i Escola Veïnat (Salt).</t>
  </si>
  <si>
    <t>Redacció del projecte executiu i l'estudi de S.iS. I la posterior direcció facultativa de les obres RAM 2020 als Serveis Territorials a Barcelona comarques (VI). Escola Frederic Mistral (l'Hospitalet de Llobregat) i Institut Rubio i Ors (l'Hospitalet ).</t>
  </si>
  <si>
    <t>Redacció del projecte executiu i l'estudi de S.iS. I la posterior direcció facultativa de les obres RAM 2020 als Serveis Territorials a Lleida (III). Escola Comtes de Torregrossa (Alcarràs).</t>
  </si>
  <si>
    <t>Redacció del projecte executiu i l'estudi de S.iS. I la posterior direcció facultativa de les obres RAM 2020 als Serveis Territorials al Maresme-Vallès Oriental (VI). Institut Montmeló (Montmeló) i Escola Tiziana (TIANA)</t>
  </si>
  <si>
    <t>Redacció del projecte executiu i l'estudi de S.iS. I la posterior direcció facultativa de les obres RAM 2020 als Serveis Territorials al Maresme-Vallès Oriental (II). IE Pallerola (Sant Celoni).</t>
  </si>
  <si>
    <t>Redacció del projecte executiu i l'estudi de S.iS. I la posterior direcció facultativa de les obres RAM 2020 als Serveis Territorials a la Catalunya Central (II). IE Barnola (Avinyó), IE Pompeu Fabra (el Pont de Vilomara), Inst. Guillem Cata (Manresa) ...</t>
  </si>
  <si>
    <t>Redacció del projecte executiu i l'estudi de S.iS. I la posterior direcció facultativa de les obres RAM 2020 als Serveis Territorials a la Catalunya Central (IV). Escola Vic-centre (Vic).</t>
  </si>
  <si>
    <t>Redacció del projecte bàsic i executiu i la jposterior direcció d'obra de les obres de rehabilitació al centre educatiu Til·lers a Mollet del Vallès.</t>
  </si>
  <si>
    <t>EV. EG19</t>
  </si>
  <si>
    <t>Assistència tècnica per a la realització dels informes preliminars dels desplaçaments dels projectes d'edificació encarregats per Servei Català de Salut.</t>
  </si>
  <si>
    <t>Direccións d'Execució</t>
  </si>
  <si>
    <t>CSS.HMB-16284</t>
  </si>
  <si>
    <t>Assistència tècnica per la coordinació de seguretat i salut per l'execució de les obres de reforma d'espais de l'Hospital de Mataró (Hospital de dia, Bloc quirúrgic i altres).</t>
  </si>
  <si>
    <t>CQ.HMB-16284</t>
  </si>
  <si>
    <t>Assistència tècnica de control de qualitat de les obres de reforma d'espais de l'Hospital de Mataró (Hospital de dia, Bloc quirúrgic i altres).</t>
  </si>
  <si>
    <t>DE.HMB-16284</t>
  </si>
  <si>
    <t>Assistència tècnica de la direcció d'execució de les obres de reforma d'espais de l'Hospital de Mataró (Hospital de dia, Bloc quirúrgic i altres).</t>
  </si>
  <si>
    <t>CQ. PNL-17211</t>
  </si>
  <si>
    <t>Control de qualitat de les obres de nova construcció Escola 2 línies a l'Escola Pinyana, a Lleida.</t>
  </si>
  <si>
    <t>DE. PNL-17211</t>
  </si>
  <si>
    <t>Direcció d'execució de les obres de nova construcció Escola 2 línies a l'Escola Pinyana, a Lleida.</t>
  </si>
  <si>
    <t>CQ. CGM-17226 (nova licitació)</t>
  </si>
  <si>
    <t>Control de qualitat de les obres RAM de Raparació i rehabilitació de diverses instal·lacions i espais de les Comissaries de les Regions Policials de Girona, Metropolitana Nord, Metropolitana Sud, Barcelona i actuació de col·locació de pilones de protecció</t>
  </si>
  <si>
    <t>CQ. JVX-18288</t>
  </si>
  <si>
    <t>Contracte de serveis per a l'assistència tècnica per al control de qualitat de les obres RAM per al condicionament d'espais per a la ubicació d'un nou òrgan judicial (1a Instància 7 família) al Palau de Justícia de Girona.</t>
  </si>
  <si>
    <t>CQ. JVX-18293</t>
  </si>
  <si>
    <t>Contracte de serveis per a l'assistència tècnica per al control de qualitat de les obres d'adequació del projecte d'obra RAM de reparació de façanes i voladius de l'edifici judicial situat a l'Avinguda Ramon Folch 4-6 de Girona.</t>
  </si>
  <si>
    <t>CQ. TA-07997.A1</t>
  </si>
  <si>
    <t>DO. TA-07997.A1</t>
  </si>
  <si>
    <t>Control de qualitat de les obres del projecte constructiu del nou carril bus i via ciclista a la ctra. C-245 entre Castelldefels i Cornellà de Llobregat.</t>
  </si>
  <si>
    <t>Direcció de les obres del projecte constructiu del nou carril bus i via ciclista a la ctra. C-245 entre Castelldefels i Cornellà de Llobregat.</t>
  </si>
  <si>
    <t>EV. E6-MA-20900</t>
  </si>
  <si>
    <t>Redacció de l'Estudi i seguiment de la població d'esparver cendrós a la Plana de Lleida, localització de nius. Mesures correctores i compensatòries del regadiu del sistema Segarra-Garrigues. Campanya 2020-2021.</t>
  </si>
  <si>
    <t>EV. E4-MA-20900</t>
  </si>
  <si>
    <t>Redacció de l'Estudi i seguiment de la població de xoriguer petit de la Plana de Lleida, anàlisi de l'ocupació de torres i caixes niu. Mesures correctores i compensatòries del regadiu del sistema Segarra-Garrigues. Campanya 2020-2021.</t>
  </si>
  <si>
    <t>EV. E3-MA-20900</t>
  </si>
  <si>
    <t>Redacció de l'Estudi i seguiment. Cens de mascles de sisó en Àrees pilot dels secans orientals i en els regs històrics del Canalet de Tàrrega. Mesures correctores i compensatòries del regadiu del sistema Segarra-Garrigues. Campanya 2020-2021.</t>
  </si>
  <si>
    <t>EV. E1-MA-20900</t>
  </si>
  <si>
    <t>Contracte de serveis per a l'assistència tècnica pel seguiment de les finques gestionades als Secans Orientals. Mesures correctores i compensatòries del regadiu del sistema Segarra-Garrigues. Campanya 2020-2021.</t>
  </si>
  <si>
    <t>ATAM. TA-07997.A1</t>
  </si>
  <si>
    <t>Contracte de serveis per a l'Assistència Tècnica Ambiental de les obres del projecte constructiu del nou carril bus i via ciclista a la carretera C-245 entre Castelldefels i Cornellà de Llobregat.</t>
  </si>
  <si>
    <t>EV. E2-MA-20900</t>
  </si>
  <si>
    <t>Contracte de serveis per a l'assistència tècnica pel seguiment de les finques gestionades als Secans Occidentals. Mesures correctores i compensatòries del regadiu del sistema Segarra-Garrigues. Campanya 2020-2021.</t>
  </si>
  <si>
    <t>CSS. TA-07997.A1</t>
  </si>
  <si>
    <t>Contracte de serveis per a l'Assistència tècnica per la Coordinació de seguretat i salut de les obres del projecte constructiu del nou carril bus i via ciclista a la carretera C-245 entre Castelldefels i Cornellà de Llobregat.</t>
  </si>
  <si>
    <t>CQ. AG-03020.3.1</t>
  </si>
  <si>
    <t>Control de qualitat de les obres del projecte constructiu de millora general. Condicionament. Corredor Brugent - Ter. Variant d'Anglès. De la carretera C-63, PK 38+000, a la carretera N-141e, PK 101+150. Tram: Anglès.</t>
  </si>
  <si>
    <t>ATAM. AG-03020.3.1</t>
  </si>
  <si>
    <t>Contracte de serveis per a l'assistència tècnica ambiental de les obres de millora general. Condicionament. Corredor Brugent-Ter. Variant d'Anglès de la carretera C-63, PK 38+000, a la carretera N-141e, PK 101+150. Tram: Anglès.</t>
  </si>
  <si>
    <t>CSS. AG-03020.3.1</t>
  </si>
  <si>
    <t>Coordinació de seguretat i salut de les obres de millora general. Condicionament. Corredor Brugent¿Ter. Variant d'Anglès de la carretera C-63, PK 38+000, a la carretera N-141e, PK 101+150. Tram: Anglès.</t>
  </si>
  <si>
    <t>DO. AG-03020.3.1</t>
  </si>
  <si>
    <t>Contracte de serveis per a la direcció de les obres del projecte constructiu de millora general. Condicionament. Corredor Brugent - Ter. Variant d'Anglès. De la carretera C-63, PK 38+000, a la carretera N-141e, PK 101+150. Tram: Anglès.</t>
  </si>
  <si>
    <t>CQ.JVX-18291</t>
  </si>
  <si>
    <t>Contracte de serveis per a l'assistència tècnica de control de qualitat de les obres de de les obres RAM per al condicionament d'espais per a la secció d'apel·lacions i altres espais del Palau de Justicia de Barcelona.</t>
  </si>
  <si>
    <t>CSS. PRL-20001</t>
  </si>
  <si>
    <t>CQ. MEC-19L05</t>
  </si>
  <si>
    <t>Acord Marc per a la contractació dels contractes de serveis per a les assistències tècniques de control de qualitat de les obres pel manteniment, conservació i millora d'edificis i equipaments.</t>
  </si>
  <si>
    <t>Número d'Anuncis i Imports 2020</t>
  </si>
  <si>
    <t>PE+DF PGM-19259</t>
  </si>
  <si>
    <t>Redacció del projecte bàsic i executiu i la posterior direcció facultativa de les obres de tancament i pavimentació dels patis exteriors i de la cotxera del Parc de Bombers de Figueres.</t>
  </si>
  <si>
    <t>PE+DO XML-19527</t>
  </si>
  <si>
    <t>Concurs de Projectes per a la redacció del projecte bàsic i executiu i la posterior direcció de les obres RAM 2019 als SSTT Lleida (III) a l'Institut Lo Pla d'Urgell de Bellpuig.</t>
  </si>
  <si>
    <t>CQ. JVX-18292</t>
  </si>
  <si>
    <t>Contracte de serveis per a l'assistència tècnica per al control de qualitat de les obres RAM de reparació de façanes i voladius de l'edifici Judicial de Puigcerdà.</t>
  </si>
  <si>
    <t>ATAM. AB-15032.F3</t>
  </si>
  <si>
    <t>Contracte de serveis per a l'assistència tècnica ambiental de les obres de Millora general. Tercer carril calçada sentit sud a la carretera C-17, del PK 14+700 al 18+700. Tram: Parets del Vallès - Granollers.</t>
  </si>
  <si>
    <t>CQ. AB-15032.F3</t>
  </si>
  <si>
    <t>Contracte de serveis per a l'assistència tècnica de control de qualitat de les obres de Millora general. Tercer carril calçada sentit sud a la carretera C-17, del PK 14+700 al 18+700. Tram: Parets del Vallès - Granollers.</t>
  </si>
  <si>
    <t>CSS. AB-15032.F3</t>
  </si>
  <si>
    <t>Contracte de serveis per a l'assistència tècnica de Coordinació de seguretat i salut de les obres de Millora general. Tercer carril calçada sentit sud a la carretera C-17, del PK 14+700 al 18+700. Tram: Parets del Vallès - Granollers.</t>
  </si>
  <si>
    <t>CQ. JVX-18289</t>
  </si>
  <si>
    <t>Contracte de serveis per a l'assistència tècnica pel control de qualitat de les obres RAM de substitució d'una planta refredadora en la instal·lació de climatització de l'edifici judicial a Figueres.</t>
  </si>
  <si>
    <t>DO. AB-15032.F3</t>
  </si>
  <si>
    <t>Contracte de serveis per a la direcció de les obres de Millora general. Tercer carril calçada sentit sud a la carretera C-17, del PK 14+700 al 18+700. Tram: Parets del Vallès - Granollers.</t>
  </si>
  <si>
    <t>CQ. PC-CXG-17032</t>
  </si>
  <si>
    <t>Contracte de serveis per a l'assistència tècnica de control de qualitat de les obres del projecte constructiu de portada d'aigües a la finca Sant Mateu. Carretera C-37, PK 168+000, marge esquerre. Tram: La Vall d'en Bas.</t>
  </si>
  <si>
    <t>DO. PC-CXG-17032</t>
  </si>
  <si>
    <t>Contracte de serveis per a la direcció de les obres del projecte constructiu de portada d'aigües a la finca Sant Mateu. Carretera C-37, PK 168+000, marge esquerre. Tram: La Vall d'en Bas.</t>
  </si>
  <si>
    <t>EV. EG25</t>
  </si>
  <si>
    <t>Contracte de serveis per a l¿assistència tècnica per a la realització dels informes preliminars dels emplaçaments dels projectes d¿edificació.</t>
  </si>
  <si>
    <t>DO. PC-CMT-17051.A1</t>
  </si>
  <si>
    <t>Contracte de serveis per a la direcció de les obres del projecte constructiu de cunetes trepitjables, adequació d'elements de contenció de vehicles i millora de ferm a la T-202, del PK 6+370 al 12+040. La Nou de Gaià - Salomó.</t>
  </si>
  <si>
    <t>CSS. PC-CMT-17051.A1</t>
  </si>
  <si>
    <t>Assistència tècnica de coordinacció de seguretat i salut de les obres del projecte constructiu de cunetes trepitjables, adequació d'elements de contenció de vehicles i millora de ferm a la T-202, del PK 6+370 al 12+040. La Nou de Gaià - Salomó.</t>
  </si>
  <si>
    <t>CQ. PC-CMT-17051.A1</t>
  </si>
  <si>
    <t>Assistència tècnica de control de qualitat de les obres del projecte constructiu de cunetes trepitjables, adequació d'elements de contenció de vehicles i millora de ferm a la T-202, del PK 6+370 al 12+040. La Nou de Gaià - Salomó.</t>
  </si>
  <si>
    <t>PE+DO JVX_19275</t>
  </si>
  <si>
    <t>Redacció del projecte bàsic i executiu i la posterior direcció d'obra de les obres RAM per a l'adequació de la infermeria i de la xarxa general de distribució d'aigua, i actualització dels sistemes de PCI i Interfonia, al Centre Penitenciari de Ponent.</t>
  </si>
  <si>
    <t>PE+DO. JNP-16250.1</t>
  </si>
  <si>
    <t>Redacció del projecte bàsic i executiu i la posterior direcció d'obra de les obres de l'arxiu soterrat per dependències judicials i la seva urbanització del Centre Penitenciari obert a Tarragona.</t>
  </si>
  <si>
    <t>MSA.DE.S10-PNC-05429</t>
  </si>
  <si>
    <t>Contracte de serveis per a la direcció d'execució de les obres de la demolició parcial de la llosa del CEIP Les Fonts de Gelida.</t>
  </si>
  <si>
    <t>MSA.CQ.S10-PNC-05429</t>
  </si>
  <si>
    <t>Contracte de serveis per a l'assistència tècnica de control de qualitat de les obres de la demolició parcial de la llosa del CEIP Les Fonts de Gelida.</t>
  </si>
  <si>
    <t>PC.PC-CGB-19019</t>
  </si>
  <si>
    <t>Contracte de serveis per a l'assistència tècnica per a la redacció del projecte constructiu: "Rehabilitació de les obres de fàbrica a la C-31 al PK 192+425. El Prat de Llobregat"</t>
  </si>
  <si>
    <t>MSA. CQ.S16-CAP-06372</t>
  </si>
  <si>
    <t>Contracte de serveis per a l'assistència tècnica de control de qualitat de les obres de reparació de patologies en façana i enrajola t interior del CAP Igualada Nord.</t>
  </si>
  <si>
    <t>PC.R0-19272</t>
  </si>
  <si>
    <t>Contracte de serveis per a la redacció del Projecte constructiu d'instal·lació fotovoltaica als Tallers de la Zona Franca de la L9.</t>
  </si>
  <si>
    <t>CSS. S10-PNC-05429</t>
  </si>
  <si>
    <t>Contracte de serveis per a l'assistència tècnica per la coordinació de seguretat i salut de les obres de la demolició parcial de la llosa del CEIP Les Fonts de Gelida.</t>
  </si>
  <si>
    <t>EV ES-MA-20900</t>
  </si>
  <si>
    <t>Contracte de serveis per a l'assistència tècnica per la planificació de la gestió la campanya 2020-2021 en les finques de compensació de l'àmbit del Regadiu Segarra-Garrigues</t>
  </si>
  <si>
    <t>MSA.CQ.S6-CAP-06508</t>
  </si>
  <si>
    <t>Contracte de serveis per a l'assistència tècnica de control de qualitat de les obres de subsanació de deficiències al CAP de Cunit.</t>
  </si>
  <si>
    <t>PE+DF XEB-19275</t>
  </si>
  <si>
    <t>Contracte de serveis per a l'assistència tècnica per a la redacció del projecte bàsic i executiu i la posterior direcció facultativa de les obres de Consolidació estructural de l'edifici Masia Torre del Bisbe.</t>
  </si>
  <si>
    <t>MSA. CQ. S4-CAP-02714</t>
  </si>
  <si>
    <t>Control de qualitat de les obres de subsanació de deficiències al CAP de Cardedeu.</t>
  </si>
  <si>
    <t>DO. SPD-20201</t>
  </si>
  <si>
    <t>Contracte de serveis per a la direcció de les obres de desplegament de xarxa troncal de fibra òptica entre Llavorsí i Sort, "XT00069a¿TRONCAL DE FIBRA ÒPTICA ENTRE LLAVORSÍ I SORT".</t>
  </si>
  <si>
    <t>CSS. SPD-20201</t>
  </si>
  <si>
    <t>Contracte de serveis per a l'Assistència tècnica per la Coordinació de seguretat i salut de les obres de desplegament de xarxa troncal de fibra òptica entre Llavorsí i Sort, "XT00069a¿TRONCAL DE FIBRA ÒPTICA ENTRE LLAVORSÍ I SORT".</t>
  </si>
  <si>
    <t>MSA. CQ. S9-CAP-05550</t>
  </si>
  <si>
    <t>Contracte de serveis per a l'assistència tècnica de control de qualitat de les obres d'adequació de la instal·lació de climatització i resolució de filtracions al CAP de Can Serra.</t>
  </si>
  <si>
    <t>PC. MCT-18310</t>
  </si>
  <si>
    <t>Contracte de serveis per a l'assistència tècnica per a la redacció del projecte constructiu. Millora Connectivitat Terrestre. Permeabilització de l'AP-2 i la C-435 a Cabra del Camp.</t>
  </si>
  <si>
    <t>PC. JS-19254</t>
  </si>
  <si>
    <t>Contracte de serveis per a l'assistència tècnica per a la redacció del projecte d'adequació de l'emissari submarí Vila-seca/Salou i instal·lacions de sanejament en alta afectades per l'ampliació del Port de Tarragona.</t>
  </si>
  <si>
    <t>PC. REL-18316</t>
  </si>
  <si>
    <t>Contracte de serveis per a l'assistència tècnica per a la redacció del projecte constructiu. Recuperació ecològica de la Zona Humida de l'Aiguabarreig Segre-Noguera Ribagorçana a Vilanova de la Barca.</t>
  </si>
  <si>
    <t>MSA. PE+DF. MEC-19L05</t>
  </si>
  <si>
    <t>Acord Marc per a la contractació dels contractes de serveis per a les assistències tècniques per a la redacció d'estudis, projectes i posterior direcció facultativa de les obres per al manteniment, conservació i millora d'edificis i equipaments. 2 LOTS.</t>
  </si>
  <si>
    <t>CSS. PNH-17246</t>
  </si>
  <si>
    <t>Contracte de serveis per a l'assistència tècnica per la coordinació de seguretat i salut de l'execució de les obres de nova construcció 1 línia a l'Escola La Serreta de Santpedor.</t>
  </si>
  <si>
    <t>DE. PNH-17246</t>
  </si>
  <si>
    <t>Contracte de serveis per a l'assistència tècnica de direcció d'execució de les obres de nova construcció 1 línia a l'Escola La Serreta de Santpedor.</t>
  </si>
  <si>
    <t>DO. R0-17266.1</t>
  </si>
  <si>
    <t>Contracte de serveis per a la direcció de les obres del projecte de millora de la rigidesa de la via per a la reducció del nivell de vibracions existents a la Línia 9/L10 del metro de Barcelona. Via superior i inferior zona Bon Pastor (C. Sant Adrià).</t>
  </si>
  <si>
    <t>PC. FFG-18314</t>
  </si>
  <si>
    <t>Contracte de serveis per a l'assistència tècnica per a la redacció del projecte constructiu. Recuperació d'espècies de flora. Recuperació ambiental de l'entorn de la presa de Darnius-Boadella. Alt Empordà.</t>
  </si>
  <si>
    <t>CSS. R0-17266.1</t>
  </si>
  <si>
    <t>Coordinació de seguretat i salut de les obres del projecte de millora de la rigidesa de la via per a la reducció del nivell de vibracions existents a la Línia 9/L10 del metro de Barcelona. Via superior i inferior zona Bon Pastor (C. Sant Adrià).</t>
  </si>
  <si>
    <t>CQ. PNH-17246</t>
  </si>
  <si>
    <t>Contracte de serveis per a l'assistència tècnica de control de qualitat de les obres de nova construcció 1 línia a l'Escola La Serreta de Santpedor.</t>
  </si>
  <si>
    <t>CQ. RAM-20900</t>
  </si>
  <si>
    <t>Contracte de serveis per a l'assistència tècnica de control de qualitat de les obres RAM-2020 del Departament d'Educació. 4 lots.</t>
  </si>
  <si>
    <t>CQ. R0-17266.1</t>
  </si>
  <si>
    <t>Control de qualitat de les obres del projecte de millora de la rigidesa de la via per a la reducció del nivell de vibracions existents a la Línia 9/L10 del metro de Barcelona. Via superior i inferior zona Bon Pastor (C. Sant Adrià).</t>
  </si>
  <si>
    <t>PC. AT-00164.1-A1-C2</t>
  </si>
  <si>
    <t>Contracte de serveis per a l'assistència tècnica per a la redacció del projecte constructiu de condicionament de la C-51 a la Vilardida. Pas de fauna al PK 25+000. Vila-rodona.</t>
  </si>
  <si>
    <t>PC-CMT-17002-A1</t>
  </si>
  <si>
    <t>Contracte de serveis per a l'assistència tècnica per a la redacció de l¿actualització del projecte constructiu: "construcció de cunetes trepitjables a la C-241D. Montblanc ¿ Santa Coloma de Queralt".</t>
  </si>
  <si>
    <t>PE+DF. JVX-19282</t>
  </si>
  <si>
    <t>Contracte de serveis per a l'assistència tècnica per a la redacció del projecte bàsic i executiu i la posterior direcció facultativa de les obres RAM adequació d'espais per a sales d'escorcoll i cel·les de contenció en centres d'execució penal.</t>
  </si>
  <si>
    <t>CQ. RE-16041.2</t>
  </si>
  <si>
    <t>Control de qualitat de les obres del projecte constructiu de reoforçament del ferm a la carretera TV-3454 del pk 7,500 al 15,700. Deltebre. Rotonda Pk 15,500.</t>
  </si>
  <si>
    <t>CSS. EB-19230</t>
  </si>
  <si>
    <t>Coordinació de seguretat i salut de les obres del projecte constructiu d'injeccions i millora de la xarxa de drenatge de la presa de Margalef.</t>
  </si>
  <si>
    <t>CSS. RE-16041.2</t>
  </si>
  <si>
    <t>Coordinació de seguretat i salut de les obres del projecte constructiu de reforçament del ferm a la carretera TV-3454 del pk 7,500 al 15,700. Deltebre. Rotonda pk 15,500.</t>
  </si>
  <si>
    <t>PC. MB-15054-A1</t>
  </si>
  <si>
    <t>Redacció del projecte constructiu de millora local. Seguretat viària. Millora de les característiques superficials del ferm i reestudi de la secció transversal. Carretera C-55, del pk 5,075 al 9,360. Tram: Olesa de Montserrat-Collbató.</t>
  </si>
  <si>
    <t>DO. RE-16041.2</t>
  </si>
  <si>
    <t>Direcció de les obres del projecte constructiu de reforçament del ferm a la carretera TV-3454 del pk 7,500 al 15,700. Deltebre. Rotonda PK 15,500.</t>
  </si>
  <si>
    <t>PC. PC-CPB-18117</t>
  </si>
  <si>
    <t>Redacció del projecte constructiu. Rotondes a la C-61, pk 1,500 i 1,700, enllaç amb la C-32. Arenys de Mar-Arenys de Munt.</t>
  </si>
  <si>
    <t>DO.RE-13061.2</t>
  </si>
  <si>
    <t>CSS. RE-13061.2</t>
  </si>
  <si>
    <t>CQ. RE-13061.2</t>
  </si>
  <si>
    <t>Contracte de serveis per a la direcció de les obres del projecte constructiu de ferm. Reforçament del ferm a la carretera C-12, del PK 23+500 al 29+400. Tram: Aldover - Xerta.</t>
  </si>
  <si>
    <t>Contracte de serveis per a l'assistència tècnica per la coordinació de seguretat i salut de les obres del projecte constructiu de ferm. Reforçament del ferm a la carretera C-12, del PK 23+500 al 29+400. Tram: Aldover - Xerta. Clau: RE-13061.2</t>
  </si>
  <si>
    <t>Contracte de serveis per a l'assistència tècnica de control de qualitat de les obres del projecte constructiu de ferm. Reforçament del ferm a la carretera C-12, del PK 23+500 al 29+400. Tram: Aldover - Xerta.</t>
  </si>
  <si>
    <t>CQ. XB-14019</t>
  </si>
  <si>
    <t>Contracte de serveis per a l'assistència tècnica de control de qualitat de les obres del projecte constructiu de millora general. Pr olongació de l'avinguda Països Catalans entre la carretera de Viladordis i la plaça Prat de la Riba. Tram: Manresa.</t>
  </si>
  <si>
    <t>CSS. XB-14019</t>
  </si>
  <si>
    <t>Contracte de serveis per a l'Assistència tècnica per la Coordinació de seguretat i salut de l'execució de les obres "Millora general . Prolongació de l'avinguda Països Catalans entre la carretera de Viladordis i la plaça Prat de la Riba. Tram: Manresa.</t>
  </si>
  <si>
    <t>ATAM. XB-14019</t>
  </si>
  <si>
    <t>Contracte de serveis per a l'Assistència tècnica ambiental de les obres de millora general. Prolongació de l'avinguda Països Catalans entre la carretera de Viladordis i la plaça Prat de la Riba. Tram: Manresa.</t>
  </si>
  <si>
    <t>DO. XB-14019</t>
  </si>
  <si>
    <t>Contracte de serveis per a la direcció de les obres del projecte constructiu de millora general. Prolongació de l'avinguda Països Catalans entre la carretera de Viladordis i la plaça Prat de la Riba. Tram: Manresa.</t>
  </si>
  <si>
    <t>CSS. JVX-17272.1</t>
  </si>
  <si>
    <t>Contracte de serveis per a l'assistència tècnica de coordinació de seguretat i salut de les obres d'adequació del projecte RAM de reforma de la instal·lació de climatització de l'Edifici Judicial de Sabadell. Fase I. Pla de contingència.</t>
  </si>
  <si>
    <t>PR. MB-15055-C1</t>
  </si>
  <si>
    <t>Contracte de serveis per a l'assistència tècnica per a la redacció del projecte constructiu de millora de les característiques superficials del ferm i reestudi de la secció transversal a la C-55 del PK 16+600 al 18+000. Castellbell i el Vilar.</t>
  </si>
  <si>
    <t>DE. JVX-17272.1</t>
  </si>
  <si>
    <t>Contracte de serveis per a la direcció d'execució de les obres d'adequació del projecte RAM de reforma de la instal·lació de climati tzació de l'Edifici Judicial de Sabadell. Fase I. Pla de contingència.</t>
  </si>
  <si>
    <t>PC. MG-04010-A1</t>
  </si>
  <si>
    <t>Contracte de serveis per a l'assistència tècnica per a la redacció del projecte constructiu de millora local. Rotonda a la carretera C-66, PK 26+690. Tram: Bordils.</t>
  </si>
  <si>
    <t>CQ.JVX-17272.1</t>
  </si>
  <si>
    <t>Contracte de serveis per a l'assistència tècnica de control de qualitat de les obres d'adequació del projecte RAM de reforma de la instal·lació de climatització de l'Edifici Judicial de Sabadell. Fase I. Pla de contingència.</t>
  </si>
  <si>
    <t>EV. EA-MCC-19264</t>
  </si>
  <si>
    <t>Contracte de serveis per a l'assistència tècnica per a la redacció de l'estudi ambiental de millora de la connectivitat terrestre. Permeabilització infraestructures. La Múnia - Marmellar.</t>
  </si>
  <si>
    <t>DO. RB-16054</t>
  </si>
  <si>
    <t>Contracte de serveis per a la direcció de les obres del projecte constructiu de ferm. Millora de característiques superficials i obres complementàries a la carretera C-17, del PK 36+250 al 43+050 i del 43+550 al 44+000. Tram: Tagamanent - Centelles.</t>
  </si>
  <si>
    <t>CSS. RB-16054</t>
  </si>
  <si>
    <t>Coordinació de seguretat i salut de l'execució de les obres del projecte constructiu de ferm. Millora de característiques superficials i obres complementàries a la carretera C-17, del PK 36+250 al 43+050 i del 43+550 al 44+000. Tram: Tagamanent-Centelles.</t>
  </si>
  <si>
    <t>CQ. RB-16054</t>
  </si>
  <si>
    <t>Control de qualitat de les obres del projecte constructiu de ferm. Millora de ca racterístiques superficials i obres complementàries a la carretera C-17, del PK 36+250 al 43+050 i del 43+550 al 44+000. Tram: Tagamanent - Centelles.</t>
  </si>
  <si>
    <t>CQ.JVX-18295</t>
  </si>
  <si>
    <t>Contracte de serveis per a l'assistència tècnica de control de qualitat de les obres RAM del canvi i adequació de la instal·lació de climatització i ventilació de l'edifici judicial de Gavà.</t>
  </si>
  <si>
    <t>PC-MT-15024.1</t>
  </si>
  <si>
    <t>Contracte de serveis per a l'assistència tècnica per a la redacció del projecte constructiu "Millora Local. Seguretat viària. Condicionament urbà de la carretera C-31, del PK 140+840 al 143+600. Calafell".</t>
  </si>
  <si>
    <t>PC. MB-15037</t>
  </si>
  <si>
    <t>Contracte de serveis per a l'assistència tècnica per a la redacció del projecte constructiu "Reparació puntual del sosteniment del túnel de la Codina a la C-37 al PK 170+114. La Vall d'en Bas".</t>
  </si>
  <si>
    <t>CQ. UPA-17284</t>
  </si>
  <si>
    <t>CSS. UPA-17284</t>
  </si>
  <si>
    <t>DO. UPA-17284</t>
  </si>
  <si>
    <t>Assistència tècnica de control de qualitat de les obres del proejcte constructiu de millora ambiental. Recuperació ambiental de la riera Mugueta i Rec del Molí a Castelló d'Empúries. Alt Empordà.</t>
  </si>
  <si>
    <t>Serveis de coordinació de seguretat i salut de les obres del projecte constructiu de millora ambiental. Recuperació ambiental de la riera Mugueta i Rec del Molí a Castelló d'Empúries. Alt Empordà.</t>
  </si>
  <si>
    <t>Serveis per a la direcció de les obres del projecte constructiu de millora ambiental. Recuperació ambiental de la riera Mugueta i Rec del Molí a Castelló d'Empúries. Alt Empordà.</t>
  </si>
  <si>
    <t>EV-EX-AG-07040.1</t>
  </si>
  <si>
    <t>Redacció de la memòria ambiental. Condicionament de la GI-643 del pk 0,000 al 4,550. Gualta-Serra de Daró.</t>
  </si>
  <si>
    <t>25/02/20 Modificacions al PCAP. Canvi de dates de presentació</t>
  </si>
  <si>
    <t>PB. PB-TM-07384.1</t>
  </si>
  <si>
    <t>Redacció del projecte bàsic de perllongament de la línia L1 dels FMB entre les estacions de Fondo i de Lloreda-Sant Crist. Santa Coloma de Gramenet-Badalona.</t>
  </si>
  <si>
    <t>PC-BXT-19066</t>
  </si>
  <si>
    <t>Redacció del projecte constructiu carril bici i drenatge longitudinal a la TV-3141 del pk 6,500 (rotonda Blancafort) al 7,000. Reus.</t>
  </si>
  <si>
    <t>PC. PC-CGT-19048</t>
  </si>
  <si>
    <t>Redacció del projecte constructiu de construcció de cunetes trepitjables a la T-701. Cornudella de Montsant i Prades.</t>
  </si>
  <si>
    <t>PE+DO. INE-19228</t>
  </si>
  <si>
    <t>Redacció del projecte bàsic i executiu i la posterior direcció de les obres de reforma dels vestidors, lavabos i altres treballs de l'edifici de l'INEFC de Barcelona.</t>
  </si>
  <si>
    <t>PC. PCR-19403</t>
  </si>
  <si>
    <t>Redacció del projecte constructiu d'accessibilitat, aparcament, edifici de serveis i reordenació d'accessos al Parc Natural del Cap de Creus.</t>
  </si>
  <si>
    <t>PE+DO CLT-18338</t>
  </si>
  <si>
    <t>Redacció del projecte bàsic , el projecte executiu i la posterior direcció d'obra del nou Consultori Local de Jesús.</t>
  </si>
  <si>
    <t>PC. SC-PSE-19413</t>
  </si>
  <si>
    <t>Redacció del plec de conservació ambiental. Gestió ambiental de finques dels Espais Naturals Protegits de la Plana de Lleida, campanya 2020-2022.</t>
  </si>
  <si>
    <t>PE+DO PGM-19206</t>
  </si>
  <si>
    <t>Contracte de serveis per a l'assistència tècnica per a la redacció del projecte bàsic, el projecte executiu i la posterior Direcció d'obra d'arranjament dels paviments exteriors i tanca del Parc de Bombers de Bellaterra.</t>
  </si>
  <si>
    <t>PE+DO JVX-18319</t>
  </si>
  <si>
    <t>Contracte de serveis per a l'assistència tècnica per a la redacció del projecte bàsic, el projecte executiu i la posterior Direcció d'obra de reforma funcional de l'edifici vell de Tortosa.</t>
  </si>
  <si>
    <t>MSA. CQ. S10-BSD-06348</t>
  </si>
  <si>
    <t>Contracte de serveis per a l'assistència tècnica de control de qualitat de les obres de condicionament de les plaques solars tèrmiques i l'espai on s'ubiquen de la coberta de la Residència de Balàfia II de Lleida.</t>
  </si>
  <si>
    <t>PE+DO IAC-19241</t>
  </si>
  <si>
    <t>Contracte de serveis per a l'assistència tècnica per a la redacció del projecte bàsic, el projecte executiu i la posterior direcció de les obres d'ampliació de l'Institut Montserrat Colomer a Sant Esteve Sesrovires.</t>
  </si>
  <si>
    <t>EV. EA-MCT-18311</t>
  </si>
  <si>
    <t>Contracte de serveis per a l'assistència tècnica per a la redacció de l'estudi ambiental de millora de la connectivitat terrestre permeabilització de l'AP-7 i de la C-101 entre Ulldecona i Freginals.</t>
  </si>
  <si>
    <t>PC. PZV-19404</t>
  </si>
  <si>
    <t>Serveis per l'assistència tècnica per a la redacció del Projecte Constructiu de reordenació de l'aparcament de l'àrea d'acollida de Can Serra al Parc Natural de la Zona Volcànica de la Garrotxa.</t>
  </si>
  <si>
    <t>PE+DO PNT-19222</t>
  </si>
  <si>
    <t>Concurs de projectes per a la redacció del projecte bàsic, el projecte executiu i la posterior direcció d'obra de reconversió d'una part de l'Edifici Ciutat de Reus per a la nova construcció de l'Escola Els Ganxets 1 L de Reus.</t>
  </si>
  <si>
    <t>PC. PC-CGB-19065</t>
  </si>
  <si>
    <t>Contracte de serveis per a l'assistència tècnica per a la redacció del projecte constructiu de millores en els sistemes de contenció de vehicles de la C-17 del PK 18+700 al PK 44+100. Granollers - Centelles.</t>
  </si>
  <si>
    <t>PE+DO. CAP-19216</t>
  </si>
  <si>
    <t>Concurs de Projectes per a la redacció del projecte bàsic, el projecte executiu i la posterior Direcció d'obra del nou Centre d'Atenció Primària Olot-2, d'Olot.</t>
  </si>
  <si>
    <t>PC. EV. PR-19217</t>
  </si>
  <si>
    <t>Contracte de serveis per a l'assistència tècnica a la redacció del Document Ambiental de modernització del reg del canal de Pinyana. Projecte constructiu del sector 5. TM de Lleida i Alcarràs.</t>
  </si>
  <si>
    <t>PE+DO. CAP-18341</t>
  </si>
  <si>
    <t>Concurs de Projectes per a la redacció del projecte bàsic, el projecte executiu i la posterior Direcció d'obra del nou Centre d'Atenció Primària de la Llagosta.</t>
  </si>
  <si>
    <t>PE+DO. CCM-17261</t>
  </si>
  <si>
    <t>Contracte de serveis per a l'assistència tècnica per a la redacció del projecte bàsic i executiu i la posterior direcció de les obres de renovació de càmeres i millores en els sistemes de videovigilància en RP MetroNord i Barcelona.</t>
  </si>
  <si>
    <t>PE+DO CAP-19215</t>
  </si>
  <si>
    <t>Concurs de projectes per a la redacció del projecte bàsic, el projecte executiu i la posterior direcció de les obres de nova construcció del CAP Hostalric.</t>
  </si>
  <si>
    <t>PC-CGL-19008</t>
  </si>
  <si>
    <t>PR. AL-05037-C1</t>
  </si>
  <si>
    <t>PE+DO CAP-18307.A</t>
  </si>
  <si>
    <t>Contracte de serveis per a l'assistència tècnica per a la redacció del projecte constructiu de la implantació de barreres antiallaus a la C-28 al PK 53+557. Alt Àneu.</t>
  </si>
  <si>
    <t>Contracte de serveis per a l'assistència tècnica per a la redacció del projecte complementari núm. 1 del projecte constructiu de reparació del paviment a la C-14 del PK 161+475 al 162+315. Organyà.</t>
  </si>
  <si>
    <t>Contracte de serveis per a l'assistència tècnica per a la redacció de l'actualització del projecte executiu i la posterior direcció de les obres del nou Centre d'Atenció Primària La Florida, de l'Hospitalet de Llobregat.</t>
  </si>
  <si>
    <t>PC. CGT-19021</t>
  </si>
  <si>
    <t>Contracte de serveis per a l'assistència tècnica per a la redacció del projecte constructiu de protecció acústica a la C-14z al PK 9+900 i a la C-14 del PK 21+000 al 26+500 i del PK 28+100 al 28+300. La Selva del Camp, Alcover i La Riba.</t>
  </si>
  <si>
    <t>EV. EU-CGB-20001</t>
  </si>
  <si>
    <t>Contracte de serveis per a l'assistència tècnica per a la redacció de l'estudi acústic de la C-17 del PK 1+500 al 7+000, C-33 del PK 78+000 al 83+500 i C-58 del PK 1+400 al PK 7+800. Montcada i Reixac.</t>
  </si>
  <si>
    <t>PC. CPB-19013</t>
  </si>
  <si>
    <t>Contracte de serveis per a l'assistència tècnica per a la redacció del projecte constructiu. Rotonda a la intersecció de la N-II, al PK 646+700, amb el carrer Sant Felicià i pas del Cargol. Mataró.</t>
  </si>
  <si>
    <t>PC. PC-CMT-17055</t>
  </si>
  <si>
    <t>Contracte de serveis per a l'assistència tècnica per a la redacció del projecte constructiu Cunetes trepitjables, adequació d'elements de contenció de vehicles i millora de ferm a la carretera C-242 del PK 44+850 al 54+000. Tram: Cornudella de Montsant.</t>
  </si>
  <si>
    <t>PC. PC-CIL-19035</t>
  </si>
  <si>
    <t>Contracte de serveis per a l'assistència tècnica per a la redacció del projecte constructiu Condicionament del Camí de Mequinensa entre la rotonda de la LP-7041 al PK 19+750 i el final amb l'Aragó al PK 3+850 de la A-2414. La Granja d'Escarp.</t>
  </si>
  <si>
    <t>PR. MG-08128-C2</t>
  </si>
  <si>
    <t>Contracte de serveis per a l'assistència tècnica per a la redacció del projecte constructiu. Millores en el drenatge a la carretera C-25, del PK 238+000 al 242+600. Riudellots de la Selva - Campllong.</t>
  </si>
  <si>
    <t>PC. PC-CMT-17053</t>
  </si>
  <si>
    <t>Redacció del projecte constructiu de cunetes trepitjables, adequació d'elements de contenció de vehicles i millora de ferm a la carretera T-214, del PK 2+900 al 4+970. Tram: Altafulla - la Riera de Gaià.</t>
  </si>
  <si>
    <t>PC-CGT-19046</t>
  </si>
  <si>
    <t>Contracte de serveis per a l'assistència tècnica per a la redacció del projecte constructiu de la construcció de cunetes trepitjables a la TV-3001 i TV-3031. La Torre de Fontaubella, Marçà i Pradell de la Teixeta.</t>
  </si>
  <si>
    <t>PC. PC-AB-15032.F5</t>
  </si>
  <si>
    <t>Contracte de serveis per a l'Assistència tècnica per a la redacció del projecte constructiu Passarel·la de Parets del Vallès sobre la C-17. Enllumenat del nus de la C-35. Carretera C-17 del PK 15+500 al PK 15+900.</t>
  </si>
  <si>
    <t>PC. PC-CMT-17056</t>
  </si>
  <si>
    <t>Contracte de serveis per a l'assistència tècnica per a la redacció del projecte constructiu Cunetes trepitjables i adequació d'elements de contenció de vehicles a la T-224, del PK 0+800 al 14+500. Santa Coloma de Queralt - Vallfogona de Riucorb.</t>
  </si>
  <si>
    <t>PC. PC-CGB-19064</t>
  </si>
  <si>
    <t>Contracte de serveis per a l'assistència tècnica per a la redacció del projecte constructiu Ponts i estructures. Nova passarel·la en paral·lel a la C-155 del PK 6+900 al PK 7+100. Palau-solità i Plegamans.</t>
  </si>
  <si>
    <t>PC. PC-CPG-19022</t>
  </si>
  <si>
    <t>Contracte de serveis per a l'assistència tècnica per a la redacció del projecte constructiu d'eixample i ordenació d'accessos a la GI-555 del PK 1+350 al 2+850. Tram: Sils - Riudarenes.</t>
  </si>
  <si>
    <t>PE+DO CAP-18322</t>
  </si>
  <si>
    <t>Concurs de Projectes per a la redacció del projecte bàsic, el projecte executiu i la posterior Direcció d'obra del nou Centre d'Atenció Primària de la Palma de Cervelló.</t>
  </si>
  <si>
    <t>PR. VE-06008.1-C1</t>
  </si>
  <si>
    <t>Contracte de serveis per a l'Assistència tècnica per a la redacció del projecte constructiu Actuacions d'enllaç a la variant de Gandesa. C-43 del PK 11+700 al 13+600. Gandesa.</t>
  </si>
  <si>
    <t>PC. PC-CGT-19047</t>
  </si>
  <si>
    <t>Contracte de serveis per a l'assistència tècnica per a la redacció del projecte constructiu de construcció de cunetes trepitjables a la T-723 i TV-7005. Mont-roig del Camp, Prades i Vilanova de Prades.</t>
  </si>
  <si>
    <t>PC. PC-CPB-19011</t>
  </si>
  <si>
    <t>Contracte de serveis per a l'assistència tècnica per a la redacció del projecte constructiu de rotonda a la N-II al PK 635+730. El Masnou.</t>
  </si>
  <si>
    <t>Contracte de serveis per a l'assistència tècnica per a la redacció del Projecte Complementari. Perllongament de la línia d'FGC a Terrassa. Integració paisatgística de l'edicle d'accés al dipòsit de trens.</t>
  </si>
  <si>
    <t>PR. TF-03474.3A-C2</t>
  </si>
  <si>
    <t>PC-AIT-18119</t>
  </si>
  <si>
    <t>Contracte de serveis per a l'assistència tècnica per a la redacció del projecte constructiu "Condicionament de dues parades de línies de transport interurbà de passatgers i nova intersecció a la travessera urbana de la carretera N-420a a Falset".</t>
  </si>
  <si>
    <t>PC. NL-04151.1-F1-A1</t>
  </si>
  <si>
    <t>Contracte de serveis per a l'assistència tècnica per a la redacció del projecte constructiu de millora de l'accessibilitat a la variant Sud de Lleida connexió est. Enllaç de la C-13 amb la LL-12. Lleida.</t>
  </si>
  <si>
    <t>PC. PC-CPT-19045</t>
  </si>
  <si>
    <t>Contracte de serveis per a l'assistència tècnica per a la redacció del projecte constructiu de millora de la C-37z del PK 5+868 al 6+700 i de la T-742 del PK 0+000 a l'1+330. Tram: Valls.</t>
  </si>
  <si>
    <t>EV. EP-CCE-17096</t>
  </si>
  <si>
    <t>Contracte de serveis per a l'assistència tècnica per a la redaccio de l'estudi previ de conservació extraordinària. Millora del drenatge a la carretera TP-3311 del PK 0+000 al 21+850. Tram: Santa Bàrbara - la Sènia.</t>
  </si>
  <si>
    <t>PC-CGB-19042</t>
  </si>
  <si>
    <t>Contracte de serveis per a l'assistència tècnica per a la redacció del projecte constructiu de condicionament i millora dels sistemes de contenció a la C-58 i les seves calçades laterals del PK 0+000 al PK 25+200.</t>
  </si>
  <si>
    <t>PC. VB-98171-A2.1</t>
  </si>
  <si>
    <t>Contracte de serveis per a l'assistència tècnica per a la redacció del projecte constructiu. Variant de Vallbona d'Anoia de l'enllaç del PK 36+000 de la C-15 al PK 6+800 de la B-224. Vallbona d'Anoia - Piera.</t>
  </si>
  <si>
    <t>PC-ANL-20011</t>
  </si>
  <si>
    <t>PC. PC-AIC-19030.F1</t>
  </si>
  <si>
    <t>Contracte de serveis per a l'assistència tècnica per a la redacció del projecte constructiu de la nova estació d'autobusos a Lleida.</t>
  </si>
  <si>
    <t>Contracte de serveis per a l'assistència tècnica per a la redacció del projecte constructiu d'instal·lació de marquesines a parades dels serveis de transport interurbà de viatgers per carretera a diversos indrets de Catalunya. Fase 1.</t>
  </si>
  <si>
    <t>EV. EM-TM-04311</t>
  </si>
  <si>
    <t>Contracte de serveis per a l'assistència tècnica per a la redacció de l'estudi de capacitat de l'intercanviador de l'estació de Maragall (L4 i L5 d'FMB). Connexió andana L4 sentit Trinitat Nova - passadís de correspondència.</t>
  </si>
  <si>
    <t>Contracte de serveis per a la redacció del projecte executiu i l'estudi de seguretat i salut i la posterior direcció facultativa de les obres de millora de la climatització de la Seu d'Infraestructures.cat a Barcelona.</t>
  </si>
  <si>
    <t>PE+DF. MSA S70-FGC-04467</t>
  </si>
  <si>
    <t>PC. TM-04311.2</t>
  </si>
  <si>
    <t>Contracte de serveis per a l'assistència tècnica per a la redacció del projecte constructiu de millora de l'accessibilitat i renovació del vestíbul costat Av. dels Quinze de l'estació de Maragall de l'L5 d'FMB.</t>
  </si>
  <si>
    <t>Contracte de serveis per a la redacció del projecte bàsic, el projecte executiu i la posterior Direcció d'obra de de les obres RAM de substitució del sistema de climatització i actuacions de reforma en l'edifici UHPP en el Centre Penitenciari de Brians 1.</t>
  </si>
  <si>
    <t>PE+DO JVX-20202</t>
  </si>
  <si>
    <t>PC. PC-CMT-17054</t>
  </si>
  <si>
    <t>Contracte de serveis per a l'assistència tècnica per a la redacció del projecte constructiu de cunetes trepitjables, adequació d'elements de contenció de vehicles i millora de ferm a la carretera T-242, del PK 24+590 al 34+220. Tram: Ulldemolins.</t>
  </si>
  <si>
    <t>PE+DO. ICF-19294</t>
  </si>
  <si>
    <t>Redacció del projecte bàsic i executiu i la posterior direcció de les obres de reforma de la planta primera i zones comunes de la planta primera, segona i tercera de l'edifici situat a Via Augusta, 252 de Barcelona.</t>
  </si>
  <si>
    <t>PC. CIB-19028</t>
  </si>
  <si>
    <t>Contracte de serveis per a l'assistència tècnica per a la redacció del projecte constructiu de condicionament de la C-59 del PK 22+000 al 38+460. Sant Feliu de Codines - Moià.</t>
  </si>
  <si>
    <t>PC. PC-CMT-17052</t>
  </si>
  <si>
    <t>Contracte de serveis per a l'assistència tècnica per a la redacció del projecte constructiu d'adequació d'elements de contenció de vehicles i millora de ferm a la carretera T-204, del PK 3+500 al 7+900. Tram: Montferri - Salomó.</t>
  </si>
  <si>
    <t>PC. ME-16005</t>
  </si>
  <si>
    <t>Contracte de serveis per a l'assistència tècnica per a la redacció del projecte constructiu de millora de les característiques superficials del ferm i obres complementàries a la carretera T-302 del PK 30+680 al 35+630. Tram: Rasquera - Benifallet.</t>
  </si>
  <si>
    <t>PC. MG-08128-C1</t>
  </si>
  <si>
    <t>Contracte de serveis per a l'assistència tècnica per a la redacció del projecte constructiu de protecció acústica a la C-25 del PK 238+000 al 242+100. Riudellots de la Selva-Campllong.</t>
  </si>
  <si>
    <t>PC. JC-19234</t>
  </si>
  <si>
    <t>Redacció del projecte constructiu del nou col·lector de salmorres de la conca del Llobregat. Ramal Llobregat. Fase 2: des de Cardona i Balsareny fins a Abrera i tram final el Prat de Llobregat ¿ Depurbaix" en el tram entre Balsareny i Castellgalí.</t>
  </si>
  <si>
    <t>EI. EI-CNL-19051</t>
  </si>
  <si>
    <t>Contracte de serveis per a l'assistència tècnica per a la redacció de l'estudi informatiu de la nova variant de la LV-1003 a la B-100. Sant Guim de Freixenet.</t>
  </si>
  <si>
    <t>PC. ML-16017.F2</t>
  </si>
  <si>
    <t>Contracte de serveis per a l'assistència tècnica per a la redacció del projecte constructiu de la ruta cicloturística al corredor de Lleida - La Pobla de Segur. Fase 2. Balaguer - La Pobla de Segur.</t>
  </si>
  <si>
    <t>PE+DO. CCG-19261</t>
  </si>
  <si>
    <t>Redacció del projecte bàsic i executiu i la posterior direcció de les obres de renovació de càmeres i millores en els sistemes de videovigilància en RP Metropolitana Sud, Camp de Tarragona i Terres de l'Ebre.</t>
  </si>
  <si>
    <t>PC-XIE-19014</t>
  </si>
  <si>
    <t>Contracte de serveis per a l'assistència tècnica per a la redacció del Projecte Constructiu d'Adaptació a PMR de la passarel·la de vianants situada al PK 18+280 de la C-12 a Tortosa.</t>
  </si>
  <si>
    <t>PC. ME-15040</t>
  </si>
  <si>
    <t>Contracte de serveis per a l'assistència tècnica per a la redacció del Projecte Constructiu de Millora de les interseccions de la C-12 al PK 54+930 i a la T-302 al PK 56+420 a Ginestar.</t>
  </si>
  <si>
    <t>EV. EA. MCB-18312</t>
  </si>
  <si>
    <t>Contracte de serveis per a l'assistència tècnica per a la redacció Estudi Ambiental. Millora Connectivitat Terrestre i Permeabilització de l'AP-7, la carretera C-35 i les línies de ferrocarril de Barcelona a Maçanet-Massanes i LAV a Sant Celoni.</t>
  </si>
  <si>
    <t>PC-CIB-19018</t>
  </si>
  <si>
    <t>Contracte de serveis per a l¿assistència tècnica per a la redacció del projecte constructiu "Condicionament de la BV-2241 del PK 0+000 al 8+938. Sant Sadurní d'Anoia-Masquefa".</t>
  </si>
  <si>
    <t>IA. IA-CNL-19051</t>
  </si>
  <si>
    <t>Contracte de serveis per a l'assistència tècnica per a la redacció de l'estudi d'impacte ambiental de la nova variant de la LV-1003 a la B-100. Sant Guim de Freixenet.</t>
  </si>
  <si>
    <t>PC-BNL-19063</t>
  </si>
  <si>
    <t>Contracte de serveis per a l'assistència tècnica per a la redacció del Projecte Constructiu d'un pas a diferent nivell per a vianants i ciclistes a la C-53, PK 130+750 a Castellserà.</t>
  </si>
  <si>
    <t>MG-08008.1</t>
  </si>
  <si>
    <t>Contracte de serveis per a l'assistència tècnica per a la redacció del Projecte Constructiu d'Ordenació d'accessos a la carretera C-63 del PK 5+300 al PK 8+850 a Vidreres.</t>
  </si>
  <si>
    <t>IA. AG-07040.4</t>
  </si>
  <si>
    <t>Contracte de serveis per a l'assistència tècnica per a la redacció de l'estudi d'impacte ambiental. Condicionament de la GI-643 del PK 0+000 a l'1+150. Gualta.</t>
  </si>
  <si>
    <t>EI-AG-07040.4</t>
  </si>
  <si>
    <t>Contracte de serveis per a l'assistència tècnica per a la redacció de l'estudi informatiu de Condicionament de la GI-643 del PK 0+000 a l'1+150. Gualta.</t>
  </si>
  <si>
    <t>PC-CAB-17038</t>
  </si>
  <si>
    <t>Contracte de serveis per a l'assistència tècnica per a la redacció del projecte constructiu de condicionament del tercer carril de la C-16 del PK 22+000 al 23+800. Terrassa.</t>
  </si>
  <si>
    <t>JC-19236</t>
  </si>
  <si>
    <t>Contracte de serveis per a l¿assistència tècnica per a la redacció del Projecte Modificat del Projecte Col·lector de Salmorres Conca del Llobregat. Ramal Llobregat. Tram: El Prat.</t>
  </si>
  <si>
    <t>ATI-TM-09294.A2</t>
  </si>
  <si>
    <t>Contracte de serveis per a l'Assistència Tècnica per a l'enginyeria d'integració de sistemes i avaluació independent de seguretat (ISA) per la posada en servei de l'estació d'Ernest Lluch de la línia 5 del Metro de Barcelona.</t>
  </si>
  <si>
    <t>PC. JC-19233</t>
  </si>
  <si>
    <t>Redacció de la modificació del projecte del col·lector de salmorres Conca del Llobregat. Ramal Cardener. Tram: Cardona - Castellgalí amb la incorporació de la canonada d'impulsió de l'aigua regenerada de l'EDAR de Manresa.</t>
  </si>
  <si>
    <t>PC. UR-20241</t>
  </si>
  <si>
    <t>Contrato de servicios para la asistencia técnica para la redacción del proyecto constructivo de modernizaciónde los sectores A-12, A-13 y tubería de abastecimiento en el sector A-14 de los canales de Urgell.</t>
  </si>
  <si>
    <t>PC. UR-20239</t>
  </si>
  <si>
    <t>Contrato de servicios para la asistencia técnica para la redacción del proyecto constructivo de modernizacióndel sector C-02 de los Canales de Urgell.</t>
  </si>
  <si>
    <t>PC. UR-20242</t>
  </si>
  <si>
    <t>Contrato de servicios para la asistencia técnica para la redacción del proyecto constructivo de modernizacióndel sector B-10 de los Canales de Urgell.</t>
  </si>
  <si>
    <t>PC. PC-CPT-18195</t>
  </si>
  <si>
    <t>PC. PC-ANE-19037</t>
  </si>
  <si>
    <t>Contracte de serveis per a l'assistència tècnica per a la redacció del projecte constructiu d'ampliació del pont de la TP-2311 al PK 10+440. Sarral.</t>
  </si>
  <si>
    <t>Contracte de serveis per a l'assistència tècnica per a la redacció del projecte constructiu. Nova estació d'autobusos a Sant Carles de la Ràpita.</t>
  </si>
  <si>
    <t>CSS. MC-14032-AA</t>
  </si>
  <si>
    <t>Coord. S. i S. obres del proj. constructiu més l'annex d'actualització de Millora de la intersecció entre les ctres. C-35 i GI-552 i obres complem. Carretera C-35, del PK 61+950 al 62+200. Tram: Sant Celoni - Riells i Viabrea.</t>
  </si>
  <si>
    <t>DO. PC-CML-17081</t>
  </si>
  <si>
    <t>Contracte de serveis per a la Direcció de les obres del projecte constructiu de Millora local. Millora de nus a la carretera C-13, PK 87+126. Tram: Tremp.</t>
  </si>
  <si>
    <t>DO. MC-14032-AA</t>
  </si>
  <si>
    <t>Direcció de les obres del projecte constructiu més l'annex d'actualització de Millora de la intersecció entre les carreteres C-35 i GI-552 i obres complementàries. Carretera C-35, del PK 61+950 al 62+200. Tram: Sant Celoni - Riells i Viabrea.</t>
  </si>
  <si>
    <t>CQ. PC-CML-17081</t>
  </si>
  <si>
    <t>Contracte de serveis per a l'assistència tècnica de control de qualitat de les obres del projecte constructiu de Millora local. Millora de nus a la carretera C-13, PK 87+126. Tram: Tremp.</t>
  </si>
  <si>
    <t>PC. PC-CPB-20028</t>
  </si>
  <si>
    <t>Contracte de serveis per a l'assistència tècnica per a la redacció del projecte constructiu de rotonda a la BV-4501, PK 4+425. Santpedor.</t>
  </si>
  <si>
    <t>CQ. MC-14032-AA</t>
  </si>
  <si>
    <t>Control de qualitat de les obres del projecte constructiu més l'annex d'actualització de Millora de la intersecció entre les carreteres C-35 i GI-552 i obres complementàries. Carretera C-35, del PK 61+950 al 62+200. Tram: Sant Celoni - Riells i Viabrea.</t>
  </si>
  <si>
    <t>CSS. PC-CML-17081</t>
  </si>
  <si>
    <t>Coordinació de Seguretat i Salut de les obres del projecte constructiu de Millora local. Millora de nus a la carretera C-13, PK 87+126. Tram: Tremp.</t>
  </si>
  <si>
    <t>CQ. JVX-18299</t>
  </si>
  <si>
    <t>Control qualitat obres RAM de subst. canonades distribució aigua del sist. de climatit. i modernització de les instal. de PDCI, CCTV,intrusió i megafonia de l'edifici judicial de La Seu d'Urgell, ubicat al c/ Tres Ponts, 9.</t>
  </si>
  <si>
    <t>DO. PC-CME-17092.1</t>
  </si>
  <si>
    <t>Contracte de serveis per a la direcció de les obres de millora de la seguretat viària a les carreteres TV-3408 i TV-3406. Tram 1: Condicionament. Sant Carles de la Ràpita.</t>
  </si>
  <si>
    <t>CQ. PC-CME-17092.1.</t>
  </si>
  <si>
    <t>Contracte de serveis per a l'assistència tècnica de control de qualitat de les obres de Millora de la seguretat viària a les carreteres TV-3408 i TV-3406. Tram 1: Condicionament. Sant Carles de la Ràpita.</t>
  </si>
  <si>
    <t>CSS. PC-CME-17092.1</t>
  </si>
  <si>
    <t>Contracte de serveis per a l'Assistència tècnica per la Coordinació de seguretat i salut de l'execució de les obres "Millora de la seguretat viària a les carreteres TV-3408 i TV-3406. Tram 1: Condicionament. Sant Carles de la Ràpita".</t>
  </si>
  <si>
    <t>EV. EA-UR-19239</t>
  </si>
  <si>
    <t>Contracte de serveis per a l'assistència tècnica per a la redacció del Document ambiental. Memòria ambiental de l'Estudi de la modernització del sistema hidràulic dels canals d'Urgell.</t>
  </si>
  <si>
    <t>CQ. RB-16053</t>
  </si>
  <si>
    <t>Control de qualitat de l'execució de les obres del projecte constructiu de ferm. Millora de característiques superficials i obres complementàries a la carretera C-17 del PK 27+830 al 36+250. Tram: la Garriga - Tagamanent.</t>
  </si>
  <si>
    <t>DO. RB-16053</t>
  </si>
  <si>
    <t>Contracte de serveis per a la direcció de les obres del projecte constructiu de ferm. Millora de característiques superficials i obres complementàries a la carretera C-17 del PK 27+830 al 36+250. Tram: la Garriga - Tagamanent.</t>
  </si>
  <si>
    <t>CSS. RB-16053</t>
  </si>
  <si>
    <t>Coordinació de seguretat i salut de l'execució de les obres del projecte constructiu de ferm. Millora de característiques superficials i obres complementàries a la carretera C-17 del PK 27+830 al 36+250. Tram: la Garriga - Tagamanent.</t>
  </si>
  <si>
    <t>DE.CGM-17249</t>
  </si>
  <si>
    <t>Contracte de serveis per a la direcció d'execució de les obres RAM d'actualització i homogeneïtzació dels sistemes de control de persones i accessos de diverses comissaries de Mossos d'Esquadra.</t>
  </si>
  <si>
    <t>DO. RB-16019</t>
  </si>
  <si>
    <t>Contracte de serveis per a la direcció de les obres de ferm. Millora de les característiques superficials i obres complementàries a la carretera C-1415a del PK 18+570 al 27+275 i del PK 28+270 al 32+585. Tram: Terrassa - Sentmenat.</t>
  </si>
  <si>
    <t>CQ. RB-16019</t>
  </si>
  <si>
    <t>Control de qualitat de les obres de ferm. Millora de les característiques superficials i obres complementàries a la carretera C-1415a del PK 18+570 al 27+275 i del PK 28+270 al 32+585. Tram: Terrassa-Sentmenat.</t>
  </si>
  <si>
    <t>CSS. CGM-17249</t>
  </si>
  <si>
    <t>Contracte de serveis per a l'assistència tècnica de coordinació de seguretat i salut de les obres RAM d'actualització i homogeneïtzació dels sistemes de control de persones i accessos de diverses comissaries de Mossos d'Esquadra.</t>
  </si>
  <si>
    <t>CQ. CGM-17249</t>
  </si>
  <si>
    <t>Contracte de serveis per a l'assistència tècnica de control de qualitat de les obres RAM d'actualització i homogeneïtzació dels sistemes de control de persones i accessos de diverses comissaries de Mossos d'Esquadra.</t>
  </si>
  <si>
    <t>CSS. RB-16019</t>
  </si>
  <si>
    <t>Coordinació de seguretat i salut de l'execució de les obres "Ferm. Millora de les característiques superficials i obres complementàries a la carretera C-1415a del PK 18+570 al 27+275 i del PK 28+270 al 32+585. Tram: Terrassa - Sentmenat".</t>
  </si>
  <si>
    <t>PC. UR-20240</t>
  </si>
  <si>
    <t>Contracte de serveis per a l'assistència tècnica per a la redacció del del Projecte constructiu de modernització del Sector B-03 dels Canals d'Urgell.</t>
  </si>
  <si>
    <t>Contracte de serveis per a l'assistència tècnica per a la redacció del projecte constructiu de modernització del Sector B-10 dels Canals d'Urgell.</t>
  </si>
  <si>
    <t>Contracte de serveis per a l'assistència tècnica per a la redacció del projecte constructiu de modernització del Sector C-02 dels Canals d'Urgell.</t>
  </si>
  <si>
    <t>Contracte de serveis per a l'assistència tècnica per a la redacció del projecte constructiu de modernització dels Sectors A-12, A-13 i canonada d'abastament al Sector A-14 dels Canals d'Urgell.</t>
  </si>
  <si>
    <t>PC. PC-CGB-20032</t>
  </si>
  <si>
    <t>Contracte de serveis per a l'assistència tècnica per a la redacció del projecte constructiu de protecció acústica a la C-55 del PK 11+900 al 12+000 i del PK 13+000 al 13+800. Monistrol de Montserrat.</t>
  </si>
  <si>
    <t>EV. EG-CMB-18014.F2</t>
  </si>
  <si>
    <t>Contracte de serveis per a l'assistència tècnica per a la redacció de l'estudi geotècnic. Pla d'auscultació per al seguiment i control de vessant de la C-17 entre el PK 43+050 i el 43+550. Centelles - Seva.</t>
  </si>
  <si>
    <t>PC. AL-05020.2-C1</t>
  </si>
  <si>
    <t>Contracte de serveis per a l'assistència tècnica per a la redacció del projecte constructiu de mesures correctores d'impacte ambiental del condicionament de la C-28 del PK 41+920 al 45+850. Naut Aran.</t>
  </si>
  <si>
    <t>IA. IA-CIB-19061</t>
  </si>
  <si>
    <t>Redacció de l'estudi d'impacte ambiental. Nou enllaç a la C-31 al carrer del Torrent de Vallmajor, del pk 213,500 al pk 215,800. Badalona.</t>
  </si>
  <si>
    <t>IA. IA-MNB-20024</t>
  </si>
  <si>
    <t>Redacció de l'estudi d'impacte ambiental. Perllongament de la línia L1 dels FMB entre els estacions de Lloreda-Sant Crist i Badalona Rodalies. Badalona.</t>
  </si>
  <si>
    <t>PE+DO. CAP-18335</t>
  </si>
  <si>
    <t>Concurs de Projectes per a la redacció del projecte bàsic, el projecte executiu i la posterior Direcció d'obra d'ampliació del Centre d'Atenció Primària Doctor Moisès Broggi, de l'Escala.</t>
  </si>
  <si>
    <t>PC. RET-18313</t>
  </si>
  <si>
    <t>Contracte de serveis per a l'assistència tècnica per a la redacció del projecte constructiu. Recuperació ecològica. Zona Humida de la riera de Riudecanyes.</t>
  </si>
  <si>
    <t>EV. EX-ANL-20011</t>
  </si>
  <si>
    <t>Contracte de serveis per a l'assistència tècnica a la redacció del Document Ambiental del projecte constructiu de nova estació d'autobusos a Lleida.</t>
  </si>
  <si>
    <t>PC. CGG-20033</t>
  </si>
  <si>
    <t>Contracte de serveis per a l'assistència tècnica a la redacció del projecte constructiu Protecció acústica a la C-65 del PK 26+800 al 27+000. Quart.</t>
  </si>
  <si>
    <t>CSS. MCG-18320.A1</t>
  </si>
  <si>
    <t>Assistència tècnica de coordinació de seguretat i salut de les obres del projecte constructiu de millora fluvial. Restitució del medi a l'entorn fluvial de l'aprofitament hidroelèctric ubicat als rius Ritort i Fabert. Ripollès.</t>
  </si>
  <si>
    <t>Contracte de serveis per a la direcció de les obres del projecte constructiu de millora fluvial. Restitució del medi a l'entorn fluvial de l'aprofitament hidroelèctric ubicat als rius Ritort i Fabert. Ripollès.</t>
  </si>
  <si>
    <t>DO. MCG-18320.A1</t>
  </si>
  <si>
    <t>EV. EX-VB-00025</t>
  </si>
  <si>
    <t>Contracte de serveis per a l'assistència tècnica per a la redacció de la memòria ambiental "Document ambiental del projecte constructiu Variant. C-1413a. Sant Quirze del Vallès.</t>
  </si>
  <si>
    <t>PC. ML-14044.1</t>
  </si>
  <si>
    <t>Contracte de serveis per a l'assistència tècnica per a la redacció del projecte constructiu Ordenació de la travessera del Pi de Sant Just i tancament de rotondes a la C-55 del PK 75+770 al 77+350. El Pi de Sant Just.</t>
  </si>
  <si>
    <t>PE+DO JVX-20203</t>
  </si>
  <si>
    <t>Assistència tècnica per a la redacció del projecte bàsic i executiu i la posterior direcció de les obres RAM d'adequació de les instal·lacions que transcorren per els pous de servei i la seva impermeabilització, en el Centre Penitenciari de Brians 2.</t>
  </si>
  <si>
    <t>CSS. MA-17901</t>
  </si>
  <si>
    <t>Assistència tècnica de coordinació de seguretat i salut de les obres del projecte de mesures correctores de la concentració parcel·laria d'Alfés. Mesures correctores i compensatòries del regadiu sistema Segarra-Garrigues. DIA 2010.</t>
  </si>
  <si>
    <t>DO. MA-17901</t>
  </si>
  <si>
    <t>Contracte de serveis per a la Direcció de les obres de mesures correctores de la concentració parcel·lària d¿Alfés. Mesures correctores i compensatòries del regadiu del sistema Segarra-Garrigues. DIA 2010.</t>
  </si>
  <si>
    <t>Contracte de serveis per a l'assistència tècnica de control de qualitat de les obres mesures correctores de la Concentració parcel·lària d'Alfés. Mesures correctores i compensatòries del regadiu del sistema Segarra-Garrigues. DIA 2010.</t>
  </si>
  <si>
    <t>CQ. MA-17901</t>
  </si>
  <si>
    <t>PC. PSE-19406</t>
  </si>
  <si>
    <t>Contracte de serveis per a l'assistència tècnica per a la redacció del projecte constructiu. Restauració ambiental de la finca la "Guixera" al terme municipal de Castellserà.</t>
  </si>
  <si>
    <t>CSS. PRL-20910</t>
  </si>
  <si>
    <t>Contracte de serveis per a l'assistència tècnica de coordinació de seguretat i salut dels treballs de reparació a executar en el període de garantia o suspensió de les obres.</t>
  </si>
  <si>
    <t>EV. EP-CPL-20022</t>
  </si>
  <si>
    <t>Contracte de serveis per a l'assistència tècnica per a la redacció de l'estudi previ de millora de l'accessibilitat a l'enllaç de la LL-12 amb la LL-11 i connexió amb la C-13. Lleida.</t>
  </si>
  <si>
    <t>PC. CPL-20016</t>
  </si>
  <si>
    <t>Contracte de serveis per a l'assistència tècnica per a la redacció del projecte constructiu de construcció de carril de girs a esquerres a la C-26, PK 16+709. Castelló de Farfanya.</t>
  </si>
  <si>
    <t>PC. PC-CIL-20015</t>
  </si>
  <si>
    <t>Contracte de serveis per a l'assistència tècnica a la redacció del projecte constructiu de millora del ferm i ordenació de la travessera a la C-13 del PK 20+450 al 21+580 a Térmens.</t>
  </si>
  <si>
    <t>PC. TF-07426.A1</t>
  </si>
  <si>
    <t>Contracte de serveis per a l'assistència tècnica per a la redacció del projecte constructiu "actualitzat del nou vestíbul a l'estació de Cornellà Riera d'FGC".</t>
  </si>
  <si>
    <t>PC. PC-CGB-19068</t>
  </si>
  <si>
    <t>Contracte de serveis per a l'assistència tècnica a la redacció del projecte constructiu "estabilització de talussos en desmunt a la N-II del PK 654+000 al 667+000. Caldes d'Estrac ¿ Calella".</t>
  </si>
  <si>
    <t>PE+DO JVV-08227.A</t>
  </si>
  <si>
    <t>Contracte de serveis per a l'assistència tècnica per a la redacció del projecte actualitzat i la posterior direcció de les obres de la nova construcció de l'Àrea de Comunicacions al Centre Educatiu el Segre, de Lleida.</t>
  </si>
  <si>
    <t>PC. TM-11020.F1</t>
  </si>
  <si>
    <t>Contracte de serveis per a l'assistència tècnica a la redacció del projecte constructiu de les actuacions de millora de l'evacuació i de l'accessibilitat de l'estació de Ciutadella-Vila Olímpica de la Línia 4 d'FMB.</t>
  </si>
  <si>
    <t>CQ. TM-00509.57.2</t>
  </si>
  <si>
    <t>Control de qualitat de les obres del projecte constructiu del parament per minimitzar l'efecte del vent en estacions exteriors de la Zona Franca de L9 de Barcelona. Estacions Port Comercial, Ecoparc i ZAL/Riu Vella.</t>
  </si>
  <si>
    <t>EV. REG-20244</t>
  </si>
  <si>
    <t>Redacció de l'estudi hidrogeològic i hidràulic per al càlcul del cabal ecològic per la Recuperació ambiental de la de la xarxa de drenatge del marge dret de la Muga i els estanys del Cortalet, Matà, i Llacunes litorals a Alt Empordà.</t>
  </si>
  <si>
    <t>PB. PB-FIL-19072+PC-FIL-19072</t>
  </si>
  <si>
    <t>Contracte de serveis per a l'assistència tècnica per a la redacció del projecte bàsic i del projecte constructiu de noves andanes i integració urbana de la línia Lleida - la Pobla dels FGC. Balaguer.</t>
  </si>
  <si>
    <t>CSS. TM-00509.57.2</t>
  </si>
  <si>
    <t>Coordinació de Seguretat i Salut de les obres del projecte constructiu del parament per minimitzar l'efecte del vent en estacions exteriors de la Zona Franca de L9 de Barcelona. Estacions Port Comercial, Ecoparc i ZAL/Riu Vella.</t>
  </si>
  <si>
    <t>DO. TM-00509.57.2</t>
  </si>
  <si>
    <t>Contracte de serveis per a la direcció de les obres del projecte constructiu del parament per minimitzar l'efecte del vent en estacions exteriors de la Zona Franca de L9 de Barcelona. Estacions Port Comercial, Ecoparc i ZAL/Riu Vella.</t>
  </si>
  <si>
    <t>PC. PC-CIL-20041</t>
  </si>
  <si>
    <t>Contracte de serveis per a l'assistència tècnica per a la redacció del projecte constructiu "Millora de característiques superficials i reestudi de secció transversal a la C-12 del PK 125+000 al 133+000. Alfès - Lleida".</t>
  </si>
  <si>
    <t>PC. ER-00942.10</t>
  </si>
  <si>
    <t>Contracte de serveis per a l'assistència tècnica per a la redacció del projecte constructiu de l'ampliació del regadiu del Segrià Sud, zones M5 i M5 i als TTMM de Flix, Llardecans, Maials i Torrebesses (Ribera d'Ebre i Segrià).</t>
  </si>
  <si>
    <t>nova licitació 28/05/20</t>
  </si>
  <si>
    <t>PE+DO. JNP-16250.1 nova licit</t>
  </si>
  <si>
    <t>PC. ER-00942.9</t>
  </si>
  <si>
    <t>Contracte de serveis per a l'assistència tècnica per a la redacció del projecte constructiu de l'ampliació del regadiu del Segrià Sud, zona M4 als TTMM de Flix i Maials (Ribera d'Ebre i Segrià).</t>
  </si>
  <si>
    <t>PC. PC-MIB-20029</t>
  </si>
  <si>
    <t>Contracte de serveis per a l'assistència tècnica per a la redacció del projecte constructiu d'ampliació dels tallers i cotxeres de Sant Genís de la línia 3 dels FMB. Barcelona.</t>
  </si>
  <si>
    <t>PC. BNC-18128.2</t>
  </si>
  <si>
    <t>Contracte de serveis per a l'assistència tècnica per a la redacció del projecte constructiu. Via ciclista paral·lela a les BV-5301, C-35 i GI-552. Santa Maria de Palautordera - Riells i Viabrea. Tram Sant Celoni - Gualba - Riells i Viabrea.</t>
  </si>
  <si>
    <t>PE+DO. JVX-20251</t>
  </si>
  <si>
    <t>Assistència tècnica per a la redacció del projecte bàsic i executiu i la posterior direcció de les obres RAM per la millora del sistema de tractament d'aigües residuals (EDAR) en el Centre Penitenciari de Brians 1.</t>
  </si>
  <si>
    <t>PE+DO. JVX-20215</t>
  </si>
  <si>
    <t>Redacció del projecte bàsic i executiu i la posterior direcció de les obres RAM de reforma de la instal·lació elèctrica del Centre Penitenciari Brians 1.</t>
  </si>
  <si>
    <t>PE+DO. XEL-19290</t>
  </si>
  <si>
    <t>Redacció del projecte bàsic i executiu i la posterior direcció de les obres d'adequació del conjunt edificat de Casa Bringué de Ginestarre en Alberg de Joventut, Àrea Etnològica i Espai Formatiu.</t>
  </si>
  <si>
    <t>DO.R0-17220.1+R0-17220.2</t>
  </si>
  <si>
    <t>Direcció conjunta de les obres d'execució del "Projecte constructiu i Plec de clàusules de licitació en l'àmbit de Subsistemes de Telecomunicacions de la L9 de metro Barcelona segons actuacions definides en Pla General d'Obsolescència 2016. Firewall" ....</t>
  </si>
  <si>
    <t>CQ.R0-17220.1</t>
  </si>
  <si>
    <t>Control de Qualitat de les obres del Projecte constructiu i Plec de clàusules de licitació en l'àmbit de Subsistemes de Telecomunicacions de la L9 de metro Barcelona segons actuacions definides en Pla General d'Obsolescència 2016. Firewall.</t>
  </si>
  <si>
    <t>PC. PC-CIE-20012</t>
  </si>
  <si>
    <t>Contracte de serveis per a l'assistència tècnica per a la redacció del projecte constructiu de millora de les característiques superficials i reestudi de secció transversal a la C-12 del PK 5+000 al 13+200. Amposta-Tortosa.</t>
  </si>
  <si>
    <t>CSS. R0-17220.1+R0-17220.2</t>
  </si>
  <si>
    <t>Coord. S. S. de les obres del projecte constructiu per a l'execució de les obres de Subsistemes de Telecomunicació de l'L9 de metro Barcelona segons actuacions definides en el Pla General d'Obsolescència 2016. Firewall, i, de les obres de Subsistemes...</t>
  </si>
  <si>
    <t>EI. MNB-20024</t>
  </si>
  <si>
    <t>Redacción del estudio informativo de la prolongación de la línea L1 de los FMB entre las estaciones de Lloreda-Sant Crist y Badalona Cercanía.</t>
  </si>
  <si>
    <t>EI-CIB-19061+PC. CIB-19061</t>
  </si>
  <si>
    <t>Redacción del estudio informativo y del proyecto constructivo del nuevo enlace en la C-31 en la c/del Torrent de Vallmajor, del pk 213,50.</t>
  </si>
  <si>
    <t>CQ.R0-17220.2</t>
  </si>
  <si>
    <t>Control qualitat obres Proj. Constructiu i Plec Clàusules Licitació àmbit de Subsistemes de Telecomunicacions de la L9 de metro BCN segons actuacions definides en Pla General d'Obsolescència 2016. Sistemes Telefonia, Interfonia, Megafonia, Inf. a Passatge</t>
  </si>
  <si>
    <t>DE. PNV-17277</t>
  </si>
  <si>
    <t>Direcció d'execució de les obres de nova construcció escola 2L (sense pista) a l'Escola Virolet de Sabadell.</t>
  </si>
  <si>
    <t>CSS. PNV-17277</t>
  </si>
  <si>
    <t>Coordinació de seguretat i salut de les obres de nova construcció escola 2L (sense pista) a l'Escola Virolet de Sabadell.</t>
  </si>
  <si>
    <t>CQ. PNV-17277</t>
  </si>
  <si>
    <t>Control de qualitat de les obres de nova construcció escola 2L (sense pista) a l'Escola Virolet de Sabadell.</t>
  </si>
  <si>
    <t>PC. PC-CIE-20014</t>
  </si>
  <si>
    <t>Redacció del projectes constructiu de millora de característiques superficials i reestudi de secció transversal a la C-12 del pk 63,470 al 68,400. Móra la Nova-Garcia.</t>
  </si>
  <si>
    <t>PC.ANL-19039</t>
  </si>
  <si>
    <t>Contracte de serveis per a l'assistència tècnica per a la redacció del projecte constructiu "Pas inferior d'accés a la nova estació d'autobusos de Tàrrega i aparcament".</t>
  </si>
  <si>
    <t>PC.TM-12002.4</t>
  </si>
  <si>
    <t>Contracte de serveis per a l'assistència tècnica per a la redacció del projecte constructiu de Millora de les condicions mecàniques de la superestructura de diversos trams de via de la L2 de FMB.</t>
  </si>
  <si>
    <t>CSS. PSL-17236.A</t>
  </si>
  <si>
    <t>Contracte de serveis per a l'assistència tècnica de Coordinació de Seguretat i Salut de les obres del projecte actualitzat de reforma i ampliació del Parc de Bombers de Solsona.</t>
  </si>
  <si>
    <t>CQ. PSL-17236.A</t>
  </si>
  <si>
    <t>Contracte de serveis per a l'assistència tècnica de control de qualitat de les obres del projecte actualitzat de reforma i ampliació del Parc de Bombers de Solsona.</t>
  </si>
  <si>
    <t>DE. PSL-17236.A</t>
  </si>
  <si>
    <t>Contracte de serveis per a la Direcció d'execució de les obres del projecte actualitzat de reforma i ampliació del Parc de Bombers de Solsona.</t>
  </si>
  <si>
    <t>EV. E9-MA-20900</t>
  </si>
  <si>
    <t>Contracte de serveis per a l'assistència tècnica pel seguiment de les xarxes de control d'aigües subterrànies, superficials i de drenatge del reg Segarra-Garrigues. Campanyes 2020-2022.</t>
  </si>
  <si>
    <t>PE+DO. JJV-18325</t>
  </si>
  <si>
    <t>Concurs de projecte per la redacció del projecte bàsic, projecte executiu i la posterior direcció d'obra de la nova construcció de l'edifici judicial de Martorell.</t>
  </si>
  <si>
    <t>CSS. PC. MGB-18104</t>
  </si>
  <si>
    <t>Coordinació de seguretat i salut de les obres de modernització i millora. Transformació de la cua de maniobres de Trinitat Nova per a la segregació de l'explotació de les línies L4 i L11 de l'FMB. Barcelona.</t>
  </si>
  <si>
    <t>DO. PC. MGB-18104</t>
  </si>
  <si>
    <t>Contracte de serveis per a la direcció de les obres de modernització i millora. Transformació de la cua de maniobres de Trinitat Nova per a la segregació de l'explotació de les línies L4 i L11 de l'FMB. Barcelona.</t>
  </si>
  <si>
    <t>ATAM. PC. MGB-18104</t>
  </si>
  <si>
    <t>Contracte de serveis per a l'Assistència Tècnica Mediambiental de les obres de modernització i millora. Transformació de la cua de maniobres de Trinitat Nova per a la segregació de l'explotació de les línies L4 i L11 de l'FMB. Barcelona.</t>
  </si>
  <si>
    <t>CQ. PC-MGB-18104</t>
  </si>
  <si>
    <t>Contracte de serveis per a l'assistència tècnica de Control de Qualitat de les obres de modernització i millora. Transformació de la cua de maniobres de Trinitat Nova per a la segregació de l'explotació de les línies L4 i L11 de l'FMB. Barcelona.</t>
  </si>
  <si>
    <t>DO. R0-18355</t>
  </si>
  <si>
    <t>Contracte de serveis per a la direcció de les obres del projectes d'instal.lació d'elements de Seguretat per accedir a la coberta del Taller de Zona Franca de L9 de metro de Barcelona.</t>
  </si>
  <si>
    <t>CQ. R0-18355</t>
  </si>
  <si>
    <t>Contracte de serveis per al Control de Qualitat de les obres del projecte d'instal·lació d'elements de Seguretat per accedir a la coberta del Taller de Zona Franca de L9 de metro de Barcelona.</t>
  </si>
  <si>
    <t>PE+DO. PGM-19212</t>
  </si>
  <si>
    <t>Concurs de Projectes per a la redacció del projecte bàsic, el projecte executiu i la posterior Direcció d'obra de Reforma i ampliació del Parc de Bombers de Tarragona.</t>
  </si>
  <si>
    <t>CSS. R0-18355</t>
  </si>
  <si>
    <t>Contracte de serveis per a l'assistència tècnica de coordinació de seguretat i salut de les obres del projecte d'instal·lació d'elements de Seguretat per accedir a la coberta del Taller de Zona Franca de L9 de metro de Barcelona.</t>
  </si>
  <si>
    <t>CQ. JVX-18290.A</t>
  </si>
  <si>
    <t>Control de qualitat de les obres RAM de construcció d'un sistema de protecció solar, construcció nova façana, en l'edifici Judical de Sant Feliu de Guíxols.</t>
  </si>
  <si>
    <t>CQ. JVX-18294-A</t>
  </si>
  <si>
    <t>Contracte de serveis per a l'assistència tècnica de control de qualitat de les obres RAM de Rehabilitació de l'edifici judicial de l'Avinguda Ramon Folch de Girona, reparació de les cobertes.</t>
  </si>
  <si>
    <t>EV. EU-CGB-20019</t>
  </si>
  <si>
    <t>Contracte de serveis per a l'assistència tècnica per a la redacció de l'estudi acústic de la C-17 del PK 39+000 al 42+100. Sant Martí de Centelles-Aiguafreda.</t>
  </si>
  <si>
    <t>PC. SPD-20258</t>
  </si>
  <si>
    <t>Contracte de serveis per a l'assistència tècnica per a la redacció del projecte de desplegament de la xarxa de fibra òptica. Tram: Solsona ¿ La Seu d'Urgell.</t>
  </si>
  <si>
    <t>PC. SPD-20263</t>
  </si>
  <si>
    <t>Contracte de serveis per a l'assistència tècnica per a la redacció del projecte de desplegament de la xarxa de fibra òptica. Tram: Lleida-Móra d'Ebre (Lleida).</t>
  </si>
  <si>
    <t>PC. PZV-19409</t>
  </si>
  <si>
    <t>Contracte de serveis per a l'assistència tècnica per a la redacció del projecte constructiu d'Adequació aparcament i mòdul de serveis de l'àrea d'acollida de visitants de Santa Margarida al Parc Natural de la Garrotxa.</t>
  </si>
  <si>
    <t>PC. SPD-20259</t>
  </si>
  <si>
    <t>Contracte de serveis per a l'assistència tècnica per a la redacció del projecte de desplegament de la xarxa de fibra òptica. Tram: Reus-Valls.</t>
  </si>
  <si>
    <t>PC. SPD-20256</t>
  </si>
  <si>
    <t>Contracte de serveis per a l'assistència tècnica per a la redacció del projecte de desplegament de la xarxa de fibra òptica. Tram: Parlavà-Figueres.</t>
  </si>
  <si>
    <t>PC. SPD-20264</t>
  </si>
  <si>
    <t>Contracte de serveis per a l'assistència tècnica per a la redacció del projecte de desplegament de la xarxa de fibra òptica. Tram: Lleida-Móra d'Ebre (Tarragona).</t>
  </si>
  <si>
    <t>PC. SPD-20261</t>
  </si>
  <si>
    <t>Contracte de serveis per a l'assistència tècnica per a la redacció del projecte de desplegament de la xarxa de fibra òptica. Tram: Les Borges Blanques-Montblanc.</t>
  </si>
  <si>
    <t>Número d'Adjudicacions definitives 2008 - 2009 - 2010 - 2011 - 2012 - 2013 - 2014-2015-2016-2017-2018-2019-2020</t>
  </si>
  <si>
    <t>Imports 2018</t>
  </si>
  <si>
    <t>Diferència 17-18</t>
  </si>
  <si>
    <t>Imports 2019</t>
  </si>
  <si>
    <t>Diferència 18-19</t>
  </si>
  <si>
    <t>PE+DO CCB-17260</t>
  </si>
  <si>
    <t>Redacció del projecte bàsic, projec. Executiu i posterior direc. d'obra de rehabilitació integral de l'actual edifici base, carrers Àvila-Bolívia, a Barcelona, per a la ubicació d'una APB renovada, serv. de Mossos i dependències policials Dtre. S. Martí.</t>
  </si>
  <si>
    <t>PE+DO. JVX-20216</t>
  </si>
  <si>
    <t>EV. EP-CIB-20062</t>
  </si>
  <si>
    <t>PE+DO. CAP-19266</t>
  </si>
  <si>
    <t>PC. VR-20268</t>
  </si>
  <si>
    <t>PC. PC-CPB-20008</t>
  </si>
  <si>
    <t>PC. PC-CPB-19044</t>
  </si>
  <si>
    <t>IA. IA-TM-04426-A2</t>
  </si>
  <si>
    <t>EI. EI-TM-04426-A2</t>
  </si>
  <si>
    <t>PC. TM-00509.52</t>
  </si>
  <si>
    <t>PC. TM-00509.50</t>
  </si>
  <si>
    <t>PC. NB-01134.F1-A1</t>
  </si>
  <si>
    <t>PE+DO. CAP-18349</t>
  </si>
  <si>
    <t>Serveis per a l'assistència tècnica per a la redacció del projecte bàsic i executiu i la posterior direcció de les obres RAM per a l'adequació de la instal·lació de AFS i ACS del Centre Penitenciari de Brians 1.</t>
  </si>
  <si>
    <t>Contracte de serveis per a a l'assistència tècnica per a la redacció de l'estudi previ "Distribució de mobilitat al corredor de la C-32 al Maresme i el corredor de la C-33 amb l'alliberament del peatge, millores i proposta de reconfiguració viària".</t>
  </si>
  <si>
    <t>Concurs de projectes per a la redacció del projecte bàsic i executiu i la posterior direcció de les obres de la rehabilitació de les façanes del Centre d'Atenció Primària Sant Ildefons, de Cornella de Llobregat.</t>
  </si>
  <si>
    <t>Contracte de serveis per a l'assistència tècnica per a la redacció del Projecte constructiu de la transformació en regadiu de la zona de Vilaplana. TM de Baronia de Rialb.</t>
  </si>
  <si>
    <t>Contracte de serveis per a l'assistència tècnica per a la redacció del projecte constructiu. Rotonda a la intersecció de la BP-1417 al PK 5+100 amb la BV-1418. Barcelona i Sant Cugat del Vallès.</t>
  </si>
  <si>
    <t>Contracte de serveis per a l'assistència tècnica per a la redacció del projecte constructiu. Rotonda a la N-150 al PK 15+400. Terrassa.</t>
  </si>
  <si>
    <t>Contracte de serveis per a l'assistència tècnica per a la redacció de l'estudi d'impacte ambiental actualitzat núm. 2 del Perllongament de la línia 4 dels FMB. La Pau- Sagrera/Meridiana. Barcelona.</t>
  </si>
  <si>
    <t>Contracte de serveis per a l'assistència tècnica per a la redacció de l'estudi informatiu actualitzat núm. 2 del Perllongament de la línia 4 dels FMB. La Pau- Sagrera/Meridiana. Barcelona.</t>
  </si>
  <si>
    <t>Contrato de servicios para la asistencia técnica para la redacción del proyecto constructivo de la linea 9 de Metro Barcelona. Estaciones Sanllehy y Maragall (estructuras metálicas y vestíbulos y accesos).</t>
  </si>
  <si>
    <t>Contrato de servicios para la asistencia técnica para la redacción del proyecto constructivo de la linea 9 de Metro Barcelona. Estaciones Lesseps y Guinardó (estructuras metálicas y vestíbulos y accesos) y acondicionamiento de la estación Sanllehy y …</t>
  </si>
  <si>
    <t>Contrato de servicios para la asistencia técnica para la redacción del proyecto constructivo ''Eje del Llobregat. Desdoblamiento de la C-16, del PK 96+500 al 102+500. Implantación de un tercer carril reversible en la C-16, del PK 102+500 al 117+300. Berga</t>
  </si>
  <si>
    <t>Concurs de projetes per a la redacció del serveis de redacció del projecte bàsic, el projecte executiu i la posterior Direcció d'obra d'ampliació del Centre d'Atenció Primària de l'Arboç.</t>
  </si>
  <si>
    <t>DO. ME-15041-A1</t>
  </si>
  <si>
    <t>Contracte de serveis per a la redacció de les obres de millora local. Seguretat viària. Reordenació dels accessos a la carreterea C-12. Tortosa.</t>
  </si>
  <si>
    <t>CSS. ME-15041-A1</t>
  </si>
  <si>
    <t>Assistència tècnica de coordinació de seguretat i salut de les obres de millora local. Seguretat viària. Reordenació dels accessos a la carretera C-12. Tortosa.</t>
  </si>
  <si>
    <t>CQ. ME-15041-A1</t>
  </si>
  <si>
    <t>Control de qualitat de les obres del projecte constructiu de millora local. Seguretat viària. Reordenació dels accessos a la carretera C-12. Tortosa.</t>
  </si>
  <si>
    <t>PC.PC-CGB-19023</t>
  </si>
  <si>
    <t>Contracte de serveis per a l'assistència tècnica per a la redacció del projecte constructiu de Rehabilitació de les obres de fàbrica a la C-31 al PK 209+775. Sant Adrià del Besòs-Badalona.</t>
  </si>
  <si>
    <t>CSS. PC-CMB-17076</t>
  </si>
  <si>
    <t>Coordinació de Seguretat i Salut de les obres del projecte constructiu de Millora local. Ponts i estructures. Pas inferior per a vianants i ciclistes a la carretera C-59, PK 15+050. Tram: Caldes de Montbui.</t>
  </si>
  <si>
    <t>CQ. PC-CMB-17076</t>
  </si>
  <si>
    <t>Contracte de serveis per a l'assistència tècnica de control de qualitat de les obres del projecte constructiu de Millora local. Ponts i estructures. Pas inferior per a vianants i ciclistes a la carretera C-59, PK 15+050. Tram: Caldes de Montbui.</t>
  </si>
  <si>
    <t>DO. PC-CMB-17076</t>
  </si>
  <si>
    <t>Contracte de serveis per a la direcció de les obres del projecte constructiu de Millora local. Ponts i estructures. Pas inferior per a vianants i ciclistes a la carretera C-59, PK 15+050. Tram: Caldes de Montbui.</t>
  </si>
  <si>
    <t>EV. EA-MNB-20002</t>
  </si>
  <si>
    <t>Contracte de serveis per a l'assistència tècnica per a la redacció de l'estudi d'alternatives "Predimensionament de tallers i cotxeres en l'àmbit sud de la línia 1 d'FMB".</t>
  </si>
  <si>
    <t>PE+DO DXB-20239</t>
  </si>
  <si>
    <t>Concurs de projectes per a la redacció del projecte bàsic i executiu i la posterior direcció de les obres de reforma d'un edifici administratiu al c/ Aragó, de Barcelona.</t>
  </si>
  <si>
    <t>PE+DO CCL-17255</t>
  </si>
  <si>
    <t>Concurs de projectes per a la redacció del projecte bàsic i executiu i la posterior direcció de les obres de Nova construcció d'una comissaria d'Àrea Bàsica policial, ABP amb galeria de pràctiques de tir a Mollerussa.</t>
  </si>
  <si>
    <t>CSS. CG-12058</t>
  </si>
  <si>
    <t>Coordinació de Seguretat i Salut de les obres del projecte "Conservació extraordinària. Ponts i estructures. Rehabilitació del pont de la carretera C-252 sobre el riu Ter, del PK 10+700 a l'11+300. Tram: Ultramort-Verges".</t>
  </si>
  <si>
    <t>DO. CG-12058</t>
  </si>
  <si>
    <t>Contracte de serveis per a la direcció de les obres de conservació extraordinària. ponts i estructures. Rehabilitació del pont de la carretera C-252 sobre el riu Ter, del PK 10+700 a l'11+300. Tram: Ultramort - Verges.</t>
  </si>
  <si>
    <t>CQ. CG-12058</t>
  </si>
  <si>
    <t>Contracte de serveis per a l'assistència tècnica de control de qualitat de les obres de conservació extraordinària. Ponts i estructures. Rehabilitació del pont de la carretera C-252 sobre el riu Ter, del PK 10+700 a l'11+300. Tram: Ultramort - Verges.</t>
  </si>
  <si>
    <t>DE. HGG-17213 + HGG-17216</t>
  </si>
  <si>
    <t>Contracte de serveis per a l'assistència tècnica de direcció d'execució de les obres d'ampliació del Bloc quirúrgic de l'Hospital de Blanes. Clau: HGG-17213 i d'instal·lacions de l'ampliació del Bloc quirúrgic de l'Hospital de Blanes.</t>
  </si>
  <si>
    <t>CQ. HGG-17213 + HGG-17216</t>
  </si>
  <si>
    <t>Contracte de serveis per a l'assistència tècnica de control de qualitat de les obres d'ampliació del Bloc quirúrgic de l'Hospital de Blanes. Clau: HGG-17213 i d'instal·lacions de l'ampliació del Bloc quirúrgic de l'Hospital de Blanes.</t>
  </si>
  <si>
    <t>CSS. HGG-17213+HGG-17216</t>
  </si>
  <si>
    <t>Contracte de serveis per a l'assistència tècnica de seguretat i salut conjunta de les obres d'ampliació del Bloc quirúrgic de l'Hospital de Blanes. Clau: HGG-17213 i d'instal·lacions de l'ampliació del Bloc quirúrgic de l'Hospital de Blanes.</t>
  </si>
  <si>
    <t>CQ. MT-15024</t>
  </si>
  <si>
    <t>Contracte de serveis per a l'assistència tècnica de control de qualitat de les obres de millora local. Seguretat viària. Condicionament urbà de la carretera C-31, del PK 143+600 al 146+640. Tram: Cunit.</t>
  </si>
  <si>
    <t>CSS. MT-15024</t>
  </si>
  <si>
    <t>Contracte de serveis per a l'Assistència Tècnica de Coordinació de Seguretat i Salut de les obres del projecte constructiu de Millora local. Seguretat Viària. Condicionament urbà de la carretera C-31, del PK 143+600 al 146+640. Tram: Cunit.</t>
  </si>
  <si>
    <t>DO. MT-15024</t>
  </si>
  <si>
    <t>Contracte de serveis per a la direcció de les obres de millora local. Seguretat viària. Condicionament urbà de la carretera C-31, del PK 143+600 al 146+640. Tram: Cunit.</t>
  </si>
  <si>
    <t>DE. S11-PNC-08478 (VO3)</t>
  </si>
  <si>
    <t>Contracte de serveis per a l'assistència tècnica per a la direcció d'execució de les obres d'Actuacions de vicis ocults per a resoldre les deficiències detectades a les cobertes del CEIP Cal Soler de Sant Vicenç de Castellet.</t>
  </si>
  <si>
    <t>CQ. S11-PNC-08478 (VO3)</t>
  </si>
  <si>
    <t>Contracte de serveis per a l'assistència tècnica de control de qualitat de les obres d'Actuacions de vicis ocults per a resoldre les deficiències detectades a les cobertes del CEIP Cal Soler de Sant Vicenç de Castellet.</t>
  </si>
  <si>
    <t>CSS. S11-PNC-08478 (VO3)</t>
  </si>
  <si>
    <t>Contracte de serveis per a l'assistència tècnica de coordinació de seguretat i salut de les obres d'Actuacions de vicis ocults per a resoldre les deficiències detectades a les cobertes del CEIP Cal Soler de Sant Vicenç de Castellet.</t>
  </si>
  <si>
    <t>ATAM. CG-12058</t>
  </si>
  <si>
    <t>CSS. CAP-17268</t>
  </si>
  <si>
    <t>CQ. CAP-17268</t>
  </si>
  <si>
    <t>DE. CAP-17268</t>
  </si>
  <si>
    <t>EV. EX-XG-07052</t>
  </si>
  <si>
    <t>A.T. Ambiental per a les obres de Conservació extraordinària. Ponts i estructures. Rehabilitació del pont de la carretera C-252 sobre el riu Ter, del PK 10+700 a l'11+300. Tram: Ultramort-Verges. Clau: CG-12058.</t>
  </si>
  <si>
    <t>Contracte de serveis per a l'assistència tècnica de coordinació de seguretat i salut de les obres del projecte d'ampliació i reforma del CAP Roquetes, de Sant Pere de Ribes.</t>
  </si>
  <si>
    <t>Contracte de serveis per a l'assistència tècnica de control de qualitat de les obres d'ampliació i reforma del CAP Roquetes de Sant Pere de Ribes.</t>
  </si>
  <si>
    <t>Contracte de serveis per a l'assistència tècnica de direcció d'execució de les obres d'ampliació i reforma del CAP Roquetes de Sant Pere de Ribes.</t>
  </si>
  <si>
    <t>Redacció del document ambiental del projecte constructiu Variant de Vilamacolum des de l'accés de la C-31. Tram: Vilamacolum.</t>
  </si>
  <si>
    <t>EV. EX-CXC-20051</t>
  </si>
  <si>
    <t>Contracte de serveis per a l'assistència tècnica per a la redacció dels treballs de redacció dels annexos d'actualització d'estudis i projectes de carreteres de la DGIM.</t>
  </si>
  <si>
    <t>PE+DO. CAP-20265</t>
  </si>
  <si>
    <t>Concurs de projectes per a la redacció del projecte bàsic i executiu i la posterior direcció de les obres del Nou Cap Raval Nord, de Barcelona.</t>
  </si>
  <si>
    <t>CQ. JNP-02722.3-F2.A</t>
  </si>
  <si>
    <t>Control de qualitat de les obres del projecte de reforç de ferm del nou accés al Centre Penitenciari de Quatre Camins, pk 0,834 al pk 1,665.</t>
  </si>
  <si>
    <t>CSS. JNP-02722.3-F2.A</t>
  </si>
  <si>
    <t>Coordinació de seguretat i salut de les obres del projecte de reforç de ferm del nou accés al Centre Penitenciari de Quatre Camins pk 0,834 al pk 1,665.</t>
  </si>
  <si>
    <t>DO. JNP-02722.3-F2.A</t>
  </si>
  <si>
    <t>Direcció de les obres del projecte de reforç de ferm del nou accés al Centre Penitenciari de Quatre Camins Pk 0,834 al pk 1,665.</t>
  </si>
  <si>
    <t>PE+DF. CMB-20250</t>
  </si>
  <si>
    <t>Redacció del projecte bàsic i executiu i la posterior direcció facultativa de les obres de consolidació i rehabilitació del Poble Vell de Corbera d'Ebre.</t>
  </si>
  <si>
    <t>CQ. PNH-17282</t>
  </si>
  <si>
    <t>Contracte de serveis per a l'assistència tècnica de control de qualitat de les obres de nova construcció Escola Pla del Puig 1 línia (sense gimnàs) de Sant Fruitós de Bages.</t>
  </si>
  <si>
    <t>CQ. JJB-19258</t>
  </si>
  <si>
    <t>Contracte de serveis per al control de qualitat de les obres RAM de substitució dels ascensors de l'edifici judicial carrer Prim, a Badalona.</t>
  </si>
  <si>
    <t>CSS. PNH-17282</t>
  </si>
  <si>
    <t>DE. PNH-17282</t>
  </si>
  <si>
    <t>A.T. de coordinació de seguretat i salut de les obres del projecte executiu de nova construcció escola 1 Línia (sense gimnàs) a l'Escola Pla del Puig de St. Fruitós de Bages. Lot 1. Nova const. escola 1 línia (edifici) i Lot 2. Urbanització entorn escola.</t>
  </si>
  <si>
    <t>Contracte de serveis per a la direcció d'execució de les obres de nova construcció Escola Pla del Puig 1 línia(sense gimnàs) de Sant Fruitós de Bages.</t>
  </si>
  <si>
    <t>DE. PAG-16253</t>
  </si>
  <si>
    <t>Contracte de serveis per a l'assistència tècnica de direcció d'execució de les obres d'ampliació a l'Escola Gegant del Rec (2 línies) de Salt (Gironès).</t>
  </si>
  <si>
    <t>CSS. PAG-16253</t>
  </si>
  <si>
    <t>Contracte de serveis per a l'assistència tècnica de coordinació de seguretat i salut de les obres del projecte executiu d'ampliació a l'Escola Gegant del Rec (2 línies) de Salt (Gironès).</t>
  </si>
  <si>
    <t>CQ. PAG-16253</t>
  </si>
  <si>
    <t>Contracte de serveis per a l'assistència tècnica de control de qualitat de les obres d'Ampliació a l'Escola Gegant del Rec (2 línies) de Salt (Gironès).</t>
  </si>
  <si>
    <t>15/10/20 desistiment</t>
  </si>
  <si>
    <t>E1. HTT-16208</t>
  </si>
  <si>
    <t>Contracte de serveis per a l'assistència tècnica per a la redacció dels estudis previs d'intervenció arqueològica subsidiària de la transformació de l'Hospital Joan XXIII, de Tarragona.</t>
  </si>
  <si>
    <t>E1. HTT-20277</t>
  </si>
  <si>
    <t>Serveis per a l'assistència tècnica per a la redacció de l'estudi de verificació de l'assegurament de la qualitat dels projectes executius d'arquitectura i d'instal·lacions de la fase 1 de la Transformació de l'Hospital Joan XXIII, de Tarragona.</t>
  </si>
  <si>
    <t>CSS. MB-06010-A1</t>
  </si>
  <si>
    <t>Coordinació de seguretat i salut de les obres de millora local. Millora de nus. Seguretat viària. Carris de canvi de velocitat a la carretera C-17, del pk 40,000 al 40,500. Tram: Tagamanent-Sant Martí de Centelles.</t>
  </si>
  <si>
    <t>EV. EX-VB-06102</t>
  </si>
  <si>
    <t>Redacció del document ambiental del projecte constructiu Variant d'Artés. Connexió entre la BV-4512 i la B-431.</t>
  </si>
  <si>
    <t>CQ. MB-06010-A1</t>
  </si>
  <si>
    <t>Control de qualitat de les obres de millora local. Millora de nus. Seguretat viària. Carris de canvi de velocitat a la carretera C-17, del pk 40,000 al 40,500. Tram: Tagamanent-Sant Martí de Centelles.</t>
  </si>
  <si>
    <t>PC. TM-00509.51</t>
  </si>
  <si>
    <t>Redacció del projecte constructiu de la línia 9 de Metro de Barcelona. Estació Putxet (pou d'estació, vestíbul, accessos, estructura metàl·lica).</t>
  </si>
  <si>
    <t>DO. MB-06010-A1</t>
  </si>
  <si>
    <t>Direcció de les obres de millora local. Millora de nus. Seguretat viària. Carris de canvi de velocitat a la carretera C-17, del pk 40,000 al 40,500. Tram: Tagamanent-Sant Martí de Centelles.</t>
  </si>
  <si>
    <t>CQ. PNT-17278</t>
  </si>
  <si>
    <t>Contracte de serveis per a l'assistència tècica de control de qualitat de les obres de nova construcció escola 7 unitats + 2 aules a l'Escola Teresa Godes i Domènech del Montmell (Baix Penedès).</t>
  </si>
  <si>
    <t>CSS. PNT-17278</t>
  </si>
  <si>
    <t>Contracte de serveis per a l'assistència tècnica de coordinació de seguretat i salut de les obres de nova construcció escola 7 unitats + 2 aules a l'Escola Teresa Godes i Domènech del Montmell (Baix Penedès).</t>
  </si>
  <si>
    <t>DE. PNT-17278</t>
  </si>
  <si>
    <t>Contracte de serveis per a la direcció d'execució de les obres de nova construcció escola 7 unitats + 2 aules a l'Escola Teresa Godes i Domènech del Montmell (Baix Penedès).</t>
  </si>
  <si>
    <t>PC. TA-09237.A2</t>
  </si>
  <si>
    <t>Contracte de serveis per a l'assistència tècnica per a la redacció del projecte constructiu de la nova estació d'autobusos a Berga. Projecte actualitzat.</t>
  </si>
  <si>
    <t>EV. EX-XL-03169-A1</t>
  </si>
  <si>
    <t>Contracte de serveis per a l'assistència tècnica per a la redacció del document ambiental del projecte constructiu de la variant de Seròs. De la carretera LP-7041, PK 11+675 a la C-45, PK 15+410. Seròs.</t>
  </si>
  <si>
    <t>Redacció del projecte bàsic i executiu i la posterior direcció de les obres RAM a l'edifici judicial de Sabadell de condicionament de la planta 15 per a la ubicació de la fiscalia i reorganització funcional en la planta 7.</t>
  </si>
  <si>
    <t>PE+DO JVX-20276</t>
  </si>
  <si>
    <t>EV. E39. TM-00509</t>
  </si>
  <si>
    <t>Contracte de serveis per a l'assistència tècnica per a la redacció de l'estudi de l'anàlisi del soroll i de les vibracions del tram III de la L9 de metro de Barcelona, tram: macropou - Zona Universitària.</t>
  </si>
  <si>
    <t>CSS. JVX-18298</t>
  </si>
  <si>
    <t>Assistència tècnica de coordinació de Seguretat i Salut de les obres RAM de modernització del sistema de climatització, PDCI, CCTV i intrusió de l'edifici judicial d'Arenys de Mar.</t>
  </si>
  <si>
    <t>CSS. JVX-17272.2</t>
  </si>
  <si>
    <t>Assistència tècnica de coordinació de Seguretat i Salut de les obres d'adequació del projecte d'obra RAM de reforma de la instal·lacio de climatatizació de l'Edifici Judicial de Sabadell. Fase II.</t>
  </si>
  <si>
    <t>CQ. CCT-17215.1</t>
  </si>
  <si>
    <t>Control de qualitat de les obres de nova construcció d'una comissaria de Districte de la Policia de la Generalitat - Mossos d'Esquadra a Torredembarra.</t>
  </si>
  <si>
    <t>CQ. JVX-18296</t>
  </si>
  <si>
    <t>Control de qualitat de l'execució de les obres RAM per l'adequació a ús judicial de l'immoble municipal Casa Serra i Moret de Vic.</t>
  </si>
  <si>
    <t>CQ. JVX-18298</t>
  </si>
  <si>
    <t>Control de qualitat de les obres RAM de modernització dels sistema de climatització, PDCI, CCTV i intrusió de l'edifici judicial d'Arenys de Mar.</t>
  </si>
  <si>
    <t>DE. JVX-18298</t>
  </si>
  <si>
    <t>Direcció d'execució de les obres RAM de modernització dels sistema de climatització, PDCI, CCTV i intrusió de l'edifici judicial d'Arenys de Mar.</t>
  </si>
  <si>
    <t>CQ. JVX-17272.2</t>
  </si>
  <si>
    <t>Control de qualitat de les obres d'adequació del projecte d'obra RAM de reforma de la instal·lacio de climatatizació de l'Edifici Judicial de Sabadell. Fase II.</t>
  </si>
  <si>
    <t>DE. CCT-17215.1</t>
  </si>
  <si>
    <t>Direcció d'execució de les obres de nova construcció d'una comissaria de Districte de la Policia de la Generalitat - Mossos d'Esquadra a Torredembarra.</t>
  </si>
  <si>
    <t>CQ. PNC-17258.A</t>
  </si>
  <si>
    <t>Control de qualitat de les obres de nova construcció de l'Escola 1 línia Jacint Verdaguer a la Granada (Alt Penedès).</t>
  </si>
  <si>
    <t>CSS. PNC-17258.A</t>
  </si>
  <si>
    <t>Coordianció de Seguretat i Salut de les obres de nova construcció de l'Escola 1 línia Jacint Verdaguer a la Granada (Alt Penedès).</t>
  </si>
  <si>
    <t>DE. PNC-17258.A</t>
  </si>
  <si>
    <t>Direcció d'execució de les obres de nova construcció de l'Escola 1 línia Jacint Verdaguer a la Granada (Alt Penedès).</t>
  </si>
  <si>
    <t>DE. JVX-18296</t>
  </si>
  <si>
    <t>Direcció d'execució de les obres RAM per l'adequació a ús judicial de l'immoble municipal Casa Serra i Moret de Vic.</t>
  </si>
  <si>
    <t>CSS. JVX-18296</t>
  </si>
  <si>
    <t>Coordinació de seguretat i salut de les obres RAM per l'adequació a ús judicial de l'immoble municipal Casa Serra i Moret de Vic.</t>
  </si>
  <si>
    <t>CSS. CCT-17215.1</t>
  </si>
  <si>
    <t>Coordinació de seguretat i salut de les obres de nova construcció d'una comissaria de Districte de la Policia de la Generalitat - Mossos d'Esquadra a Torredembarra.</t>
  </si>
  <si>
    <t>EX.TF-11225.F1</t>
  </si>
  <si>
    <t>Contracte de serveis per a l'Assistència Tècnica per a la redacció de l'estudi d'auditoria tècnica del projecte de Perllongament de la línia Llobregat - Anoia d'FGC a Barcelona. Plaça Espanya Gràcia. Infraestructura.</t>
  </si>
  <si>
    <t>DE. JVX-17272.2</t>
  </si>
  <si>
    <t>Direcció d'execució de les obres d'adequació del projecte d'obra RAM de reforma de la instal·lacio de climatatizació de l'Edifici Judicial de Sabadell. Fase II.</t>
  </si>
  <si>
    <t>PE+DO. PGM-19209</t>
  </si>
  <si>
    <t>Redacció del projecte bàsic i executiu i la posterior direcció de les obres RAM per a l'actualització del projecte de reforma i ampliació del Parc de Bombers de Terrassa.</t>
  </si>
  <si>
    <t>PC. PC-MIB-19036</t>
  </si>
  <si>
    <t>Contracte de serveis per a l'assistència tècnica per a la redacció del projecte constructiu "Renovació de la senyalització ATP-ATO de la L4 d'FMB".</t>
  </si>
  <si>
    <t>DO. MB-15013</t>
  </si>
  <si>
    <t>Contracte de serveis per a la direcció de les obres de millora local. Apantallament acústic. Carretera C-17 entre el PK 27+400 i el 33+450 (TM la Garriga), i entre el PK 34+700 i el 39+950 (TM Tagamanent). Tram: la Garriga - Tagamanent.</t>
  </si>
  <si>
    <t>CQ. MB-15013</t>
  </si>
  <si>
    <t>Control de qualitat de les obres de millora local. Apantallament acústic. Carretera C-17 entre el PK 27+400 i el 33+450 (TM La Garriga), i entre el PK 34+700 i el 39+950 (TM Tagamanent). Tram: La Garriga - Tagamanent.</t>
  </si>
  <si>
    <t>CSS. MB-15013</t>
  </si>
  <si>
    <t>Coordinació de seguretat i salut de les obres del projecte constructiu de millora local. Apantallament acústic. Carretera C-17 entre el PK 27+400 i el 33+450 (TM la Garriga), i entre el PK 34+700 i el 39+950 (TM Tagamanent). Tram: la Garriga - Tagamanent.</t>
  </si>
  <si>
    <t>CSS. HLL-14319.A+HLL-17273.A</t>
  </si>
  <si>
    <t>CQ. HLL-14319.A + HLL-17273.A</t>
  </si>
  <si>
    <t>DE. HLL-14319.A + HLL-17273.A</t>
  </si>
  <si>
    <t>Coord. S.S. conjunta de les obres d'Ampliació i reforma del Bloc Quirúrgic de l'Hospital Arnau de Vilanova de Lleida i Instal·lacions de l'Ampliació i reforma del Bloc Quirúrgic de l'Hospital Arnau de Vilanova de Lleida.</t>
  </si>
  <si>
    <t>Control de qualitat conjunta de les obres d'Ampliació i reforma del Bloc Quirúrgic de l'Hospital Arnau de Vilanova de Lleida i Instal·lacions de l'Ampliació i reforma del Bloc Quirúrgic de l'Hospital Arnau de Vilanova de Lleida.</t>
  </si>
  <si>
    <t>Direcció d'execució conjunta de les obres d'Ampliació i reforma del Bloc Quirúrgic de l'Hospital Arnau de Vilanova de Lleida i Instal·lacions de l'Ampliació i reforma del Bloc Quirúrgic de l'Hospital Arnau de Vilanova de Lleida.</t>
  </si>
  <si>
    <t>CQ. HHB-18276.A</t>
  </si>
  <si>
    <t>CSS. HHB-18276.A</t>
  </si>
  <si>
    <t>DE. HHB-18276.A</t>
  </si>
  <si>
    <t>Contracte de serveis per a l'assistència tècnica de control de qualitat de les obres del projecte actualitzat de connexió d'escomesa elèctrica a l'Hospital Vall d'Hebron, de Barcelona, 2a. fase.</t>
  </si>
  <si>
    <t>Contracte de serveis per a l'assistència tècnica de coordinació de seguretat i salut de les obres del projecte actualitzat de connexió d'escomesa elèctrica a l'Hospital Vall d'Hebron, de Barcelona, 2a fase.</t>
  </si>
  <si>
    <t>Contracte de serveis per a l'assistència tècnica de direcció d'execució de les obres del projecte actualitzat de connexió d'escomesa elèctrica a l'Hospital Vall d'Hebron, de Barcelona, 2a. fase.</t>
  </si>
  <si>
    <t>DO. TM-11018.1</t>
  </si>
  <si>
    <t>Direcció de les obres de millora de l'accessibilitat de l'estació de Vallcarca de la Línia 3 dels FMB. Ascensor de carrer. Barcelona.</t>
  </si>
  <si>
    <t>E2-INF-20500</t>
  </si>
  <si>
    <t>Serveis d'assistèncai tècnia per a la investigació i assessorament en temes geotècnics de les infraestructures gestionades per INFCAT i per l'ens IFERCAT.</t>
  </si>
  <si>
    <t>E1-INF-20500</t>
  </si>
  <si>
    <t>Serveis d'assistència tècnica per a la investigació i assessorament en temes estructurals de les infraestructures gestionades per INFCAT i per IFERCAT.</t>
  </si>
  <si>
    <t>CQ. TM-11018.1</t>
  </si>
  <si>
    <t>Control de qualitat de les obres de millora de l'accessibilitat de l'estació de Vallcarca de la Línia 3 dels FMB. Ascensor de carrer. Barcelona.</t>
  </si>
  <si>
    <t>CSS. TM-11018.1</t>
  </si>
  <si>
    <t>Coordinació de seguretat i salut de les obres de millora de l'accessibilitat de l'estació de Vallcarca de la Línia 3 dels FMB. Ascensor de carrer. Barcelona.</t>
  </si>
  <si>
    <t>CQ. BSV-14291.1</t>
  </si>
  <si>
    <t>DE+CSS. BSV-14291.1</t>
  </si>
  <si>
    <t>Control de qualitat de les obres d'urbanització de la residència i centre de dia per a gent gran La Mercè a Tarragona.</t>
  </si>
  <si>
    <t>Direcció d'execució i coordinació de seguretat i salut de les obres d'urbanització de la residència i centre de dia per a gent gran La Mercè a Tarragona.</t>
  </si>
  <si>
    <t>Assistència tècnica per a la redacció del projecte executiu i l'estudi de seguretat i salut i la posterior direcció facultativa de les obres RAM 2021 als Serveis Territorials a la Catalunya Central (II): Escola Voltreganès (Sant Hipòlit de Voltregà).</t>
  </si>
  <si>
    <t>PE+DF. XMH-21502</t>
  </si>
  <si>
    <t>PE+DF. XMV-21510</t>
  </si>
  <si>
    <t>Assistència tècnica per a la redacció del projecte executiu i l'estudi de seguretat i salut i la posterior direcció facultativa de les obres RAM 2021 als Serveis Territorials al Vallès Occidental (I): Institut Escola Can Llobet (Barberà del Vallès).</t>
  </si>
  <si>
    <t>PE+DF. XMC-21529</t>
  </si>
  <si>
    <t>Red. Proj. executiu i l'estudi de S. S. i la posterior dir. facultativa de les obres RAM 2021 als Serveis Territorials a Barcelona-comarques (IV): Institut Isaac Albéniz (Badalona) i Escola Roselló Porcell-Salvat (Santa Coloma de Gramenet).</t>
  </si>
  <si>
    <t>Redacció del projecte executiu i l'estudi de seguretat i salut i la posterior direcció facultativa de les obres RAM 2021 als Serveis Territorials a Barcelona-comarques (V): Institut Torras i Bages (l'Hospitalet de Llobregat) i Institut Bellvitge.</t>
  </si>
  <si>
    <t>PE+DF. XMC-21527</t>
  </si>
  <si>
    <t>Red. Proj. executiu i l'estudi S.S. i posterior dir. facultativa obres RAM 2021 als Serveis Territorials a Barcelona-comarques (II): Institut Santa Coloma (Santa Coloma de Gramenet),Institut Escola Rafael Albertí (Badalona) i Institut Escola Badalona.</t>
  </si>
  <si>
    <t>PE+DF. XMC-21531</t>
  </si>
  <si>
    <t>Redacció del projecte executiu i l'estudi de seguretat i salut i la posterior direcció facultativa de les obres RAM 2021 als Serveis Territorials a Barcelona-comarques (VI): Escola Bernat Metge (l'Hospitalet de Llobregat) i Escola Milagros Cosarnau. (l'H)</t>
  </si>
  <si>
    <t>PE+DF. XMV-21514</t>
  </si>
  <si>
    <t>Assistència tècnica per a la redacció del projecte executiu i l'estudi de seguretat i salut i la posterior direcció facultativa de les obres RAM 2021 als Serveis Territorials al Vallès Occidental (V): Institut Escola Joan Sallarès (Sallent).</t>
  </si>
  <si>
    <t>PE+DF. XMV-21516</t>
  </si>
  <si>
    <t>Red. Proj. executiu i l'estudi S.S. i la posterior direcció facultativa de les obres RAM 2021 als Serveis Territorials al Vallès Occidental (VII): CFT EE Flor de Maig (Cerdanyola del Vallès) i Serveis Educatius - CRP V-B44 (Cerdanyola del Vallès).</t>
  </si>
  <si>
    <t>PE+DF. XMH-21505</t>
  </si>
  <si>
    <t>Red. Proj. executiu i l'estudi S.S. i la posterior direcció facultativa de les obres RAM 2021 als Serveis Territorials a la Catalunya Central (V): Escola Sant Vicenç (Sant Vicenç de Castellet) i Institut Pius Font i Quer (Manresa).</t>
  </si>
  <si>
    <t>PE+DF. XMV-21511</t>
  </si>
  <si>
    <t>Redacció del projecte executiu i l'estudi de seguretat i salut i la posterior direcció facultativa de les obres RAM 2021 als Serveis Territorials al Vallès Occidental (II): Institut Escola Sant Esteve (Castellar del Vallès).</t>
  </si>
  <si>
    <t>PE+DF. XMM-21533</t>
  </si>
  <si>
    <t>IA. IA-VB-10035-A1</t>
  </si>
  <si>
    <t>Contracte de serveis per a l'assistència tècnica per a la redacció de l'estudi d'impacte ambiental. Variant a la B-231, del PK 0+600 al 3+400. Esparreguera.</t>
  </si>
  <si>
    <t>Redacció del projecte executiu i l'estudi de seguretat i salut i la posterior direcció facultativa de les obres RAM 2021 als Serveis Territorials al Maresme-Vallès Oriental (II): Institut Bisbe Sivilla (Calella).</t>
  </si>
  <si>
    <t>PE+DF. XML-21509</t>
  </si>
  <si>
    <t>Red. Proj. executiu i l'estudi S.S. i la posterior dir. facultativa obres RAM 2021 als Serveis Territorials a Lleida (I): Institut Almatà (Balaguer), Institut Ronda (Lleida), Institut Mollerussa IV (Mollerussa) i Institut d'Hoteleria i Turisme (Lleida).</t>
  </si>
  <si>
    <t>PE+DF. XMG-21508</t>
  </si>
  <si>
    <t>Red. Proj. executiu i l'estudi S.S. i la posterior dir. facultativa RAM 2021 als Serveis Territorials a Girona (II): Escola Puig d'Arques (Cassà de la Selva), Institut Ridaura (Castell-Platja d'Aro), Institut de Montilivi (Girona) i Escola Agustí Guifré.</t>
  </si>
  <si>
    <t>PE+DF. XMH-21501</t>
  </si>
  <si>
    <t>Redacció del projecte executiu i l'estudi de seguretat i salut i la posterior direcció facultativa de les obres RAM 2021 als Serveis Territorials a la Catalunya Central (I): Institut Escola Barnola (Avinyó) i Escola Els Pins (Sallent).</t>
  </si>
  <si>
    <t>PE+DF. XME-21535</t>
  </si>
  <si>
    <t>Red. Proj. executiu i l'estudi S.S. i la posterior dir. facultativa de les obres RAM 2021 als Serveis Territorials a les Terres de l'Ebre (I): Institut Julio Antonio (Móra d'Ebre) i Institut Escola Daniel Mangrané i Escardó (EMD Jesus Tortosa).</t>
  </si>
  <si>
    <t>PE+DF. XMA-21525</t>
  </si>
  <si>
    <t>Red. Proj. executiu i l'estudi de seguretat i salut i la posterior direcció facultativa de les obres RAM 2021 als Serveis Territorials al Baix Llobregat (VI): Institut Martí i Dot (Sant Feliu de Llobregat) i Escola Sant Jordi (Sant Vicenç dels Horts).</t>
  </si>
  <si>
    <t>PE+DF. XMC-21528</t>
  </si>
  <si>
    <t>Redacció del projecte executiu i l'estudi de seguretat i salut i la posterior direcció facultativa de les obres RAM 2021 als Serveis Territorials a Barcelona-comarques (III): Institut Vilafranca 2 (Vilafranca del Penedès).</t>
  </si>
  <si>
    <t>PE+DF. XME-21536</t>
  </si>
  <si>
    <t>Redacció del projecte executiu i l'estudi de seguretat i salut i la posterior direcció facultativa de les obres RAM 2021 als Serveis Territorials a les Terres de l'Ebre (II): Escola Sant Salvador (Godall).</t>
  </si>
  <si>
    <t>PE+DF. XMA-21522</t>
  </si>
  <si>
    <t>Red. Proj. executiu i l'estudi S.S. i la posterior direcció facultativa de les obres RAM 2021 als Serveis Territorials al Baix Llobregat (III): Institut Mediterrània (Castelldefels), Institut Josep Lluís Sert (Castelldefels) i Institut Bruguers (Gavà).</t>
  </si>
  <si>
    <t>PE+DF. XMV-21515</t>
  </si>
  <si>
    <t>Redacció del projecte executiu i l'estudi de seguretat i salut i la posterior direcció facultativa de les obres RAM 2021 als Serveis Territorials al Vallès Occidental (VI): Institut Escola Catalunya (Sant Cugat del Vallès).</t>
  </si>
  <si>
    <t>PE+DF. XMV-21519</t>
  </si>
  <si>
    <t>Red. Proj. executiu i l'estudi S.S. i la posterior dir. facultativa obres RAM 2021 als Serveis Territorials al Vallès Occidental (X): Institut Badia del Vallès (Badia del Vallès), Institut Frederica Montseny (Badia del Vallès) i Escola Bellaterra.</t>
  </si>
  <si>
    <t>PE+DF. XMV-21512</t>
  </si>
  <si>
    <t>Redacció del projecte executiu i l'estudi de seguretat i salut i la posterior direcció facultativa de les obres RAM 2021 als Serveis Territorials al Vallès Occidental (III): Institut Escola El Viver (Montcada i Reixac).</t>
  </si>
  <si>
    <t>PE+DF. XMH-21506</t>
  </si>
  <si>
    <t>Redacció del projecte executiu i l'estudi de seguretat i salut i la posterior direcció facultativa de les obres RAM 2021 als Serveis Territorials a la Catalunya Central (VI): Institut Alexandre de Riquer (Calaf) i CRP. Edifici Sant Carles (Igualada).</t>
  </si>
  <si>
    <t>PE+DF. XMH-21504</t>
  </si>
  <si>
    <t>Redacció del projecte executiu i l'estudi de seguretat i salut i la posterior direcció facultativa de les obres RAM 2021 als Serveis Territorials a la Catalunya Central (IV): Institut Escola Castell d'Òdena (Òdena).</t>
  </si>
  <si>
    <t>PE+DF. XMA-21521</t>
  </si>
  <si>
    <t>Red. Proj. executiu i l'estudi S.S. i la posterior direcció facultativa de les obres RAM 2021 als Serveis Territorials al Baix Llobregat (II): Institut Camps Blancs (Sant Boi de Llobregat) i Institut Marianao (Sant Boi de Llobregat).</t>
  </si>
  <si>
    <t>PE+DF. XMG-21507</t>
  </si>
  <si>
    <t>Red. Proj. Exec. i estudi S.S. i posterior dir. facultativa obres RAM 2021 als Serveis Territorials a Girona (I): Institut Sant Quirze (Lloret de Mar), Institut de Cassà de Selva (Cassà de la Selva) i Institut de Sarrià de Ter.</t>
  </si>
  <si>
    <t>PE+DF. XMC-21526</t>
  </si>
  <si>
    <t>Redacció del projecte executiu i l'estudi de seguretat i salut i la posterior direcció facultativa de les obres RAM 2021 als Serveis Territorials a Barcelona-comarques (I): Institut Escola Pere Lliscart (l'Hospitalet de Llobregat).</t>
  </si>
  <si>
    <t>PE+DF. XMA-21523</t>
  </si>
  <si>
    <t>Red. Proj. executiu i l'estudi S.S. i la posterior direcció facultativa de les obres RAM 2021 als Serveis Territorials al Baix Llobregat (IV): Institut Esteve Terrades (Cornellà de Llobregat) i Institut Francesc Macià (Cornellà de Llobregat).</t>
  </si>
  <si>
    <t>PE+DF. XMV-21518</t>
  </si>
  <si>
    <t>Red. Proj. Exec. i l'estudi S.S. i la posterior dir. Facult.  obres RAM 2021 als Serveis Territorials al Vallès Occidental (IX): Institut Escola Sala i Badrinas (Terrassa), Inst. Jaume Cabré (Terrassa), Inst. Ca n'Oriac (Sabadell) i Inst. Cavall Bernat.</t>
  </si>
  <si>
    <t>PE+DF. XMA-21524</t>
  </si>
  <si>
    <t>Red. Proj. Exec. i estudi S.S. i la posterior dir. facultativa de les obres RAM 2021 als Serveis Territorials al Baix Llobregat (V): Institut Escola El Prat de Llobregat (El Prat de Llobregat) i Escola Montbaig (Sant Boi de Llobregat).</t>
  </si>
  <si>
    <t>PE+DF. XMV-21517</t>
  </si>
  <si>
    <t>Redacció del projecte executiu i l'estudi de seguretat i salut i la posterior direcció facultativa de les obres RAM 2021 als Serveis Territorials al Vallès Occidental (VIII): Institut Escola Pere Viver (Terrassa).</t>
  </si>
  <si>
    <t>PE+DF. XMM-21532</t>
  </si>
  <si>
    <t>Redacció del projecte executiu i l'estudi de seguretat i salut i la posterior direcció facultativa de les obres RAM 2021 als Serveis Territorials al Maresme-Vallès Oriental (I): Institut les Cinc Sènies (Mataró) i Institut Alexandre Satorras (Mataró).</t>
  </si>
  <si>
    <t>PE+DF. XMH-21503</t>
  </si>
  <si>
    <t>Red. Proj. Exec. i estudi S.S. i la posterior dir. Facult. obres RAM 2021 als Serveis Territorials a la Catalunya Central (III): Institut Pous i Argila (Manlleu), Institut Les Margues (Calldetenes), EASD Vic (Vic) i Escola Guillem de Mont-rodon (Vic).</t>
  </si>
  <si>
    <t>PE+DF. XMT-21534</t>
  </si>
  <si>
    <t>Redacció del projecte executiu i l'estudi de seguretat i salut i la posterior direcció facultativa de les obres RAM 2021 als Serveis Territorials a Tarragona (I): Institut El Morell (El Morell), Escola Montsant (Reus) i Escola Mestral (Vandellòs).</t>
  </si>
  <si>
    <t>PC. R0-20275</t>
  </si>
  <si>
    <t>Contracte de serveis per a l'assistència tècnica per a la redacció del Projecte Constructiu d'adequació exterior de les sortides d'emergència de l'estació de la Ribera i d'altres pous del tram I de la Línia 9 de Metro de Barcelona.</t>
  </si>
  <si>
    <t>PE+DF. XMA-21520</t>
  </si>
  <si>
    <t>Red.  Proj. executiu i l'estudi S.S. i la posterior direcció facultativa de les obres RAM 2021 als Serveis Territorials al Baix Llobregat (I): Escola Plató Sarti (Abrera), Escola Àngela Roca (Viladecans) i Institut Martí i Pol (Cornellà de Llobregat).</t>
  </si>
  <si>
    <t>DE. HGG-16274.A + HGG-17202.A</t>
  </si>
  <si>
    <t>Direc. execució conjunta obres dels projectes actualitzats: "Ampliació bloc quirúrgic i de l'hospital de dia oncològic (ICO) de l'Hospital Doctor Josep Trueta, de Girona i instal. de l'ampliació del bloc quirúrgic i de l'hospital de dia oncològic (ICO)...</t>
  </si>
  <si>
    <t>DO. BSV-14291.1</t>
  </si>
  <si>
    <t>Contracte de serveis per a l'assistència tècnica de Direcció d'Obra de les Obres d'urbanització de la residència i centre de dia per a gent gran La Mercè a Tarragona.</t>
  </si>
  <si>
    <t>CQ. HGG-16274.A + HGG-17202.A</t>
  </si>
  <si>
    <t>CQ  conjunta obres dels projectes actualitzats: "Ampliació del bloc quirúrgic i de l'hospital de dia oncològic (ICO) de l'Hospital Doctor Josep Trueta, de Girona i instal. de l'ampliació del bloc quirúrgic i de l'hospital de dia oncològic (ICO).</t>
  </si>
  <si>
    <t>CSS. HGG-16274.A + HGG-17202.A</t>
  </si>
  <si>
    <t>Coord. S.S. conjunta obres dels projectes actualitzats: "Ampliació del bloc quirúrgic i de l'hospital de dia oncològic (ICO) de l'Hospital Doctor Josep Trueta, de Girona i instal. de l'ampliació del bloc quirúrgic i de l'hospital de dia oncològic (ICO).</t>
  </si>
  <si>
    <t>PE+DF. XMV-21513</t>
  </si>
  <si>
    <t>Red. Proj. Exec. i l'estudi S.S. i la posterior dir. facultativa obres RAM 2021 als Serv. Territorials al Vallès Occid. (IV): Inst. Escola Mas Rampinyo (Montcada i Reixac), Inst. Escola Els Pinetons (Ripollet), Escola Enric Tatché i Pol i Escola Bernat M.</t>
  </si>
  <si>
    <t>PC. PC-CPB-20060</t>
  </si>
  <si>
    <t>Contracte de serveis per a l'assistència tècnica per a la redacció del projecte constructiu de rotonda a la C-243c al PK 2+800 a Can Santeugini. Castellbisbal.</t>
  </si>
  <si>
    <t>PC. XL-03169-A1</t>
  </si>
  <si>
    <t>Contracte de serveis per a l'assistència tècnica per a la redacció del projecte constructiu de la variant de Seròs, de la LP-7041, PK 11+675 a la C-45, PK 15+410. Seròs.</t>
  </si>
  <si>
    <t>EV. EX-CGC-20034</t>
  </si>
  <si>
    <t>Contracte de serveis per a l'assistència tècnica per a la redacció de l'estudi d'identificació de trams de concentració d'accidents de la xarxa de carreteres de la Generalitat de Catalunya (2016-2020).</t>
  </si>
  <si>
    <t>CSS. CAP-18277</t>
  </si>
  <si>
    <t>Serveis per a l'assistència tècnica de coordinació de seguretat i salut de les obres del projecte executiu del nou servei de rehabilitació del Centre d'Atenció Primària de Falset.</t>
  </si>
  <si>
    <t>CQ. CAP-18277</t>
  </si>
  <si>
    <t>Serveis per a l'assistència tècnica de control de qualitat de les obres del nou servei de rehabilitació del Centre d'Atenció Primària de Falset.</t>
  </si>
  <si>
    <t>PC. PC-CPT-20058</t>
  </si>
  <si>
    <t>Serveis per a l'assistència tècnica per a la redacció del projecte constructiu "Rotonda urbna a la T-322 i la T-323 al pk 5,060. Mont-roig del Camp.</t>
  </si>
  <si>
    <t>DE. CAP-18277</t>
  </si>
  <si>
    <t>Direcció d'execució de les obres del nou servei de rehabilitació del Centre d'Atenció Primària de Falset.</t>
  </si>
  <si>
    <t>E3. JVX-20252</t>
  </si>
  <si>
    <t>Redacció de l'estudi previ d'aixecament de plànols d'arquitectura i instal·lacions, realització d'ITE i Certificació Energètica del Centre Penitenciari Quatre Camins.</t>
  </si>
  <si>
    <t>DO.TM-00509.58+TM-00509.53.2</t>
  </si>
  <si>
    <t>Direcció conjunta de les obres del "proj. constructiu per millorar les condicions ambientals en els llocs de treball en el Tarrer i els accessos als trens en la cotxera de la Zona Franca de L9", i "dels Tallers i Cotxeres de la L9 del Metro de BCN. F2".</t>
  </si>
  <si>
    <t>CQ.TM-00509.58+TM-00509.53.2</t>
  </si>
  <si>
    <t>CQ conjunta de les obres del "proj. constructiu per millorar les condicions ambientals en els llocs de treball en el Tarrer i els accessos als trens en la cotxera de la Zona Franca de L9", i "dels Tallers i Cotxeres de la L9 del Metro de BCN. F2".</t>
  </si>
  <si>
    <t>E2. JVX-20252</t>
  </si>
  <si>
    <t>Redacció de l'estudi previ d'aixecament de plànols d'arquitectura i instal·lacions, realització d'ITE i Certificació Energètica del Centre Penitenciari Brians 2.</t>
  </si>
  <si>
    <t>CSS.TM-00509.58+TM-00509.53.2</t>
  </si>
  <si>
    <t>Coord. SS conjunta de les obres del "proj. constructiu per millorar les condicions ambientals en els llocs de treball en el Tarrer i els accessos als trens en la cotxera de la Zona Franca de L9", i "dels Tallers i Cotxeres de la L9 del Metro de BCN. F2".</t>
  </si>
  <si>
    <t>E1. JVX-20252</t>
  </si>
  <si>
    <t>Redacció de l'estudi previ d'aixecament de plànols d'arquitectura i instal·lacions, realització d'ITE i Certificació Energètica del Centre Penitenciari Brians 1.</t>
  </si>
  <si>
    <t>EX-TF-11225.F1</t>
  </si>
  <si>
    <t>Redacció de l'estudi d'auditoria tècnica del projecte de perllongament de la línia Llobregat - Anoia d'FGC a Barcelona. Plaça Espanya - Gràcia. Infraestructura</t>
  </si>
  <si>
    <t>PC. PC-CPB-20048</t>
  </si>
  <si>
    <t>Redacció del projecte constructiu "Rotonda a la N-II al pk 652,230. Sant Andreu de Llavaneres.</t>
  </si>
  <si>
    <t>DE. S73-FGC-04467</t>
  </si>
  <si>
    <t>Direcció d'execució de les obres d'instal·lació solar fotovoltaica de 86 kwn per autoconsum a la coberta de la Seu Corporativa d'Infraestructures. Cat.</t>
  </si>
  <si>
    <t>PC. PC-CPL-20067</t>
  </si>
  <si>
    <t>Redacció del projecte constructiu: "Accés al polígon industrial d'Organyà. Construcció d'un carril central per efectuar girs a l'esquerra a la C-14 del pk 160,650 al 160,950. Organyà.</t>
  </si>
  <si>
    <t>ATAM. AB-15032.F2</t>
  </si>
  <si>
    <t>Contracte de serveis per a l'assistència tècnica ambiental per a les obres de millora general. Tercer carril calçada sentit nord a la carretera C- 17, del PK 15+100 al 18+700. Tram: Parets del Vallès - Granollers.</t>
  </si>
  <si>
    <t>DO. AB-15032.F2</t>
  </si>
  <si>
    <t>Contracte de serveis per a la direcció de les obres de millora general. Tercer carril calçada sentit nord a la carretera C- 17, del PK 15+100 al 18+700. Tram: Parets del Vallès ¿ Granollers.</t>
  </si>
  <si>
    <t>CQ. AB-15032.F2</t>
  </si>
  <si>
    <t>Contracte de serveis per a l'assistència tècnica de control de qualitat de les obres de millora general. Tercer carril calçada sentit nord a la carretera C- 17, del PK 15+100 al 18+700. Tram: Parets del Vallès ¿ Granollers.</t>
  </si>
  <si>
    <t>CSS. AB-15032.F2</t>
  </si>
  <si>
    <t>Assistència tècnica de coordinació de seguretat i salut de les obres del projecte constructiu de millora general. Tercer carril calçada sentit nord a la carretera C-17, del PK 15+100 al 18+700. Tram: Parets del Vallès - Granollers.</t>
  </si>
  <si>
    <t>CQ. CAP-17280</t>
  </si>
  <si>
    <t>Control de qualitat de les obres del nou Centre d'Atenció Primària El Papiol.</t>
  </si>
  <si>
    <t>DE. CAP-17280</t>
  </si>
  <si>
    <t>Serveis per a la direcció d'execució de les obres del nou Centre d'Atenció Primària El Papiol.</t>
  </si>
  <si>
    <t>CSS. CAP-17280</t>
  </si>
  <si>
    <t>Serveis per a l'assistència tècnica de coordinació de seguretat i salut de les obres del nou Centre d'Atenció Primària El Papiol.</t>
  </si>
  <si>
    <t>EV. EX-CIC-20049</t>
  </si>
  <si>
    <t>Redacció de l'estudi: "Auditories de seguretat viària d'actuacions en trams de la xarxa de carreteres de la Generalitat de Catalunya en l'àmbit de les ctres. C-12 al Montsià, Baix Ebre, Ribera d'Ebre i Segrià, i C-16 al Berguedà.</t>
  </si>
  <si>
    <t>DO. XG-10021.3</t>
  </si>
  <si>
    <t>Direcció de les obres del projecte de millora local. Via verda a l'entorn de la carretera C-31, del PK 0+750 de la GIV-6228 (el Pont del Príncep) al PK 1+250 de la carretera GIV-6211 (connexió amb l'itinerari del riu Manol). Tram: Vilamalla - Figueres.</t>
  </si>
  <si>
    <t>CQ. XG-10021.3</t>
  </si>
  <si>
    <t>CQ de les obres del projecte de millora local. Via verda a l'entorn de la carretera C-31, del PK 0+750 de la GIV-6228 (el Pont del Príncep) al PK 1+250 de la carretera GIV-6211 (connexió amb l'itinerari del riu Manol). Tram: Vilamalla - Figueres.</t>
  </si>
  <si>
    <t>CSS. XXB-20026</t>
  </si>
  <si>
    <t>Contracte de serveis per a l'assistència tècnica de coordinació de seguretat i salut de les obres del projecte d'execució de les obres de derivació de la canonada de l'ens d'abastament d'Aigua Ter-Llobregat al Municipi de Calaf.</t>
  </si>
  <si>
    <t>CSS. XG-10021.3</t>
  </si>
  <si>
    <t>Coord. S.S. de les obres del projecte de millora local. Via verda a l'entorn de la carretera C-31, del PK 0+750 de la GIV-6228 (el Pont del Príncep) al PK 1+250 de la carretera GIV-6211 (connexió amb l'itinerari del riu Manol). Tram: Vilamalla - Figueres.</t>
  </si>
  <si>
    <t>DO. XXB-20026</t>
  </si>
  <si>
    <t>Contracte de serveis per a la direcció de les obres del projecte d'execució de les obres de derivació de la canonada de l'ens d'abastament d'Aigua Ter-Llobregat al Municipi de Calaf.</t>
  </si>
  <si>
    <t>CQ. XXB-20026</t>
  </si>
  <si>
    <t>Contracte de serveis per a l'assistència tècnica de Control de Qualitat de les obres del projecte d'execució de les obres de derivació de la canonada de l'ens d'abastament d'Aigua Ter-Llobregat al Municipi de Calaf.</t>
  </si>
  <si>
    <t xml:space="preserve">Nova licitació </t>
  </si>
  <si>
    <t>EI. EI-VB-15008</t>
  </si>
  <si>
    <t>PC. PC-CGB-20065</t>
  </si>
  <si>
    <t>PR. AB-16002-C2</t>
  </si>
  <si>
    <t>IA. IA-VB-15008-A1</t>
  </si>
  <si>
    <t>CSS. PC-NB-15065</t>
  </si>
  <si>
    <t>DO. PC-NB-15065</t>
  </si>
  <si>
    <t>CQ. PC-NB-15065</t>
  </si>
  <si>
    <t>ATAM. NB-15065</t>
  </si>
  <si>
    <t>PC. PC-CPC-20035</t>
  </si>
  <si>
    <t>PC. ML-06044.1</t>
  </si>
  <si>
    <t>PC. PC-CGB-20055</t>
  </si>
  <si>
    <t>DO. R0-17209</t>
  </si>
  <si>
    <t>CSS. R0-17209</t>
  </si>
  <si>
    <t>CQ. R0-17209</t>
  </si>
  <si>
    <t>PC. SPD-20309</t>
  </si>
  <si>
    <t>PC. SPD-20310</t>
  </si>
  <si>
    <t>PC. SPD-20316</t>
  </si>
  <si>
    <t>PC. SPD-20319</t>
  </si>
  <si>
    <t>PC. SPD-20311</t>
  </si>
  <si>
    <t>PE+DO. CAP-18336</t>
  </si>
  <si>
    <t>PC. SPD-20318</t>
  </si>
  <si>
    <t>IA. IA-TB-16238</t>
  </si>
  <si>
    <t>PC. PC-CGB-20054</t>
  </si>
  <si>
    <t>IA. IA-AB-08021.2</t>
  </si>
  <si>
    <t>Redacció de l'estudi informatiu: "Varinat de Sentmenat, entre el pk 31,200 de la C-1415a, el pk 34,000 de la C-1413a i el pk 8,000 de la B-142. Sentmenat.</t>
  </si>
  <si>
    <t>Redacció del projecte constructiu: "Mesures de seguretat viària i pacificació a la C-243c, entre la intersecció amb la BV-1201 i la cruïlla de Can Solà, del pk 9,400 al 10,700. Ullastrell-Terrassa.</t>
  </si>
  <si>
    <t>Redacció del projecte constructiu: "Ampliació de la xarxa de camins agrícoles i millora dels camins existents a l'entorn de la C-15, entre el pk 10,900 i el 28,200. Olèrdola-Sant Pere de Riudebitlles.</t>
  </si>
  <si>
    <t>Serveis per a l'assistència tècnica per a la redacció del projecte constructiu "Rotonda urbana a la T-322 i la T-323 al pk 5,060. Mont-roig del Camp.</t>
  </si>
  <si>
    <t>Redacció de l'estuid d'impacte ambiental de la variant de Sentmenat, entre el pk 31,200 de la C-1415a, el pk 34,000 de la C-1413a i el pk 8,000 de la B-142. Sentmenat.</t>
  </si>
  <si>
    <t>Assitència tècnica de coordinació de seguretat i salut de les obres del projecte constructiu de millora general. Nova carretera. Nou accés a Igualada sud des de la C-37, al pk 64,400. Tram: Vilanova del Camí-Igualda.</t>
  </si>
  <si>
    <t>Direcció de les obres de millora general. Nova carretera. Nou accés a Igualada sud des de la C-37, al pk 64,400. Tram: Vilanova del Camí-Igualda.</t>
  </si>
  <si>
    <t>Control de qualitat de les obres de millora general. Nova carretera. Nou accés a Igualada sud des de la C-37, al pk 64,400. Tram: Vilanova del Camí-Igualda.</t>
  </si>
  <si>
    <t>Assistència tècnica ambiental de les obres del nou accés a Igualada sud des de la C-37, al pk 64,400. Tram: Vilanova del Camí-Igualda.</t>
  </si>
  <si>
    <t>Redaccio del projecte constructiu. Estudi i implantació de millores de seguretat viària per a motoristes a la xarxa de carreteres de la Generalitat. Any 2020.</t>
  </si>
  <si>
    <t>Redacció del projecte constructiu. Ordenació d'accessos a la L-311, del pk 3,540 al 12,840. Cervera-Guissona.</t>
  </si>
  <si>
    <t>Redacció del projecte constructiu de rehabilitació de les obres de fàbrica de la C-55 al pk 8,349 i de la C-58 al pk 30,254. Olesa de Montserrat-Vacarisses.</t>
  </si>
  <si>
    <t>Direcció de les obres del projecte constructiu de la nova xarxa de transport i accés IP de la L9 de metro Barcelona.</t>
  </si>
  <si>
    <t>Coordinació de seguretat i salut de les obres del projecte constructiu de la nova xarxa de transport i accés IP de la L9 de metro Barcelona.</t>
  </si>
  <si>
    <t>Control de qualitat de les obres del projecte constructiu de la nova xarxa de transport i accés IP de la L9 de metro Barcelona.</t>
  </si>
  <si>
    <t>Redacció del projecte de desplegament xarxa de fibra òptica. Bloc Terres de l'Ebre Sud.</t>
  </si>
  <si>
    <t>Redacció del projecte de desplegament xarxa de fibra òptica. Bloc Alt Pirineu.</t>
  </si>
  <si>
    <t>Redacció del projecte de desplegament xarxa de fibra òptica. Bloc Zona Hostalric.</t>
  </si>
  <si>
    <t>Redacció del projecte de desplegament xarxa de fibra òptica. Bloc  Alt Empordà.</t>
  </si>
  <si>
    <t>Redacció del projecte de desplegament xarxa de fibra òptica. Bloc  Terres de l'Ebre Nord.</t>
  </si>
  <si>
    <t>Redacció del projecte bàsic i executiu i la posterior direcció de les obres d'ampliació i reforma del Centre d'Atenció Primària de Sant Fruitós de Bages.</t>
  </si>
  <si>
    <t>Redacció del projecte de desplegament xarxa de fibra òptica. Bloc  Baix Empordà.</t>
  </si>
  <si>
    <t>Redacció de l'estudi d'impacte ambiental del projecte d'arranjament de la resclosa de Colomers als TTMM de Foixà i Colomers.</t>
  </si>
  <si>
    <t>Redacció del projecte constructiu: "Rehabilitació de l'obra de fàbrica a la B-120 al pk 9,490. Viladecavalls.</t>
  </si>
  <si>
    <t>Redacció de l'estudi d'impacte ambiental de l'Eixamplament i millora del traçat a la C-26 del pk 141,800 al 144,050. Avià-Berga.</t>
  </si>
  <si>
    <t>Número d'Anuncis i Imports 2021</t>
  </si>
  <si>
    <t>Número d'Anuncis i Imports 2010 - 2011 - 2012 - 2013 - 2014 - 2015 - 2016 - 2017 - 2018 - 2019 - 2020</t>
  </si>
  <si>
    <t>CQ. MB-14021.1</t>
  </si>
  <si>
    <t>Control de qualitat de les obres de millora local. Seguretat viària. Millora de les característiques superficials del ferm i reestudi de la secció transversal. Ctra. C-35 del pk 49,860 al 55,450. Tram: Vilalba Sasserra-Sant Celoni.</t>
  </si>
  <si>
    <t>DO. MB-14021.1</t>
  </si>
  <si>
    <t>Direcció de les obres de millora local. Seguretat viària. Millora de les característiques superficials del ferm i reestudi de la secció transversal. Ctra. C-35 del pk 49,860 al 55,450. Tram: Vilalba Sasserra-Sant Celoni.</t>
  </si>
  <si>
    <t>CSS. MB-14021.1</t>
  </si>
  <si>
    <t>Coordinació de seguretat i salut de les obres de millora local. Seguretat viària. Millora de les característiques superficials del ferm i reestudi de la secció transversal. Ctra. C-35 del pk 49,860 al 55,450. Tram: Vilalba Sasserra-Sant Celoni. Lots 1 i 2</t>
  </si>
  <si>
    <t>EV. E1-MA-21900</t>
  </si>
  <si>
    <t>Assistència tècnica per a la redacció del seguiment de les finques gestionades als Secans Orientals. Mesures correctores i compensatòries del regadiu del sistema Segarra-Garrigues. Campanya 2021-20222.</t>
  </si>
  <si>
    <t>EV. E2-MA-21900</t>
  </si>
  <si>
    <t>Assistència tècnica per a la redacció del seguiment de les finques gestionades als Secans Occidentals. Mesures correctores i compensatòries del regadiu del sistema Segarra-Garrigues. Campanya 2021-2022.</t>
  </si>
  <si>
    <t>PC. MG-03053-A2</t>
  </si>
  <si>
    <t>Redacció del projecte constructiu d'ordenació d'accessos i adequació a l'entorn urbà a la C-253, del pk 46,260 al 18,620. Calonge.</t>
  </si>
  <si>
    <t>EV. E3-MA-21900</t>
  </si>
  <si>
    <t>Redacció de l'estudi i seguiment. Cens de mascles de sisó en Àrees pilot dels secans orientals i els regs històrics del Canalet de Tàrrega. Mesures correctores i compensatòries del regadiu del sistema Segarra-Garrigues. Campanya 2021-2022.</t>
  </si>
  <si>
    <t>EV. E4-MA-21900</t>
  </si>
  <si>
    <t>Redacció de l'estudi i seguiment de la població de xoriguer petit de la Plana de Lleida, anàlisi de l'ocupació de torres i caixes niu. Mesures correctores i compensatòries del regadiu del sistema Segarra-Garrigues. Campanya 2021-2022.</t>
  </si>
  <si>
    <t>11/12/20 anul·lació</t>
  </si>
  <si>
    <t>19/02/20 anul·lació</t>
  </si>
  <si>
    <t>17/06/20 desistiment</t>
  </si>
  <si>
    <t>PC. SPD-20320</t>
  </si>
  <si>
    <t>Contracte de serveis per a l'assistència tècnica per a la redacció del projecte de desplegament xarxa de fibra òptica. Bloc Penedès - C. Barberà.</t>
  </si>
  <si>
    <t>DO. R0-17208</t>
  </si>
  <si>
    <t>Direcció de les obres de migració del Post de Comandament Central i Telecomandaments de la Línia 9 i telecomandament d'Estacions de Línies Convencionals. Metro de Barcelona.</t>
  </si>
  <si>
    <t>CSS. R0-17208</t>
  </si>
  <si>
    <t>Coordinació de seguretat i salut de les obres del projecte constructiu de migració del Post de Comandament Central i Telecomandaments de Línia 9 i Telecomandament d'Estacions de Línies Convencionals. Metro de Barcelona. Lot 1 i Lot 2.</t>
  </si>
  <si>
    <t>CQ. R0-17208</t>
  </si>
  <si>
    <t>Control de qualitat de les obres de migració del Post de Comandament Central i Telecomandaments de la Línia 9 i telecomandament d'Estacions de Línies Convencionals. Metro de Barcelona.</t>
  </si>
  <si>
    <t>PC. SPD-20312</t>
  </si>
  <si>
    <t>Contracte de serveis per a l'assistència tècnica per a la redacció del projecte de desplegament xarxa de fibra òptica. Bloc  Zona Balaguer.</t>
  </si>
  <si>
    <t>PC. SPD-20313</t>
  </si>
  <si>
    <t>Contracte de serveis per a l'assistència tècnica per a la redacció del projecte de desplegament xarxa de fibra òptica. Bloc  Zona Guissona.</t>
  </si>
  <si>
    <t>Diferència 2020-2021</t>
  </si>
  <si>
    <t>Repetides</t>
  </si>
  <si>
    <t>PC. SPD-20314</t>
  </si>
  <si>
    <t>Contracte de serveis per a l'assistència tècnica per a la redacció del projecte de desplegament xarxa de fibra òptica. Bloc Berguedà.</t>
  </si>
  <si>
    <t>PC. SPD-20317</t>
  </si>
  <si>
    <t>Contracte de serveis per a l'assistència tècnica per a la redacció del projecte de desplegament xarxa de fibra òptica. Bloc Central.</t>
  </si>
  <si>
    <t>PC. SPD-20315</t>
  </si>
  <si>
    <t>Contracte de serveis per a l'assistència tècnica per a la redacció del projecte de desplegament xarxa de fibra òptica. Bloc Zona Riopllès.</t>
  </si>
  <si>
    <t>PC. AB-08021.1</t>
  </si>
  <si>
    <t>Contracte de serveis per a la redacció del projecte constructiu. Eixamplament i millora del traçat a la C-26 del pk 129,960 al 142,800. L'Espunyola-Avià.</t>
  </si>
  <si>
    <t>EG. EG27</t>
  </si>
  <si>
    <t>IA. IA-AL-02134-A1</t>
  </si>
  <si>
    <t>Assistència tècnica per a la redacció de l'estudi d'impacte ambiental del condicionament del Pas de Comiols a l'L-512 i la C-1412b. Artesa de Segre-Isona i Conca Dellà.</t>
  </si>
  <si>
    <t>PC. AL-02134.1-A1</t>
  </si>
  <si>
    <t>Assistència tècnica per a la redacció del projecte constructiu de condicionament del Pas de Comiols a l'L-512 i C-1412b. Artesa de Segre.</t>
  </si>
  <si>
    <t>EI. EI-VB-10035-A1</t>
  </si>
  <si>
    <t>Serveis per a la redacció del 'estudi informatiu. Varinat a la B-231, del pk 0,600 al 3,400. Esparreguera.</t>
  </si>
  <si>
    <t>EI. EI-AB-08021.2</t>
  </si>
  <si>
    <t>Serveis per a la redacció de l'estudi informatiu. Eixamplament i millora del traçat a la C-26 del pk 141,800 al 144,050. Avià - Berga.</t>
  </si>
  <si>
    <t>CQ. PC.CMB-17103</t>
  </si>
  <si>
    <t>Assistència tècnica de Control de Qualitat de les obres de la rotonda a la intersecció de l'N-II al pk 647,685 amb el Camí Ral El Ravalet i obres complementàries.</t>
  </si>
  <si>
    <t>DO. PC.CMB-17103</t>
  </si>
  <si>
    <t>Direcció de les obres de la rotonda a la intersecció de l'N-II al pk 647,685 amb el Camí Ral El Ravalet i obres complementàries. Mataró.</t>
  </si>
  <si>
    <t>CSS. PC.CMB-17103</t>
  </si>
  <si>
    <t>Assistència tècnica de coordinacio de seguretat i salut de les obres de la rotonda a la intersecció de l'N-II al pk 647,685 amb el Camí Ral El Ravalet i obres complementàries. Mataró.</t>
  </si>
  <si>
    <t>Direcció d'execució de les obres d'instal·lació solar fotovoltaica de 86 KWn per autoconsum a la coberta de la Seu Corporativa d'Infraestructures. cat.</t>
  </si>
  <si>
    <t>PC. PC-CPC-20079</t>
  </si>
  <si>
    <t>Contracte de serveis per a la redacció del projecte constructiu. Eixamplament i millora del traçat de la B-420 del pk 9,390 al 13,920, intersecció amb la C-26. Navès-l'Espunyola.</t>
  </si>
  <si>
    <t>CQ. IAM-16251</t>
  </si>
  <si>
    <t>Control de qualitat de les bores de 1a fase: Substitució edifici C per a cicles formatius: mecànica, transport i manteniment de vehicles, instal·lació i manteniment, química, a l'Institut de Mollet del Vallès.</t>
  </si>
  <si>
    <t>CSS. IAM-16251</t>
  </si>
  <si>
    <t>Assitència tècnica de coordiació de seguretat i salut de les obres de 1a fase: Substitució edifici C per a cicles formatius: mecànica, transport i manteniment de vehicles, instal·lació i manteniment, química, a l'Institut de Mollet del Vallès.</t>
  </si>
  <si>
    <t>PC. PC-CGE-20078</t>
  </si>
  <si>
    <t>Contracte de serveis per a la redacció del projecte constructiu. Adequació dels sistemes de contenció de vehicles a la T-340, TV-3022, TV-3319, TV-3403, TV-3405, TV-3454 i TV-7231.</t>
  </si>
  <si>
    <t>DE. IAM-16251</t>
  </si>
  <si>
    <t>Assitència tècnica per a la direcció d'execució de les obres de 1a fase: Substitució edifici C per a cicles formatius: mecànica, transport i manteniment de vehicles, instal·lació i manteniment, química, a l'Institut de Mollet del Vallès.</t>
  </si>
  <si>
    <t>EV. E6-MA-21900</t>
  </si>
  <si>
    <t>Assistència tècnica per la planificació de la gestió la campanya 2021-2022 en les finques de compensació de l'àmbit del Regadiu Segarra-Garrigues.</t>
  </si>
  <si>
    <t>CSS. PNL-17265</t>
  </si>
  <si>
    <t>Coordinació de seguretat i salut de les obres del projecte de nova construcció Escola 4 unitats a l'Escola Ramón Perelló de Vilagrassa (Urgell). Lot 1: Nova construcció escola 4 unitats (excepte urbanització). Lot 2: Urbanització exterior.</t>
  </si>
  <si>
    <t>DE. PNL-17265</t>
  </si>
  <si>
    <t>Direcció d'execució de les obres del projecte de nova construcció Escola 4 unitats a l'Escola Ramón Perelló de Vilagrassa (Urgell).</t>
  </si>
  <si>
    <t>CQ. PNL-17265</t>
  </si>
  <si>
    <t>Control de qualitat de les obres del projecte de nova construcció Escola 4 unitats a l'Escola Ramón Perelló de Vilagrassa (Urgell).</t>
  </si>
  <si>
    <t>PE+DF. JSX-20302</t>
  </si>
  <si>
    <t>Redacció del projecte executiu i la posterior direcció facultativa de les obres RAM per a la construcció del Memorial del Camp de la Bota "Bosc d'empremtes", en el districte Diagonal-Besòs de Barcelona.</t>
  </si>
  <si>
    <t>EV. EA. JS-19254</t>
  </si>
  <si>
    <t>Assistència tècnica per a la redacció del document ambiental del projecte d'adequació de l'emissari submarí Vila-seca / Salou i instal·lacions de sanejament en alta afectades per l'ampliació del Port de Tarragona.</t>
  </si>
  <si>
    <t>PC. RE-16041-C1</t>
  </si>
  <si>
    <t>Assistència tècnica per a la redacció del projecte complementari núm. 1 de rotonda a la TV-3454 al pk 11,100 i adequació dels sistemes de contenció de vehicles del pk 7,500 al 15,700. Deltebre.</t>
  </si>
  <si>
    <t>E4. JVX-20252</t>
  </si>
  <si>
    <t>Redacció de l'Estudi previ d'aixecament de plànols d'arquitectura i instal·lacions, realitzacío d'ITE i Certificació Energètica del Centre Penitenciari Ponent, el Centre Obert Lleida, el C. Penitenciari Wad Ras, el C. Obert de Barcelona 2, C. Obert Girona</t>
  </si>
  <si>
    <t>EV. ES-MA-21900</t>
  </si>
  <si>
    <t>Serveis per a la redacció de l'Estudi i seguiment de la població d'esparver cendrós a la Plana de Lleida, localització de nius. Mesures correctores i compensatòries del regadiu del sistema Segarra-Garrigues. Campanya 2021-2022.</t>
  </si>
  <si>
    <t>EV. EX.CAB-17038</t>
  </si>
  <si>
    <t>Serveis per a l'assistència tècnica per a la redacció del document ambiental del condicionament del tercer carrir de la C-16 del pk 22,000 al 23,800. Terrassa.</t>
  </si>
  <si>
    <t>PE+DO. CLT-18323</t>
  </si>
  <si>
    <t>Redacció del projecte bàsic i executiu i la posterior direcció d'obra de construccio del nou Consultori Local de Cabrils.</t>
  </si>
  <si>
    <t>CSS. MG-14079-C1</t>
  </si>
  <si>
    <t>Serveis per a l'assistència tècnica de coordinació de seguretat i salut de les obres del projecte complementari núm. 1 d'estabilització de talús a l'N-141e, pk 111,170. Bescanó.</t>
  </si>
  <si>
    <t>DO. MG-14079-C1</t>
  </si>
  <si>
    <t>DE. PNT-17275</t>
  </si>
  <si>
    <t>Serves per a l'assistència tècnica per a la direcció d'execució de les obres de nova construcció Escola 1 línia a Maspujols (Baix Camp).</t>
  </si>
  <si>
    <t>Serveis per a la direcció de les obres del projecte complementari núm. 1 d'estabilització de talús a l'N-141e, pk 111,170. Bescanó.</t>
  </si>
  <si>
    <t>CQ. RAM-21900</t>
  </si>
  <si>
    <t>Serveis per a l'assistència tècnica de control de qualitat de les obres RAM 2021 del Departament d'Educació. 4 lots.</t>
  </si>
  <si>
    <t>CQ. PNT-17275</t>
  </si>
  <si>
    <t>Serveis per a l'assistència tècnica de control de qualitat de les obres de nova construcció Escola 1 línia a Maspujols (Baix Camp).</t>
  </si>
  <si>
    <t>CSS. PNT-17275</t>
  </si>
  <si>
    <t>Serveis per a l'assistència tècnica de coordinació de seguretat i salut de les obres de nova construcció Escola 1 línia a Maspujols (Baix Camp). Lot 1: Nova construcció. Lot 2: Urbanització exterior.</t>
  </si>
  <si>
    <t>EV.E16-TM-02609</t>
  </si>
  <si>
    <t>Contracte de serveis per a l'assistència tècnica per a la redacció del "Pla General d'Obsolescència 2021 de la L9 del Metro de Barcelona".</t>
  </si>
  <si>
    <t>PC. PCR-20286</t>
  </si>
  <si>
    <t>Contracte de serveis per a l'assistència tècnica per a la redacció del Projecte Constructiu. Instal·lació de camps de boies ecològiques al Parc Natural del Cap de Creus.</t>
  </si>
  <si>
    <t>Contracte de serveis per a l'assistència tècnica per a la redacció del Dictamen estructural i estudi de patologies de les edificacions prefabricades en els Centres Penitenciaris de Brians 1 i de Quatre Camins.</t>
  </si>
  <si>
    <t>E1. JVV-20270</t>
  </si>
  <si>
    <t>CQ. ME-15057</t>
  </si>
  <si>
    <t>Contracte de serveis per a l'assistència tècnica de control de qualitat de les obres de millora local. Millora de nus. Millora d'intersecció a la carretera C-12, PK 79+490. Tram: Ascó.</t>
  </si>
  <si>
    <t>DO. ME-15057</t>
  </si>
  <si>
    <t>Contracte de serveis per a la direcció de les obres de millora local. Millora de nus. Millora d'intersecció a la carretera C-12, PK 79+490. Tram: Ascó.</t>
  </si>
  <si>
    <t>CSS. ME-15057</t>
  </si>
  <si>
    <t>Contracte de serveis per a l'assistència tècnica de coordinació de seguretat i salut de les obres de millora local. Millora de nus. Millora d'intersecció a la carretera C-12, PK 79+490. Tram: Ascó.</t>
  </si>
  <si>
    <t>DO. AL-02134.1-AA</t>
  </si>
  <si>
    <t>Direcció de les obres de millora general. Condicionament del pas de Comiols. Ctres. C-14,L-512 i C-1412b. Del pk 104,700 de la C-14 fins el pk 1,140 de l'L-512. Tram: Artesa de Segre.</t>
  </si>
  <si>
    <t>EP. EP54</t>
  </si>
  <si>
    <t>Contracte de serveis per a l'Assistència tècnica per a la realització dels treballs de topografia i de replanteig de projectes corresponents als estudis i projectes d'obra civil i d'edificació.</t>
  </si>
  <si>
    <t>CSS. AL-02134.1-AA</t>
  </si>
  <si>
    <t>Assistència tècnica de coordinació de seguretat i salut de les obres de Millora general. Condicionament del pas de Comiols. Ctres. C-14,L-512 i C-1412b. Del pk 104,700 de la C-14 fins el pk 1,140 de l'L-512. Tram: Artesa de Segre.</t>
  </si>
  <si>
    <t>CQ. AL-02134.1-AA</t>
  </si>
  <si>
    <t>Assistència tècnica de control de qualitat de les obres de Millora general. Condicionament del pas de Comiols. Ctres. C-14,L-512 i C-1412b. Del pk 104,700 de la C-14 fins el pk 1,140 de l'L-512. Tram: Artesa de Segre.</t>
  </si>
  <si>
    <t>CQ. ICF 19294</t>
  </si>
  <si>
    <t>Serveis per a l'assistència tècnica per al control de qualitat de les obres de reforma de la planta primera i zones comunes de la planta primera, segona i tercera de l'edifici situat a la Via Augusta 252 de Barcelona.</t>
  </si>
  <si>
    <t>DE. ICF 19294</t>
  </si>
  <si>
    <t>Serveis per a la direcció d'execució de les obres de reforma de la planta primera i zones comunes de la planta primera, segona i tercera de l'edifici situat a la Via Augusta 252 de Barcelona.</t>
  </si>
  <si>
    <t>CSS. ICF 19294</t>
  </si>
  <si>
    <t>Serveis per a l'assistència tècnica de coordinació de seguretat i salut de les obres de reforma de la planta primera i zones comunes de la planta primera, segona i tercera de l'edifici situat a la Via Augusta 252 de Barcelona.</t>
  </si>
  <si>
    <t>PC. PC-CIE-20092</t>
  </si>
  <si>
    <t>Contracte de serveis per a la redacció del projecte constructiu. Millora de característiques superficials i reestudi de secció transversal a la C-12 del pk 34,500 al 40,900. Xerta-Benifallet.</t>
  </si>
  <si>
    <t>PC. PC-CIE-20093</t>
  </si>
  <si>
    <t>Contracte de serveis per a la redacció del projecte constructiu. Millora de característiques superficials i reestudi de secció transversal a la C-12 del pk 56,400 al 61,500. Ginestar-Móra la Nova.</t>
  </si>
  <si>
    <t>PC. PC-CIE-20094</t>
  </si>
  <si>
    <t>Contracte de serveis per a la redacció del projecte constructiu. Millora de característiques superficials i reestudi de secció transversal a la C-12 del pk 79,600 al 86,100. Ascó-Flix.</t>
  </si>
  <si>
    <t>PC. PC-CPT-18198</t>
  </si>
  <si>
    <t>Contracte de serveis per a la redacció del projecte constructiu. Millora de l'accés a Mas del Plata a la C-37 al pk 23,000. Cabra del Camp.</t>
  </si>
  <si>
    <t>CSS. TM-00509.4B-M5 F1</t>
  </si>
  <si>
    <t>Coord. S.S. de les obres del projecte modificat núm. 5 de la Línia 9 de Metro de Barcelona. Tram 3r Zona Universitària - Sagrera Meridiana. Estacions Prat de la Riba, Sarrià, Mandri i Pous de Ventilació. Fase 1: Cobriment estació Mandri.</t>
  </si>
  <si>
    <t>Contracte de serveis per a l'assistència tècnica per a la redacció del projecte executiu i l'estudi de seguretat i salut i la posterior Dir. Facult. de les obres RAM 2021 als Serveis Territorials a les Terres de l'Ebre (II): Escola Sant Salvador (Godall).</t>
  </si>
  <si>
    <t>E1. JVX-20253</t>
  </si>
  <si>
    <t>Assistència tècnica per a la redacció del dictament estructural i estudi de patologies del Centre Penitenciari de Brians 1.</t>
  </si>
  <si>
    <t>E1. JVX-20254</t>
  </si>
  <si>
    <t>Assistència tècnica per a la redacció del dictament estructural i estudi de patologies del Centre Penitenciari de Quatre Camins.</t>
  </si>
  <si>
    <t>EX-MB-14021.1</t>
  </si>
  <si>
    <t>Redacció de l'estudi d'auditoria de seguretat de les obres de millora local. Seguretat viària. Millora de les característiques superficials del ferm i reestudi de la secció transversal. Ctra. C-35 del pk 49,860 al 55,450. Tram: Vilalaba Sasserra-S. Celoni</t>
  </si>
  <si>
    <t>CSS. CAP-17281</t>
  </si>
  <si>
    <t>Assistència tècnica de coordinació de seguretat i salut de les obres del projecte executiu d'ampliació i reforma del Centre d'Atenció Primària de Tona.</t>
  </si>
  <si>
    <t>CQ. CAP-17281</t>
  </si>
  <si>
    <t>Assistència tècnica de control de qualitat de les obres del projecte executiu d'ampliació i reforma del Centre d'Atenció Primària de Tona.</t>
  </si>
  <si>
    <t>DE. CAP-17281</t>
  </si>
  <si>
    <t>Direcció d'execució de les obres del projecte executiu d'ampliació i reforma del Centre d'Atenció Primària de Tona.</t>
  </si>
  <si>
    <t>PC. RO-21219</t>
  </si>
  <si>
    <t>Redacció del projecte constructiu per a la renovació de l'enllumenat del tarrer de la Zona Franca i d'una part de la ventilació del taller de Can Zam de la L9 del metro de Barcelona.</t>
  </si>
  <si>
    <t>PC. XB-16010 (AMPL)</t>
  </si>
  <si>
    <t>E1. JVP-20245</t>
  </si>
  <si>
    <t>PC. R0-21220</t>
  </si>
  <si>
    <t>PE+DO. PGB-19202</t>
  </si>
  <si>
    <t>PE+DO. JVP-20243</t>
  </si>
  <si>
    <t>Contracte de serveis per a l'assistència tècnica per a la redacció del Projecte Constructiu "Millora local. Via verda a la carretera BV-4501, del PK 2+470 (parc de l'Agulla) al 5+960. Tram: Manresa - Santpedor".</t>
  </si>
  <si>
    <t>Redacció del Programa funcional de Seguretat per als Centres Penitenciaris de Catalunya, i l'estudi d'adaptació dels centres penitenciaris de Quatre Camins, Brians 1, Brians 2 i Ponent als requeriments de seguretat definits en aquest programa funcional.</t>
  </si>
  <si>
    <t>Contracte de serveis per a l'assistència tècnica per a la redacció del Projecte constructiu de renovació del sistema de protecció contra incendis de la L9 de metro de Barcelona.</t>
  </si>
  <si>
    <t>Concurs de projectes per a l'assistència tècnica per a la redacció del projecte bàsic i executiu i la posterior direcció de les obres del Nou edifici tècnic de Regió a Sant Fruitós del Bages.</t>
  </si>
  <si>
    <t>Redacció del projecte i la posterior direcció de les obres de l'Actualització del projecte d'Obres RAM de rehabilitació i reforma de la Infermeria, Atenció primària, salut mental i farmàcia del Centre Penitenciari de Quatre Camins.</t>
  </si>
  <si>
    <t>PC. PC-CPB-20090</t>
  </si>
  <si>
    <t>PC. PC-BNB-20084</t>
  </si>
  <si>
    <t>PC. RAE-21201</t>
  </si>
  <si>
    <t>CQ. CGM-17252</t>
  </si>
  <si>
    <t>DE. CGM-17252</t>
  </si>
  <si>
    <t>PE+DF. JVX-20306</t>
  </si>
  <si>
    <t>PE+DF. VBM-21217</t>
  </si>
  <si>
    <t>CSS. CGM-17252</t>
  </si>
  <si>
    <t>Contracte de serveis per a l'assistència tècnica per a la redacció del projecte constructiu "Rotonda a la B-140 al PK 1+250. Sabadell - Barberà del Vallès".</t>
  </si>
  <si>
    <t>Contracte de serveis per a la redacció del projecte constructiu "Via ciclista a la C-31 del PK 186+110 al 186+485. Gavà - Viladecans".</t>
  </si>
  <si>
    <t>Contracte de serveis per a l'assistència tècnica per a la redacció del projecte constructiu. Restauració Ambiental de l'activitat extractiva "Can Magí Vidal" a El Montmell. Baix Penedès.</t>
  </si>
  <si>
    <t>Contracte de serveis per a l'assistència tècnica de control de qualitat de les Obres RAM d'adaptació per autoconsum d'instal·lacions fotovoltaiques i canvis d'enllumenat exterior a sistema LED a diverses comissaries de mossos.</t>
  </si>
  <si>
    <t>Contracte de serveis per a la direcció d'execució de les obres RAM d'adaptació per autoconsum d'instal·lacions fotovoltaiques i canvis d'enllumenat exterior a sistema LED a diverses comissaries de mossos.</t>
  </si>
  <si>
    <t>Assistència tècnica per a la redacció del projecte bàsic i executiu i la posterior direcció facultativa de les obres RAM de reforma de l'envolupant i les instal·lacions de climatització, PDCI, CCTV, intrusió i megafonia de la seu Judicial de Cervera.</t>
  </si>
  <si>
    <t>Assistència tècnica per a la redacció del projecte bàsic i executiu i la posterior direcció facultativa de les obres RAM de reforma, adaptació i mesures correctores a de la Seu del Departament d'Interior per la obtenció de la llicència ambiental Fase 2.</t>
  </si>
  <si>
    <t>Assistència tècnica de coordinació de seguretat i salut del projecte d'execució per a les obres RAM d'adaptació per autoconsum d'instal·lacions fotovoltaiques i canvis d'enllumenat exterior a sistema LED a diverses comissaries de mossos.</t>
  </si>
  <si>
    <t>ATAM. AL-02134.1-AA</t>
  </si>
  <si>
    <t>PC. MG-06156.1</t>
  </si>
  <si>
    <t>CSS. PC-CMB-17044-AA</t>
  </si>
  <si>
    <t>CQ. PC-CMB-17044-AA</t>
  </si>
  <si>
    <t>DO. PC-CMB-17044-AA</t>
  </si>
  <si>
    <t>Contracte de serveis per a l'Assistència Tècnica Ambiental de les obres de millora general. Condicionament del pas de Comiols. Carreteres C-14, L-512 i C-1412b. Del PK 104+700 de la C-14 fins el PK 1+140 de l'L-512. Tram: Artesa de Segre.</t>
  </si>
  <si>
    <t>Redacció del projecte constructiu de passera sobre la riera d'Ardenya i formació d'itinerari de vianants a la GI-503, pk 9,300. Maçanet de Cabrenys.</t>
  </si>
  <si>
    <t>Coord. S.S. de les obres del projecte constructiu de millora local. Seguretat viària. Reestudi de la secció transversal i millora de diversos elements funcionals de la ctra Bp-1417, del pk 0,000 al 11,460. Tram: Barceloa-Sant Cugat del Vallès. 2 lots.</t>
  </si>
  <si>
    <t>Control de qualitat d'obres del projecte constructiu de millora local. Seguretat viària. Reestudi de la secció transversal i millora de diversos elements funcionals de la ctra Bp-1417, del pk 0,000 al 11,460. Tram: Barceloa-Sant Cugat del Vallès. 2 lots.</t>
  </si>
  <si>
    <t>Direcció de les obres de millora local. Seguretat viària. Reestudi de la secció transversal i millora de diversos elements funcionals de la ctra Bp-1417, del pk 0,000 al 11,460. Tram: Barceloa-Sant Cugat del Vallès. 2 lots.</t>
  </si>
  <si>
    <t>DO. VX-16278</t>
  </si>
  <si>
    <t>PE+DF. PCR-21225</t>
  </si>
  <si>
    <t>Serveis per a la direcció de les obres del projecte constructiu de la modernització del reg a la zona dels Torrents de Valls. Fase 2.</t>
  </si>
  <si>
    <t>Redacció del projecte bàsic i executiu i la posterior direcció facultativa de les obres RAM de reforma per l'adequació del CAT de Vilajuïga com a nova Seu del Parc Natural de Cap de Creus.</t>
  </si>
  <si>
    <t>DE. S17-INV-02542 (VO1)</t>
  </si>
  <si>
    <t>CQ. JJV-18286.1</t>
  </si>
  <si>
    <t>PC. PC-CPG-21003</t>
  </si>
  <si>
    <t>CQ. S17-INV-02542 (VO1)</t>
  </si>
  <si>
    <t>DO. S17-INV-02542 (VO1)</t>
  </si>
  <si>
    <t>E1. JVX-20274</t>
  </si>
  <si>
    <t>CQ. VX-16278</t>
  </si>
  <si>
    <t>DE. JJV-18286.1</t>
  </si>
  <si>
    <t>PC. MB-15028-C1</t>
  </si>
  <si>
    <t>CSS. JJV-18286.1</t>
  </si>
  <si>
    <t>ATAM. VX-16278</t>
  </si>
  <si>
    <t>CSS. VX-16278</t>
  </si>
  <si>
    <t>Direcció d'execució de les obres de rehabilitació de soleres i espais afectats per acció d'escòries siderúrgiques a l'IES Rovira i Forns de Santa Perpètua de la Mogoda.</t>
  </si>
  <si>
    <t>Control de qualitat de l'execució de les obres d'adequació i reforma dels ascensor dels edificis judicials de Lleida, Tarragona, Girona, Tortosa i Mataró.</t>
  </si>
  <si>
    <t>Redacció del projecte constructiu "Eixample i ordenació d'accessos a la GI-555 del pk 0,000 a l'1,350. Sils.</t>
  </si>
  <si>
    <t>Control de qualitat de les obres de rehabilitació de soleres i espais afectats per acció d'escòries siderúrgiques a l'IES Rovira i Fonrs de Santa Perpètua de la Mogoda.</t>
  </si>
  <si>
    <t>Direcció de les obres de rehabilitació de soleres i espais afectats per acció d'escòries siderúrgiques a l'IES Rovira i Fonrs de Santa Perpètua de la Mogoda.</t>
  </si>
  <si>
    <t>Assistència tècnica per a la redacció del Dictamen estructural i estudi de patologies del Centre Penitenciari de Ponent situat a la ciutat de Lleida.</t>
  </si>
  <si>
    <t>Assistència tècnica de control de qualitat de les obres del projecte constructiu de la modernització del reg a la zona dels Torrents de Valls.</t>
  </si>
  <si>
    <t>Direcció d'execució de les obres d'adequació i reforma dels ascensor dels edificis judicials de Lleida, Tarragona, Girona, Tortosa i Mataró.</t>
  </si>
  <si>
    <t>Redacció del projecte constructiu complementari d'instal·lació dels elements necessaris pel sistema de peatge virtual tancat a la C-58, a l'alçada del pk 24,000 de l'autopista C-16. Terrassa.</t>
  </si>
  <si>
    <t>Assistència tècnica de coordinació de seguretat i salut de les obres d'adequació i reforma dels ascensor dels edificis judicials de Lleida, Tarragona, Girona, Tortosa i Mataró.</t>
  </si>
  <si>
    <t>Assistència tècnica ambiental de les obres del projecte constructiu de la modernització del reg a la zona dels Torrents de Valls. Fase 2.</t>
  </si>
  <si>
    <t>Assistència tècnica de coordinacio de seguretat i salut de les obres del projecte constructiu de la modernització del reg a la zona dels Torrents de Valls. Fase 2.</t>
  </si>
  <si>
    <t>PE+DO HBB-18344</t>
  </si>
  <si>
    <t>Redacció del projecte bàsic i executiu i la posterior direcció de les obres de reforma de les plantes 1a i 3a (antics quiròfans) per a adequar-les a unitats d'hospitalització de l'Hospital de Bellvitge, de l'Hospitalet de Llobregat.</t>
  </si>
  <si>
    <t>PE+DO VGM-18352</t>
  </si>
  <si>
    <t>CQ. PC-CMG-18029-AA</t>
  </si>
  <si>
    <t>CQ. CAP-18201.A</t>
  </si>
  <si>
    <t>DO. PC-CMG-18029-AA</t>
  </si>
  <si>
    <t>DE. CAP-18201.A</t>
  </si>
  <si>
    <t>CSS. CAP-18201.A</t>
  </si>
  <si>
    <t>Serv. Per a l'assistència tècnica per a la Red. del Proj. Baàsic i executiu i la posterior direcció de les obres de Condicionament millora i posta en normativa de diverses infra. I serveis en el recient de l'Inst. de Seguretat Pública de CAT, ISPC 2019-20</t>
  </si>
  <si>
    <t>Control de qualitat de les obres de millora de la seguretat viària. Regulació semafòrica de la cruïlla de la C-252 amb el c/ Canonge Iglesias. C-252, pk 11,710. Verges.</t>
  </si>
  <si>
    <t>Control de qualitat de les obres d'ampliació i reforma del Centre d'Atenció Primària Doctor Josep Torner i Fors, de Malgrat de Mar.</t>
  </si>
  <si>
    <t>Direcció de les obres de millora de la seguretat viària. Regulació semafòrica de la cruïlla de la C-252 amb el c/ Canonge Iglesias. C-252, pk 11,710. Verges.</t>
  </si>
  <si>
    <t>Direcció d'execució de les obres d'ampliació i reforma del Centre d'Atenció Primària Doctor Josep Torner i Fors, de Malgrat de Mar.</t>
  </si>
  <si>
    <t>Assistència tècnica de coordinació de seguretat i salut de les obres d'ampliació i reforma del Centre d'Atenció Primària Doctor Josep Torner i Fors, de Malgrat de Mar.</t>
  </si>
  <si>
    <t>CSS. PC-CAB-17064</t>
  </si>
  <si>
    <t>CQ. PC-CAB-17064</t>
  </si>
  <si>
    <t>CQ. PGM-19259</t>
  </si>
  <si>
    <t>DO. PC-CAB-17064</t>
  </si>
  <si>
    <t>ATAM. PC-CAB-17064</t>
  </si>
  <si>
    <t>Assistència Tècnica de coordinació de seguretat i salut de les obres del projecte constructiu de millora general. Condicionament del vial entre la carretera B-300 al PK 16+210 i la carretera BV-3002 al PK 10+342, al límit comarcal. Tram: Pinós.</t>
  </si>
  <si>
    <t>Assistència Tècnica de control de qualitat de les obres del projecte constructiu de millora general. Condicionament del vial entre la carretera B-300 al PK 16+210 i la carretera BV-3002 al PK 10+342, al límit comarcal. Tram: Pinós.</t>
  </si>
  <si>
    <t>Control de qualitat de les obres del tancament i pavimentació dels patis exteriors i la cotxera del Parc de Bombers de Figueres.</t>
  </si>
  <si>
    <t>Direcció de les obres del projecte constructiu de millora general. Condicionament del vial entre la carretera B-300 al PK 16+210 i la carretera BV-3002 al PK 10+342, al límit comarcal. Tram: Pinós.</t>
  </si>
  <si>
    <t>Assistència tècnica ambiental de les obres del projecte constructiu de millora general. Condicionament del vial entre la carretera B-300 al PK 16+210 i la carretera BV-3002 al PK 10+342, al límit comarcal. Tram: Pinós.</t>
  </si>
  <si>
    <t>ATAM. TX-16249.A</t>
  </si>
  <si>
    <t>CSS. TX-16249.A</t>
  </si>
  <si>
    <t>DO. TX-16249.A</t>
  </si>
  <si>
    <t>CQ. TX-16249.A</t>
  </si>
  <si>
    <t>PC. RAE-21216</t>
  </si>
  <si>
    <t>Contracte de serveis per a l'assistència tècnica ambiental de les obres de mitigació del risc d'inundació al barri de la Salut del terme municipal de Salou (Tarragonès).</t>
  </si>
  <si>
    <t>Contracte de serveis per a l'assistència tècnica de coordinació de seguretat i salut de les obres del projecte constructiu de mitigació del risc d'inundació al barri de la Salut del terme municipal de Salou (Tarragonès).</t>
  </si>
  <si>
    <t>Contracte de serveis per a la direcció de les obres de mitigació del risc d'inundació al barri de La Salut del Terme Municipal de Salou (Tarragonès).</t>
  </si>
  <si>
    <t>Contracte de serveis per a l'assistència tècnica de control de qualitat de les obres de mitigació del risc d'inundació al barri de La Salut del Terme Municipal de Salou(Tarragonès).</t>
  </si>
  <si>
    <t>Contracte de serveis per a l'assistència tècnica per a la redacció del projecte constructiu. Restauració Ambiental de l'activitat extractiva "Pla de Bàscara" a Bàscara. Alt Empordà.</t>
  </si>
  <si>
    <t>DE. CCG-16233</t>
  </si>
  <si>
    <t>CSS. CCG-16233</t>
  </si>
  <si>
    <t>CQ. CCG-16233</t>
  </si>
  <si>
    <t>Direcció d'execució de les obres de nova construcció d'una comissaria de Districte de la Policia de la Generalitat-Mossos d'Esquadra a La Jonquera.</t>
  </si>
  <si>
    <t>Serveis per a l'assistència tècnica de coordinació de seguretat i salut de les obres de nova construcció d'una comissaria de Districte de la Policia de la Generalitat-Mossos d'Esquadra a La Jonquera.</t>
  </si>
  <si>
    <t>Serveis per a l'assistència tècnica de control de qualitat  de les obres de nova construcció d'una comissaria de Districte de la Policia de la Generalitat-Mossos d'Esquadra a La Jonquera.</t>
  </si>
  <si>
    <t>CQ. PC-CML-17082-AA</t>
  </si>
  <si>
    <t>CQ. JVP-18329</t>
  </si>
  <si>
    <t>DO. PC-CML-17082-AA</t>
  </si>
  <si>
    <t>CSS. PC-CML-17082-AA</t>
  </si>
  <si>
    <t>DE. JVP-18329</t>
  </si>
  <si>
    <t>CSS. JVP-18329</t>
  </si>
  <si>
    <t>Control de qualitat de les obres de millora local. Millora de traçat de l'accés a les pistes d'esquí del Port del Compte des de la carretera LV-4241 al pk 23,290. Tram: Coll de Jou (Guixers).</t>
  </si>
  <si>
    <t>Control de qualitat de les obres de la instal·lació elèctrica del Centre Penitenciari de Ponent a Lleida.</t>
  </si>
  <si>
    <t>Direcció de les obres de millora local. Millora de traçat de l'accés a les pistes d'esquí del Port del Compte des de la carretera LV-4241 al pk 23,290. Tram: Coll de Jou (Guixers).</t>
  </si>
  <si>
    <t>Coordinació de seguretat i salut de les obres de millora local. Millora de traçat de l'accés a les pistes d'esquí del Port del Compte des de la carretera LV-4241 al pk 23,290. Tram: Coll de Jou (Guixers).</t>
  </si>
  <si>
    <t>Direcció d'execució de les obres de la instal·lació elèctrica del Centre Penitenciari de Ponent a Lleida.</t>
  </si>
  <si>
    <t>Coordinació de seguretat i salut de les obres de la instal·lació elèctrica del Centre Penitenciari de Ponent a Lleida.</t>
  </si>
  <si>
    <t>26/04/21 DESISTIMENT</t>
  </si>
  <si>
    <t>CQ. PC-MB-06045-C1</t>
  </si>
  <si>
    <t>PE+DO. JVP-20243. Nova licitac</t>
  </si>
  <si>
    <t>DO. PC-MB-06045-C1</t>
  </si>
  <si>
    <t>PC. SPD-21241</t>
  </si>
  <si>
    <t>E1. GPV-17229.2</t>
  </si>
  <si>
    <t>PE+DO CAP-19250</t>
  </si>
  <si>
    <t>DO. TM-00509.2-C11.02</t>
  </si>
  <si>
    <t>CSS. TM-00509.2-C11.02</t>
  </si>
  <si>
    <t>CQ. TM-00509.2-C11.02</t>
  </si>
  <si>
    <t>Control de qualitat de les obres del projecte de millora local. Mesures correctores ambientals a la carretera B-402, del pk 15,500 al 16,000. Tram: La Pobla de Lillet.</t>
  </si>
  <si>
    <t>Direcció de les obres del projecte de millora local. Mesures correctores ambientals a la carretera B-402, del pk 15,500 al 16,000. Tram: La Pobla de Lillet.</t>
  </si>
  <si>
    <t>Redacció del projecte d'estesa de fibra òptica per canalització existent a la carretera GI-400 entre Alp i la connexió amb la N-260.</t>
  </si>
  <si>
    <t>Serveis per a l'assistència tècnica per a la redacció de l'estudi de l'assegurament de la qualitat del projecte executiu de la nova seu de la Delegació del Govern de la Generalitat de Catalunya a la Catalunya Central, a Manresa.</t>
  </si>
  <si>
    <t>Redacció del projecte bàsic i executiu i la posterior direcció de les obres del Nou Centre d'Atenció Primària d'Almenar.</t>
  </si>
  <si>
    <t>Contracte de serveis per a la direcció de les obres d'urbanització del carrer Anselm Riu, entre el Passeig Can Zam i el Carrer Edison. Santa Coloma de Gramenet.</t>
  </si>
  <si>
    <t>Contracte de serveis per a l'assistència tècnica de coordinació de seguretat i salut de les obres del projecte constructiu d'urbanització del carrer Anselm Riu, entre el Passeig Can Zam i el carrer Edison. Santa Coloma de Gramenet.</t>
  </si>
  <si>
    <t>Contracte de serveis per a l'assistència tècnica de control de qualitat de les obres d'urbanització del carrer Anselm Riu, entre el Passeig Can Zam i el carrer Edison. Santa Coloma de Gramenet.</t>
  </si>
  <si>
    <t>DO. HGG-17202.A</t>
  </si>
  <si>
    <t>Direcció obres, certificació eficiència energètica final obra i certif. exec. Instal. segons llicència ambiental de les obres d'instal·lacions de l'ampliació del bloc quirúrgic i de l'Hospital de dia oncològic (ICO) de l'Hospital Girona Dr. Josep Trueta.</t>
  </si>
  <si>
    <t>CQ. MB-15053</t>
  </si>
  <si>
    <t>CSS. MB-15053</t>
  </si>
  <si>
    <t>DO. MB-15053</t>
  </si>
  <si>
    <t>Control de qualitat de les obres del projecte constructiu de millora loca. Seguretat viària. Millora de les característiques superficials del ferm i reestudi de la secció transversal. Ctra. C-55, del pk 0,380 al 5,075. Abrera-Olesa de Montserrat.</t>
  </si>
  <si>
    <t>Coord. Seguretat i Salut de les obres del projecte constructiu de millora loca. Seguretat viària. Millora de les característiques superficials del ferm i reestudi de la secció transversal. Ctra. C-55, del pk 0,380 al 5,075. Abrera-Olesa de Montserrat.</t>
  </si>
  <si>
    <t>Direcció de les obres del projecte constructiu de millora loca. Seguretat viària. Millora de les característiques superficials del ferm i reestudi de la secció transversal. Ctra. C-55, del pk 0,380 al 5,075. Abrera-Olesa de Montserrat.</t>
  </si>
  <si>
    <t>PM. TM-00509. 4E-M2</t>
  </si>
  <si>
    <t>PC. SC. PAS-21237</t>
  </si>
  <si>
    <t>Redacció del projecte modificat 2 d'execució de les obres de la Línia 9 de Metro: Tram 3r Zona Universitària-Sagrera Meridiana. Complements d'estructura interior, via i catenària del túnel 3. Tram: Zona Universitària-Sagrera Meridiana.</t>
  </si>
  <si>
    <t>Redacció del Plec Conservació Ambiental. Conservació pistes forestals Parc Nacional d'Aigüestortes i Estany de Sant Maurici.</t>
  </si>
  <si>
    <t>PC. PC-CGB-20061</t>
  </si>
  <si>
    <t>Assistència tècnica per a la redacció del projecte constructiu "Mesures de seguretat viària a la C-243c. Itinerari per a vianants del PK 1+000 al PK 2+400, i construcció de cunetes trepitjables del PK 10+900 al 12+900. Castellbisbal - Terrassa".</t>
  </si>
  <si>
    <t>PC.TF-11225.F3</t>
  </si>
  <si>
    <t>PC.TF-11225.F2</t>
  </si>
  <si>
    <t>DO. SPD-20261.2</t>
  </si>
  <si>
    <t>PC.R0-21221</t>
  </si>
  <si>
    <t>DO. SPD-20264.1</t>
  </si>
  <si>
    <t>PC.TF-11225.F7</t>
  </si>
  <si>
    <t>DO. SPD-20259.1</t>
  </si>
  <si>
    <t>DO. SPD-20263.1+1</t>
  </si>
  <si>
    <t>DO. SPD-20323</t>
  </si>
  <si>
    <t>CSS. PRL-21001</t>
  </si>
  <si>
    <t>PC. TF-11225.F6</t>
  </si>
  <si>
    <t>Contracte de serveis per a l'assistència tècnica per a la redacció del projecte constructiu del perllongament de la línia Llobregat ¿ Anoia d'FGC a Barcelona. Plaça Espanya- Gràcia. Senyalització i enclavaments.</t>
  </si>
  <si>
    <t>Contracte de serveis per a l'assistència tècnica per a la redacció del projecte constructiu del perllongament de la línia Llobregat ¿ Anoia d'FGC a Barcelona. Plaça Espanya-Gràcia. Superestructura de via i catenària.</t>
  </si>
  <si>
    <t>Contracte de serveis per a la direcció de les obres de "troncal de fibra òptica, tram: Les Borges Blanques-Montblanc". Fase 2 (Ciutadilla-Solivella).</t>
  </si>
  <si>
    <t>Contracte de serveis per a l'assistència tècnica per a la redacció del Projecte constructiu de renovació per obsolescència d'equipaments per al sistema de videovigilància de la L9 de Metro de Barcelona.</t>
  </si>
  <si>
    <t>Contracte de serveis per a la direcció de les obres de "Xarxa de fibra òptica, tram: Magraners (Lleida) ¿ Móra la Nova (tram Lleida)". Tram: límit província LL-T ¿ Móra la Nova.</t>
  </si>
  <si>
    <t>Contracte de serveis per a l'assistència tècnica per a la redacció del projecte constructiu del perllongament de la Línia Llobregat - Anoia d'FGC a Barcelona. Plaça Espanya - Gràcia. Instal·lacions i arquitectura de l'estació de Gràcia.</t>
  </si>
  <si>
    <t>Contracte de serveis per a la direcció de les obres de "Xarxa de fibra òptica, tram: Reus - Valls".</t>
  </si>
  <si>
    <t>Contracte de serveis per a la direcció de les obres de "Xarxa de fibra òptica, tram: Lleida ¿ Móra la Nova". (Lleida). Fase 1 (Lleida-Alcanó). Clau: SPD-20263.1 i Fase 2 (Alcanó-Límit província).</t>
  </si>
  <si>
    <t>Contracte de serveis per a la direcció de les obres de "Xarxa de fibra òptica, tram: Borges Blanques ¿ Sant Martí de Riucorb".</t>
  </si>
  <si>
    <t>Contracte de serveis per a la Supervisió de la Prevenció de Riscos Laborals i de la Coordinació de la Seguretat i Salut de les obres de la Línia 9 del metro de Barcelona.</t>
  </si>
  <si>
    <t>Contracte de serveis per a l'assistència tècnica per a la redacció del projecte constructiu del perllongament de la Línia Llobregat - Anoia d'FGC a Barcelona. Plaça Espanya - Gràcia. Instal·lacions i arquitectura de l'estació de Francesc Macià.</t>
  </si>
  <si>
    <t>PC. TF-11225.F5</t>
  </si>
  <si>
    <t>PC. TF-11225.F4</t>
  </si>
  <si>
    <t>Contracte de serveis per a l'assistència tècnica per a la redacció del projecte constructiu del perllongament de la Línia Llobregat - Anoia d'FGC a Barcelona. Plaça Espanya - Gràcia. Instal·lacions i arquitectura de l'estació d'Hospital Clínic.</t>
  </si>
  <si>
    <t>Redacció del projecte constructiu del perllongament de la Línia Llobregat - Anoia d'FGC a Barcelona. Plaça Espanya - Gràcia. Alimentació elèctrica, comunicacions i instal·lacions no ferroviàries de túnel i sortides d'emergència.</t>
  </si>
  <si>
    <t>EV. EA. PSE-19401</t>
  </si>
  <si>
    <t>CSS. SPD-20264.1</t>
  </si>
  <si>
    <t>CSS. SPD-20259.1</t>
  </si>
  <si>
    <t>PC. PC-VL-03014</t>
  </si>
  <si>
    <t>PE+DF. JVX-20307</t>
  </si>
  <si>
    <t>CSS. SPD-20261.2</t>
  </si>
  <si>
    <t>CSS. SPD-20323</t>
  </si>
  <si>
    <t>PC. XC-15021.3</t>
  </si>
  <si>
    <t>ATAM. JC-19235 Lot 1 i Lot 2</t>
  </si>
  <si>
    <t>CQ. JC-19235 - Lot 1</t>
  </si>
  <si>
    <t>CQ. JC-19235 - Lot 2</t>
  </si>
  <si>
    <t>CSS. JC-19235</t>
  </si>
  <si>
    <t>DO. JC-19235 - Lot 2</t>
  </si>
  <si>
    <t>DO. JC-19235 - Lot 1</t>
  </si>
  <si>
    <t>Contracte de serveis per a la redacció de l'Estudi Ambiental. Recuperació i adequació ambiental de la Timoneda d'Alfés.</t>
  </si>
  <si>
    <t>Contracte de serveis per a l'assistència tècnica de coordinació de seguretat i salut de les obres del projecte constructiu de xarxa de fibra òptica. Tram: Magraners (Lleida) ¿ Móra la Nova (Tram Lleida). Tram: límit província LL-T ¿ Móra la Nova.</t>
  </si>
  <si>
    <t>Contracte de serveis per a l'assistència tècnica de coordinació de seguretat i salut de les obres del projecte constructiu de xarxa de fibra òptica. Tram: Reus - Valls.</t>
  </si>
  <si>
    <t>Contracte de serveis per a l'assistència tècnica per a la redacció del projecte constructiu "Variant de la C-233 des del PK 78+000 al 81+000. Vilanova de Bellpuig".</t>
  </si>
  <si>
    <t>Redacció del projecte bàsic i executiu i la posterior direcció facultativa de les obres RAM per la modernització del sistema de climatització, CCTV, intrusió, PDCI i megafonia, de l'edifici judicial de menors de Tarragona.</t>
  </si>
  <si>
    <t>Contracte de serveis per a l'assistència tècnica de coordinació de seguretat i salut de les obres del projecte constructiu de troncal de fibra òptica. Tram: Borges Blanques-Montblanc. Fase 2 (Ciutadilla-Solivella).</t>
  </si>
  <si>
    <t>Contracte de serveis per a l'assistència tècnica de coordinació de seguretat i salut de les obres del projecte constructiu de desplegament de la xarxa de fibra òptica. Troncal Borges Blanques - Sant Martí de Riucorb.</t>
  </si>
  <si>
    <t>Contracte de serveis per a l'assistència tècnica per a la redacció del projecte constructiu "Carril bici al llarg del Maresme. Arenys de Mar i Canet de Mar - Sant Pol de Mar".</t>
  </si>
  <si>
    <t>Contracte de serveis per a l'assistència tècnica ambiental de les obres del projecte constructiu del nou col·lector de salmorres. Conca del Llobregat. Ramal Llobregat. Tram: Abrera - Castellgalí. Lot 1 i Lot 2.</t>
  </si>
  <si>
    <t>Contracte de serveis per a l'assistència tècnica de control de qualitat de les obres del projecte constructiu del nou col·lector de salmorres. Conca del Llobregat. Ramal Llobregat. Tram Castellgalí - Abrera. Lot 1: Tram Castellgalí - El Cairat. Lot 1.</t>
  </si>
  <si>
    <t>Contracte de serveis per a l'assistència tècnica de control de qualitat de les obres del projecte constructiu del nou col·lector de salmorres. Conca del Llobregat. Ramal Llobregat. Tram Castellgalí - Abrera. Lot 2: Tram El Cairat - Abrera. Lot 2.</t>
  </si>
  <si>
    <t>Contracte de serveis per a l'assistència tècnica de coordinació de seguretat i salut de les obres del projecte constructiu del nou col·lector de salmorres. Conca del Llobregat. Ramal Llobregat. Tram: Abrera - Castellgalí. Lot 1 i Lot 2.</t>
  </si>
  <si>
    <t>Contracte de serveis per a la direcció de les obres del projecte constructiu del nou col·lector de salmorres. Conca del Llobregat. Ramal Llobregat. Tram Castellgalí - Abrera. Lot 2: Tram El Cairat - Abrera. Lot 2.</t>
  </si>
  <si>
    <t>Contracte de serveis per a la direcció de les obres del projecte constructiu del nou col·lector de salmorres. Conca del Llobregat. Ramal Llobregat. Tram Castellgalí - Abrera. Lot 1: Tram Castellgalí - El Cairat. Lot 1.</t>
  </si>
  <si>
    <t>PT-CIB-20095+PC-CIB-20095.F1</t>
  </si>
  <si>
    <t>CSS. SPD-20263.1+SPD-20263.2</t>
  </si>
  <si>
    <t>Redacció projecte de traçat i proj. Constructiu per al reestudi de la secció transversal de la B-140 del pk 2,220 al 5,440 i nou enllaç amb l'accés a l'AP-7 i B-142 a Polinyà al pk 4,750 de la B140. Sabadell-Santa Perpètua de la Mogoda....</t>
  </si>
  <si>
    <t>Assist. Tècnica conjunta de coordinació de seguretat i salut de les obres dels projectes constructius de xarxa de fibra òptica. Tram: Lleida-Móra la Nova (Lleida). Fase 1 (Lleida-Alcanó) i Fase 2 (Alcanó-límit província).</t>
  </si>
  <si>
    <t>PC. SPD-21244</t>
  </si>
  <si>
    <t>PC. PC-CGB-20091</t>
  </si>
  <si>
    <t>DO. UPA-18278</t>
  </si>
  <si>
    <t>CQ. UPA-18278</t>
  </si>
  <si>
    <t>PC. SPD-21243</t>
  </si>
  <si>
    <t>PM.TM-00509.5K-M1</t>
  </si>
  <si>
    <t>PC. PC-CGE-21010</t>
  </si>
  <si>
    <t>ES-MB-15053</t>
  </si>
  <si>
    <t>CSS. UPA-18278</t>
  </si>
  <si>
    <t>Contracte de serveis per a l'assistència tècnica per a la redacció del projecte de Troncal de Fibra Òptica entre les poblacions de Vilardida i Torredembarra.</t>
  </si>
  <si>
    <t>Contracte de serveis per a l'assistència tècnica per a la redacció del projecte constructiu "Passarel·la de vianants a l'N-II al PK 664+300. Sant Pol de Mar".</t>
  </si>
  <si>
    <t>Contracte de serveis per a la direcció de les obres del projecte constructiu d'enderroc, neteja del sòl i millora ambiental a la finca El Vinyet al terme municipal de Tarragona.</t>
  </si>
  <si>
    <t>Contracte de serveis per a l'assistència tècnica de control de qualitat de les obres del projecte constructiu d'enderroc, neteja del sòl i millora ambiental a la finca el Vinyet al terme municipal de Tarragona.</t>
  </si>
  <si>
    <t>Contracte de serveis per a l'assistència tècnica per a la redacció del Projecte de Troncal de Fibra Òptica entre els municipis de Vilaseca i Cambrils.</t>
  </si>
  <si>
    <t>Contracte de serveis per a l'assistència tècnica per a la redacció del projecte modificat 1 d'execució de les obres del projecte constructiu de pou Campus Nord de l'L9 de Metro de Barcelona. Pantalles.</t>
  </si>
  <si>
    <t>Contracte de serveis per a l'assistència tècnica per a la redacció del projecte constructiu "Estabilització de talussos a l'N-230b del PK 20+000 al 22+500, T-333 del PK 26+500 al 29+500 i T-330 del PK 17+500 a 22+500. Xerta-Horta Sant Joan".</t>
  </si>
  <si>
    <t>Redacció de l'estudi d'auditoria de seguretat de les obres de millora local. Seguretat viària. Millora de les característiques superficials del ferm i reestudi de la secció transversal. Carretera C-55, del PK 0+380 al 5+075. Abrera - Olesa de Montserrat.</t>
  </si>
  <si>
    <t>Contracte de serveis per a l'assistència tècnica de coordinació de seguretat i salut de les obres del projecte constructiu d'enderroc, neteja del sòl i millora ambiental a la finca el Vinyet al terme municipal de Tarragona.</t>
  </si>
  <si>
    <t>CQ. R0-17221.2</t>
  </si>
  <si>
    <t>PE+DF. JVX-15294.A</t>
  </si>
  <si>
    <t>DO. R0-17221.2</t>
  </si>
  <si>
    <t>CSS. R0-17221.2</t>
  </si>
  <si>
    <t>SDC. AT.FIBRA.21</t>
  </si>
  <si>
    <t>Control de Qualitat de les obres del projecte constructiu dels subsistemes electromecànics de l'L9 de metro de Barcelona d'acord amb les actuacions definides en el Pla General d'Obsolescència 2016. Subsistemes: PAE, TPA, PST, PCI, VEN, TRV i ILL.</t>
  </si>
  <si>
    <t>Contracte de serveis de redacció de l'actualització del projecte bàsic i executiu i la posterior direcció facultativa de les obres RAM per a l'obtenció de la llicència d'activitats de la seu de l'ASSEP a Ronda Sant Pere, 35 de Barcelona.</t>
  </si>
  <si>
    <t>Direcció de les obres del projecte constructiu dels subsistemes electromecànics de l'L9 de metro de Barcelona d'acord amb les actuacions definides en el Pla General d'Obsolescència 2016. Subsistemes: PAE, TPA, PST, PCI, VEN, TRV i ILL.</t>
  </si>
  <si>
    <t>Coord. de seguretat i salut de les obres del projecte constructiu dels subsistemes electromecànics de l'L9 de metro de Barcelona d'acord amb les actuacions definides en el Pla General d'Obsolescència 2016. Subsistemes: PAE, TPA, PST, PCI, VEN, TRV i ILL.</t>
  </si>
  <si>
    <t>Sistema dinàmic de contractació d'assistències tècniques per a les obres de desplegament de la xarxa de fibra òptica. Clau: SDC.AT.FIBRA.21</t>
  </si>
  <si>
    <t>CQ.R0-19262</t>
  </si>
  <si>
    <t>DO.R0-19262</t>
  </si>
  <si>
    <t>CSS. R0-19262</t>
  </si>
  <si>
    <t>Control de qualitat de les obres del Projecte constructiu per a la renovació i millora de la instal·lació de protecció contra incendis de la cua de maniobres de L9 sota la terminal 1 de l'aeroport de Barcelona.</t>
  </si>
  <si>
    <t>Contracte de serveis per a la Direcció de les obres del projecte constructiu per a la Renovació i millora de la instal·lació de protecció contra incendis de la cua de maniobres de L9 sota la terminal 1 de l'aeroport de Barcelona.</t>
  </si>
  <si>
    <t>Coordinació de seguretat i salut de les obres del projecte constructiu per a la renovació i millora de la instal·lació de protecció contra incendis de la cua de maniobres de L9 sota la terminal 1 de l'aeroport de Barcelona.</t>
  </si>
  <si>
    <t>PE+DO. CAP-18342</t>
  </si>
  <si>
    <t>PC. TM-11022-A1</t>
  </si>
  <si>
    <t>PC. SPD-21242</t>
  </si>
  <si>
    <t>PE+DO. HHB-17241</t>
  </si>
  <si>
    <t>EV. EXXXC-20082</t>
  </si>
  <si>
    <t>PE+DF. JVX-21238</t>
  </si>
  <si>
    <t>PC. PC-CPG-21004</t>
  </si>
  <si>
    <t>DO. HGG-17202.A (nova licit.)</t>
  </si>
  <si>
    <t>PC. XC-15021.4</t>
  </si>
  <si>
    <t>ES. JVX-20252</t>
  </si>
  <si>
    <t>DO.TM-00509.4F</t>
  </si>
  <si>
    <t>PM.TM-00509.4B-M6</t>
  </si>
  <si>
    <t>RCS.TM-00509.4+5</t>
  </si>
  <si>
    <t>Concurs de projectes per a l'assistència tècnica per a la redacció del projecte bàsic i executiu i la posterior direcció de les obres del nou Centre d'Atenció Primària Castelldefels-3, de Castelldefels. Clau: CAP-18342</t>
  </si>
  <si>
    <t>Contracte de serveis per a l'assistència tècnica per a la redacció del projecte constructiu actualitzat "Actuacions de millora de l'evacuació i de l'accessibilitat de l'intercanviador de l'estació de Plaça de Sants (L1 i L5 d'FMB)".</t>
  </si>
  <si>
    <t>Contracte de serveis per a l'assistència tècnica per a la redacció del projecte de troncal de fibra òptica entre els municipis d'Alcover i Mont-ral. Clau: SPD-21242</t>
  </si>
  <si>
    <t>Concurs de projectes per a la redacció del projecte bàsic i executiu i la posterior direcció de les obres de construcció del nou edifici per a usos ambulatoris a l'Hospital Vall d'Hebron, de Barcelona.</t>
  </si>
  <si>
    <t>Contracte de serveis per a l'assistència tècnica per a la redacció dels treballs de "Redacció dels annexos d'actualització d'estudis i projectes de Transports de la DGIM". Clau: EX-XXC-20082</t>
  </si>
  <si>
    <t>Contracte de serveis de redacció del projecte executiu i la posterior direcció facultativa de les obres RAM de substitució del sistema de climatització per al recinte de l'EATAV ubicat al c/ Canyeret 26 de Lleida.</t>
  </si>
  <si>
    <t>Redacció del projecte constructiu de la ordenació d'accessos i tractament de tram periurbà a la C-252 del pk 8,100 al 9,500. Ultramort.</t>
  </si>
  <si>
    <t>Direcció de les obres, certificació d'eficiència energètica de final d'obra i certifiació d'execució de les instal·lacions segons llicència ambiental de les obres d'instal·lacions de l'ampliació del bloc quirúrgic i de l'Hosp. de dia oncològic Girona.</t>
  </si>
  <si>
    <t>Redacció del projecte constructiu "Carril bici al llarg del Maresme. Sant Pol de Mar i Sant Pol de Mar-Calella.</t>
  </si>
  <si>
    <t>Redacció de l'estudi previ d'aixecament de plànols d'arquitectura i instal·lacions, realització d'ITE i Certificació Energètica dels Centres Educatius de l'Alzina, Til·lers, Oriol Badia, Can Llupià, El Segre i Montilivi.</t>
  </si>
  <si>
    <t>Direccio conjunta de les obres d'execució de les obres de túnel i de les obres addicionals del tram Zona Universitària-Sagrera Meridiana de la línia 9 de Metro de Barcelona.</t>
  </si>
  <si>
    <t>Redacció del projecte modificat núm. 6 de les obres de la Línia 9 de Metro de Barcelona. Tram 3r Zona Universitària-Sagrera Meridiana. Estacions Prat de la Riba, Sarrià, Mandri i Pous de Ventilació.</t>
  </si>
  <si>
    <t>Assistència tècnica per al seguiment i control conjunt de les obres de la Línia 9. Tram: 3r Zona Universitària-Sagrera Meridiana (túnel i estacions) i tram 2 obra subterrània estacions Motors i Camp Nou.</t>
  </si>
  <si>
    <t>Nova licitació 10/06/21</t>
  </si>
  <si>
    <t>Serveis per a l'assistència tècnica per a la redacció de l'estudi informatiu "Variant de la C-13 del pk 20,000 al 24,000. Térmens.</t>
  </si>
  <si>
    <t>EI. EI-VL-02137.2-A1</t>
  </si>
  <si>
    <t>Deserta. Nova licitació 5/07/21</t>
  </si>
  <si>
    <t>CSS. AB-01055-C3</t>
  </si>
  <si>
    <t>DO. AB-01055-C3</t>
  </si>
  <si>
    <t>CQ. AB-01055-C3</t>
  </si>
  <si>
    <t>Assistència tècnica de coordinació de seguretat i salut de les obres del projecte constructiu de millora local. Talussos. Estabilització de talussos. Carretera C-62. PK 10+350 al 32+600. Fase 2. Lot 1 i Lot 2. Tram: Olost - Olvan.</t>
  </si>
  <si>
    <t>Contracte de serveis per a la direcció de les obres de millora local. Talussos. Estabilització de talussos. Carretera C-62. PK 10+350 al 32+600. Fase 2. Tram: Olost - Olvan.</t>
  </si>
  <si>
    <t>Contracte de serveis per a l'assistència tècnica de control de qualitat de les obres de millora local. Talussos. Estabilització de talussos. Carretera C-62. PK 10+350 al 32+600. Fase 2. Tram: Olost - Olvan.</t>
  </si>
  <si>
    <t>DO. PC-CRG-17065</t>
  </si>
  <si>
    <t>CSS. PC-CRG-17065</t>
  </si>
  <si>
    <t>CQ. PC-CRG-17065</t>
  </si>
  <si>
    <t>Contracte de serveis per a la direcció de les obres del projecte constructiu de ferm. Millora del ferm i obres complementàries a la carretera GI-531, del PK 4+580 al 6+350. Tram: Sant Gregori.</t>
  </si>
  <si>
    <t>Contracte de serveis per a l'assistència tècnica de coordinació de seguretat i salut de les obres del projecte constructiu de ferm. Millora del ferm i obres complementàries a la carretera GI-531, del PK 4+580 al 6+350. Tram: Sant Gregori.</t>
  </si>
  <si>
    <t>Contracte de serveis per a l'assistència tècnica de control de qualitat de les obres del projecte constructiu de ferm. Millora del ferm i obres complementàries a la carretera GI-531, del PK 4+580 al 6+350. Tram: Sant Gregori.</t>
  </si>
  <si>
    <t>Imports 2020</t>
  </si>
  <si>
    <t>Diferència 19-20</t>
  </si>
  <si>
    <t>DE. JVX-21213</t>
  </si>
  <si>
    <t>CSS. JVX-21213</t>
  </si>
  <si>
    <t>EC. EC22</t>
  </si>
  <si>
    <t>CQ. JVX-21213</t>
  </si>
  <si>
    <t>DO. JVX-21213</t>
  </si>
  <si>
    <t>DE. PNG-17276</t>
  </si>
  <si>
    <t>CQ. PNG-17276</t>
  </si>
  <si>
    <t>PE+DO CAP-08500.A</t>
  </si>
  <si>
    <t>CSS. PNG-17276</t>
  </si>
  <si>
    <t>PE+DO. PAH-19244</t>
  </si>
  <si>
    <t>PC. PC-CFT-21019</t>
  </si>
  <si>
    <t>PC. PC-CFT-21020</t>
  </si>
  <si>
    <t>Contracte de serveis per a la direcció d'execució de les obres de la nova cuina en el Centre Penitenciari de Brians 1.</t>
  </si>
  <si>
    <t>Contracte de serveis per a l'assistència tècnica de coordinació de seguretat i salut de les obres de la nova cuina en el Centre Penitenciari de Brians 1.</t>
  </si>
  <si>
    <t>Contracte de serveis per a l'Assistència tècnica per a la realització dels treballs de cartografia corresponents als estudis i projectes d'obra civil que són encarregats pels Departaments de la Generalitat de Catalunya.</t>
  </si>
  <si>
    <t>Contracte de serveis per a l'assistència tècnica de control de qualitat de les obres de la nova cuina en el Centre Penitenciari de Brians 1.</t>
  </si>
  <si>
    <t>Contracte de serveis per a la direcció de les obres de la nova cuina en el Centre Penitenciari de Brians 1.</t>
  </si>
  <si>
    <t>Contracte de serveis per a la direcció d'execució de les obres de Nova construcció de l'Escola Josep de Ribot i Olivas d'1 línia a Vilamalla (Alt Empordà).</t>
  </si>
  <si>
    <t>Contracte de serveis per a l'assistència tècnica de control de qualitat de les obres de Nova construcció de l'Escola Josep de Ribot i Olivas d'1 línia a Vilamalla (Alt Empordà).</t>
  </si>
  <si>
    <t>Contracte de serveis per a l'assistència tècnica per a la redacció del projecte actualitzat i la posterior direcció de les obres del nou Centre d'Atenció Primària Gavà-3, de Gavà.</t>
  </si>
  <si>
    <t>Contracte de serveis per a l'assistència tècnica de coordinació de seguretat i salut de les obres del projecte executiu de nova construcció de l'Escola Josep de Ribot i Olivas d'1 línia a Vilamalla (Alt Empordà). Lot 1 + Lot 2.</t>
  </si>
  <si>
    <t>Concurs de projectes per a la redacció del projecte bàsic i executiu i la posterior direcció de les obres d'ampliació i adequació de l'Escola El Bruc a 1 línia.</t>
  </si>
  <si>
    <t>Assistència tècnica per a la redacció del projecte constructiu de reforçament del ferm de la T-322 del pk 5,050 al 21,208. Mont-roig del Camp - La Torre de Fontaubella.</t>
  </si>
  <si>
    <t>DO. PC-CMB-17049</t>
  </si>
  <si>
    <t>PC. RET-21256</t>
  </si>
  <si>
    <t>CQ. PC-CMB-17049</t>
  </si>
  <si>
    <t>CSS. PC-CMB-17049</t>
  </si>
  <si>
    <t>PC.TM-04312.1-A1</t>
  </si>
  <si>
    <t>Contracte de serveis per a la direcció de les obres de millora local. Drenatges. Condicionament de l'obra de drenatge transversal al PK 1+850 de les carreteres C-1413a i C-1413z. Tram: el Papiol.</t>
  </si>
  <si>
    <t>Contracte de serveis per a l'assistència tècnica per a la redacció del projecte constructiu. Recuperació ecològica i ambiental de la zona humida de les Madrigueres al Vendrell. Baix Penedès.</t>
  </si>
  <si>
    <t>Contracte de serveis per a l'assistència tècnica de control de qualitat de les obres de millora local. Drenatges. Condicionament de l'obra de drenatge transversal al PK 1+850 de les carreteres C-1413a i C-1413z. Tram: el Papiol.</t>
  </si>
  <si>
    <t>Contracte de serveis per a l'assistència tècnica de coordinació de seguretat i salut de les obres de millora local. Drenatges. Condicionament de l'obra de drenatge transversal al PK 1+850 de les carreteres C-1413a i C-1413z. Tram: el Papiol.</t>
  </si>
  <si>
    <t>Contracte de serveis per a l'assistència tècnica per a la redacció del projecte constructiu actualitzat de millora de l'accessibilitat i adaptació a la normativa de l'intercanviador de Verdaguer (L4 i L5 d'FMB).</t>
  </si>
  <si>
    <t>ES-CGC-21025</t>
  </si>
  <si>
    <t>Red. estudi "Auditories i avaluacions impacte seguretat viària d'actuacions en trams de la xarxa de ctres. Generalitat de Catalunya (C-13 Noguera, C-14 Conca Barberà i Alt Camp, C-37 Alt Camp) i en àmbit funcional millores seguretat viària.</t>
  </si>
  <si>
    <t>PC.TM-00509.4A-A2.B</t>
  </si>
  <si>
    <t>DO. MG-14081-AA</t>
  </si>
  <si>
    <t>CQ. TM-14299</t>
  </si>
  <si>
    <t>DO. TM-14299</t>
  </si>
  <si>
    <t>CSS. TM-14299</t>
  </si>
  <si>
    <t>CSS. MG-14081-AA</t>
  </si>
  <si>
    <t>CQ. MG-14081-AA</t>
  </si>
  <si>
    <t>Contracte de serveis per a l'assistència tècnica per a la redacció del projecte actualitzat núm.2 de la línia 9 de metro de Barcelona. Tram 3r. Zona Universitària - Sagrera Meridiana. Estacions Campus Nord, Manuel Girona i pous de ventilació.</t>
  </si>
  <si>
    <t>Contracte de serveis per a la direcció de les obres del projecte constructiu de millora local. Seguretat viària. Millora d'interseccions i ordenació d'accessos a la carretera C-26, del PK 193+000 al 194+830. Tram: Ripoll.</t>
  </si>
  <si>
    <t>Contracte de serveis per a l'assistència tècnica de control de qualitat de les obres del projecte constructiu de rehabilitació de l'edifici de cotxeres i tallers de la Línia 3 dels FMB de Sant Genís.</t>
  </si>
  <si>
    <t>Contracte de serveis per a la direcció de les obres del projecte constructiu de rehabilitació de l'edifici de cotxeres i tallers de la Línia 3 dels FMB de Sant Genís.</t>
  </si>
  <si>
    <t>Contracte de serveis per a l'assistència tècnica de coordinació de seguretat i salut de les obres del projecte constructiu de rehabilitació de l'edifici de cotxeres i tallers de la Línia 3 dels FMB de Sant Genís.</t>
  </si>
  <si>
    <t>Assistència tècnica de coordinació de seguretat i salut de les obres del projecte constructiu de millora local. Seguretat viària. Millora d'interseccions i ordenació d'accessos a la carretera C-26, del PK 193+000 al 194+830. Tram: Ripoll.</t>
  </si>
  <si>
    <t>Contracte de serveis per a l'assistència tècnica de control de qualitat de les obres del projecte constructiu de millora local. Seguretat viària. Millora d'interseccions i ordenació d'accessos a la carretera C-26, del PK 193+000 al 194+830. Tram: Ripoll.</t>
  </si>
  <si>
    <t>CQ. PC-CMB-17063</t>
  </si>
  <si>
    <t>Assistència tècnica de control de qualitat de les obres de millora local. Millora de nus. Millora d'accessibilitat a Mollet. Enllaç de Mollet del Vallès - Pol. Ind. de Martorelles. Carretera C-17 al PK 12+000. Tram: Mollet del Vallès.</t>
  </si>
  <si>
    <t>DO. PC-CMB-17063</t>
  </si>
  <si>
    <t>Contracte de serveis per a la direcció de les obres de millora local. Millora de nus. Millora d'accessibilitat a Mollet. Enllaç de Mollet del Vallès - Pol. Ind. de Martorelles. Carretera C-17 al PK 12+000. Tram: Mollet del Vallès.</t>
  </si>
  <si>
    <t>CSS. PC-CMB-17063</t>
  </si>
  <si>
    <t>Coordinació de seguretat i salut de les obres del projecte constructiu de millora local. Millora de nus. Millora d'accessibilitat a Mollet. Enllaç de Mollet del Vallès - Pol. Ind. de Martorelles. Carretera C-17 al PK 12+000. Tram: Mollet del Vallès.</t>
  </si>
  <si>
    <t>PC. AT-07039.F2</t>
  </si>
  <si>
    <t>Contracte de serveis per a l'assistència tècnica per a la redacció del projecte constructiu "Condicionament i reordenació dels accessos a la TV-3141 del PK 0+000 al 7+000. Fase 2. Cambrils - Reus".</t>
  </si>
  <si>
    <t>DO. R0-19268</t>
  </si>
  <si>
    <t>Dirección de las obras del proyecto constructivo de actuaciones necesarias para la reducción del nivel de vibraciones existentes en la L9/L10 del metro de Barcelona. Zona Gorg.</t>
  </si>
  <si>
    <t>CSS. R0-19268</t>
  </si>
  <si>
    <t>Contracte de serveis per a l'assistència tècnica de coordinació de seguretat i salut de les obres del projecte constructiu d'actuacions necessàries per a la reducció del nivell de vibracions existents a la L9 / L10 del metro de Barcelona. Zona Gorg.</t>
  </si>
  <si>
    <t>CQ. R0-19268</t>
  </si>
  <si>
    <t>Contracte de serveis per a l'assistència tècnica de Control de Qualitat de les obres del projecte constructiu d'actuacions necessàries per a la reducció del nivell de vibracions existents a la L9 / L10 del metro de Barcelona. Zona Gorg.</t>
  </si>
  <si>
    <t>Nova licitació 10/08/21</t>
  </si>
  <si>
    <t>CQ. MCG-18315</t>
  </si>
  <si>
    <t>Contracte de serveis per a l'assistència tècnica de Control de Qualitat de les obres del projecte constructiu. Millora Connectivitat Fluvial. Eliminació de la resclosa de la central hidroelèctrica Salt Garida (Molí de les Puces).</t>
  </si>
  <si>
    <t>PC. PC-CPB-21032</t>
  </si>
  <si>
    <t>Contracte de serveis per a l'assistència tècnica per a la redacció del projecte constructiu "Millora d'enllaç per connectar la B-300 al PK 1+000 amb la C-25. Calaf - Calonge de Segarra".</t>
  </si>
  <si>
    <t>DO. MCG-18315</t>
  </si>
  <si>
    <t>Contracte de serveis per a la direcció de les obres del projecte constructiu. Millora Connectivitat Fluvial. Eliminació de la resclosa de la central hidroelèctrica Salt Garida (Molí de les Puces).</t>
  </si>
  <si>
    <t>CSS. PC-XMB-18018</t>
  </si>
  <si>
    <t>Contracte de serveis per a l'assistència tècnica de coordinació de seguretat i salut de les obres del projecte constructiu de millora de l'enllaç dels Moletons a la C-37, ramals sentit Barcelona, del PK 66+300 al PK 67+300. Vilanova del Camí.</t>
  </si>
  <si>
    <t>CQ. PC-XMB-18018</t>
  </si>
  <si>
    <t>Contracte de serveis per a l'assistència tècnica de Control de Qualitat de les obres del projecte constructiu de millora de l'enllaç dels Moletons a la C-37, ramals sentit Barcelona, del PK 66+300 al PK 67+300. Vilanova del Camí.</t>
  </si>
  <si>
    <t>DO. PC-XMB-18018</t>
  </si>
  <si>
    <t>Contracte de serveis per a la direcció de les obres del projecte constructiu de millora de l'enllaç dels Moletons a la C-37, ramals sentit Barcelona, del PK 66+300 al PK 67+300. Vilanova del Camí.</t>
  </si>
  <si>
    <t>CQ.TM-09294.A2-C1</t>
  </si>
  <si>
    <t>C.Q. del projecte complementari núm. 1 de la nova estació entre Collblanc i Pubilla Cases de la Línia 5 de l'FMB. Arquitectura i instal·lacions. Ampliació de la subcentral per a la millora de la interconnexió elèctrica amb la resta de la xarxa.</t>
  </si>
  <si>
    <t>DO.TM-09294.A2-C1</t>
  </si>
  <si>
    <t>Direcció obres del projecte complementari núm. 1 de la nova estació entre Collblanc i Pubilla Cases de la Línia 5 de l'FMB. Arquitectura i instal·lacions. Ampliació de la subcentral per a la millora de la interconnexió elèctrica amb la resta de la xarxa.</t>
  </si>
  <si>
    <t>DE. HTT-16208.1 + HTT-18287.1</t>
  </si>
  <si>
    <t>Contracte de serveis per a la Direcció d'execució conjunta de les obres d'arquitectura i instal·lacions de l'edifici fase 1 de la Transformació global de l'Hospital Joan XXIII de Tarragona. Treballs previs.</t>
  </si>
  <si>
    <t>CQ. HTT-16208.1+HTT-18287.1</t>
  </si>
  <si>
    <t>Contracte de serveis per a l'assistència tècnica de control de qualitat conjunta de les obres d'arquitectura i instal·lacions de l'edifici fase 1 de la Transformació global de l'Hospital Joan XXIII, de Tarragona. Treballs previs.</t>
  </si>
  <si>
    <t>CSS. HTT-16208.1+HTT-18287.1</t>
  </si>
  <si>
    <t>Assist. tèc conjunta de coord. S.S obres dels projectes executius "Construcció de l'edifici fase 1 de la transformació global de l'Hospital Joan XXIII de Tarragona. Treballs previs. i Instal. edif. fase 1 de tranformació global Hosp. Joan XXIII Tarragona.</t>
  </si>
  <si>
    <t>PC. XC-15021.2.2</t>
  </si>
  <si>
    <t>Contracte de serveis per a la redacció del projecte constructiu de carril bici al llarg del Maresme. Mataró - Sant Andreu de Llavaneres.</t>
  </si>
  <si>
    <t>PC. PC-BNB-21024</t>
  </si>
  <si>
    <t>PC.CL-16029</t>
  </si>
  <si>
    <t>Contracte de serveis per a l'assistència tècnica per a la redacció del projecte constructiu "Via ciclista Bagà - Terradelles".</t>
  </si>
  <si>
    <t>Assistència tècnica per a la redacció del projecte constructiu de conservació extraordinària. Ponts i estructures. Execució de vorera de vianants i adequació d'ampit a la Normativa vigent. Carretera C-1412b, PK 58+970. Tram: Tremp.</t>
  </si>
  <si>
    <t>PC.R0-21223</t>
  </si>
  <si>
    <t>Contracte de serveis per a l'assistència tècnica per a la redacció del projecte constructiu de renovació per obsolescència d'equipaments per al sistema de videovigilància del tram IV de la L9 de Metro de Barcelona.</t>
  </si>
  <si>
    <t>PC. PC-CPG-21001</t>
  </si>
  <si>
    <t>Contracte de serveis per a l'assistència tècnica per a la redacció del projecte constructiu "Rotonda a la B-682 al PK 1+900. Palafolls".</t>
  </si>
  <si>
    <t>TA. PT-NB-07119</t>
  </si>
  <si>
    <t>EV. EX-CXC-21050</t>
  </si>
  <si>
    <t>PC. SC-UPA-21260</t>
  </si>
  <si>
    <t>Contracte de serveis per a l'assistència tècnica per a la redacció del projecte de traçat "Projecte de traçat. Via interpolar. C-1413a del PK 0+000 al 4+700 (connexió</t>
  </si>
  <si>
    <t>Contracte de serveis per a l'assistència tècnica per a la redacció de l'estudi "Base de dades de trànsit per als Mapes estratègics de soroll de les infraestructures</t>
  </si>
  <si>
    <t>Contracte de serveis per a l'assistència tècnica per a la redacció del Plec. Conservació ambiental. Conservació i manteniment del Programa d'Infraestructura Verda de Catalunya. 2022-2023.</t>
  </si>
  <si>
    <t>Imports 2021</t>
  </si>
  <si>
    <t>Diferència 20-21</t>
  </si>
  <si>
    <t>PE+DO INV-19226</t>
  </si>
  <si>
    <t>Concurs de projectes per a la redacció del projecte bàsic, el projecte executiu i la posterior direcció d'obra de la Nova construcció Institut 5/3 Arraona, Sabadell.</t>
  </si>
  <si>
    <t>PC. AT-00164.1-A1-C3</t>
  </si>
  <si>
    <t>Contracte de serveis per a l'assistència tècnica per a la redacció del projecte constructiu. Condicionament de la C-51. Pas de fauna al PK 19+060. Rodonyà.</t>
  </si>
  <si>
    <t>CSS. GPV-17229.1</t>
  </si>
  <si>
    <t>Assistència tècnica de coordinació de seguretat i salut de les obres de la desconstrucció dels edificis i ajudes a l'arqueologia per a la nova seu de la Delegació del Govern de la Generalitat de Catalunya a la Catalunya Central, a Manresa.</t>
  </si>
  <si>
    <t>ATAM. AB-15032.F4</t>
  </si>
  <si>
    <t>Contracte de serveis per a l'assistència tècnica ambiental per a les obres de millora general. Ordenació d'accessos a la carretera C-17 del PK 18+700 al 21+000 i nou enllaç al PK 19+700. Tram: Granollers - Lliçà d'Amunt.</t>
  </si>
  <si>
    <t>CSS. AB-15032.F4</t>
  </si>
  <si>
    <t>Assist. tècnica de coordinació de seguretat i salut de les obres del projecte constructiu de millora general. Ordenació d'accessos a la carretera C-17 del PK 18+700 al 21+000 i nou enllaç al PK 19+700. Tram: Granollers - Lliçà d'Amunt. Lot 1 + lot 2.</t>
  </si>
  <si>
    <t>DO. AB-15032.F4</t>
  </si>
  <si>
    <t>Contracte de serveis per a la direcció de les obres de millora general. Ordenació d'accessos a la carretera C-17 del PK 18+700 al 21+000 i nou enllaç al PK 19+700. Tram: Granollers - Lliçà d'Amunt.</t>
  </si>
  <si>
    <t>CQ. AB-15032.F4</t>
  </si>
  <si>
    <t>Contracte de serveis per a l'assistència tècnica de control de qualitat de les obres de Millora general. Ordenació d'accessos a la carretera C-17 del PK 18+700 al 21+000 i nou enllaç al PK 19+700. Tram: Granollers - Lliçà d'Amunt.</t>
  </si>
  <si>
    <t>DE. GPV-17229.1</t>
  </si>
  <si>
    <t>Assistència tècnica de direcció d'execució de les obres de la desconstrucció dels edificis i ajudes a l'arqueologia per a la nova seu de la Delegació del Govern de la Generalitat de Catalunya a la Catalunya Central, a Manresa.</t>
  </si>
  <si>
    <t>EV. EA-CGB-20030</t>
  </si>
  <si>
    <t>EV. ES-CGC-21007</t>
  </si>
  <si>
    <t>EV. EG-CGB-20068</t>
  </si>
  <si>
    <t>PC. PC-BNT-21035</t>
  </si>
  <si>
    <t>PE+DF. XMV-21537</t>
  </si>
  <si>
    <t>IA. IA-NB-07119-A1</t>
  </si>
  <si>
    <t>PR. AG-05087.1-C1</t>
  </si>
  <si>
    <t>IA. IA-VL-02137.2-A1</t>
  </si>
  <si>
    <t>PC. PC-CGT-21015</t>
  </si>
  <si>
    <t>Contracte de serveis per a l'assistència tècnica per a la redacció de l'"Estudi d'alternatives d'estabilització de talús de la B-402 al PK 4+589. La Pobla de Lillet".</t>
  </si>
  <si>
    <t>Redacció de l'estudi "Auditories de seguretat viària d'actuacions en trams de la xarxa de carreteres de la Generalitat de Catalunya en l'àmbit de la C-12 al Baix Ebre i Ribera d'Ebre, B-23 al Barcelonès i Baix Llobregat i C-1413a al Baix Llobregat".</t>
  </si>
  <si>
    <t>Contracte de serveis per a l'assistència tècnica per a la redacció de l'"Estudi geològic dels talussos en desmunt de la BV-2041 del PK 2+000 al 6+500 i de la BV-2411 del PK 12+00 al 15+800. Gavà-Begues".</t>
  </si>
  <si>
    <t>Contracte de serveis per a l'assistència tècnica per a la redacció del projecte constructiu "Carril bici a la TV-3141 del PK 0+560 al 4+960. Reus-Cambrils".</t>
  </si>
  <si>
    <t>Assistència tècnica per a la redacció del projecte bàsic i executiu i la posterior direcció facultativa de les obres RAM 2021 als Serveis Territorials al Vallès Occidental (XI): Escola Virolet (Sabadell), connexió de la recollida pneumàtica i altres.</t>
  </si>
  <si>
    <t>Contracte de serveis per a l'assistència tècnica per a la redacció de l'estudi d'impacte ambiental. Via interpolar. C-1413a del PK 0+000 al 4+700 (connexió amb la B-150). Molins de Rei - El Papiol.</t>
  </si>
  <si>
    <t>Contracte de serveis per a la redacció del projecte complementari de mesures correctores d'impacte ambiental del condicionament de la GI-633 del PK 0+000 al 6+290. Medinyà (cruïlla amb l'N-II)-Sant Jordi Desvalls.</t>
  </si>
  <si>
    <t>Contracte de serveis per a l'assistència tècnica per a la redacció de l'estudi d'impacte ambiental Variant de la C-13 del PK 20+000 al 24+000. Térmens.</t>
  </si>
  <si>
    <t>Redacció del projecte constructiu "Estabilització de talussos a la C-14 del PK 26+455 al 50+365, C-242 del PK 30+240 al 54+550, C-44 del PK 13+875 al 14+320, T-702 del PK 3+170 al 28+910, T-710 del PK 3+240 a l'11+600 i T-713 del PK 3+760 al 7+870".</t>
  </si>
  <si>
    <t>Deserta. Nova licitació 27/09/21</t>
  </si>
  <si>
    <t>E1. JVP-20245_Nova licitació</t>
  </si>
  <si>
    <t>PC-CGB-20069.F1-F2</t>
  </si>
  <si>
    <t>Red. proj. constructius: "Desmantellament àrees peatge autopistes C-32 nord, PK 85,00 al 127,500 i C-33 del 84,00 al 84,800. Alella-Sta Susanna i La Llagosta. i Desmantellament àrees peatge autopistes C-32 nord, PK 85,00 al 127,500 i C-33 del 84,00 al 84.</t>
  </si>
  <si>
    <t>Decissió de no adjudica. Nova licitació 139255</t>
  </si>
  <si>
    <t>CSS. CB-16059</t>
  </si>
  <si>
    <t>CQ. CB-16059</t>
  </si>
  <si>
    <t>PC. PC-CPB-21027</t>
  </si>
  <si>
    <t>DO. CB-16059</t>
  </si>
  <si>
    <t>PC. REB-21266</t>
  </si>
  <si>
    <t>DO. CB-16024</t>
  </si>
  <si>
    <t>CQ. CB-16024</t>
  </si>
  <si>
    <t>CSS. CB-16024</t>
  </si>
  <si>
    <t>PC. RE-16041-C1_Nova licitació</t>
  </si>
  <si>
    <t>Assistència tècnica de coordinació de seguretat i salut de les obres del projecte constructiu de conservació extraordinària. Ponts i estructures. Rehabilitació d'obra de fàbrica a la C-31, PK 209+310, marge dret. Tram: Sant Adrià de Besòs.</t>
  </si>
  <si>
    <t>Assistència tècnica de control de qualitat de les obres de conservació extraordinària. Ponts i estructures. Rehabilitació d'obra de fàbrica a la C-31, PK 209+310, marge dret. Tram: Sant Adrià de Besòs.</t>
  </si>
  <si>
    <t>Redacció del projecte constructiu de la Rotonda a la intersecció de la B-224 al PK 19+150 amb la B-224z. Sant Llorenç d'Hortons-Sant Esteve Sesrovires.</t>
  </si>
  <si>
    <t>Contracte de serveis per a l'assistència tècnica per a la redacció del projecte constructiu. Recuperació ecològica i ambiental de la Bassa dels Ànecs a la Roca del Vallès. Clau: REB-21266</t>
  </si>
  <si>
    <t>Contracte de serveis per a la direcció d'execució de les obres de la instal·lació elèctrica del Centre Penitenciari de Ponent a Lleida. Clau: JVP-18329</t>
  </si>
  <si>
    <t>Contracte de serveis per a la direcció de les obres del projecte constructiu de conservació extraordinària. Ponts i estructures. Rehabilitació d'obres de fàbrica a la carretera C-1415b. PK 7+820. Tram: Lliçà d'Amunt. Clau: CB-16024</t>
  </si>
  <si>
    <t>Contracte de serveis per a l'assistència tècnica de Control de Qualitat del projecte constructiu de conservació extraordinària. Ponts i estructures. Rehabilitació d'obres de fàbrica a la carretera C-1415b. PK7+820. Tram: Lliçà d'Amunt. Clau: CB-16024</t>
  </si>
  <si>
    <t>Assistència tècnica de coordinació de seguretat i salut de les obres del projecte constructiu de conservació extraordinària. Ponts i estructures. Rehabilitació d'obres de fàbrica a la carretera C-1415b. PK 7+820. Tram: Lliçà d'Amunt.</t>
  </si>
  <si>
    <t>PC. JVP-21239</t>
  </si>
  <si>
    <t>Contracte de serveis per a l'assistència tècnica per a la redacció de l'actualització del projecte constructiu d'adequació del vial d'accés al Centre Educatiu Alzina, al Palau Solità i Plegamans.</t>
  </si>
  <si>
    <t>CSS. R0-18346</t>
  </si>
  <si>
    <t>CQ. R0-18346</t>
  </si>
  <si>
    <t>DO. R0-18346</t>
  </si>
  <si>
    <t>Contracte de serveis per a l'assistència tècnica de coordinació de seguretat i salut de les obres del Projecte de renovació dels aparells de climatització de les oficines i vestuaris del taller de Zona Franca de L9 de metro de Barcelona.</t>
  </si>
  <si>
    <t>Contracte de serveis per a l'assistència tècnica de Control de Qualitat de les obres del Projecte de renovació dels aparells de climatització de les oficines i vestuaris del taller de Zona Franca de L9 de metro de Barcelona.</t>
  </si>
  <si>
    <t>Contracte de serveis per a la direcció de les obres del Projecte de renovació dels aparells de climatització de les oficines i vestuaris del taller de Zona Franca de L9 de metro de Barcelona.</t>
  </si>
  <si>
    <t>PC. PC-CGB-21042</t>
  </si>
  <si>
    <t>CQ. INM-18304</t>
  </si>
  <si>
    <t>CSS. INM-18304</t>
  </si>
  <si>
    <t>DO. INM-18304</t>
  </si>
  <si>
    <t>DE. INM-18304</t>
  </si>
  <si>
    <t>Contracte de serveis per a l'assistència tècnica per a la redacció del projecte constructiu rehabilitació del Pont de Sant Francesc de la C-37z al PK 93+090. Manresa. Clau: PC-CGB-21042</t>
  </si>
  <si>
    <t>Contracte de serveis per a l'assistència tècnica de control de qualitat de les obres de la nova construcció Institut 2/0 a Dosrius. Clau: INM-18304</t>
  </si>
  <si>
    <t>Contracte de serveis per a l'assistència tècnica de coordinació de seguretat i salut de les obres del projecte de nova construcció Institut 2/0 a Dosrius. Clau: INM-18304</t>
  </si>
  <si>
    <t>Contracte de serveis per a la direcció de les obres de la nova construcció Institut 2/0 a Dosrius. Clau: INM-18304</t>
  </si>
  <si>
    <t>Contracte de serveis per a la direcció d'execució de les obres de la nova construcció Institut 2/0 a Dosrius. Clau: INM-18304</t>
  </si>
  <si>
    <t>PC. VR-21228</t>
  </si>
  <si>
    <t>PC. RAE-21255</t>
  </si>
  <si>
    <t>Contracte de serveis per a l'assistència tècnica per a la redacció del Projecten constructiu de modernització de la Comunitat de Regants de la dreta del Llobregat.</t>
  </si>
  <si>
    <t>Redacció del projecte constructiu Restauració Ambiental de les activitats extractives "Sant Mori 2" i "Campos del Molino" a Sant Mori, Alt Empordà.</t>
  </si>
  <si>
    <t>DO. INA-18284</t>
  </si>
  <si>
    <t>CQ. INA-18284</t>
  </si>
  <si>
    <t>PC. PC-CIT-21036</t>
  </si>
  <si>
    <t>DE. INA-18284</t>
  </si>
  <si>
    <t>CSS. INA-18284</t>
  </si>
  <si>
    <t>Contracte de serveis per a la direcció de les obres d'ampliació i adequació institut 3/2 Creu de Saba d'Olesa de Montserrat.</t>
  </si>
  <si>
    <t>Contracte de serveis per a l'assistència tècnica de control de qualitat de les obres d'ampliació i adequació institut 3/2 Creu de Saba d'Olesa de Montserrat.</t>
  </si>
  <si>
    <t>Contracte de serveis per a l'assistència tècnica per a la redacció del projecte constructiu "Millora de característiques superficials i reestudi de secció transversal a la C-14 del PK 20+830 al 35+000. Alcover - Montblanc".</t>
  </si>
  <si>
    <t>Contracte de serveis per a la direcció d'execució de les obres d'ampliació i adequació institut 3/2 Creu de Saba d'Olesa de Montserrat.</t>
  </si>
  <si>
    <t>Contracte de serveis per a l'assistència tècnica de coordinació de seguretat i salut de les obres del projecte executiu d'ampliació i adequació de l'institut 3/2 Creu de Saba a Olesa de Montserrat.</t>
  </si>
  <si>
    <t>CQ. JNP-16250.1</t>
  </si>
  <si>
    <t>DE. JNP-16250.1</t>
  </si>
  <si>
    <t>DO. VB-98171-A2.2</t>
  </si>
  <si>
    <t>CSS. JNP-16250.1</t>
  </si>
  <si>
    <t>Contracte de serveis per a l'assistència tècnica de control de qualitat de les obres de l'arxiu soterrat per dependències judicials i la seva urbanització, del Centre Penitenciari Obert a Tarragona.</t>
  </si>
  <si>
    <t>Contracte de serveis per a la direcció d'execució de les obres de l'arxiu soterrat per dependències judicials i la seva urbanització, del Centre Penitenciari Obert a Tarragona.</t>
  </si>
  <si>
    <t>Contracte de serveis per a la direcció de les obres del projecte constructiu de la variant de Piera. Del PK 7+780 de la B-224 al PK 15+020 de la B-231. Piera.</t>
  </si>
  <si>
    <t>Contracte de serveis per a l'assistència tècnica de coordinació de seguretat i salut de les obres de l'arxiu soterrat per dependències judicials i la seva urbanització, del Centre Penitenciari Obert a Tarragona.</t>
  </si>
  <si>
    <t>ATAM. VB-98171-A2.2</t>
  </si>
  <si>
    <t>CQ. VB-98171-A2.2</t>
  </si>
  <si>
    <t>Contracte de serveis per a l'Assistència Tècnica Ambiental de les obres del projecte constructiu de la variant de Piera. Del PK 7+780 de la B-224 al PK 15+020 de la B-231. Piera.</t>
  </si>
  <si>
    <t>Contracte de serveis per a l'assistència tècnica de Control de Qualitat de les obres del projecte constructiu de la variant de Piera. Del PK 7+780 de la B-224 al PK 15+020 de la B-231. Piera.</t>
  </si>
  <si>
    <t>PC. PR-21267</t>
  </si>
  <si>
    <t>PC. CGB-21044</t>
  </si>
  <si>
    <t>Contracte de serveis per a la redacció dels treballs de modernització del reg del Canal de Pinyana. Projecte constructiu del Sector 3. TM de Corbins, Benavent de Segrià, Torre- Serona, Vilanova de Segrià, Lleida i La Portella.</t>
  </si>
  <si>
    <t>Contracte de serveis per a la redacció del projecte constructiu de millora del drenatge superficial de la C-58 al PK 32+100 fins al torrent de l'Orpina. Vacarisses.</t>
  </si>
  <si>
    <t>DO. CB-16064</t>
  </si>
  <si>
    <t>CQ. PZV-19405</t>
  </si>
  <si>
    <t>PC. PC-CIT-21038</t>
  </si>
  <si>
    <t>IA. IA-CIB-21073</t>
  </si>
  <si>
    <t>CQ. CB-16064</t>
  </si>
  <si>
    <t>CSS. CB-16064</t>
  </si>
  <si>
    <t>DO. PZV-19405</t>
  </si>
  <si>
    <t>CSS. PZV-19405</t>
  </si>
  <si>
    <t>PC. PC-CIT-21037</t>
  </si>
  <si>
    <t>PC. MT-15062</t>
  </si>
  <si>
    <t>Contracte de serveis per a la direcció de les obres de rehabilitació d'obres de fàbrica a l'N-II, PK 623+095 i 623+613. Sant Adrià de Besòs.</t>
  </si>
  <si>
    <t>C.Q. de les obres del projecte d'ordenació dels espais exteriors del mas Can Passavent, ordenació dels accessos i tancament perimetral de les grederes del Volcà Croscat, al Parc Natural de la Zona Volcànica de la Garrotxa, TM d'Olot i Santa Pau.</t>
  </si>
  <si>
    <t>Contracte de serveis per a l'assistència tècnica per a la redacció del projecte constructiu de millora de característiques superficials i reestudi de secció transversal a la C-37 del PK 0+000 al 5+830. Alcover-Valls.</t>
  </si>
  <si>
    <t>Contracte de serveis per a l'assistència tècnica per a la redacció de l'estudi d'impacte ambiental "Desdoblament de la C-15 del PK 36+000 al 39+530. Vallbona d'Anoia - la Torre de Claramunt".</t>
  </si>
  <si>
    <t>Contracte de serveis per a l'assistència tècnica de control de qualitat de les obres de rehabilitació d'obres de fàbrica a l'N-II, PK 623+095 i 623+613. Sant Adrià de Besòs.</t>
  </si>
  <si>
    <t>Direcció de les obres del projecte d'ordenació dels espais exteriors del mas Can Passavent, ordenació dels accessos i tancament perimetral de les grederes del Volcà Croscat, al Parc Natural de la Zona Volcànica de la Garrotxa, TM d'Olot i Santa Pau.</t>
  </si>
  <si>
    <t>Coord. S.S. de les obres del projecte d'ordenació dels espais exteriors del mas Can Passavent, ordenació d'accessos i tancament perimetral de les grederes del volcà del Croscat al Parc Natural de la Zona Volcànica de la Garrotxa. TM d'Olot i Santa Pau.</t>
  </si>
  <si>
    <t>Contracte de serveis per a l'assistència tècnica per a la redacció del projecte constructiu millora de característiques superficials i reestudi de secció transversal a la C-14 del PK 37+200 al 43+714. Montblanc -Solivella.</t>
  </si>
  <si>
    <t>Contracte de serveis per a l'assistència tècnica per a la redacció del projecte Rotonda urbana a la T-710 al PK 0+000. Falset.</t>
  </si>
  <si>
    <t>PC. PC-CGB-21047</t>
  </si>
  <si>
    <t>PC. PC-CFT-21071</t>
  </si>
  <si>
    <t>Redacció del projecte constructiu de rehabilitació de l'obra de fàbrica, estabilització dels talussos i millora del drenatge superficial a la C-58 del pk 23,900 al 24,600. Viladecavalls.</t>
  </si>
  <si>
    <t>Redacció del projecte constructiu de reforçament del ferm de la T-315 del pk 3,200 al 6,671. Reus.</t>
  </si>
  <si>
    <t>PC. RET-21274</t>
  </si>
  <si>
    <t>EP. EP55</t>
  </si>
  <si>
    <t>Contracte de serveis per a l'assistència tècnica per a la redacció del Projecte constructiu. Recuperació ecològica i ambiental de la zona humida del Gorg de Creixell.</t>
  </si>
  <si>
    <t>PC. PC-CGG-21013</t>
  </si>
  <si>
    <t>PC. REL-20283</t>
  </si>
  <si>
    <t>Contracte de serveis per a l'assistència tècnica per a la redacció del projecte constructiu "Condicionament de travessera a la GI-660 del PK 0+000 al 0+570. La Bisbal d'Empordà".</t>
  </si>
  <si>
    <t>Contracte de serveis per a l'assistència tècnica per a la redacció del projecte constructiu de recuperació ecològica i ambiental del riu Farfanya des de la capçalera a Os de Balaguer i fins al riu Segre.</t>
  </si>
  <si>
    <t>PC. PC-BNB-21030</t>
  </si>
  <si>
    <t>Redacció del projecte constructiu Via ciclista a l'N-150. Barberà del Vallès-Ripollet.</t>
  </si>
  <si>
    <t>PC.R0-21222</t>
  </si>
  <si>
    <t>Redacció del projecte constructiu per a la renovació per obsolescència de les xarxes de control i protecció de les subestacions receptores, subestacions de tracció, anells de distribució i seccionadors de tracció de la L9 de Metro de Barcelona.</t>
  </si>
  <si>
    <t>CSS. PC-CGG-20050</t>
  </si>
  <si>
    <t>CQ. PC-CGG-20050</t>
  </si>
  <si>
    <t>DO. PC-CGG-20050</t>
  </si>
  <si>
    <t>Contracte de serveis per a l'assistència tècnica de coordinació de seguretat i salut de les obres del projecte constructiu de regulació semafòrica de cruïlla de la C-255 al PK 1+850 amb la carretera de Campdorà.</t>
  </si>
  <si>
    <t>Contracte de serveis per a l'assistència tècnica de control de qualitat de les obres del projecte constructiu de regulació semafòrica de cruïlla de la C-255 al PK 1+850 amb la carretera de Campdorà.</t>
  </si>
  <si>
    <t>Contracte de serveis per a la direcció de les obres del projecte constructiu de regulació semafòrica de cruïlla de la C-255 al PK 1+850 amb la carretera de Campdorà.</t>
  </si>
  <si>
    <t>Assistència tècnica per a la redacció del projecte constructiu. Condicionament per a la millora de la mobilitat i la seguretat de corredors de transport públic i diverses estacions i parades d'autobusos a diversos indrets de Catalunya. Àmbit Tarragona.</t>
  </si>
  <si>
    <t>PC-AIC-21084.6</t>
  </si>
  <si>
    <t>PC-AIC-21084.3</t>
  </si>
  <si>
    <t>PC-AIC-21084.1</t>
  </si>
  <si>
    <t>PC-AIC-21084.5</t>
  </si>
  <si>
    <t>PC-AIC-21084.4</t>
  </si>
  <si>
    <t>PC-AIC-21084.2</t>
  </si>
  <si>
    <t>Redacció del projecte constructiu. Condicionament per a la millora de la mobilitat i la seguretat de corredors de transport públic i diverses estacions i parades d'autobusos a diversos indrets de Catalunya. Àmbit Comarques Centrals.</t>
  </si>
  <si>
    <t>Redacció del projecte constructiu. Condicionament per a la millora de la mobilitat i la seguretat de corredors de transport públic i diverses estacions i parades d'autobusos a diversos indrets de Catalunya. Àmbit Barcelona Est.</t>
  </si>
  <si>
    <t>Redacció del projecte constructiu. Condicionament per a la millora de la mobilitat i la seguretat de corredors de transport públic i diverses estacions i parades d'autobusos a diversos indrets de Catalunya. Àmbit Girona.</t>
  </si>
  <si>
    <t>Redacció del projecte constructiu. Condicionament per a la millora de la mobilitat i la seguretat de corredors de transport públic i diverses estacions i parades d'autobusos a diversos indrets de Catalunya. Àmbit Lleida.</t>
  </si>
  <si>
    <t>Redacció del projecte constructiu. Condicionament per a la millora de la mobilitat i la seguretat de corredors de transport públic i diverses estacions i parades d'autobusos a diversos indrets de Catalunya. Àmbit Barcelona Oest.</t>
  </si>
  <si>
    <t>12/11/21 desistiment</t>
  </si>
  <si>
    <t>PC. VT-08112.F3</t>
  </si>
  <si>
    <t>PC. PC-CFC-21069</t>
  </si>
  <si>
    <t>PC. PC-ANB-21072</t>
  </si>
  <si>
    <t>Contracte de serveis per a l'assistència tècnica per a la redacció del projecte constructiu Variant de Sarral. Connexió de la TP-2311 amb la C-241d. Fase 3.</t>
  </si>
  <si>
    <t>Contracte de serveis per a l'assistència tècnica per a la redacció del projecte constructiu "Millora de característiques superficials de la C-241d del PK 2+106 al 28+700 i de la T-221 del PK 5+250 al 7+850. Pira - Talavera".</t>
  </si>
  <si>
    <t>Contracte de serveis per a l'assistència tècnica per a la redacció del projecte constructiu d'implantació d'un carril bus d'entrada a Barcelona a la C-31 del PK 210+570 al 208+661. Badalona - Barcelona.</t>
  </si>
  <si>
    <t>EV. EU-CXC-21050.2</t>
  </si>
  <si>
    <t>ET. ET-CPB-21075</t>
  </si>
  <si>
    <t>EV. EU-CXC-21050.1</t>
  </si>
  <si>
    <t>Contracte de serveis per a l'assistència tècnica per a la redacció dels treballs dels mapes estratègics de soroll de les infraestructures viàries de la Generalitat de Catalunya. Fase 4 (2022-2027). Zona 2.</t>
  </si>
  <si>
    <t>Assistència tècnica per a la redacció de l'estudi de trànsit de millora de l'enllaç entre la B-30, la C-58 i l'N-150 i actuacions a l'N-150 per a la mobilitat activa. Barberà del Vallès ¿ Ripollet ¿ Cerdanyola del Vallès ¿ Badia del Vallès.</t>
  </si>
  <si>
    <t>Contracte de serveis per a l'assistència tècnica per a la redacció de l'estudi dels mapes estratègics de soroll de les infraestructures viàries de la Generalitat de Catalunya. Fase 4 (2022-2027).</t>
  </si>
  <si>
    <t>AT. TM-00509.4 Voladures</t>
  </si>
  <si>
    <t>PC. PC-CMB-17031-C1</t>
  </si>
  <si>
    <t>PC. PC-CIB-21066</t>
  </si>
  <si>
    <t>EI. EI-CIB-21073</t>
  </si>
  <si>
    <t>PC. PC-BIB-21089</t>
  </si>
  <si>
    <t>Contracte de serveis per a l'assistència tècnica per al control de l'execució de les voladures de la L9 del Metro de Barcelona.</t>
  </si>
  <si>
    <t>Contracte de serveis per a l'assistència tècnica per a la redacció projecte constructiu. Posada a zero de l'N-141g del PK 7+700 al 8+300 i del vial de l'enllaç de Rajadell.</t>
  </si>
  <si>
    <t>Contracte de serveis per a l'assistència tècnica per a la redacció projecte constructiu. Integració urbana de l'N-II al Baix Maresme del PK 631+800 al 644+700. Montgat - Mataró.</t>
  </si>
  <si>
    <t>Contracte de serveis per a l'assistència tècnica per a la redacció de l'estudi informatiu del desdoblament de la C-15 del PK 36+000 al 39+530. Vallbona d'Anoia - la Torre de Claramunt.</t>
  </si>
  <si>
    <t>Contracte de serveis per a l'assistència tècnica per a la redacció projecte constructiu. Integració i carril bici de l' N-152z entre Montcada i Reixac i Mollet del Vallès.</t>
  </si>
  <si>
    <t>DE. INH-17232</t>
  </si>
  <si>
    <t>CQ. INH-17232</t>
  </si>
  <si>
    <t>CSS. INH-17232</t>
  </si>
  <si>
    <t>Contracte de serveis per a la direcció d'execució de les obres de nova construcció Institut 3/0, a Gurb.</t>
  </si>
  <si>
    <t>Contracte de serveis per a l'assistència tècnica de control de qualitat de les obres de nova construcció Institut 3/0, a Gurb.</t>
  </si>
  <si>
    <t>Contracte de serveis per a l'assistència tècnica de coordinació de seguretat i salut de les obres del projecte de nova construcció institut 3/0 línies, a l'Institut de Gurb (Osona). Lot 1 + Lot 2.</t>
  </si>
  <si>
    <t>DO. NC-00100-A2.2-F1</t>
  </si>
  <si>
    <t>DO. NC-00100-A2.2-F2</t>
  </si>
  <si>
    <t>CQ. NC-00100-A2.2-F2</t>
  </si>
  <si>
    <t>CQ. NC-00100-A2.2-F1</t>
  </si>
  <si>
    <t>CSS. NC-00100-A2.2</t>
  </si>
  <si>
    <t>Contracte de serveis per a la direcció de les obres del projecte constructiu de millora general. Nova carretera entre Riba-roja i la Granja d'Escarp. Tram: Riba-roja d'Ebre - la Granja d'Escarp.</t>
  </si>
  <si>
    <t>Contracte de serveis per a l'assistència tècnica de control de qualitat de les obres del projecte constructiu de millora general. Nova carretera entre Riba-roja i la Granja d'Escarp. Tram: Riba-roja d'Ebre - la Granja d'Escarp.</t>
  </si>
  <si>
    <t>Assistència tècnica de coordinació de seguretat i salut de les obres del projecte constructiu de millora general. Nova carretera entre Riba-roja i la Granja d'Escarp. Tram: Riba-roja d'Ebre - la Granja d'Escarp. Fase 1 (Lot 1 + Lot 2) i Fase 2.</t>
  </si>
  <si>
    <t>CQ. INT-17269</t>
  </si>
  <si>
    <t>Contracte de serveis per a l'assistència tècnica de Control de Qualitat de les obres de la nova construcció d'institut 3/0 línies, a l'Institut de Roda de Berà (Tarragonès).</t>
  </si>
  <si>
    <t>CSS. INT-17269</t>
  </si>
  <si>
    <t>DE. INT-17269</t>
  </si>
  <si>
    <t>Contracte de serveis per a l'assistència tècnica de coordinació de seguretat i salut de les obres de la nova construcció d'institut 3/0 línies, a l'Institut de Roda de Berà (Tarragonès).</t>
  </si>
  <si>
    <t>Contracte de serveis per a la Direcció d'execució de les obres de la nova construcció d'institut 3/0 línies, a l'Institut de Roda de Berà (Tarragonès).</t>
  </si>
  <si>
    <t>ES-AG-03020.3.1-C2</t>
  </si>
  <si>
    <t>DE. GPV-17229.1 Nova licitació</t>
  </si>
  <si>
    <t>EG. EG30</t>
  </si>
  <si>
    <t>Contracte de serveis per a l'assistència tècnica per a la redacció de l'estudi d'Auditoria i avaluació de la Seguretat del Túnel inclòs en el projecte AG-03020.3.1. Fase Obra.</t>
  </si>
  <si>
    <t>Contracte de serveis per a l'assistència tècnica de direcció d'execució de les obres de la desconstrucció dels edificis i ajudes a l'arqueologia per a la nova seu de la Delegació del Govern de la Generalitat de Catalunya a la Catalunya Central, a Manresa.</t>
  </si>
  <si>
    <t>Contracte de serveis per a l'Assistència tècnica per a la realització dels informes preliminars dels emplaçaments dels projectes d'edificació.</t>
  </si>
  <si>
    <t>CSS. PC-CMT-17002-A1</t>
  </si>
  <si>
    <t>CQ. PC-CMT-17002-A1</t>
  </si>
  <si>
    <t>PC. PC-ANG-18027</t>
  </si>
  <si>
    <t>DO. PC-CMT-17002-A1</t>
  </si>
  <si>
    <t>AMPD. RAM-22900</t>
  </si>
  <si>
    <t>ATAM. TM-00509.4F</t>
  </si>
  <si>
    <t>PC.R0-21223 Nova licitació</t>
  </si>
  <si>
    <t>Contracte de serveis per a l'assistència tècnica de coordinació de seguretat i salut de les obres del projecte de construcció de cunetes trepitjables a la C-241d. Montblanc - Santa Coloma de Queralt. Lot 1 + Lot 2. Clau: PC-CMT-17002-A1</t>
  </si>
  <si>
    <t>Contracte de serveis per a l'assistència tècnica de control de qualitat de les obres de construcció de cunetes trepitjables a la C-241d. Montblanc - Santa Coloma de Queralt. Clau: PC-CMT-17002-A1</t>
  </si>
  <si>
    <t>Contracte de serveis per a l'assistència tècnica per a la redacció del projecte constructiu del corredor BRCat Girona - Salt. Clau: PC-ANG-18027</t>
  </si>
  <si>
    <t>Contracte de serveis per a la direcció de les obres de construcció de cunetes trepitjables a la C-241d. Montblanc - Santa Coloma de Queralt. Clau: PC-CMT-17002-A1</t>
  </si>
  <si>
    <t>Acord marc per a la contractació dels serveis de redacció de projectes executius i els estudis de seguretat i salut i posterior direcció facultativa de les obres RAM 2022 d'equipaments públics del Departament d'Educació. Clau: RAM-22900, 2 Lots.</t>
  </si>
  <si>
    <t>Serveis per a l'assistència tècnica ambiental conjunta de les obres d' Execució de les obres de túnel i de les obres addicionals del tram Zona Universitària - Sagrera Meridiana de la línia 9 de Metro de Barcelona. Clau: TM-00509.4F</t>
  </si>
  <si>
    <t>Contracte de serveis per a l'assistència tècnica per a la redacció del projecte constructiu de renovació per obsolescència d'equipaments per al sistema de videovigilància del tram IV de la L9 de Metro de Barcelona. Clau: R0-21223</t>
  </si>
  <si>
    <t>Nova licitació 9/12/2021</t>
  </si>
  <si>
    <t>Nova licitació 13/12/2021</t>
  </si>
  <si>
    <t>DO. R0-18346 Nova licitació</t>
  </si>
  <si>
    <t>CSS. VB-98171-A2.2</t>
  </si>
  <si>
    <t>CSS. PC-CPT-20045-AA</t>
  </si>
  <si>
    <t>CQ. PC-CPT-20045-AA</t>
  </si>
  <si>
    <t>DO. PC-CPT-20045-AA</t>
  </si>
  <si>
    <t>Contracte de serveis per a l'assistència tècnica de coordinació de seguretat i salut de les obres del projecte constructiu de la variant de Piera. Del PK 7+780 de la B-224 al PK 15+020 de la B-231. Piera.</t>
  </si>
  <si>
    <t>Contracte de serveis per a l'assistència tècnica de coordinació de seguretat i salut de les obres del projecte constructiu de Rotonda a la cruïlla de la carretera T-312 al PK 0+865 amb l'avinguda de l'Esport. Cambrils.</t>
  </si>
  <si>
    <t>Contracte de serveis per a l'assistència tècnica de Control de Qualitat de les obres del projecte constructiu de Rotonda a la cruïlla de la carretera T-312 al PK 0+865 amb l'avinguda de l'Esport. Cambrils.</t>
  </si>
  <si>
    <t>Contracte de serveis per a la direcció de les obres del projecte constructiu de Rotonda a la cruïlla de la carretera T-312 al PK 0+865 amb l'avinguda de l'Esport. Cambrils.</t>
  </si>
  <si>
    <t>EV. EA-VR-19273</t>
  </si>
  <si>
    <t>CSS. TM-00509.4B-M5 F3</t>
  </si>
  <si>
    <t>CSS. TM-00509.4B-M5 F2</t>
  </si>
  <si>
    <t>Contracte de serveis per a l'assistència tècnica per a la redacció de l'estudi d'alternatives de la consolidació de la xarxa de reg de la Conca del Riu Siurana.</t>
  </si>
  <si>
    <t>Coordinació de seguretat i salut de les obres del projecte modificat núm. 5 de la Línia 9 de Metro de Barcelona. Tram 3r Zona Universitària - Sagrera Meridiana. Estacions Prat de la Riba, Sarrià, Mandri i Pous de ventilació. Fase 3: Estació Sarrià.</t>
  </si>
  <si>
    <t>Coordinació de seguretat i salut de les obres del projecte modificat núm. 5 de la Línia 9 de Metro de Barcelona. Tram 3r Zona Universitària - Sagrera Meridiana. Estacions Prat de la Riba, Sarrià, Mandri i Pous de ventilació. Fase 2: Estació Mandri.</t>
  </si>
  <si>
    <t>CQ. JNP-17210.A</t>
  </si>
  <si>
    <t>EV. EX-CPG-21052</t>
  </si>
  <si>
    <t>DE. JNP-17210.A</t>
  </si>
  <si>
    <t>CSS. JNP-17210.A</t>
  </si>
  <si>
    <t>PC. PPO-21282.A1</t>
  </si>
  <si>
    <t>PC. PC-CGE-21048</t>
  </si>
  <si>
    <t>Contracte de serveis per a l'assistència tècnica de control de qualitat de les obres de la nova construcció de centre penitenciari de regim obert 800 places. Zona Franca (Barcelona).</t>
  </si>
  <si>
    <t>Contracte de serveis per a l'assistència tècnica per a la redacció del document ambiental. Eixample i ordenació d'accessos a la GI-555 del PK 0+000 al 2+850. Sils-Riudarenes.</t>
  </si>
  <si>
    <t>Contracte de serveis per a la direcció d'execució de les obres de la nova construcció de centre penitenciari de regim obert 800 places. Zona Franca (Barcelona).</t>
  </si>
  <si>
    <t>Contracte de serveis per a l'assistència tècnica de coordinació de seguretat i salut de les obres del projecte executiu de nova construcció del Centre Penitenciari de Règim Obert 800 places Zona Franca a Barcelona. Lot 1 + Lot 2.</t>
  </si>
  <si>
    <t>Contracte de serveis per a l'assistència tècnica per a la redacció del projecte actualitzat. Instal·lacions pel maneig de fauna a la casa forestal de La Vall a Roquetes.</t>
  </si>
  <si>
    <t>Contracte de serveis per a l'assistència tècnica per a la redacció del projecte constructiu. Pas de fauna per llúdrigues a la C-12 entre el PK 85+600 al 86+000 a l'alçada de la presa de Flix.</t>
  </si>
  <si>
    <t>PC. PC-CFT-21068</t>
  </si>
  <si>
    <t>PE+DF. PAS-21275</t>
  </si>
  <si>
    <t>PC. PZV-21211</t>
  </si>
  <si>
    <t>Contracte de serveis per a l'assistència tècnica per a la redacció projecte constructiu. Reforçament de ferm de la C-31B del PK 0+000 al 8+670. Salou - Tarragona.</t>
  </si>
  <si>
    <t>Assistència tècnica per a la redacció del projecte bàsic i executiu i la posterior direcció facultativa de les obres RAM de rehabilitació de la casa forestal de Boí, i redacció del projecte de reforma del refugi d'Estany Llong.</t>
  </si>
  <si>
    <t>Contracte de serveis per a l'assistència tècnica per a la redacció del projecte constructiu. Millora ambiental de la finca pública de la Teuleria al Parc Natural de la Zona Volcànica de la Garrotxa a Olot.</t>
  </si>
  <si>
    <t>EV. EX-VL-03014</t>
  </si>
  <si>
    <t>EV. EA-CNE-21029</t>
  </si>
  <si>
    <t>PC. PCR-20285</t>
  </si>
  <si>
    <t>EV. E1. JJV-18325</t>
  </si>
  <si>
    <t>IA. IA. VR-21228</t>
  </si>
  <si>
    <t>IA. IA. VR-20268</t>
  </si>
  <si>
    <t>PE+DF. PAS-21272</t>
  </si>
  <si>
    <t>PC. DB-05111.3.1</t>
  </si>
  <si>
    <t>CSS. CB-16063</t>
  </si>
  <si>
    <t>CQ. CB-16063</t>
  </si>
  <si>
    <t>DO. TF-11225.F1.1</t>
  </si>
  <si>
    <t>DO. CB-16063</t>
  </si>
  <si>
    <t>PC.MIB-21014</t>
  </si>
  <si>
    <t>Contracte de serveis per a l'assistència tècnica per a la redacció del document ambiental de la Variant de la C-233 des del PK 78+000 al 81+000. Vilanova de Bellpuig.</t>
  </si>
  <si>
    <t>Contracte de serveis per a l'assistència tècnica per a la redacció de l'estudi previ d'alternatives per a la variant de Masdenverge a la T-344 i T-350 i connexió amb l'AP-7.</t>
  </si>
  <si>
    <t>Contractació de serveis per a l'assistència tècnica per a la redacció del projecte constructiu. Arranjament del camí vell de Cadaqués al Far de Cap de Creus (Camí de Ronda).</t>
  </si>
  <si>
    <t>Contracte de serveis per a l'assistència tècnica per a la redacció de l'estudi de l'assegurament de la qualitat del projecte executiu de nova construcció edifici judicial de Martorell.</t>
  </si>
  <si>
    <t>Contracte de serveis per a l'assistència tècnica per a la redacció de l'estudi d'impacte ambiental de modernització de la Comunitat de Regants de la dreta del Llobregat.</t>
  </si>
  <si>
    <t>Contracte de serveis per a l'assistència tècnica per a la redacció de l'estudi d'impacte ambiental del projecte constructiu de la transformació en regadiu de la zona de Vilaplana. TM de Baronia de Rialb.</t>
  </si>
  <si>
    <t>Contracte de serveis per a l'assistència tècnica per a la redacció del projecte bàsic i executiu i la posterior direcció facultativa de les obres RAM per a la rehabilitació del refugi del Pla de la Font, i la casa del Parc d'Espot.</t>
  </si>
  <si>
    <t>Contracte de serveis per a l'assistència tècnica per a la redacció projecte constructiu. Desdoblament de la B-224 del PK 22+100 al 24+000. Sant Esteve Sesrovires.</t>
  </si>
  <si>
    <t>Contracte de serveis per a l'assistència tècnica de coordinació de seguretat i salut de les obres de conservació extraordinària. Ponts i estructures. Rehabilitació d'obra de fàbrica a la carretera C-58, PK 38 +437. Tram: Monistrol de Montserrat.</t>
  </si>
  <si>
    <t>Contracte de serveis per a l'assistència tècnica de Control de Qualitat de les obres de conservació extraordinària. Ponts i estructures. Rehabilitació d'obra de fàbrica a la carretera C-58, PK 38 +437. Tram: Monistrol de Montserrat.</t>
  </si>
  <si>
    <t>Contracte de serveis per a la direcció de les obres del projecte constructiu. Perllongament de la línia Llobregat - Anoia dels FGC a Barcelona. Plaça Espanya - Gràcia. Infraestructura. Serveis afectats 1a fase.</t>
  </si>
  <si>
    <t>Contracte de serveis per a la direcció de les obres de conservació extraordinària. Ponts i estructures. Rehabilitació d'obra de fàbrica a la carretera C-58, PK 38 +437. Tram: Monistrol de Montserrat.</t>
  </si>
  <si>
    <t>Contracte de serveis per a l'assistència tècnica per a la redacció del projecte constructiu "Nova cotxera de la Línia 5 dels FMB a Can Boixeres. L'Hospitalet de Llobregat".</t>
  </si>
  <si>
    <t>Número d'Anuncis i Imports 2022</t>
  </si>
  <si>
    <t>Diferència 2021-2022</t>
  </si>
  <si>
    <t>EP. EP56</t>
  </si>
  <si>
    <t>Contracte de serveis per a l'assistència tècnica per a la realització dels treballs de topografia i de replanteig de projectes corresponents als estudis i projectes d'obra civil i d'edificació.</t>
  </si>
  <si>
    <t>EG. EG29</t>
  </si>
  <si>
    <t>CQ. TF-11225.F1.1</t>
  </si>
  <si>
    <t>CSS. TF-11225.F1.1</t>
  </si>
  <si>
    <t>Contracte de serveis per a l'assistència tècnica per a la realització dels informes preliminars dels emplaçaments dels projectes d'edificació encarregats pel Servei Català de Salut. Clau: EG29</t>
  </si>
  <si>
    <t>Contracte de serveis per a l'assistència tècnica de C.Q. de les obres del projecte constructiu. Perllongament de la línia Llobregat - Anoia dels FGC a Barcelona. Plaça Espanya - Gràcia. Infraestructura. Serveis afectats 1a fase. Clau: TF-11225.F1.1</t>
  </si>
  <si>
    <t>Contracte de serveis per a l'assistència tècnica de C.S.S. de les obres del projecte constructiu. Perllongament de la línia Llobregat - Anoia dels FGC a Barcelona. Plaça Espanya - Gràcia. Infraestructura. Serveis afectats 1a fase. Clau: TF-11225.F1.1</t>
  </si>
  <si>
    <t>DO.R0-19272</t>
  </si>
  <si>
    <t>CQ.R0-19272</t>
  </si>
  <si>
    <t>CSS.R0-19272</t>
  </si>
  <si>
    <t>Contracte de serveis per a la direcció de les obres del projecte constructiu d'instal·lació fotovoltaica als Tallers de la Zona Franca de la L9.</t>
  </si>
  <si>
    <t>Contracte de serveis per a l'assistència tècnica per al control de qualitat de les obres del projecte constructiu d'instal·lació fotovoltaica als Tallers de la Zona Franca de la L9.</t>
  </si>
  <si>
    <t>Contracte de serveis per a l'assistència tècnica de coordinació de seguretat i salut de les obres del projecte constructiu d'instal·lació fotovoltaica als Tallers de la Zona Franca de l'L9.</t>
  </si>
  <si>
    <t>PE+DF ECO-21265</t>
  </si>
  <si>
    <t>Contracte de serveis per a la redacció del projecte executiu i l'estudi de seguretat i salut i la posterior direcció facultativa de les obres de reparació dels tancaments exteriors i llindes del Vapor Ros de Terrassa.</t>
  </si>
  <si>
    <t>DO. MG-15001-AA</t>
  </si>
  <si>
    <t>CQ. MG-15001-AA</t>
  </si>
  <si>
    <t>CSS. MG-15001-AA</t>
  </si>
  <si>
    <t>Contracte de serveis per a la direcció de les obres de millora local. Ordenació d'accessos a la carretera GI-673, del pk 1,700 al 2,600. Tram: Caldes de Malavella.</t>
  </si>
  <si>
    <t>Contracte de serveis per a l'assistència tècnica de control de qualitat de les obres de millora local. Ordenació d'accessos a la carretera GI-673, del pk 1,700 al 2,600. Tram: Caldes de Malavella.</t>
  </si>
  <si>
    <t>Contracte de serveis per a l'assistència tècnica de coordinació de seguretat i salut de les obres de millora local. Ordenació d'accessos a la carretera GI-673, del pk 1,700 al 2,600. Tram: Caldes de Malavella. Lot 1 + Lot 2.</t>
  </si>
  <si>
    <t>CQ. MG-09041.1</t>
  </si>
  <si>
    <t>CSS. MG-09041.1</t>
  </si>
  <si>
    <t>DO. MG-09041.1</t>
  </si>
  <si>
    <t>Contracte de serveis per a l'assistència tècnica de control de qualitat de les obres de "Formació de carril central de gir a l'accés a la urbanització els Pinars".</t>
  </si>
  <si>
    <t>Contracte de serveis per a l'assistència tècnica de coordinació de seguretat i salut de les obres de "Formació de carril central de gir a l'accés a la urbanització els Pinars".</t>
  </si>
  <si>
    <t>Contracte de serveis per a la direcció de les obres de "Formació de carril central de gir a l'accés a la urbanització els Pinars".</t>
  </si>
  <si>
    <t>PE+DO INM-19247</t>
  </si>
  <si>
    <t>Concurs de projectes per a la redacció del projecte bàsic i executiu i la posterior direcció de les obres de nova construcció Institut Les Cinc Sènies a Mataró.</t>
  </si>
  <si>
    <t>Consultoria i assistència</t>
  </si>
  <si>
    <t>CSS. TM-00509.4F</t>
  </si>
  <si>
    <t>Assist. tèc. conjunta coord. S.S. de les obres dels projectes constructius del túnel i de les obres addicionals del tram Zona Universitària - Sagrera Meridiana de la línia 9 de Metro de Barcelona. Claus: TM-00509.4F1 i TM-00509.4F2 i modificats.</t>
  </si>
  <si>
    <t>Última actualització any 2021: 9/02/2022</t>
  </si>
  <si>
    <t>Imports 2022</t>
  </si>
  <si>
    <t>Diferència 21-22</t>
  </si>
  <si>
    <t>PC. RL-08010-A1</t>
  </si>
  <si>
    <t>EV. EA. JC-19233</t>
  </si>
  <si>
    <t>Serveis per a l'assistècnia tècnica per a la redacció del projecte constructiu de reforçament del ferm i millora del drenatge longitudinal a la C-462 del pk 50,905 al 68,810. Tuixén - Adraén (La Vansa i Fórnols).</t>
  </si>
  <si>
    <t>Redacció del document ambiental del proj. constructiu modificat del col·lector de salmorres Conca de Llobregat. Ramal Cardener. Tram: Cardona-Castellgalí amb la incorporació de la canonada d'impulsió de l'aigua regenerada de l'EDAR de Manresa.</t>
  </si>
  <si>
    <t>PC-BNB-21099</t>
  </si>
  <si>
    <t>Contracte de serveis per a l'asssitència tècnica per a la redacció del projecte constructiu "Via ciclista a la C-58. Terrassa-Viladecavalls".</t>
  </si>
  <si>
    <t>CQ. RAM-22900</t>
  </si>
  <si>
    <t>PC. AL-02134.2-A1</t>
  </si>
  <si>
    <t>Contracte de serveis de control de qualitat de les obres RAM d'equipaments públics del Departament d'Educació (2022). 4 LOTS.</t>
  </si>
  <si>
    <t>Contracte de serveis per a l'assistència tècnica per a la redacció del projecte constructiu "Condicionament del pas de Comiols a la C-1412b. Artesa de Segre (Folquer) - Isona i Conca Dellà".</t>
  </si>
  <si>
    <t>EV. E4-MA-22900</t>
  </si>
  <si>
    <t>EV. E3-MA-22900</t>
  </si>
  <si>
    <t>EV. E2-MA-22900</t>
  </si>
  <si>
    <t>EV. E5-MA-22900</t>
  </si>
  <si>
    <t>EV. E6-MA-22900</t>
  </si>
  <si>
    <t>EV. E1-MA-22900</t>
  </si>
  <si>
    <t>Assistència tècnica per a l'estudi i seguiment de la població de xoriguer petit de la Plana de Lleida, anàlisi de l'ocupació de torres i caixes niu. Mesures correctores i compensatòries del regadiu del sistema Segarra-Garrigues. Campanya 2022-2023.</t>
  </si>
  <si>
    <t>Serveis per a l'estudi i seguiment. Cens de mascles de sisó en Àrees pilot dels secans orientals i en els regs històrics del Canalet de Tàrrega. Mesures correctores i compensatòries del regadiu del sistema Segarra-Garrigues. Campanya 2022-2023.</t>
  </si>
  <si>
    <t>Contracte de serveis per a l'assistència tècnica pel seguiment de les finques gestionades als secans Occidentals. Mesures correctores i compensatòries del regadiu del sistema Segarra-Garrigues. Campanya 2022-2023.</t>
  </si>
  <si>
    <t>Contracte de serveis d'estudi i seguiment de la població d'esparver cendrós a la Plana de Lleida, localització de nius. Mesures correctores i compensatòries del regadiu del sistema Segarra-Garrigues. Campanya 2022-2023.</t>
  </si>
  <si>
    <t>Contracte de serveis per a l'assistència tècnica per la planificació de la gestió la campanya 2022-2023 en les finques de compensació de l'àmbit del Regadiu Segarra-Garrigues.</t>
  </si>
  <si>
    <t>Contracte de serveis de redacció dels treballs d'assistència tècnica pel seguiment de les finques gestionades als Secans Orientals. Mesures correctores i compensatòries del regadiu del sistema Segarra-Garrigues. Campanya 2022-2023.</t>
  </si>
  <si>
    <t>PC. NG-02083</t>
  </si>
  <si>
    <t>Contracte de serveis per a l'assistència tècnica per a la redacció del projecte constructiu de variants de les Preses i d'Olot. Des del PK 172+200 de la C-37 fins a la connexió amb l'A-26. La Vall d'en Bas - les Preses - Olot.</t>
  </si>
  <si>
    <t>PC. PC-CFB-21040</t>
  </si>
  <si>
    <t>Contracte de serveis per a l'assistècnia tècnica per a la redacció del projecte constructiu "Reforçament del ferm i obres complementàries a la C-154 del PK 11+795 al 14+136. Sant Bartomeu del Grau".</t>
  </si>
  <si>
    <t>PE+DO. CAP-19286</t>
  </si>
  <si>
    <t>Concurs de projectes per a la redacció del projecte bàsic i executiu i la posterior direcció de les obres de reparació i millora de l'envolvent del Centre d'Atenció Primària Manso, de Barcelona.</t>
  </si>
  <si>
    <t>2/03/22 modificacions data</t>
  </si>
  <si>
    <t>PC. PC-CGL-21061</t>
  </si>
  <si>
    <t>Contracte de serveis per a l'assistència tècnica per a la redacció del projecte constructiu "Estabilització i protecció contra despreniments a la C-28 del PK 37+980 al 42+000. Naut Aran".</t>
  </si>
  <si>
    <t>PC. PC-CGL-21063</t>
  </si>
  <si>
    <t>PC. PC-CGL-21064</t>
  </si>
  <si>
    <t>PC. PC-CIB-21095</t>
  </si>
  <si>
    <t>EA. REG-22206 i PC. REG-22206</t>
  </si>
  <si>
    <t>Contracte de serveis per a l'assistència tècnica per a la redacció del projecte constructiu. Estabilització de talussos i protecció contra despreniments a la C-13 del PK 45+000 al 46+471. Camarasa.</t>
  </si>
  <si>
    <t>Contracte de serveis per a l'assistència tècnica per a la redacció del projecte constructiu "Estabilització de talussos i protecció contra despreniments a la C-13 del PK 68+360 al 70+060. Terradets - Font de les Bagasses (Castell de Mur)".</t>
  </si>
  <si>
    <t>Contracte de serveis per a l'assistència tècnica per a la redacció del projecte constructiu "Pacificació de l'N-II i carril bici a Mataró del PK 644+700 al 647+725. Mataró.</t>
  </si>
  <si>
    <t>Contracte de serveis per a l'assistència tècnica per a la redacció de l'Estudi Ambiental i Projecte constructiu. Recuperació ecològica i ambiental de la zona humida de les terreres de Vaca Morta a Corçà. Baix Empordà.</t>
  </si>
  <si>
    <t>E1. JJV-18325</t>
  </si>
  <si>
    <t>Direcció de les obres del projecte constructiu de la Línia 9 del Metro de Barcelona. Tram 3r. Zona Uni versitària - Sagrera Meridiana. Complements d'estructura interior, via i catenària del túnel 3. Tram: Zona Universitària - Sagrera - Meridiana.</t>
  </si>
  <si>
    <t>PC. PC-BNT-21098</t>
  </si>
  <si>
    <t>CQ. JC-19255</t>
  </si>
  <si>
    <t>DO. JC-19255</t>
  </si>
  <si>
    <t>EV. EA-VR-22209</t>
  </si>
  <si>
    <t>Contracte de serveis per a l'assistència tècnica per a la redacció del projecte constructiu. Via ciclista Reus-Vila-seca-Salou pels corredors de la C-14 i la T-315.</t>
  </si>
  <si>
    <t>Contracte de serveis per a l'assistència tècnica de control de qualitat de les obres del projecte de rehabilitació i millora del col·lector en alta de Can Xercavins del sistema de sanejament de Rubí.</t>
  </si>
  <si>
    <t>Contracte de serveis per a la direcció de les obres del projecte de rehabilitació i millora del col·lector en alta de Can Xercavins del sistema de sanejament de Rubí.</t>
  </si>
  <si>
    <t>Contracte de serveis per a l'assistència tècnica per a la redacció de l'estudi d'alternatives de la consolidació de la xarxa de reg de la conca del Riu Siurana.</t>
  </si>
  <si>
    <t>DE. CCG-19261</t>
  </si>
  <si>
    <t>Contracte de serveis per a l'assistència tècnica de direcció d'execució de les obres RAM de renovació de càmeres i millores en els sistemes de videovigilància en RP Metropolitana Sud, Camp de Tarragona i Terres de l'Ebre.</t>
  </si>
  <si>
    <t>CSS. CCG-19261</t>
  </si>
  <si>
    <t>Contracte de serveis per a l'assistència tècnica de coordinació de seguretat i salut de les obres RAM de renovació de càmeres i millores en els sistemes de videovigilància en RP Metropolitana Sud, Camp de Tarragona i Terres de l'Ebre.</t>
  </si>
  <si>
    <t>CQ. CCG-19261</t>
  </si>
  <si>
    <t>Contracte de serveis per a l'assistència tècnica de control de qualitat de les Obres RAM de renovació de càmeres i millores en els sistemes de videovigilància en RP Metropolitana Sud, Camp de Tarragona i Terres de l'Ebre.</t>
  </si>
  <si>
    <t>PC. PC-ANG-18023</t>
  </si>
  <si>
    <t>CSS. JC-19255</t>
  </si>
  <si>
    <t>Contracte de serveis per a l'assistència tècnica per a la redacció del projecte constructiu. Corredor BRCat Blanes - Lloret de Mar.</t>
  </si>
  <si>
    <t>Contracte de serveis per a l'assistència tècnica de coordinació de seguretat i salut de les obres del projecte de rehabilitació i millora del col·lector en alta de Can Xercavins del sistema de sanejament de Rubí.</t>
  </si>
  <si>
    <t>PC. PC-ANB-21093</t>
  </si>
  <si>
    <t>Contracte de serveis per a l'assistència tècnica per a la redacció del projecte constructiu "Corredor BRCAT Terrassa - Sabadell".</t>
  </si>
  <si>
    <t>PC. PR-22211</t>
  </si>
  <si>
    <t>Contracte de serveis per a l'assistència tècnica per a la redacció del projecte constructiu "Projecte de Modernització del canal de Pinyana. Projecte constructiu del Sector 5. TM de Lleida i Alcarràs".</t>
  </si>
  <si>
    <t>PE+DO. JVX-19285</t>
  </si>
  <si>
    <t>Assistència tècnica per a la redacció del projecte bàsic i executiu i la posterior direcció de les obres RAM per la resolució de les patologies de filtracions d'aigua, i substitució del sistema de sanejament de l'Edifici Judicial Ramon Folch.</t>
  </si>
  <si>
    <t>DO. AL-05020.2-C1</t>
  </si>
  <si>
    <t>CQ. AL-05020.2-C1</t>
  </si>
  <si>
    <t>CSS. AL-05020.2-C1</t>
  </si>
  <si>
    <t>Contracte de serveis per a la direcció de les obres del projecte de mesures correctores d'impacte ambiental del condicionament de la C-28 del PK 41+920 al 45+850. Naut Aran.</t>
  </si>
  <si>
    <t>Contracte de serveis per a l'assistència tècnica de control de qualitat de les obres de mesures correctores d'impacte ambiental del condicionament de la C-28 del PK 41+920 al 45+850. Naut Aran.</t>
  </si>
  <si>
    <t>Contracte de serveis per a l'assistència tècnica de coordinació de seguretat i salut de les obres del projecte de mesures correctores d'impacte ambiental del condicionament de la C-28 del PK 41+920 al 45+850. Naut Aran.</t>
  </si>
  <si>
    <t>PC. PC-ANB-21088</t>
  </si>
  <si>
    <t>Contracte de serveis per a l'assistència tècnica per a la redacció del projecte constructiu "Corredor BRCAT i via ciclista a la C-59 (eix Riera de Caldes). Palau-solità i Plegamans - Caldes de Montbui".</t>
  </si>
  <si>
    <t>EV. EX-CIE-20014</t>
  </si>
  <si>
    <t>EV. EX-CIE-20093</t>
  </si>
  <si>
    <t>PC. PC-ANB-21106</t>
  </si>
  <si>
    <t>EV. EP-ANB-21041</t>
  </si>
  <si>
    <t>EV. EX-CIE-20092</t>
  </si>
  <si>
    <t>PC. MCG-20280</t>
  </si>
  <si>
    <t>PE+DF PCM-21300</t>
  </si>
  <si>
    <t>Contracte de serveis per a l'assistència tècnica per a la redacció del document ambiental de la millora de les característiques superficials i reestudi de secció transversal a la C-12 del PK 63+470 al 68+400. Móra la Nova-Garcia.</t>
  </si>
  <si>
    <t>Contracte de serveis per a l'assistència tècnica per a la redacció del document ambiental de la millora de les característiques superficials i reestudi de secció transversal a la C-12 del PK 56+400 al 61+500. Ginestar-Móra la Nova.</t>
  </si>
  <si>
    <t>Contracte de serveis per a l'assistència tècnica per a la redacció del projecte constructiu "Corredor BRCat Sabadell - Castellar del Vallès".</t>
  </si>
  <si>
    <t>Contracte de serveis per a l'assistència tècnica per a la redacció de l'estudi previ dels Corredors BRCat UAB - La Llagosta; Rubí - Cerdanyola del Vallès; Sabadell - Cerdanyola del Vallès; La Vall de Tenes - Mollet del Vallès.</t>
  </si>
  <si>
    <t>Contracte de serveis per a l'assistència tècnica per a la redacció del document ambiental de la millora de les característiques superficials i reestudi de secció transversal a la C-12 del PK 34+500 al 40+900. Xerta-Benifallet.</t>
  </si>
  <si>
    <t>Contracte de serveis per a l'assistència tècnica per a la redacció del "Projecte constructiu de Millora de la connectivitat de les poblacions del turó a l'Empordà". C</t>
  </si>
  <si>
    <t>Redacció del projecte bàsic, el projecte executiu i la posterior direcció facultativa de les obres "Adequació dels Projectes de remodelació de la planta baixa del Centre d'Interpretació del Parc Natural del Cadí-Moixeró a Bagà".</t>
  </si>
  <si>
    <t>CSS.JJV-18286.3</t>
  </si>
  <si>
    <t>CSS. JJV-18286.2</t>
  </si>
  <si>
    <t>CQ. JJV-18286.2</t>
  </si>
  <si>
    <t>CQ. JJV-18286.3</t>
  </si>
  <si>
    <t>AMPD. EDU-21902</t>
  </si>
  <si>
    <t>DE. JJV-18286.3</t>
  </si>
  <si>
    <t>DE. JJV-18286.2</t>
  </si>
  <si>
    <t>EV. EA. VR-22216</t>
  </si>
  <si>
    <t>Serveis per a l'assistència tècnica de coordinació de seguretat i salut de les obres d'adequació i reforma d'ascensors d'edificis judicials de Sabadell, Arenys de Mar, Blanes, Sant Feliu de Guíxols, Gavà, Vic, Reus, Valls.</t>
  </si>
  <si>
    <t>Contracte de serveis per a l'assistència tècnica de coordinació de seguretat i salut de les obres d'adequació i reforma dels ascensors dels edificis judicials de Gandesa, Amposta, Cervera, La Seu d'Urgell, Figueres i Puigcerdà.</t>
  </si>
  <si>
    <t>Contracte de serveis per a l'assistència tècnica de Control de Qualitat de les obres d'adequació i reforma dels ascensors dels edificis judicials de Gandesa, Amposta, Cervera, La Seu d'Urgell, Figueres i Puigcerdà.</t>
  </si>
  <si>
    <t>Contracte de serveis per a l'assistència tècnica de Control de Qualitat de les obres d'adequació i reforma d'ascensors d'edificis judicials de Sabadell, Arenys de Mar, Blanes, Sant Feliu de Guíxols, Gavà, Vic, Reus, Valls.</t>
  </si>
  <si>
    <t>Acord Marc per a la contractació dels serveis de redacció de projectes executius i posterior direcció facultativa de les obres RAM d 'equipaments públics finançats amb fons REACT-EU. 4 LOTS.</t>
  </si>
  <si>
    <t>Contracte de serveis per a l'assistència tècnica de direcció d'execució de les obres d'adequació i reforma d'ascensors d'edificis judicials de Sabadell, Arenys de Mar, Blanes, Sant Feliu de Guíxols, Gavà, Vic, Reus, Valls.</t>
  </si>
  <si>
    <t>Contracte de serveis per a l'assistència tècnica per la Direcció d'execució de les obres d'adequació i reforma dels ascensors dels e dificis judicials de Gandesa, Amposta, Cervera, La Seu d'Urgell, Figueres i Puigcerdà.</t>
  </si>
  <si>
    <t>Contracte de serveis per a l'assistència tècnica per a la redacció del "Document Ambiental de l'avantprojecte de Millora i modernització de la comunitat de regants del marge esquerre del riu Muga."</t>
  </si>
  <si>
    <t>PE+DO. JVX-21262</t>
  </si>
  <si>
    <t>PC. PC-CIB-21094</t>
  </si>
  <si>
    <t>Redacció del projecte bàsic i executiu i la posterior direcció de les obres de la reforma per a la substitució del sistema de climatització, ventilació i obtenció de la llicència d'activitat de l'edifici Judicial Ramon Folch de Girona.</t>
  </si>
  <si>
    <t>Redacció del projecte constructiu de pacificació de l'N-II al Mig i Alt Maresme del pk 650,950 al 655,200, del pk 655,750 al 661,000 i del pk 666,300 al 682,050. Sant Andreu de Llavaneres - Arenys de Mar, Areny de Mar-Canet de Mar, Calella-Tordera.</t>
  </si>
  <si>
    <t>EV. EX-CIE-20012</t>
  </si>
  <si>
    <t>PC. PC-BNC-18128.1</t>
  </si>
  <si>
    <t>EV. EX-CIE-20094</t>
  </si>
  <si>
    <t>PC. PC-CGL-21039</t>
  </si>
  <si>
    <t>ES-AG-03020.3.1</t>
  </si>
  <si>
    <t>Contracte de serveis per a l'assistència tècnica per a la redacció del "Document ambiental de la millora de les característiques superficials i reestudi de secció transversal a la C-12 del PK 5+000 al 13+200. Amposta-Tortosa".</t>
  </si>
  <si>
    <t>Contracte de serveis per a l'assistència tècnica per a la redacció del projecte constructiu. Via ciclista paral·lela a les BV-5301 i C-35. Vilalba Sasserra - Santa Maria de Palautordera - Sant Celoni. Vilalba Sasserra - Sant Celoni.</t>
  </si>
  <si>
    <t>Contracte de serveis per a l'assistència tècnica per a la redacció del "Document ambiental de la millora de les característiques superficials i reestudi de secció transversal a la C-12 del PK 79+600 al 86+100. Ascó-Flix".</t>
  </si>
  <si>
    <t>Contracte de serveis per a l'assistència tècnica per a la redacció del projecte constructiu. Instal·lació d'enllumenat i sistemes semafòrics als túnels de la Llosa del Cavall.</t>
  </si>
  <si>
    <t>Assistència tècnica per a la redacció de l'estudi d'auditoria de seguretat de les obres de millora general. Condicionament. Corredor Brugent - Ter. Variant d'Anglès. De la carretera C-63, PK 38+000, a la carretera N-141e, PK 101+150. Tram: Anglès.</t>
  </si>
  <si>
    <t>4/04/22 modificacions data 15/03/22 modificacions data</t>
  </si>
  <si>
    <t>CQ. CAP-18307.A</t>
  </si>
  <si>
    <t>DE. CAP-18307.A</t>
  </si>
  <si>
    <t>CSS. CAP-18307.A</t>
  </si>
  <si>
    <t>Contracte de serveis per a l'assistència tècnica de Control de Qualitat de les obres del nou Centre d'Atenció Primària La Florida, de l'Hospitalet de Llobregat.</t>
  </si>
  <si>
    <t>Contracte de serveis per a l'assistència tècnica de direcció d'execució de les obres del nou Centre d'Atenció Primària La Florida, de l'Hospitalet de Llobregat.</t>
  </si>
  <si>
    <t>Contracte de serveis per a l'assistència tècnica de coordinació de seguretat i salut de les obres del nou Centre d'Atenció Primària La Florida, de l'Hospitalet de Llobregat.</t>
  </si>
  <si>
    <t>CSS. AL-05037-C1</t>
  </si>
  <si>
    <t>DO. PNL-20230</t>
  </si>
  <si>
    <t>CSS. PNL-20230</t>
  </si>
  <si>
    <t>DE. PNL-20230</t>
  </si>
  <si>
    <t>CQ. PNL-20230</t>
  </si>
  <si>
    <t>CQ. AL-05037-C1</t>
  </si>
  <si>
    <t>DO. AL-05037-C1</t>
  </si>
  <si>
    <t>Contracte de serveis per a l'assistència tècnica de coordinació de seguretat i salut de les obres del projecte constructiu de reparació del paviment a la C-14 del PK 161+475 al 163+450. Organyà. Lot 1 i Lot 2.</t>
  </si>
  <si>
    <t>Contracte de serveis per a l'assistència per a la direcció de les obres de la nova construcció de l'Escola 1L RB L'Àlber d'Albesa.</t>
  </si>
  <si>
    <t>Contracte de serveis per a l'assistència tècnica de coordinació de seguretat i salut de les obres del projecte executiu de nova construcció Escola 1L RB l'Àlber d'Albesa.</t>
  </si>
  <si>
    <t>Contracte de serveis per a l'assistència tècnica de direcció d'execució de les obres de la nova construcció de l'Escola 1L RB L'Àlber d'Albesa.</t>
  </si>
  <si>
    <t>Contracte de serveis per a l'assistència tècnica de control de qualitat de les obres de la nova construcció de l'Escola 1L RB L'Àlber d'Albesa.</t>
  </si>
  <si>
    <t>Contracte de serveis per a l'assistència tècnica de control de qualitat de les obres de reparació del paviment a la C-14 del PK 161+475 al 163+450. Organyà.</t>
  </si>
  <si>
    <t>Contracte de serveis per a la direcció de les obres de reparació del paviment a la C-14 del PK 161+475 al 163+450. Organyà.</t>
  </si>
  <si>
    <t>CSS. AT-00164.1-A1-C1</t>
  </si>
  <si>
    <t>DO. AT-00164.1-A1-C1</t>
  </si>
  <si>
    <t>CQ. AT-00164.1-A1-C1</t>
  </si>
  <si>
    <t>Assistència tècnica de coordinació de seguretat i salut de les obres del projecte de millora local. Mesures correctores d'impacte ambiental del condicionament de la carretera C-51 a Vilardida. PK 24+400 al 26+840. Tram: Vila-rodona.</t>
  </si>
  <si>
    <t>Direcció de les obres de millora local. Mesures correctores d'impacte ambiental del condicionament de la carretera C-51 a Vilardida. PK 24+400 al 26+840. Tram: Vila-rodona.</t>
  </si>
  <si>
    <t>Control de qualitat de les obres de millora local. Mesures correctores d'impacte ambiental del condicionament de la carretera C-51 a Vilardida. PK 24+400 al 26+840. Tram: Vila-rodona.</t>
  </si>
  <si>
    <t>EV. EG-CMB-18014.F3</t>
  </si>
  <si>
    <t>Contracte de serveis per a l'assistència tècnica per a la redacció de l"Estudi geotècnic. Pla d'auscultació per al seguiment i control de vessant de la C-17 entre el PK 43+050 i el 43+550. Centelles - Seva". Clau: EG-CMB-18014.F3</t>
  </si>
  <si>
    <t>EV. EX-CIL-20041</t>
  </si>
  <si>
    <t>Contracte de serveis per a l'assistència tècnica per a la redacció del Document ambiental de la millora de característiques superficials i reestudi de secció transversal a la C-12 del PK 125+000 al 133+000. Alfès-Lleida. Clau: EV. EX-CIL-20041</t>
  </si>
  <si>
    <t>MEA. MEC-22L01</t>
  </si>
  <si>
    <t>Contracte de serveis per l'assistència tècnica per a la realització d'auditories de qualitat de manteniment de 19 equipaments del Departament d'Interior i 20 equipaments del Departament de Justícia. (Lots 1 a 11).</t>
  </si>
  <si>
    <t>PE+DO. PGM-21302</t>
  </si>
  <si>
    <t>Contracte de serveis per a l'assistència tècnica per a la redacció del projecte bàsic i executiu i la posterior direcció de les obres RAM de retirada i substitució dels elements que contenen fibrociment en els edificis de parcs de bombers d'Interior.</t>
  </si>
  <si>
    <t>CP. PAR-22212</t>
  </si>
  <si>
    <t>Contracte de serveis per a l'assistència tècnica al procediment de concentració parcel·lària a la zona del terme municipal de Cubells. Bases Provisionals i Definitives.</t>
  </si>
  <si>
    <t>EI. EI-CIB-21087+PC. PC-CIB-21</t>
  </si>
  <si>
    <t>Red. estudi informatiu "Millora connectivitat i nous enllaços C-32 al Maresme del PK 84+250 al PK 134+750. Montgat - Tordera" i proj. constructiu "Millora connnectivitat i nous enllaços C-32 al Maresme del pk 85,250 al pk 95,00. Montgat-Cabrera de Mar.</t>
  </si>
  <si>
    <t>PC. PC-CGE-21048.</t>
  </si>
  <si>
    <t>PE+DO. JVX-21283</t>
  </si>
  <si>
    <t>PC. PAP-22223</t>
  </si>
  <si>
    <t>PC. PC-CGL-21062</t>
  </si>
  <si>
    <t>PC. PC-CIB-22001</t>
  </si>
  <si>
    <t>Assistència tècnica per a la redacció del projecte bàsic i executiu i la posterior direcció de les obres de l'actualització del projecte RAM de reforma del Mòdul Residencial 11 (A i B) del Centre Penitenciari de Ponent, a Lleida.</t>
  </si>
  <si>
    <t>Contracte de serveis per a l'assistència tècnica per a la redacció del projecte constructiu. Millora de la pista de Boet a Alins al Parc Natural de l'Alt Pirineu (Pallars Sobirà).</t>
  </si>
  <si>
    <t>Contracte de serveis per a l'assistència tècnica per a la redacció del projecte constructiu. Estabilització de talussos i protecció contra despreniments a la C-13 del PK 133+110 al 141+730. Rialp i Llavorsí.</t>
  </si>
  <si>
    <t>Contracte de serveis per a l'assistència tècnica per a la redacció del projecte constructiu "Condicionament de la C-59 del PK 38+460 al 53+720. Moià - Santa Maria d'Oló".</t>
  </si>
  <si>
    <t>PC. PC-CNB-21067</t>
  </si>
  <si>
    <t>DE. CAP-18202.A</t>
  </si>
  <si>
    <t>CQ. MG-10042-AA</t>
  </si>
  <si>
    <t>CQ. CAP-18202.A</t>
  </si>
  <si>
    <t>CSS. CAP-18202.A</t>
  </si>
  <si>
    <t>CSS. MG-10042-AA</t>
  </si>
  <si>
    <t>DO. MG-10042-AA</t>
  </si>
  <si>
    <t>PC. PC-CPG-19024</t>
  </si>
  <si>
    <t>PC. PC-CFT-21070</t>
  </si>
  <si>
    <t>Serveis per a l'assistència tècnica per a la redacció del projecte constructiu "Connexió entre l'N-II, la C-32 i el polígon industrial Vall de Gata-Draper. Arenys de Mar". Clau: PC-CNB-21067</t>
  </si>
  <si>
    <t>Contracte de serveis per a la direcció d'execució de les obres de construcció del nou Centre d'Atenció Primària de Pineda de Mar. Clau: CAP-18202.A</t>
  </si>
  <si>
    <t>Contracte de serveis per a l'assistència tècnica de Control de Qualitat de les obres del projecte constructiu de millora local. Millora de nus. Rotonda a la carretera C-17, PK 95+455 (intersecció amb N-260). Tram: Ripoll. Clau: MG-10042-AA</t>
  </si>
  <si>
    <t>Contracte de serveis per a l'assistència tècnica de control de qualitat de les obres de construcció del nou Centre d'Atenció Primària de Pineda de Mar. Clau: CAP-18202.A</t>
  </si>
  <si>
    <t>Contracte de serveis per a l'assistència tècnica de coordinació de seguretat i salut de les obres del projecte actualitzat del nou Centre d'Atenció Primària de Pineda de Mar. Clau: CAP-18202.A</t>
  </si>
  <si>
    <t>Contracte de serveis per a l'assistència tècnica de coordinació de seguretat i salut de les obres del projecte constructiu de millora local. Millora de nus. Rotonda a la carretera C-17, PK 95+455 (intersecció amb N-260). Tram: Ripoll. Clau: MG-10042-AA</t>
  </si>
  <si>
    <t>Contracte de serveis per a la direcció de les obres del projecte constructiu de millora local. Millora de nus. Rotonda a la carretera C-17, PK 95+455 (intersecció amb N-260). Tram: Ripoll. Clau: MG-10042-AA</t>
  </si>
  <si>
    <t>Contracte de serveis per a l'assistència tècnica per a la redacció del projecte constructiu "Rehabilitació del ferm i ordenació d'accessos al vial perimetral de Celrà del PK0+000 al 3+200. Celrà". Clau: PC-CPG-19024</t>
  </si>
  <si>
    <t>Contracte de serveis per a l'assistència tècnica per a la redacció del projecte constructiu "Millora de característiques superficials de la C-37 del PK 14+600 al 26+455. Valls - el Pont d'Armentera". Clau: PC-CFT-21070</t>
  </si>
  <si>
    <t>PE+DO. PNG-20249</t>
  </si>
  <si>
    <t>PC. AG-07040.3-A1</t>
  </si>
  <si>
    <t>Redaccó del projecte bàsic i executiu i la posterior deirecció de les obres de la Nova Construcció Escola 1L Sant Jordi de Sant Julià de Llor i Bonmatí.</t>
  </si>
  <si>
    <t>Serveis per a l'assistència tècnica per a la redacció del projecte constructiu "Condicionament de la GI-642 del pk 0,000 al 3,512. La Pera-Parlavà.</t>
  </si>
  <si>
    <t>PE+DF. PPO-21301</t>
  </si>
  <si>
    <t>Redacció del projecte bàsic i executiu i la posterior direcció facultativa de les obres de rehabilitació de l'edifici carrer Bailén (TM Roquetes) i Millora funcional i de les instal·lacions de la casa forestal de la Vall (TM de Roquetes).</t>
  </si>
  <si>
    <t>CQ. MB-16037.F1</t>
  </si>
  <si>
    <t>DO. MB-16037.F1</t>
  </si>
  <si>
    <t>CSS. MB-16037.F1</t>
  </si>
  <si>
    <t>Contracte de serveis per a l'assistència tècnica de control de qualitat de les obres de millora local. Millora de nus. Rotonda a la C-31, PK 176+500. Fase 1. Sitges.</t>
  </si>
  <si>
    <t>Contracte de serveis per a la direcció de les obres de millora local. Millora de nus. Rotonda a la C-31, PK 176+500. Fase 1. Sitges.</t>
  </si>
  <si>
    <t>Contracte de serveis per a l'assistència tècnica de coordinació de seguretat i salut de les obres del projecte constructiu de millora local. Millora de nus. Rotonda a la C-31, PK 176+500. Fase 1. Sitges.</t>
  </si>
  <si>
    <t>PE+DO. CAP-22221</t>
  </si>
  <si>
    <t>Concurs de projectes per a la redacció del projecte bàsic i executiu i la posterior direcció de les obres del Nou Centre d'Atenció Primària de Santa Margarida i els Monjos. Clau: CAP-22221</t>
  </si>
  <si>
    <t>CSS. PRL-22910</t>
  </si>
  <si>
    <t>Contracte de serveis per a l'assistència tècnica de coordinació de seguretat i salut de treballs de reparació a executar en el període de garantia o suspensió de les obres gestionades per Infraestructures de la Generalitat de Catalunya, SAU.</t>
  </si>
  <si>
    <t>CQ. PC-CPB-20028</t>
  </si>
  <si>
    <t>CSS. PC-CPB-20028</t>
  </si>
  <si>
    <t>Contracte de serveis per a l'assistència tècnica de control de qualitat de les obres de rotonda a la BV-4501, PK 4+425. Santpedor.</t>
  </si>
  <si>
    <t>Contracte de serveis per a l'assistència tècnica de coordinació de seguretat i salut de les obres del projecte constructiu de rotonda a la BV-4501, PK 4+425. Santpedor.</t>
  </si>
  <si>
    <t>CQ. XMV-21537</t>
  </si>
  <si>
    <t>Control de qualitat de les obres RAM 2021 als Serveis Territorials al Vallès Occidental (XI): Escola Virolet (Sabadell), Enderroc parcial de fonamentació de mòduls, instal·lació de recollida pneumàtica i adequació d'accés i tanca.</t>
  </si>
  <si>
    <t>PE+DO. JJV-21303</t>
  </si>
  <si>
    <t>A.T. per a la redacció del projecte bàsic i executiu i la posterior direcció de les obres RAM per a la substitució del sistema de climatització i ventilació, i l'obtenció de la llicència d'activitats de l'edifici Judicial Tomas y Valiente de Mataró.</t>
  </si>
  <si>
    <t>CSS. MB-16066</t>
  </si>
  <si>
    <t>DO. MB-16066+PC. CPB-20028</t>
  </si>
  <si>
    <t>CQ. MB-16066</t>
  </si>
  <si>
    <t>Coordinació de seguretat i salut de les obres del projecte constructiu de millora local. Ponts i estructures. Ampliació vorera de la BV-1225 al pas superior de la carretera C-55 (Ronda de Manresa). PK 28+530. Tram: Manresa.</t>
  </si>
  <si>
    <t>Direcció conjunta de les obres de "Millora local. Ponts i estructures. Ampliació vorera de la BV-1225 al pas superior de la carretera C-55 (Ronda de Manresa). PK 28+530. Tram: Manresa. Clau MB-16066" i "Rotonda a la BV-4501, PK 4+425. Santpedor.</t>
  </si>
  <si>
    <t>Control de qualitat de les obres del projecte constructiu de millora local. Ponts i estructures. Ampliació vorera de la BV-1225 al pas superior de la carretera C-55 (Ronda de Manresa). PK 28+530. Tram: Manresa.</t>
  </si>
  <si>
    <t>DO. PC-CGT-19048</t>
  </si>
  <si>
    <t>CSS. PC-CGT-19048</t>
  </si>
  <si>
    <t>CQ. PC-CGT-19048</t>
  </si>
  <si>
    <t>PC. PC-CFE-21080</t>
  </si>
  <si>
    <t>ATAM. PC.CGT-19048</t>
  </si>
  <si>
    <t>Contracte de serveis per a la direcció de les obres de "Construcció de cunetes trepitjables a la T-701. Cornudella de Montsant i Prades".</t>
  </si>
  <si>
    <t>Contracte de serveis per a l'assistència tècnica de coordinació de seguretat i salut de les obres de "Construcció de cunetes trepitjables a la T-701. Cornudella de Montsant i Prades".</t>
  </si>
  <si>
    <t>Contracte de serveis per a l'assistència tècnica de control de qualitat de les obres de "Construcció de cunetes trepitjables a la T-701. Cornudella de Montsant i Prades".</t>
  </si>
  <si>
    <t>Contracte de serveis per a l'assistència tècnica per a la redacció del projecte constructiu "Reforç de ferm de la C-42 del PK 2-090 al 8+450. L'Aldea-Tortosa".</t>
  </si>
  <si>
    <t>Contracte de serveis per a l'assistència tècnica ambiental de les obres "Construcció de cunetes trepitjables a la T-701. Cornudella de Montsant i Prades".</t>
  </si>
  <si>
    <t>DO. PMM-21240</t>
  </si>
  <si>
    <t>CQ. PMM-21240</t>
  </si>
  <si>
    <t>DE+CSS. PMM-21240</t>
  </si>
  <si>
    <t>CQ. PGM-19206</t>
  </si>
  <si>
    <t>DE. PGM-19206</t>
  </si>
  <si>
    <t>CSS. PGM-19206</t>
  </si>
  <si>
    <t>Contracte de serveis per a la Direcció d'Obra de les obres de Projecte constructiu. Museïtzació de l'Espai Illes Medes del Parc Natural del Montgrí, les Illes Medes i el Baix Ter. Clau: DO. PMM-21240</t>
  </si>
  <si>
    <t>Contracte de serveis per a l'assistència tècnica del control de qualitat de les obres del Projecte constructiu. Museïtzació de l'Espai Illes Medes del Parc Natural del Montgrí, les Illes Medes i el Baix Ter. Clau: CQ. PMM-21240</t>
  </si>
  <si>
    <t>Contracte de serveis per a la direcció d'execució de les obres i coordinació de seguretat i salut de les obres de Projecte constructiu. Museïtzació de l'Espai Illes Medes del Parc Natural del Montgrí, les Illes Medes i el Baix Ter. Clau: DE+CSS. PMM-21240</t>
  </si>
  <si>
    <t>Contracte de serveis per a l'assistència tècnica de control de qualitat de les obres RAM d'adequació de la urbanització del Complex Central de Bombers de la Generalitat de Catalunya a Cerdanyola del Vallès.</t>
  </si>
  <si>
    <t>Contracte de serveis per a la direcció d'execució de les obres RAM d'adequació de la urbanització del Complex Central de Bombers de la Generalitat de Catalunya a Cerdanyola del Vallès.</t>
  </si>
  <si>
    <t>Contracte de serveis per a l'assistència tècnica de coordinació de seguretat i salut de les obres del projecte executiu de RAM d'adequació de la urbanització del Complex Central de Bombers de la Generalitat de Catalunya a Cerdanyola del Vallès.</t>
  </si>
  <si>
    <t>EV. EX-AG-07040.1-A1</t>
  </si>
  <si>
    <t>Contracte de serveis per a l'assistència tècnica per a la redacció de la memòria ambiental. Condicionament de la GI-643 del PK 0+000 AL 4+550, Gualta - Serra de Daró.</t>
  </si>
  <si>
    <t>EV. EX-AG-07040.3-A1</t>
  </si>
  <si>
    <t>Contracte de serveis per a l'assistència tècnica per a la redacció de la memòria ambiental. Condicionament de la GI-642 del PK 0+000 AL 3+512, La Pera-Parlavà.</t>
  </si>
  <si>
    <t>ATAM. JC-19234</t>
  </si>
  <si>
    <t>Contracte de serveis per a l'assistència tècnica ambiental de les obres del Projecte constructiu del nou col·lector de salmorres. Ramal Llobregat. Fase 2. Tram: Balsareny-Castellgalí. Clau: JC-19234</t>
  </si>
  <si>
    <t>CSS. JC-19234</t>
  </si>
  <si>
    <t>Contracte de serveis per a l'assistència tècnica de coordinació de seguretat i salut de les obres del projecte constructiu del nou c ol·lector de salmorres. Ramal Llobregat. Fase 2. Tram: Balsareny-Castellgalí. Lot 1 + Lot 2. Clau: JC-19234.</t>
  </si>
  <si>
    <t>DO. JC-19234</t>
  </si>
  <si>
    <t>Contracte de serveis per a la direcció de les obres del Projecte constructiu del nou col·lector de salmorres. Ramal Llobregat. Fase 2. Tram: Balsareny-Castellgalí. Clau: JC-19234</t>
  </si>
  <si>
    <t>CQ. JC-19234</t>
  </si>
  <si>
    <t>Contracte de serveis per a l'assistència tècnica de Control de Qualitat de les obres del Projecte constructiu del nou col·lector de salmorres. Ramal Llobregat. Fase 2. Tram: Balsareny-Castellgalí. Clau: JC-19234</t>
  </si>
  <si>
    <t>PE+DO PGM-22224</t>
  </si>
  <si>
    <t>Concurs de projectes per a la redacció del projecte bàsic i executiu i la posterior direcció de les obres RAM de reforma i ampliació del Parc de Bombers de Reus. Clau: PGM-22224</t>
  </si>
  <si>
    <t>CQ. PC-CIB-19028</t>
  </si>
  <si>
    <t>Contracte de serveis per a l'assistència tècnica de Control de Qualitat de les obres de condicionament de la C-59 del PK 22+000 al 38+460. Sant Feliu de Codines - Moià. Clau: PC-CIB-19028</t>
  </si>
  <si>
    <t>CSS. PC-CIB-19028</t>
  </si>
  <si>
    <t>Contracte de serveis per a l'assistència tècnica de coordinació de seguretat i salut de les obres de condicionament de la C-59 del PK 22+000 al 38+460. Sant Feliu de Codines - Moià. Clau: PC-CIB-19028</t>
  </si>
  <si>
    <t>DO. PC-CIB-19028</t>
  </si>
  <si>
    <t>Contracte de serveis per a la direcció de les obres de condicionament de la C-59 del PK 22+000 al 38+460. Sant Feliu de Codines - Moià. Clau: PC-CIB-19028</t>
  </si>
  <si>
    <t>SDC.AT.FIBRA.22-FEDER REACT-EU</t>
  </si>
  <si>
    <t>Sistema dinàmic de contractació d'assistències tècniques per a les obres de desplegament de la xarxa pública de fibra òptica amb finançament "Next Generation EU", provinent de l'ajuda a la recuperació per a la cohesió dels territoris d'Europa … .</t>
  </si>
  <si>
    <t>PC-BNL-21090.1+PC-BNL-21090.2</t>
  </si>
  <si>
    <t>Assistència tècnica per a la redacció del projecte constructiu "Via verda paral·lela a la C-13. Camarasa - Congost de Mu. Camarasa-la Platgeta" i del projecte constructiu "Via verda paral·lela a la C-13. Camarasa-Congost de Mu.La Platgeta-Congost de Mu''</t>
  </si>
  <si>
    <t>DE+CSS-S59-FGC-04467</t>
  </si>
  <si>
    <t>Contracte de serveis per a la direcció d'execució i coordinació de seguretat i salut de les obres de la nova escala d'accés a la coberta de la seu corporativa d'Infraestructures.cat de Barcelona. Clau: DE+CSS. S59-FGC-04467</t>
  </si>
  <si>
    <t>CQ. S59-FGC-04467</t>
  </si>
  <si>
    <t>Contracte de serveis per a l'assistència tècnica de control de qualitat de les obres de la nova escala d'accés a la coberta de la seu corporativa d'Infraestructures.cat de Barcelona.</t>
  </si>
  <si>
    <t>DO. S59-FGC-04467</t>
  </si>
  <si>
    <t>Contracte de serveis per a la direcció d'obra de les obres de la nova escala d'accés a la coberta de la seu corporativa d'Infraestructures.cat de Barcelona.</t>
  </si>
  <si>
    <t>CQ. S22-CAP-04378</t>
  </si>
  <si>
    <t>Contracte de serveis per l'assistència tècnica de control de qualitat de les obres de condicionament de les cobertes i espais interiors del CAP de Salt II. Clau: S22-CAP-04378</t>
  </si>
  <si>
    <t>CQ. PC-CNB-21057</t>
  </si>
  <si>
    <t>DO. PC-CNB-21057</t>
  </si>
  <si>
    <t>CSS. PC-CNB-21057</t>
  </si>
  <si>
    <t>Contracte de serveis per a l'assistència tècnica de control de qualitat de les obres de nova passera a la C-31 al PK 181+130. Castelldefels.</t>
  </si>
  <si>
    <t>Contracte de serveis per a la direcció de les obres de nova passera a la C-31 al PK 181+130. Castelldefels.</t>
  </si>
  <si>
    <t>Contracte de serveis per a l'assistència tècnica de coordinació de seguretat i salut de les obres del projecte constructiu de nova passera a la C-31 al PK 181+130. Castelldefels.</t>
  </si>
  <si>
    <t>CQ. CCM-17261</t>
  </si>
  <si>
    <t>CSS. CCM-17261</t>
  </si>
  <si>
    <t>DE. CCM-17261</t>
  </si>
  <si>
    <t>CQ. VBM-21217</t>
  </si>
  <si>
    <t>Contracte de serveis per a l'assistència tècnica de Control de Qualitat de les Obres RAM de millores de seguretat i videovigilància a les comissaries de les regions policials metropolitana Nord, metropolitana Sud, Barcelona i SAUC.</t>
  </si>
  <si>
    <t>Assistència tècnica de coordinació de seguretat i salut de les obres del projecte executiu RAM de millores de seguretat i videovigilància a les comissaries de les regions policials metropolitana Nord, metropolitana Sud, Barcelona i SAUC.</t>
  </si>
  <si>
    <t>Contracte de serveis per la Direcció d'Execució de les Obres RAM de millores de seguretat i videovigilància a les comissaries de les regions policials metropolitana Nord, metropolitana Sud, Barcelona i SAUC.</t>
  </si>
  <si>
    <t>Contracte serveis per a l'assistència tècnica de Control de Qualitat de les obres RAM de reforma, adaptació i mesures correctores de la Seu del Departament d'Interior per l'obtenció de la llicència ambiental. Fase 2.</t>
  </si>
  <si>
    <t>PE+DO PNG-20227</t>
  </si>
  <si>
    <t>Concurs de projectes per a la redacció del projecte bàsic i executiu i la posterior direcció de les obres de Nova construcció Escola 1L Gonçal Comellas d'Avinyonet de Puigventós.</t>
  </si>
  <si>
    <t>PE+DO CAP-22207</t>
  </si>
  <si>
    <t>PC. PC-CGG-21011</t>
  </si>
  <si>
    <t>PE+DO. SAH-20224</t>
  </si>
  <si>
    <t>Concurs de projectes per a la redacció del projecte bàsic i executiu i la posterior direcció de les obres del Nou Centre d'Atenció Primària Sant Celoni.</t>
  </si>
  <si>
    <t>Contracte de serveis per a l'assistència tècnica per a la redacció del projecte constructiu "Mesures de seguretat viària a la C-31 del PK 350+505 al 351+935. Torroella de Montgrí-Ullà".</t>
  </si>
  <si>
    <t>Concurs de projectes per a la redacció del projecte bàsic i executiu i la posterior direcció de les obres de l'Ampliació i reforma a Institut Escola 1L a l'Escola de Castellterçol.</t>
  </si>
  <si>
    <t>CQ. JVX-18318</t>
  </si>
  <si>
    <t>CSS. JVX-18318</t>
  </si>
  <si>
    <t>DE. JVX-18318</t>
  </si>
  <si>
    <t>Contracte de serveis per a l'assistència tècnica de control de qualitat de les obres de RAM de modernització d'ascensors i resolució de barreres arquitectòniques en els accessos i per a la descàrrega de mercaderies al Palau de Justícia de Barcelona.</t>
  </si>
  <si>
    <t>Assistència tècnica de coordinació de seguretat i salut de les obres de RAM de modernització d'ascensors i resolució de barreres arquitectòniques en els accessos i per a la descàrrega de mercaderies al Palau de Justícia de Barcelona.</t>
  </si>
  <si>
    <t>Contracte de serveis per a la direcció d'execució de les obres de RAM de modernització d'ascensors i resolució de barreres arquitectòniques en els accessos i per a la descàrrega de mercaderies al Palau de Justícia de Barcelona.</t>
  </si>
  <si>
    <t>PE+DO CCT-22258</t>
  </si>
  <si>
    <t>PE+DO. CCB-22257</t>
  </si>
  <si>
    <t>PE+DO. CGG-22255</t>
  </si>
  <si>
    <t>DE. JVX-17271.1</t>
  </si>
  <si>
    <t>PE+DO. PCB-22256</t>
  </si>
  <si>
    <t>PE+DO CGL-22260</t>
  </si>
  <si>
    <t>PE+DO. CCL-22259</t>
  </si>
  <si>
    <t>PE+DO. PCB-22253</t>
  </si>
  <si>
    <t>DE. CCG-19261.</t>
  </si>
  <si>
    <t>CSS. JVX-17271.1</t>
  </si>
  <si>
    <t>CQ. JVX-17271.1</t>
  </si>
  <si>
    <t>PE+DO. CCB-22254</t>
  </si>
  <si>
    <t>PE+DO. PNV-20238</t>
  </si>
  <si>
    <t>Serveis per a l'assistència tècnica per a la redacció del projecte bàsic i executiu i la posterior direcció de les obres de rehabilitació, millora de l'eficiència energètica i instal.lació de plaques fotovoltaiques a la Comissaria de El Vendrell.</t>
  </si>
  <si>
    <t>Serveis per a l'assistència tècnica per a la redacció del projecte bàsic i executiu i la posterior direcció de les obres de rehabilitació, millora de l'eficiència energètica i instal·lació de plaques fotovoltaiques a la Comissaria de Vilafranca del Penedè</t>
  </si>
  <si>
    <t>Serveis per a l'assistència tècnica per a la redacció del projecte bàsic i executiu i la posterior direcció de les obres de rehabilitació, millora de l'eficiència energètica i instal·lació de plaques fotovoltaiques a l'edifici de la Comissaria de Girona.</t>
  </si>
  <si>
    <t>Serveis per a la direcció d'execució de les obres d'adequació del projecte d'obra RAM de substitució de refredadores en coberta a l'edifici del Palau de Justícia de Barcelona. Fase 0. Clau JVX-17271.1</t>
  </si>
  <si>
    <t>Serveis per a A.T. per a la Red. del projecte bàsic i executiu i la posterior direcció de les obres de rehabilitació, millora de l'eficiència energètica i instal·lació de plaques fotovoltaiques a l'edifici seu Regional de Bombers a Sant Boi de Llobregat.</t>
  </si>
  <si>
    <t>Serveis per a l'assistència tècnica per a la redacció del projecte bàsic i executiu i la posterior direcció de les obr es de rehabilitació, millora de l'eficiència energètica i instal.lació de plaques fotovoltaiques a l'edifici de la Comissaria de Lleida.</t>
  </si>
  <si>
    <t>Serveis per a l'assistència tècnica per a la redacció del projecte bàsic i executiu i la posterior direcció de les obres de rehabilitació, millora de l'eficiència energètica i instal·lació de plaques fotovoltaiques a la Comissaria de La Seu d'Urgell.</t>
  </si>
  <si>
    <t>Serveis per a A.T. per a la redacció del projecte bàsic i executiu i la posterior direcció de les obres de rehabilitació, millora de l'eficiència energètica i instal·lació de plaques fotovoltaiques a l'edifici Central de Bombers a Cerdanyola del Vallès.</t>
  </si>
  <si>
    <t>Contracte de serveis per a l'assistència tècnica de direcció d'execució de les obres RAM de renovació de càmeres i millores en els sistemes de videovigilància en RP Metropolitana Sud, Camp de Tarragona i Terres de l'Ebre. Clau: CCG-19261</t>
  </si>
  <si>
    <t>Contracte de serveis per a l'assistència tècnica de coordinació de seguretat i salut de les obres d'adequació del projecte d'obra RAM de substitució de refredadores en coberta a l'edifici del Palau de Justícia de Barcelona. Fase 0. Clau: JVX-17271.1</t>
  </si>
  <si>
    <t>Contracte de serveis per a l'assistència tècnica de control de qualitat de les obres d'adequació del projecte d'obra RAM de substitució de refredadores en coberta a l'edifici del Palau de Justícia de Barcelona. Fase 0. Clau JVX-17271.1</t>
  </si>
  <si>
    <t>Serveis per a l'assistència tècnica per a la redacció del projecte bàsic i executiu i la posterior direcció de les obres de rehabilitació, millora de l'eficiència energètica i instal·lació de plaques fotovoltaiques a l'edifici Comissaria de Manresa.</t>
  </si>
  <si>
    <t>Concurs de projectes per a la redacció del projecte bàsic i executiu i la posterior direcció de les obres de la Nova construcció Escola 1L El Bosc de Rubí.</t>
  </si>
  <si>
    <t>PE+DO. IAC-19242</t>
  </si>
  <si>
    <t>PC.TM-02609.6R-C3</t>
  </si>
  <si>
    <t>Concurs de projectes per a la redacció del projecte bàsic i executiu i la posterior direcció de les obres d'ampliació i rehabilitació per a l'Institut 3/2 amb gimnàs La Riera a Badalona.</t>
  </si>
  <si>
    <t>Contracte de serveis per a l'assistència tècnica per a la redacció del projecte constructiu d'instal·lacions de telecomunicació i energia de la Línia 9 de Metro de Barcelona, Tram III i resta d'estacions.</t>
  </si>
  <si>
    <t>PE+DO. CAP-22236</t>
  </si>
  <si>
    <t>PE+DO. CAP-22239</t>
  </si>
  <si>
    <t>PE+DO. JVX-22263</t>
  </si>
  <si>
    <t>PE+DO. BSE-22321</t>
  </si>
  <si>
    <t>PE+DO. CAP-22231</t>
  </si>
  <si>
    <t>PE+DO. BSE-22323</t>
  </si>
  <si>
    <t>PE+DO. BSE-22322</t>
  </si>
  <si>
    <t>PE+DO CAP-22241</t>
  </si>
  <si>
    <t>PE+DO. CAP-22234</t>
  </si>
  <si>
    <t>PE+DO. CAP-22235</t>
  </si>
  <si>
    <t>PE+DO. IMT-22325</t>
  </si>
  <si>
    <t>PE+DO CAP-22242</t>
  </si>
  <si>
    <t>Contracte de serveis per a l'assistència tècnica per a la redacció del projecte bàsic i executiu i la posterior direcció de les obres de rehabilitació i millora de l'eficiència energètica de l'edifici CAP Plana Lledó de Mollet del Vallès.</t>
  </si>
  <si>
    <t>Contracte de serveis per a l'assistència tècnica per a la redacció del projecte bàsic i executiu i la posterior direcció de les obres de rehabilitació i millora de l'eficiència energètica de l'edifici CAP Deltebre.</t>
  </si>
  <si>
    <t>Contracte de serveis per a l'assistència tècnica per a la redacció del projecte bàsic i executiu i la posterior direcció de les obres de rehabilitació i millora de l'eficiència energètica al Centre Educatiu Can Llupià de Barcelona.</t>
  </si>
  <si>
    <t>Contracte de serveis per a la redacció del projecte bàsic i executiu i la posterior direcció de les obres de rehabilitació i millora de l'eficiència energètica del Centre Cívic de Sant Adrià de Besòs - La Mina.</t>
  </si>
  <si>
    <t>Assistència tècnica per a la redacció del projecte bàsic i executiu i la posterior direcció de les obres de rehabilitació i millora de l'eficiència energètica de l'edifici CAP Chafarinas de Barcelona, finançades amb el programa PIREP.</t>
  </si>
  <si>
    <t>Redacció del projecte bàsic i executiu i la posterior direcció de les obres de rehabilitació, millora de l'eficiència energètica i instal·lació de plaques fotovoltaiques en el Centre Cívic i Casal per la gent Gran de Sant Adrià de Besòs.</t>
  </si>
  <si>
    <t>Contracte de serveis per a l'assistència tècnica per a la redacció del projecte bàsic i executiu i la posterior direcció de les obres de rehabilitació i millora de l'eficiència energètica del Centre Cívic del Prat de Llobregat - Delta.</t>
  </si>
  <si>
    <t>Contracte de serveis per a l'assistència tècnica per a la redacció del projecte bàsic i executiu i la posterior direcció de les obres de rehabilitació i millora de l'eficiència energètica de l'edifici CAP Llibertat de Reus.</t>
  </si>
  <si>
    <t>Contracte de serveis per a l'assistència tècnica per a la redacció del projecte bàsic i executiu i la posterior direcció de les obres de rehabilitació i millora de l'eficiència energètica de l'edifici CAP Roses.</t>
  </si>
  <si>
    <t>Contracte de serveis per a l'assistència tècnica per a la redacció del projecte bàsic i executiu i la posterior direcció de les obres de rehabilitació i millora de l'eficiència energètica de l'edifici CAP Can Gibert del Pla de Girona.</t>
  </si>
  <si>
    <t>Contracte de serveis per a l'assistència tècnica per a la redacció del projecte bàsic i executiu i la posterior direcció de les obres de rehabilitació i millora de l'eficiència energètica a l'Institut Antoni de Martí i Franquès de Tarragona.</t>
  </si>
  <si>
    <t>Contracte de serveis per a l'assistència tècnica per a la redacció del projecte bàsic i executiu i la posterior direcció de les obres de rehabilitació i millora de l'eficiència energètica de l'edifici CAP Terrassa Sud (Can Jofresa) de Terrassa.</t>
  </si>
  <si>
    <t>PE+DO. JVX-22264</t>
  </si>
  <si>
    <t>PE+DO. JVX-22262</t>
  </si>
  <si>
    <t>PE+DO. CAP-22324</t>
  </si>
  <si>
    <t>PE+DO APC-22271</t>
  </si>
  <si>
    <t>PE+DO APC-22270</t>
  </si>
  <si>
    <t>PE+DO URV-22277</t>
  </si>
  <si>
    <t>PE+DO UDL-22279</t>
  </si>
  <si>
    <t>PE+DO. IME-22267</t>
  </si>
  <si>
    <t>PE+DO. CAP-22233</t>
  </si>
  <si>
    <t>PE+DO. CAP-22232</t>
  </si>
  <si>
    <t>PE+DO. IMG-22266</t>
  </si>
  <si>
    <t>EV. EU-CGC-22009</t>
  </si>
  <si>
    <t>Serveis per a A.T. per a la redacció del projecte bàsic i executiu i la posterior direcció de les obres de rehabilitació, millora de l'eficiència energètica i instal.lació de plaques fotovoltaiques al Centre Penitenciari Brians 1 a Sant Esteve Sesrovires</t>
  </si>
  <si>
    <t>Serveis per a l'assistència tècnica per a la redacció del projecte bàsic i executiu i la posterior direcció de les obres de rehabilitació i millora de l'eficiència energètica al Centre Educatiu l'Alzina a Palau Solità i Plegamans.</t>
  </si>
  <si>
    <t>Serveis per a l'assistència tècnica per a la redacció del projecte bàsic i executiu i la posterior direcció de les obres de rehabilitació i millora de l'eficiència energètica de l'edifici CAP Mollerussa.</t>
  </si>
  <si>
    <t>Serveis per a A.T. per a la redacció del projecte bàsic i executiu i la posterior direcció de les ob res de rehabilitació, millora de l'eficiència energètica i instal·lació de plaques fotovoltaiques a l'edifici CRBMC a St. Cugat de Vallès.</t>
  </si>
  <si>
    <t>Serveis per a A.T. per a la redacció del projecte bàsic i executiu i la posterior direcció de les obr es de rehabilitació, millora de l'eficiència energètica i instal·lació de plaques fotovoltaiques al Dipòsit de Patrimoni Cultural a Cervera.</t>
  </si>
  <si>
    <t>Serveis per a A.T. per a la redacció del projecte bàsic i executiu i la posterior direcció de les obr es de rehabilitació, millora de l'eficiència energètica i instal·lació de plaques fotovoltaiques del Campus Catalunya (Edifici A1-D1-CRAI) de la URV.</t>
  </si>
  <si>
    <t>Serveis per A.T. per a la redacció del projecte bàsic i executiu i la posterior direcció de les obr es de rehabilitació, millora de l'eficiència energètica i instal·lació de plaques fotovoltaiques a l'edifici del Rectorat de la Univ ersitat de Lleida.</t>
  </si>
  <si>
    <t>Serveis per a l'assistència tècnica per a la redacció del projecte bàsic i executiu i la posterior direcció de les obres de rehabilitació i millora de l'eficiència energètica a l'Institut Dertosa de Tortosa.</t>
  </si>
  <si>
    <t>Serveis per a l'assistència tècnica per a la redacció del projecte bàsic i executiu i la posterior direcció de les obres de rehabilitació i millora de l'eficiència energètica de l'edifici CAP Sant Quirze del Vallès.</t>
  </si>
  <si>
    <t>Contracte de serveis per a l'assistència tècnica per a la redacció del projecte bàsic i executiu i la posterior direcció de les obres de rehabilitació i millora de l'eficiència energètica de l'edifici CAP Vendrell.</t>
  </si>
  <si>
    <t>Contracte de serveis per a l'assistència tècnica per a la redacció del projecte bàsic i executiu i la posterior direcció de les obres de rehabilitació i millora de l'eficiència energètica a l'Institut Alexandre Deulofeu de Figueres.</t>
  </si>
  <si>
    <t>Contracte de serveis per a l'estudi del seguiment acústic de la xarxa viària de titularitat de la Generalitat de Catalunya.</t>
  </si>
  <si>
    <t>DO. TA-16203-AA</t>
  </si>
  <si>
    <t>CQ. TA-16203-AA</t>
  </si>
  <si>
    <t>CQ. TA-13277-AA</t>
  </si>
  <si>
    <t>DO. SC.PAS-21237</t>
  </si>
  <si>
    <t>CSS. SC.PAS-21237</t>
  </si>
  <si>
    <t>CQ. SC.PAS-21237</t>
  </si>
  <si>
    <t>DO. MT-16058</t>
  </si>
  <si>
    <t>CSS. TA-16203-AA</t>
  </si>
  <si>
    <t>CSS. MT-16058</t>
  </si>
  <si>
    <t>ATAM. TA-07264.1-AA</t>
  </si>
  <si>
    <t>CSS. TA-13277-AA</t>
  </si>
  <si>
    <t>DO. TA-13277-AA</t>
  </si>
  <si>
    <t>DO. TA-07264.1-AA</t>
  </si>
  <si>
    <t>Contracte de serveis per a la direcció de les obres del projecte constructiu de la nova estació d'autobusos d'Almacelles.</t>
  </si>
  <si>
    <t>Contracte de serveis per a l'assistència tècnica de control de qualitat de les obres del projecte constructiu de la nova estació d'autobusos d'Almacelles.</t>
  </si>
  <si>
    <t>Contracte de serveis per a l'assistència tècnica de Control de Qualitat de les obres de la Parada d'autobusos de Juneda.</t>
  </si>
  <si>
    <t>Contracte de serveis per a la direcció de Conservació pistes forestals Parc Nacional d'Aigüestortes i Estany de Sant Maurici.</t>
  </si>
  <si>
    <t>Contracte de serveis per a l'assistència tècnica de coordinació de seguretat i salut de Conservació pistes forestals Parc Nacional d'Aigüestortes i Estany de Sant Maurici.</t>
  </si>
  <si>
    <t>Contracte de serveis per a l'assistència tècnica de Control de Qualitat de Conservació pistes forestals Parc Nacional d'Aigüestortes i Estany de Sant Maurici.</t>
  </si>
  <si>
    <t>Contracte de serveis per a la direcció de les obres de Millora local. Carril bici, drenatge longitudinal i cunetes remuntables a la carretera TV-3141 del PK 4+700 al 6+500 (rotonda Blancafort). Reus.</t>
  </si>
  <si>
    <t>Contracte de serveis per a l'assistència tècnica de coordinació de seguretat i salut de les obres del projecte constructiu de la nova estació d'autobusos d'Almacelles.</t>
  </si>
  <si>
    <t>Contracte de serveis per a l'assistència tècnica de coordinació de seguretat i salut de les obres de Millora local. Carril bici, drenatge longitudinal i cunetes remuntables a la carretera TV-3141 del PK 4+700 al 6+500 (rotonda Blancafort). Reus.</t>
  </si>
  <si>
    <t>Contracte de serveis per a l'assistència tècnica ambiental de les obres del projecte constructiu del carril bus d'entrada a Barcelona a l'autopista B-23 del PK 0+000 al PK 7+260.</t>
  </si>
  <si>
    <t>Contracte de serveis per a l'assistència tècnica de coordinació de seguretat i salut de les obres de la Parada d'autobusos de Juneda.</t>
  </si>
  <si>
    <t>Contracte de serveis per a la direcció de les obres de la Parada d'autobusos de Juneda.</t>
  </si>
  <si>
    <t>Contracte de serveis per a la direcció de les obres del projecte constructiu del carril bus d'entrada a Barcelona a l'autopista B-23 del PK 0+000 al PK 7+260.</t>
  </si>
  <si>
    <t>PE+DO APC-22275</t>
  </si>
  <si>
    <t>Concurs de projectes per a la redacció del projecte bàsic, el projecte executiu i la posterior direcció de les obres de rehabilitació i millora de l'eficiència energètica del mNACTEC (Museu Nacional de la Ciència i Tècnica de Catalunya), a Terrassa.</t>
  </si>
  <si>
    <t>CQ. VL-04003.2</t>
  </si>
  <si>
    <t>DO. VL-04003.2+PC-CML-17071-A1</t>
  </si>
  <si>
    <t>CSS. VL-04003.2</t>
  </si>
  <si>
    <t>Contracte de serveis per a l'assistència tècnica de control de qualitat de les obres de rotonda a la C-53, PK 116+400. Anglesola.</t>
  </si>
  <si>
    <t>Contracte de serveis per a la direcció conjunta de les obres de "Rotonda a la C-53, pk 116,400. Anglesola" i "Millora de drenatge de la OD 92,1 C-25, pk 92,100, marge dret. Estaràs.</t>
  </si>
  <si>
    <t>Contracte de serveis per a l'assistència tència de coordinació de seguretat i salut de les obres de rotona a la C-53, pk 116,400. Anglesola.</t>
  </si>
  <si>
    <t>CQ. PC-BXT-19066</t>
  </si>
  <si>
    <t>CSS. PC-BXT-19066</t>
  </si>
  <si>
    <t>DO. PC-BXT-19066</t>
  </si>
  <si>
    <t>Contracte de serveis per a l'assistència tècnica de control de qualitat de les obres de carril bici i drenatge longitudinal a la TV-3141 del PK 6+500 (rotonda Blancafort) al 7+000. Reus.</t>
  </si>
  <si>
    <t>Contracte de serveis per a l'assistència tècnica de coordinació de seguretat i salut de les obres del projecte constructiu de carril bici i drenatge longitudinal a la TV-3141 del PK 6+500 (rotonda Blancafort) al 7+000. Reus.</t>
  </si>
  <si>
    <t>Contracte de serveis per a la direcció de les obres de carril bici i drenatge longitudinal a la TV-3141 del PK 6+500 (rotonda Blancafort) al 7+000. Reus.</t>
  </si>
  <si>
    <t>PE+DO BSV-22286</t>
  </si>
  <si>
    <t>PC-MGB-22007.F3</t>
  </si>
  <si>
    <t>PC. PMM-22225</t>
  </si>
  <si>
    <t>PE+DO BSE-22285</t>
  </si>
  <si>
    <t>PE+DO BSE-22287</t>
  </si>
  <si>
    <t>PE+DO BSE-22272</t>
  </si>
  <si>
    <t>PE+DO BSE-22283</t>
  </si>
  <si>
    <t>PE+DO BSX-20278</t>
  </si>
  <si>
    <t>PE+DO BSE-22295</t>
  </si>
  <si>
    <t>PE+DO HTT-16208.2-M1</t>
  </si>
  <si>
    <t>CQ. S9-PNA-05561</t>
  </si>
  <si>
    <t>PC. PC-CIB-21095.</t>
  </si>
  <si>
    <t>PE+DO BSE-22289</t>
  </si>
  <si>
    <t>PE+DO. BSE-22288</t>
  </si>
  <si>
    <t>Contracte de serveis per a l'assistència tècnica per a la redacció del projecte bàsic i executiu i la posterior direcció de les obres per a la millora de la seguretat i instal·lació de plaques fotovoltaiques al Centre La Mercè de Tarragona.</t>
  </si>
  <si>
    <t>Assistència tècnica per a la redacció del projecte constructiu "Ampliació de l'accés del carrer Badajoz de l'estació de Glòries de l'L1 del Ferrocarril Metropolità de Barcelona (FMB). Barcelona. Fase 3. Remodelació del vestíbul actual".</t>
  </si>
  <si>
    <t>Contracte de serveis per a l'assistència tècnica per a la redacció del projecte constructiu "Recuperació ambiental dels ecosistemes litorals al Parc Natural del Montgrí, Illes Medes i el Baix Ter a Torroella de Montgrí". Clau: PC. PMM-22225</t>
  </si>
  <si>
    <t>Concurs de projectes per a la redacció del projecte bàsic i executiu i la posterior direcció de les obres de reforma integral de les plantes 4 i 5 i incorporació de mesures mediambientals del Centre Gatassa de Mataró. Clau: BSE-22285</t>
  </si>
  <si>
    <t>Concurs de projectes per a la redacció del projecte bàsic i executiu i la posterior direcció de les obres de reforma de les plantes baixa, 3a i 4a i incorporació de mesures mediambientals del Centre Mossèn Homs de Terrassa. Clau: BSE-22287</t>
  </si>
  <si>
    <t>Concurs de projectes per a la redacció del projecte bàsic i executiu i la posterior direcció de les obres de reforma i ampliació per a l'adequació del Centre Joan XXIII de Cerdanyola del Vallès, al nou model assistencial. Clau: BSE-22272</t>
  </si>
  <si>
    <t>Concurs de projecte per a la redacció del projecte bàsic i executiu i la posterior direcció de les obres de reforma i ampliació per a l'adequació del Centre Can Ruti de Badalona, al nou model assistencial. Clau: BSE-22283</t>
  </si>
  <si>
    <t>Concurs de projecte per a la redacció del projecte bàsic i executiu i la posterior direcció de les obres del futur Alberg de Joventu t en la Ciutat de Repòs i Vacances de Tarragona. Clau: BSX-20278</t>
  </si>
  <si>
    <t>Contracte de serveis per a l'assistència tècnica per a la redacció del projecte bàsic i executiu i la posterior direcció de les obr es de reforma per a la rehabilitació i millora de l'eficiència energètica del Centre Molí Mar de Vilanova i la Geltrú.</t>
  </si>
  <si>
    <t>Contracte de serveis per a la redacció del projecte modificat i la posterior direcció d'obra de la construcció de l'edifici fase 1 de la transformació global de l'Hospital Joan XXIII de Tarragona.</t>
  </si>
  <si>
    <t>Contracte de serveis per l'assistència tècnica de control de qualitat de les obres de condicionament de la coberta de l'edifici de m enjador i cuina de l'escola Les Flandes de Piera. Clau: CQ. S9-PNA-05561.</t>
  </si>
  <si>
    <t>Contracte de serveis per a l'assitència tècnica per a la redacció del projecte constructiu "Pacificació de l'N-II i carril bici a Mataró del PK 644+700 al 647+725. Mataró". Clau: PC-CIB-21095</t>
  </si>
  <si>
    <t>Concurs de projecte per a la redacció del projecte bàsic i executiu i la posterior direcció de les obres de Nova Construcció d'una U nitat Integrada d'Atenció a Infants i Adolescents (Barnahus) a la Seu d'Urgell. Clau: BSE-22289.</t>
  </si>
  <si>
    <t>Concurs de projectes per a la redacció del projecte bàsic i executiu i la posterior direcció de les obres de nova construcció d'una Unitat Integrada d'Atenció a Infants i Adolescents (Barnahus) a Lleida. Clau: BSE-22288</t>
  </si>
  <si>
    <t>PE+DO CAP-22238</t>
  </si>
  <si>
    <t>PE+DO. APC-22272</t>
  </si>
  <si>
    <t>DE. JVP-18328</t>
  </si>
  <si>
    <t>CQ. PC-CGB-19064</t>
  </si>
  <si>
    <t>CSS. JVP-18328</t>
  </si>
  <si>
    <t>PE+DO. BSV-22282</t>
  </si>
  <si>
    <t>PE+DO. BSV-22270</t>
  </si>
  <si>
    <t>Concurs de projectes per a la redacció del projecte bàsic i executiu i la posterior direcció de les obres de Rehabilitació i millora de l'eficiència energètica de l'edifici CAP Amadeu Torner de l'Hospitalet de Llobregat.</t>
  </si>
  <si>
    <t>Red. proj. bàsic i executiu, la posterior dir. de les obres de rehabilitació, millora de l'eficiència energètica i instal de plaques fotovoltaiques al Palau de l'Abat i de la Sagristia en l'edifici del Monestir de Sant Pere de Rodes a El Port de la Selva.</t>
  </si>
  <si>
    <t>Contracte de serveis per a la Direcció d'Execució de les obres de rehabilitació al Centre Educatiu Til·lers a Mollet del Vallès.</t>
  </si>
  <si>
    <t>Contracte de serveis per a l'assistència tècnica de control de qualitat de les obres de ponts i estructures. Nova passarel·la en paral·lel a la C-155 del PK 6+900 al PK 7+100. Palau-solità i Plegamans.</t>
  </si>
  <si>
    <t>Contracte de serveis per a l'assistència tècnica de coordinació de seguretat i salut de les obres de rehabilitació del Centre Educatiu Els Til·lers a Mollet del Vallès.</t>
  </si>
  <si>
    <t>Concurs de projecte per a la redacció del projecte bàsic i executiu i la posterior direcció de les obres de nova Construcció d'una Residència i Centre de Dia per a la Gent Gran a Terrassa - Sant Pere Nord.</t>
  </si>
  <si>
    <t>Concurs de projecte per a la redacció del projecte bàsic i executiu i la posterior direcció de les obres de Nova Construcció d'una Residència i Centre de Dia per a la Gent Gran al carrer Benavent de Barcelona.</t>
  </si>
  <si>
    <t>14/06/22 desistiment. Nova licitació 16/09/22</t>
  </si>
  <si>
    <t>PE+DO. AVT-22276</t>
  </si>
  <si>
    <t>PE+DO. HMT-22244</t>
  </si>
  <si>
    <t>CSS. CB-16060</t>
  </si>
  <si>
    <t>CQ. CB-16060</t>
  </si>
  <si>
    <t>EG. EG31</t>
  </si>
  <si>
    <t>PE+DO. BSV-22302</t>
  </si>
  <si>
    <t>DO. CB-16060</t>
  </si>
  <si>
    <t>Concurs de projecte per a la redacció del projecte bàsic i executiu i la posterior direcció de les obres de rehabilitació i millora de l'eficiència energètica de l'edifici de l'Estació Enològica, a Reus.</t>
  </si>
  <si>
    <t>Concurs de projecte per a la redacció del projecte bàsic i executiu i la posterior direcció de les obres de rehabilitació i millora de l'eficiència energètica de l'edifici de l'Hospital Comarcal Móra d'Ebre.</t>
  </si>
  <si>
    <t>Coordinació de seguretat i salut de les obres del projecte constructiu de conservació extraordinària. Ponts i estructures. Rehabilitació d'obres de fàbrica a l'N-II, PK 644+120, i a la C-1413a, PK 2+480. Tram: Mataró i el Papiol.</t>
  </si>
  <si>
    <t>Control de qualitat de les obres de conservació extraordinària. Ponts i estructures. Rehabilitació d'obres de fàbrica a la N-II, PK 644+120, i a la C-1413a, PK 2+480. Tram: Mataró i el Papiol.</t>
  </si>
  <si>
    <t>Concurs de projecte per a la redacció del projecte bàsic i executiu i la posterior direcció de les obres de nova construcció d'una Residència i Centre de Dia per a la Gent Gran al Sector del Parc Central de Sabadell.</t>
  </si>
  <si>
    <t>Contracte de serveis per a la direcció de les obres de conservació extraordinària. Ponts i estructures. Rehabilitació d'obres de fàbrica a la N-II, PK 644+120, i a la C-1413a, PK 2+480. Tram: Mataró i el Papiol.</t>
  </si>
  <si>
    <t>CSS. TA-07264.1-AA</t>
  </si>
  <si>
    <t>CSS. CG-15069</t>
  </si>
  <si>
    <t>CQ. MT-16058</t>
  </si>
  <si>
    <t>CQ. JVP-18328</t>
  </si>
  <si>
    <t>CQ. CG-15069</t>
  </si>
  <si>
    <t>DO. CG-15069</t>
  </si>
  <si>
    <t>CQ. TA-07264.1-AA</t>
  </si>
  <si>
    <t>CSS. PC-CGB-19064</t>
  </si>
  <si>
    <t>PE+DO. CAP-22240</t>
  </si>
  <si>
    <t>PE+DO. UPF-22278</t>
  </si>
  <si>
    <t>PE+DO HBB-22243</t>
  </si>
  <si>
    <t>Contracte de serveis per a l'assistència tècnica de coordinació de seguretat i salut de les obres del projecte constructiu del carril bus d'entrada a Barcelona a l'autopista B-23 del pk 0,000 al pk 7,260.</t>
  </si>
  <si>
    <t>Assistència tècnica de coordinació de seguretat i salut de les obres de conservació extraordinària. Ponts i estructures. Rehabilitació d'obres de fàbrica a les carreteres GI-543, PK 14+280, i GI-520, PK 4+340 i 6+325. Tram: Espinelves-Viladrau.</t>
  </si>
  <si>
    <t>Contracte de serveis per a l'assistència tècnica de Control de Qualitat de les obres de Millora local. Carril bici, drenatge longitudinal i cunetes remuntables a la carretera TV-3141 del PK 4+700 al 6+500 (rotonda Blancafort). Reus.</t>
  </si>
  <si>
    <t>Contracte de serveis per a l'assistència tècnica de Control de Qualitat de les obres de rehabilitació al Centre Educatiu Til·lers a Mollet del Vallès.</t>
  </si>
  <si>
    <t>Assistència tècnica de Control de Qualitat de les obres de conservació extraordinària. Ponts i estructures. Rehabilitació d'obres de fàbrica a les carreteres GI-543, PK 14+280, i GI-520, PK 4+340 i 6+325. Tram: Espinelves-Viladrau.</t>
  </si>
  <si>
    <t>Contracte de serveis per a la direcció de les obres de conservació extraordinària. Ponts i estructures. Rehabilitació d'obres de fàbrica a les carreteres GI-543, PK 14+280, i GI-520, PK 4+340 i 6+325. Tram: Espinelves-Viladrau.</t>
  </si>
  <si>
    <t>Contracte de serveis per a l'assistència tècnica de Control de Qualitat de les obres del projecte constructiu del carril bus d'entrada a Barcelona a l'autopista B-23 del PK 0+000 al PK 7+260.</t>
  </si>
  <si>
    <t>Contracte de serveis per a l'assistència tècnica de coordinació de seguretat i salut de les obres del projecte constructiu de ponts i estructures. Nova passarel·la en paral·lel a la C-155 del PK 6+900 al PK 7+100. Palau-solità i Plegamans.</t>
  </si>
  <si>
    <t>Concurs de projecte per a la redacció del projecte bàsic i executiu i la posterior direcció de les obres de Rehabilitació i millora de l'eficiència energètica de l'edifici CAP Rio de Janeiro de Barcelona.</t>
  </si>
  <si>
    <t>Red. projecte bàsic i executiu i la posterior direcció de les obres de rehabilitació, millora de l'eficiència energètica i instal·lació de plaques fotovoltaiques a l'edifici Biblioteca-Dipòsit de les Aigües de la Universitat Pompeu Fabra de Barcelona.</t>
  </si>
  <si>
    <t>Concurs de projecte per a la redacció del projecte bàsic i executiu i la posterior direcció de les obres de Rehabilitació i millora de l'eficiència energètica de l'edifici de l'Hospital Comarcal Sant Bernabé de Berga.</t>
  </si>
  <si>
    <t>DO. SAM-21205</t>
  </si>
  <si>
    <t>DE. SAM-21205</t>
  </si>
  <si>
    <t>CQ. SAM-21205</t>
  </si>
  <si>
    <t>CSS. SAM-21205</t>
  </si>
  <si>
    <t>Contracte de serveis per a la direcció d'obra de les obres d'ampliació de l'Escola Pla de l'Avellà per a un Institut Escola de a 2L d'infantil i primària i 2L d'ESO a Cabrera de Mar.</t>
  </si>
  <si>
    <t>Contracte de serveis per a la direcció d'execució de les obres d'ampliació de l'Escola Pla de l'Avellà per a un Institut Escola de a 2L d'infantil i primària i 2L d'ESO a Cabrera de Mar.</t>
  </si>
  <si>
    <t>Contracte de serveis per a l'assistència tècnica de control de qualitat de les obres d'ampliació de l'Escola Pla de l'Avellà per a un Institut Escola de a 2L d'infantil i primària i 2L d'ESO a Cabrera de Mar.</t>
  </si>
  <si>
    <t>Contracte de serveis per a l'assistència tècnica de coordinació de seguretat i salut de les obres d'ampliació de l'Escola Pla de l'Avellà per a un Institut Escola de a 2L d'infantil i primària i 2L d'ESO a Cabrera de Mar.</t>
  </si>
  <si>
    <t>PE+DO. APC-22273</t>
  </si>
  <si>
    <t>CQ. SAV-21208</t>
  </si>
  <si>
    <t>EP. EP57</t>
  </si>
  <si>
    <t>DE. SAV-21208</t>
  </si>
  <si>
    <t>DO. PC-CGT-19046</t>
  </si>
  <si>
    <t>PE+DO. APC-22274</t>
  </si>
  <si>
    <t>DO. SAV-21208</t>
  </si>
  <si>
    <t>CSS. SAV-21208</t>
  </si>
  <si>
    <t>CSS. PC-CGT-19046</t>
  </si>
  <si>
    <t>CQ. PC-CGT-19046</t>
  </si>
  <si>
    <t>Concurs de projecte per a la redacció del projecte bàsic i executiu i la posterior direcció de les obres de rehabilitació i millora de l'eficiència energètica del Castell de Cardona.</t>
  </si>
  <si>
    <t>Contracte de serveis per a l'assistència tècnica de control de qualitat de les obres d'ampliació de l'Escola Antoni Ubach per a un Institut Escola de 2L d'infantil i primària i 2L d'ESO a Terrassa.</t>
  </si>
  <si>
    <t>Contracte de serveis per a l'assistència tècnica de la direcció d'execució d'ampliació de l'Escola Antoni Ubach per a un Institut Escola de 2L d'infantil i primària i 2L d'ESO a Terrassa.</t>
  </si>
  <si>
    <t>Contracte de serveis per a la direcció de les obres de les obres de construcció de cunetes terpitjables a la TV-3001 i TV-3031. La Torre de Fontaubella, Marçà i Pradell de la Teixeta.</t>
  </si>
  <si>
    <t>Concurs de projecte per a la redacció del projecte bàsic i executiu i la posterior direcció de les obres de rehabilitació i millora de l'eficiència energètica del Castellde Miravet.</t>
  </si>
  <si>
    <t>Contracte de serveis per a l'assistència tècnica de la direcció de les obres d'Ampliació de l'Escola Antoni Ubach per a un Institut Escola de 2L d'infantil i primària i 2L d'ESO a Terrassa.</t>
  </si>
  <si>
    <t>Contracte de serveis per a l'assistència tècnica de coordinació de seguretat i salut de les obres del projecte d'ampliació de l'Escola Antoni Ubach per a un Institut Escola de 2L d'infantil i primària i 2L d'ESO a Terrassa.</t>
  </si>
  <si>
    <t>Contracte de serveis per a l'assistència tècnica de coordianció de seguretat i salut de les obres de construcció de cunetes trepitjables a la TV-3001 i TV-3031. La Torre de Fontaubella, Marçà i Pradell de la Teixeta.</t>
  </si>
  <si>
    <t>Contracte de serveis per a l'assistència tècnica de control de qualitat de les obres de construcció de cunetes trepitjables a la TV-3001 i TV-3031. La Torre de Fontaubella, Marçà i Pradell de la Teixeta.</t>
  </si>
  <si>
    <t>EX. VB-03120-A1</t>
  </si>
  <si>
    <t>EX. VB-01055</t>
  </si>
  <si>
    <t>Assistència Tècnica a la redacció del "Document ambiental. Variant de la carretera C-59, del PK 20+000 al 25+000. Sant Feliu de Cod ines".</t>
  </si>
  <si>
    <t>Assistència Tècnica a la redacció del "Document ambiental de Millora general. Variant de Sagàs. Carretera C-62, del PK 23+000 al 25 +600. Tram: Santa Maria de Merlès - Sagàs.</t>
  </si>
  <si>
    <t>CQ. SAV-21207</t>
  </si>
  <si>
    <t>CSS. SAC-21202</t>
  </si>
  <si>
    <t>DE. SAC-21202</t>
  </si>
  <si>
    <t>DO. SAC-21202</t>
  </si>
  <si>
    <t>DE. SAV-21207</t>
  </si>
  <si>
    <t>DE. DXB-20239</t>
  </si>
  <si>
    <t>CQ. DXB-20239</t>
  </si>
  <si>
    <t>CSS. DXB-20239</t>
  </si>
  <si>
    <t>CSS. SAV-21207</t>
  </si>
  <si>
    <t>CQ. SAC-21202</t>
  </si>
  <si>
    <t>DE. SAV-21209</t>
  </si>
  <si>
    <t>DO. SAV-21209</t>
  </si>
  <si>
    <t>DO. SAV-21207</t>
  </si>
  <si>
    <t>CSS. SAV-21209</t>
  </si>
  <si>
    <t>CQ. SAV-21209</t>
  </si>
  <si>
    <t>Contracte de serveis per a l'assistència tècnica de control de qualitat de les obres d'ampliació de l'Escola el Martinet per a un Institut Escola 2L d'infantil i primària i 2L d'ESO a Ripollet.</t>
  </si>
  <si>
    <t>Contracte de serveis per a l'assistència tècnica de coordinació de seguretat i salut de les obres del projecte d'ampliació de l'Escola Pere Lliscart per a un Institut Escola de 2L d'infantil i primària i 2L d'ESO a l'Hospitalet de Llobregat.</t>
  </si>
  <si>
    <t>Contracte de serveis per a la direcció d'execució de les obres d'ampliació de l'Escola Pere Lliscart per a un Institut Escola de 2L d'infantil i primària i 2L d'ESO a l'Hospitalet de Llobregat.</t>
  </si>
  <si>
    <t>Contracte de serveis per a la direcció de les obres d'ampliació de l'Escola Pere Lliscart per a un Institut Escola de 2L d'infantil i primària i 2L d'ESO a l'Hospitalet de Llobregat.</t>
  </si>
  <si>
    <t>Contracte de serveis per a l'assistència tècnica de la direcció d'execució d'ampliació de l'Escola el Martinet per a un Institut Escola 2L d'infantil i primària i 2L d'ESO a Ripollet.</t>
  </si>
  <si>
    <t>Contracte de serveis per a l'assistència tècnica de direcció d'execució de les obres de reforma interior d'un edifici administratiu situat al C/Aragó 330-332 de Barcelona.</t>
  </si>
  <si>
    <t>Contracte de serveis per a l'assistència tècnica del control de qualitat de les obres de reforma interior d'un edifici administratiu situat al C/Aragó 330-332 de Barcelona.</t>
  </si>
  <si>
    <t>Contracte de serveis per a l'assistència tècnica per la coordinació de seguretat i salut de les obres de reforma interior d'un edifici administratiu situat al C/Aragó 330-332 de Barcelona.</t>
  </si>
  <si>
    <t>Contracte de serveis per a l'assistència tècnica de coordinació de seguretat i salut de les obres del projecte d'ampliació de l'escola el Martinet a Ripollet per a un Institut Escola 2L d'infantil i primària i 2L d'ESO.</t>
  </si>
  <si>
    <t>Contracte de serveis per a l'assistència tècnica de control de qualitat de les obres d'ampliació de l'Escola Pere Lliscart per a un Institut Escola de 2L d'infantil i primària i 2L d'ESO a l'Hospitalet de Llobregat.</t>
  </si>
  <si>
    <t>Contracte de serveis per a la direcció d'execució de les obres d'ampliació de l'Escola Agnès Armengol per a una Escola de 1L d'infantil i primària i Institut La Serra fins a 2L d'ESO a Sabadell.</t>
  </si>
  <si>
    <t>Contracte de serveis per a la direcció d'obra de les obres d'ampliació de l'Escola Agnès Armengol per a una Escola de 1L d'infantil i primària i Institut La Serra fins a 2L d'ESO a Sabadell.</t>
  </si>
  <si>
    <t>Contracte de serveis per a l'assistència tècnica de la direcció de les obres d'ampliació de l'Escola el Martinet per a un Institut Escola 2L d'infantil i primària i 2L d'ESO a Ripollet.</t>
  </si>
  <si>
    <t>Contracte de serveis per a l'assistència tècnica de coordinació de seguretat i salut de les obres del projecte d'ampliació de l'Escola Agnès Armengol per a una Escola d'1L d'infantil i primària i Institut La Serra fins a 2L d'ESO a Sabadell.</t>
  </si>
  <si>
    <t>Contracte de serveis per a l'assistència tècnica de control de qualitat de les obres d'ampliació de l'Escola Agnès Armengol per a una Escola de 1L d'infantil i primària i Institut La Serra fins a 2L d'ESO a Sabadell.</t>
  </si>
  <si>
    <t>CQ. XC-10020.2.4.F1</t>
  </si>
  <si>
    <t>DE+CSS. JVX-20251</t>
  </si>
  <si>
    <t>CSS. CB-16061</t>
  </si>
  <si>
    <t>CSS. XC-10020.2.4.F1</t>
  </si>
  <si>
    <t>PE+DO. JVX-16243.A</t>
  </si>
  <si>
    <t>CQ. JVX-20251</t>
  </si>
  <si>
    <t>DO. XC-10020.2.4.F1</t>
  </si>
  <si>
    <t>DO. CB-16061</t>
  </si>
  <si>
    <t>CQ. CB-16061</t>
  </si>
  <si>
    <t>Contracte de serveis per a l'assistència tècnica de Control de Qualitat de les obres de la via ciclista del Ter. Tram: pont de les Rocasses - Camprodon.</t>
  </si>
  <si>
    <t>Contracte de serveis per a la Direcció d'Execució i Coordinació de Seguretat i Salut de les obres RAM per a la millora del sistema de tractament d'aigües residuals (EDAR) en el Centre Penitenciari de Brians 1.</t>
  </si>
  <si>
    <t>Coord. S.S. obres proj. constructiu de conservació extraordinària. Ponts i estructures. Rehabilitació d'obres de fàbrica a la C-155, PK 6+900, a la BV-5303, PK 10+870, i a la BV-5105, PK 2+300. Tram: Palau-solità i Plegamans, Seva i la Roca del Vallès.</t>
  </si>
  <si>
    <t>Contracte de serveis per a l'assistència tècnica de coordinació de seguretat i salut de les obres de la via ciclista del Ter. Tram: pont de les Rocasses - Camprodon.</t>
  </si>
  <si>
    <t>Assistència tècnica per a la redacció del projecte bàsic i executiu i la posterior direcció de les obres del projecte actualitzat de les obres RAM d'adequació del clima de l'Audiència a l'edifici judicial del Canyeret de Lleida.</t>
  </si>
  <si>
    <t>Contracte de serveis per al Control de Qualitat de les obres de les obres RAM per a la millora del sistema del tractament d'aigües residuals (EDAR) en el Centre Penitenciari de Brians 1.</t>
  </si>
  <si>
    <t>Contracte de serveis per a la direcció de les obres de la via ciclista del Ter. Tram: pont de les Rocasses - Camprodon.</t>
  </si>
  <si>
    <t>Direcció de les obres de conservació extraordinària. Ponts i estructures. Rehabilitació d'obres de fàbrica a la C-155, PK 6+900, a la BV-5303, PK 10+870, i a la BV-5105, PK 2+300. Tram: Palau-solità i Plegamans, Seva i la Roca del Vallès.</t>
  </si>
  <si>
    <t>Control de qualitat de les obres de conservació extraordinària. Ponts i estructures. Rehabilitació d'obres de fàbrica a la C-155, PK 6+900, a la BV-5303, PK 10+870, i a la BV-5105, PK 2+300. Tram: Palau-solità i Plegamans, Seva i la Roca del Vallès.</t>
  </si>
  <si>
    <t>E1. PGB-22320</t>
  </si>
  <si>
    <t>CQ. PC-CCL-17007</t>
  </si>
  <si>
    <t>DO. PC-CCL-17007</t>
  </si>
  <si>
    <t>CSS. INE-19228</t>
  </si>
  <si>
    <t>CSS. PC-CCL-17007</t>
  </si>
  <si>
    <t>CQ. INE-19228</t>
  </si>
  <si>
    <t>DE. INE-19228</t>
  </si>
  <si>
    <t>EG. EG32</t>
  </si>
  <si>
    <t>DO. PC-CGB-19064</t>
  </si>
  <si>
    <t>DO. REL-18316</t>
  </si>
  <si>
    <t>DO. PC.CMT-18015</t>
  </si>
  <si>
    <t>CSS. PC-CMT-18015</t>
  </si>
  <si>
    <t>CSS. SPD-22338.1</t>
  </si>
  <si>
    <t>CQ. PC-CMT-18015</t>
  </si>
  <si>
    <t>DO. SPD-22338.1</t>
  </si>
  <si>
    <t>CSS. REL-18316</t>
  </si>
  <si>
    <t>CQ. REL-18316</t>
  </si>
  <si>
    <t>CSS. PC-CMT-17055</t>
  </si>
  <si>
    <t>CSS. SPD-22338.4</t>
  </si>
  <si>
    <t>CQ. PC-CMT-17055</t>
  </si>
  <si>
    <t>DO. PC-CMT-17055</t>
  </si>
  <si>
    <t>CSS. SPD-22338.5</t>
  </si>
  <si>
    <t>CSS. SPD-22338.2</t>
  </si>
  <si>
    <t>DO. SPD-22338.3</t>
  </si>
  <si>
    <t>DO. SPD-22338.5</t>
  </si>
  <si>
    <t>DO. SPD-22338.2</t>
  </si>
  <si>
    <t>DO. SPD-22338.4</t>
  </si>
  <si>
    <t>CSS. SPD-22338.3</t>
  </si>
  <si>
    <t>CQ. CMB-20250</t>
  </si>
  <si>
    <t>Contracte de serveis per a l'assistència tècnica per a la redacció de l'Estudi per a la redacció del Programa funcional per a l'execució dels edificis prefabricats dels nous parcs de bombers voluntaris.</t>
  </si>
  <si>
    <t>Contracte de A.T. de C.Q. de les obres del projecte constructiu de "Conservació extraordinària. Ponts i estructures. Adaptació d'ampits a normativa vigent i execució vorera de vianants a la carretera C-14, PK 177+275. Tram: Adrall''.</t>
  </si>
  <si>
    <t>Contracte de serveis per a la direcció de les obres del projecte constructiu de "Conservació extraordinària. Ponts i estructures. Adaptació d'ampits a normativa vigent i execució vorera de vianants a la carretera C-14, PK 177+275. Tram: Adrall".</t>
  </si>
  <si>
    <t>Contracte de serveis per a l'assistència tècnica de coordinació de seguretat i salut de les obres per a la reforma dels vestidors, lavabos i altres treballs de l'edifici de l'INEFC de Barcelona.</t>
  </si>
  <si>
    <t>Contracte de A.T. de C.S.S. de les obres del projecte constructiu de "Conservació extraordinària. Ponts i estructures. Adaptació d'ampits a normativa vigent i execució vorera de vianants a la carretera C-14, PK 177+275. Tram: Adrall".</t>
  </si>
  <si>
    <t>Contracte de serveis per a l'assistència tècnica de Control de Qualitat de les obres per a la reforma dels vestidors, lavabos i altres treballs de l'edifici de l'INEFC de Barcelona.</t>
  </si>
  <si>
    <t>Contracte de serveis per a l'assistència tècnica de direcció d'execució de les obres per a la reforma dels vestidors, lavabos i altres treballs de l'edifici de l'INEFC de Barcelona.</t>
  </si>
  <si>
    <t>Contracte de serveis per a l'assistència tècnica per a la realització dels informes preliminars dels emplaçaments dels projectes d'edificació encarregats pel Servei Català de Salut. Clau: EG32</t>
  </si>
  <si>
    <t>Contracte de serveis per a la direcció de les obres de Ponts i estructures. Nova passarel·la en paral·lel a la C-155 del PK 6+900 al PK 7+100. Palau-solità i Plegamans. Clau: PC-CGB-19064</t>
  </si>
  <si>
    <t>Contracte de Serveis per a la Direcció de les obres del Projecte Constructiu de recuperació ecològica de la Zona Humida de l'Aiguabarreig Segre-Noguera Ribagorçana a Vilanova de la Barca. Clau: REL-18316</t>
  </si>
  <si>
    <t>Contracte de serveis per a la direcció de les obres de millora local. Ampliació de vorals de la C-51, del PK 8+226 a 9+060 i del PK9+600 a 10+028. El Vendrell - Albinyana. Clau: PC-CMT-18015.</t>
  </si>
  <si>
    <t>Contracte de serveis per a l'assistència tècnica de coordinació de seguretat i salut de les obres del projecte de millora local. Ampliació de vorals de la C-51, del PK 8+226 a 9+060 i del PK 9+600 a 10+028. El Vendrell - Albinyana.</t>
  </si>
  <si>
    <t>Contracte de serveis per a l'assistència tècnica de coordinació de seguretat i salut de les obres de diverses accions de reforç de connectivitat en centres públics de referència, àmbit Girona. Clau: SPD-22338.1.</t>
  </si>
  <si>
    <t>Contracte de serveis per a l'assistència tècnica de control de qualitat de les obres de millora local. Ampliació de vorals de la C-51, del PK 8+226 a 9+060 i del PK 9+600 a 10+028. El Vendrell - Albinyana. Clau: PC-CMT-18015.</t>
  </si>
  <si>
    <t>Contracte de serveis per a la direcció de les obres per a l'execució de diverses accions de reforç de connectivitat en centres públics de referència, àmbit Girona. Clau: SPD-22338.1.</t>
  </si>
  <si>
    <t>Contracte de serveis per a l'assistència tècnica de coordinació de seguretat i salut de les obres del projecte constructiu de recuperació ecològica de la Zona Humida de l'Aiguabarreig Segre-Noguera Ribagorçana a Vilanova de la Barca. Clau: REL-18316.</t>
  </si>
  <si>
    <t>Contracte de Serveis per a l'assistència tècnica de control de qualitat de les obres del Projecte Constructiu de recuperació ecològica de la Zona Humida de l'Aiguabarreig Segre-Noguera Ribagorçana a Vilanova de la Barca. Clau: REL-18316</t>
  </si>
  <si>
    <t>Contracte de serveis per a l'assistència tècnica de coordinació de seguretat i salut de les obres del projecte de millora local. Seguretat viària. Cunetes trepitjables,adequació d'elements de contenció de vehicles i millora de ferm a la carretera C-242…</t>
  </si>
  <si>
    <t>Contracte de serveis per a l'assistència tècnica de coordinació de seguretat i salut de les obres de diverses accions de reforç de connectivitat en centres públics de referència, àmbit Tarragona. Clau: SPD-22338.4</t>
  </si>
  <si>
    <t>Contracte de serveis per a A.T. de C.Q. de les obres de millora local. Seguretat viària. Cunetes trepitjables, adequació d'elements de contenció de vehicles i millora de ferm a la carretera C-242, del PK 44+850 al 54+000. Tram: Cornudella de Montsant.</t>
  </si>
  <si>
    <t>Contracte de serveis per a la direcció de les obres de millora local. Seguretat viària. Cunetes trepitjables, adequació d'elements de contenció de vehicles i millora de ferm a la carretera C-242, del PK 44+850 al 54+000. Tram: Cornudella de Montsant.</t>
  </si>
  <si>
    <t>Contracte de serveis per a l'assistència tècnica de coordinació de seguretat i salut de les obres de diverses accions de reforç de connectivitat en centres públics de referència, àmbit Lleida. Clau: SPD-22338.5</t>
  </si>
  <si>
    <t>Contracte de serveis per a l'assistència tècnica de coordinació de seguretat i salut de les obres de diverses accions de reforç de connectivitat en centres públics de referència, àmbit Barcelona Est.</t>
  </si>
  <si>
    <t>Contracte de serveis per a la direcció de les obres per a l'execució de diverses accions de reforç de connectivitat en centres públics de referència, àmbit Barcelona Oest.</t>
  </si>
  <si>
    <t>Contracte de serveis per a la direcció de les obres de connexió de centres de referència a la zona de Lleida.</t>
  </si>
  <si>
    <t>Contracte de serveis per a la direcció de les obres de connexió de centres de referència a la zona de Barcelona Est.</t>
  </si>
  <si>
    <t>Contracte de serveis per a la direcció de les obres de connexió de centres de referència a la zona de Tarragona.</t>
  </si>
  <si>
    <t>Contracte de serveis per a l'assistència tècnica de coordinació de seguretat i salut de les obres de diverses accions de reforç de c onnectivitat en centres públics de referència, àmbit Barcelona Oest.</t>
  </si>
  <si>
    <t>Contracte de serveis per a l'assistència tècnica de Control de Qualitat de les obres de consolidació i rehabilitació del Poble Vell de Corbera d'Ebre.</t>
  </si>
  <si>
    <t>PE+DO. JVX-22230</t>
  </si>
  <si>
    <t>Contracte de serveis per a l'assistència tècnica per a la redacció del projecte bàsic i executiu i la posterior direcció de les obres RAM per a la reorganització funcional de l'edifici Judicial de Sabadell.</t>
  </si>
  <si>
    <t>CQ. PC-CML-17071-A1</t>
  </si>
  <si>
    <t>CSS. PC-CML-17071-A1</t>
  </si>
  <si>
    <t>Contracte de serveis per a l'assistència tècnica de control de qualitat de les obres de millora de drenatge de la OD 92.1. C-25, PK 92+100, marge dret. Estaràs.</t>
  </si>
  <si>
    <t>Contracte de serveis per a l'assistència tècnica de coordinació de seguretat i salut de les obres del projecte de millora de drenatge de la OD 92.1. C-25, PK 92+100, marge dret. Estaràs.</t>
  </si>
  <si>
    <t>CQ. PCR-21225</t>
  </si>
  <si>
    <t>Contracte de serveis per a l'assistència tècnica de control de qualitat de les obres RAM de Reforma per l'adequació del CAT de Vilajuïga com a nova Seu del Parc de Creus.</t>
  </si>
  <si>
    <t>DO. PZV-19404</t>
  </si>
  <si>
    <t>CQ. PZV-19404</t>
  </si>
  <si>
    <t>CSS. PZV-19404</t>
  </si>
  <si>
    <t>Contracte de serveis per a la direcció de les obres de Reordenació de l'aparcament de l'àrea d'acollida de Can Serra al Parc Natural de la Zona Volcànica de la Garrotxa.</t>
  </si>
  <si>
    <t>Contracte de serveis per a l'assistència tècnica de Control de Qualitat de les obres de Reordenació de l'aparcament de l'àrea d'acollida de Can Serra al Parc Natural de la Zona Volcànica de la Garrotxa.</t>
  </si>
  <si>
    <t>Contracte de serveis per a l'assistència tècnica de coordinació de seguretat i salut de les obres de Reordenació de l'aparcament de l'àrea d'acollida de Can Serra al Parc Natural de la Zona Volcànica de la Garrotxa.</t>
  </si>
  <si>
    <t>PE+DO. BSE-22291</t>
  </si>
  <si>
    <t>Concurs de projectes per a la redacció del projecte bàsic i executiu i la posterior direcció de les obres de nova construcció d'una Unitat Integrada d'Atenció a Infants i Adolescents (Barnahus) a Mataró.</t>
  </si>
  <si>
    <t>CSS. JC-19236</t>
  </si>
  <si>
    <t>CQ. JC-19236</t>
  </si>
  <si>
    <t>DO. JC-19236</t>
  </si>
  <si>
    <t>Contracte de serveis per a l'assistència tècnica de coordinació de seguretat i salut de les obres del projecte constructiu del col·lector de salmorres Conca del Llobregat. Ramal Llobregat. Tram: El Prat.</t>
  </si>
  <si>
    <t>Contracte de serveis per a l'assistència tècnica de control de qualitat de les obres "Projecte Col·lector de Salmorres Conca del Llobregat. Ramal Llobregat. Tram: El Prat".</t>
  </si>
  <si>
    <t>Contracte de serveis per a la direcció de les obres "Projecte Col·lector de Salmorres Conca del Llobregat. Ramal Llobregat. Tram: El Prat".</t>
  </si>
  <si>
    <t>ATAM. JC-19236</t>
  </si>
  <si>
    <t>DE. XML-19527</t>
  </si>
  <si>
    <t>PE+DO BSE-22273</t>
  </si>
  <si>
    <t>CSS. XML-19527</t>
  </si>
  <si>
    <t>CQ. XML-19527</t>
  </si>
  <si>
    <t>Contracte de serveis per a l'assistència tècnica ambiental de les obres del projecte col·lector de salmorres conca del Llobregat. Ramal Llobregat. Tram: El Prat.</t>
  </si>
  <si>
    <t>Contracte de serveis per a la direcció d'execució de les obres RAM 2019, als Serveis Territorials a Lleida (III): Institut Lo Pla d'Urgell de Bellpuig.</t>
  </si>
  <si>
    <t>Concurs de projectes per a la redacció del projecte bàsic i executiu i la posterior direcció de les obres de reforma i ampliació per a l'adequació del Centre Can Serra de l'Hospitalet de Llobregat.</t>
  </si>
  <si>
    <t>Contracte de serveis per a l'assistència tècnica de coordinació de seguretat i salut de les obres RAM 2019, als Serveis Territorials a Lleida (III): Institut Lo Pla d'Urgell de Bellpuig.</t>
  </si>
  <si>
    <t>Contracte de serveis per a l'assistència tècnica de Control de Qualitat de les obres RAM 2019, als Serveis Territorials a Lleida (III): Institut Lo Pla d'Urgell de Bellpuig.</t>
  </si>
  <si>
    <t>CQ. EDU-21902</t>
  </si>
  <si>
    <t>Contracte de serveis per a l'assistència tècnica de control de qualitat de les obres RAM d'equipaments públics del Departament d'Educació amb finançament "Next Generation EU". 4 lots.</t>
  </si>
  <si>
    <t>CSS. XC-10020.3</t>
  </si>
  <si>
    <t>DO. XC-10020.3</t>
  </si>
  <si>
    <t>CQ. XC-10020.3</t>
  </si>
  <si>
    <t>Contracte de serveis per a l'assistència tècnica de control de qualitat de les obres de la "Via ciclista del Ter. Llanars - Vilallonga de Ter".</t>
  </si>
  <si>
    <t>Contracte de serveis per a la direcció de les obres de la "Via ciclista del Ter. Llanars - Vilallonga de Ter".</t>
  </si>
  <si>
    <t>Contracte de serveis per a l'assistència tècnica de coordinació de seguretat i salut de les obres del projecte constructiu de la "Via ciclista del Ter. Llanars - Vilallonga de Ter".</t>
  </si>
  <si>
    <t>DO.TA-13277-AA</t>
  </si>
  <si>
    <t>PE+DO BSV-22331</t>
  </si>
  <si>
    <t>PC. PC-CPL-22021</t>
  </si>
  <si>
    <t>Redacció del projecte bàsic i executiu i la posterior direcció de les obr es de reforma per a la millora de les instal·lacions de clima i renovació d'aire a la Residència i Centre de Dia A.C. Sandino de Bar celona.</t>
  </si>
  <si>
    <t>Contracte de serveis per a l'assistència tècnica per a la redacció del projecte constructiu: "Rotonda a la intersecció de la C-14 al PK 89+375 amb l'LV-3025 al PK 20+375. Agramunt".</t>
  </si>
  <si>
    <t>PE+DO APC-22272</t>
  </si>
  <si>
    <t>DO. PNG-18302</t>
  </si>
  <si>
    <t>CSS. PNG-18302</t>
  </si>
  <si>
    <t>CQ. PNG-18302</t>
  </si>
  <si>
    <t>Red. proj. bàsic, proj. executiu i posterior direcció obres rehabilitació i millora eficiència energètica i instal. plaques fotovoltaiques al Palau de l'Abat i de la Sagristia en edif. Monestir de S. Pere de Rodes al Port de la Selva.</t>
  </si>
  <si>
    <t>Contracte de serveis per a la direcció de les obres de Nova Construcció de l'Escola 6 unitats Vall-llobrega a Vall-llobrega.</t>
  </si>
  <si>
    <t>Contracte de serveis per a l'assistència tècnica de coordinació de seguretat i salut de les obres del projecte executiu de nova cons trucció de l'Escola 6 unitats Vall-llobrega a Vall-llobrega.</t>
  </si>
  <si>
    <t>Contracte de serveis per a l'assistència tècnica de control de qualitat de les obres de Nova Construcció de l'Escola 6 unitats Vall- llobrega a Vall-llobrega.</t>
  </si>
  <si>
    <t>Deserta. Nova licitació 10/11/22</t>
  </si>
  <si>
    <t>PE+DO. BSE-22274</t>
  </si>
  <si>
    <t>PE+DO. BSE-22271</t>
  </si>
  <si>
    <t>Concurs de projectes per a la redacció del projecte bàsic i executiu i la posterior direcció de les Obres de reforma i ampliació per a l'adequació del Centre Empresseguera de Lleida, al nou model assistencial.</t>
  </si>
  <si>
    <t>Concurs de projectes per a la redacció del projecte bàsic i executiu i la posterior direcció de les Obres de reforma i ampliació per a l'adequació del Centre Calldetenes, al nou model assistencial.</t>
  </si>
  <si>
    <t>DE. JVX-18300</t>
  </si>
  <si>
    <t>CQ. JVX-18300</t>
  </si>
  <si>
    <t>EV. EX-CXC-22025</t>
  </si>
  <si>
    <t>CSS. JVX-18300</t>
  </si>
  <si>
    <t>Contracte de serveis per a l'assistència tècnica per a la direcció d'execució de les obres de condicionament d'espais a l'edifici judicial del Canyeret de Lleida.</t>
  </si>
  <si>
    <t>Contracte de serveis per a l'assistència tècnica per al control de qualitat de les obres de condicionament d'espais a l'edifici judicial del Canyeret a Lleida.</t>
  </si>
  <si>
    <t>Contracte de serveis per a l'assistència tècnica per a la redacció dels treballs de "Redacció dels annexos d'actualització d'estudis i projectes de Carreteres de la DGIM".</t>
  </si>
  <si>
    <t>Contracte de serveis per a l'assistència tècnica de coordinació de seguretat i salut de les obres del projecte executiu de condicionament d'espais a l'edifici judicial del Canyeret de Lleida.</t>
  </si>
  <si>
    <t>CSS. DXT-21305</t>
  </si>
  <si>
    <t>DE. DXT-21305</t>
  </si>
  <si>
    <t>IA. IA. CIB-21087</t>
  </si>
  <si>
    <t>DE. PNG-18302</t>
  </si>
  <si>
    <t>DO. DXT-21305</t>
  </si>
  <si>
    <t>PC. PC-CGB-21104</t>
  </si>
  <si>
    <t>PE+DO BSE-22290</t>
  </si>
  <si>
    <t>CQ. DXT-21305</t>
  </si>
  <si>
    <t>Contracte de serveis per a l'assistència tècnica de coordinació de seguretat i salut de les obres de Reforma per a la Subdirecció General d'Avaluacions Mèdiques a Tarragona situat a l'Avinguda Ramon i Cajal, 53 de Tarragona.</t>
  </si>
  <si>
    <t>Contracte de serveis per a la direcció d'execució de les obres de Reforma per a la Subdirecció General d'Avaluacions Mèdiques a Tarragona situat a l'Avinguda Ramon i Cajal, 53 de Tarragona.</t>
  </si>
  <si>
    <t>Assistència tècnica per a la redacció de l'Estudi d'impacte ambiental del projecte constructiu de la millora de la connectivitat i nous enllaços de la C-32 al Maresme del PK84+250 al PK 134+750. Montgat - Tordera.</t>
  </si>
  <si>
    <t>Contracte de serveis per a la direcció d'execució de les obres de Nova Construcció de l'Escola 6 unitats Vall-llobrega a Vall-llobre ga.</t>
  </si>
  <si>
    <t>Contracte de serveis per a la direcció de les obres de Reforma per a la Subdirecció General d'Avaluacions Mèdiques a Tarragona situat a l'Avinguda Ramon i Cajal, 53 de Tarragona.</t>
  </si>
  <si>
    <t>Contracte de serveis per a l'assistència tècnica per a la redacció del projecte constructiu de rehabilitació del mur de protecció a la B-402 al PK 8+500 vers el riu Llobregat. La Pobla de Lillet.</t>
  </si>
  <si>
    <t>Concurs de projecte per a la redacció del projecte bàsic i executiu i la posterior direcció d'obra de nova construcció d'una Unitat Integrada d'Atenció a Infants i Adolescents (Barnahus) a Manresa.</t>
  </si>
  <si>
    <t>Contracte de serveis per a l'assistència tècnica de Control de Qualitat de les obres de Reforma per a la Subdirecció General d'Avaluacions Mèdiques a Tarragona situat a l'Avinguda Ramon i Cajal, 53 de Tarragona.</t>
  </si>
  <si>
    <t>PE+DO BSE-22292</t>
  </si>
  <si>
    <t>DO. DB-05111.2</t>
  </si>
  <si>
    <t>CQ. DB-05111.2</t>
  </si>
  <si>
    <t>CSS. DB-05111.2</t>
  </si>
  <si>
    <t>Concurs de projecte per a la redacció del projecte bàsic i executiu i la posterior direcció de les Obres de Nova Construcció d'una U nitat Integrada d'Atenció a Infants i Adolescents (Barnahus) a Terrassa.</t>
  </si>
  <si>
    <t>Contracte de serveis per a la direcció de les obres de millora general. Desdoblament de la carretera B-224, del PK 24+000 al 26+000. Tram: Sant Esteve Sesrovires - Martorell.</t>
  </si>
  <si>
    <t>Contracte de serveis per a l'assistència tècnica de control de qualitat de les obres de millora general. Desdoblament de la carretera B-224, del PK 24+000 al 26+000. Tram: Sant Esteve Sesrovires - Martorell.</t>
  </si>
  <si>
    <t>Contracte de serveis per a l'assistència tècnica de coordinació de seguretat i salut de les obres del projecte constructiu de millora general. Desdoblament de la carretera B-224, del PK 24+000 al 26+000. Tram: Sant Esteve Sesrovires - Martorell.</t>
  </si>
  <si>
    <t>MEA. MEC-22L08</t>
  </si>
  <si>
    <t>ATI-TM-02609.0-T3</t>
  </si>
  <si>
    <t>Contracte de serveis per l'assistència tècnica per a la realització d'auditories de qualitat de manteniment de 5 equipaments. 2 lots.</t>
  </si>
  <si>
    <t>Contracte de serveis per a l'assistència tècnica per a l'enginyeria d'integració de sistemes i infraestructures de les diferents fases de posada en servei del tram III de la Línia 9 de Metro de Barcelona.</t>
  </si>
  <si>
    <t>EV. EU-MXB-22022</t>
  </si>
  <si>
    <t>PC. PC-CIB-22004</t>
  </si>
  <si>
    <t>Contracte de serveis per a l'assistència tècnica per a la redacció dels treballs "Mapes estratègics de soroll del Ferrocarril Metropolità de Barcelona. Fase 4 (2022-2027)".</t>
  </si>
  <si>
    <t>Contracte de serveis per a l'assistència tècnica per a la redacció del projecte constructiu: "Condicionament de la B-431 del PK 48+500 al 72+700. Avinyó-Prats de Lluçanès".</t>
  </si>
  <si>
    <t>CQ. SAH-21203</t>
  </si>
  <si>
    <t>DO. SAH-21203</t>
  </si>
  <si>
    <t>DE. JVX-20276</t>
  </si>
  <si>
    <t>CQ. JVX-20276</t>
  </si>
  <si>
    <t>CSS. SAH-21203</t>
  </si>
  <si>
    <t>DE. SAH-21203</t>
  </si>
  <si>
    <t>CSS. JVX-20276</t>
  </si>
  <si>
    <t>Contracte de serveis per a l'assistència tècnica de control de qualitat de les obres d'Ampliació de l'Escola Pompeu Fabra per a un Institut Escola de 2L d'infantil i primària, i 2L d'ESO a El Pont de Vilomara i Rocafort.</t>
  </si>
  <si>
    <t>Contracte de serveis per a la direcció de les obres d'Ampliació de l'Escola Pompeu Fabra per a un Institut Escola de 2L d'infantil i primària, i 2L d'ESO a El Pont de Vilomara i Rocafort.</t>
  </si>
  <si>
    <t>Contracte de serveis per a la direcció d'execució de les obres RAM de condicionament de la P15 per a la ubicació de la Fiscalia i re organització funcional en la P07 a l'edifici judicial de Sabadell.</t>
  </si>
  <si>
    <t>Contracte de serveis per a l'assistència tècnica de Control de Qualitat de les obres RAM de condicionament de la P15 per a la ubicació de la Fiscalia i reorganització funcional en la P07 a l'edifici judicial de Sabadell.</t>
  </si>
  <si>
    <t>Contracte de serveis per a l'assistència tècnica de coordinació de seguretat i salut de les obres del projecte executiu d'ampliació de l'Escola Pompeu Fabra per a un Institut Escola de 2L d'infantil i primària, i 2L d'ESO a El Pont de Vilomara i Rocafort.</t>
  </si>
  <si>
    <t>Contracte de serveis per a la direcció d'execució de les obres d'Ampliació de l'Escola Pompeu Fabra per a un Institut Escola de 2L d 'infantil i primària, i 2L d'ESO a El Pont de Vilomara i Rocafort.</t>
  </si>
  <si>
    <t>Contracte de serveis per a l'assistència tècnica de coordinació de seguretat i salut de les obres RAM de condicionament de la P15 per a la ubicació de la Fiscalia i reorganització funcional en la P07 a l'edifici judicial de Sabadell.</t>
  </si>
  <si>
    <t>ATAM. XC-10020.3</t>
  </si>
  <si>
    <t>CSS. SAH-21204</t>
  </si>
  <si>
    <t>CQ.PC-ANB-20097</t>
  </si>
  <si>
    <t>CSS. PC-ANB-20097</t>
  </si>
  <si>
    <t>DE. SAH-21204</t>
  </si>
  <si>
    <t>CQ. SAH-21204</t>
  </si>
  <si>
    <t>DO. SAH-21204</t>
  </si>
  <si>
    <t>DO.PC-ANB-20097</t>
  </si>
  <si>
    <t>CSS. PC-ANL-17088</t>
  </si>
  <si>
    <t>PE+DO. GEC-22364</t>
  </si>
  <si>
    <t>DO.PC-ANL-17088</t>
  </si>
  <si>
    <t>DO. ML-16017.F2.1 / F2.2</t>
  </si>
  <si>
    <t>DO. XT-15006</t>
  </si>
  <si>
    <t>CQ. XT-15006</t>
  </si>
  <si>
    <t>CQ. PC-AIT-18119</t>
  </si>
  <si>
    <t>CQ. PC-ANL-17088</t>
  </si>
  <si>
    <t xml:space="preserve">CSS.DXB-20239 </t>
  </si>
  <si>
    <t>CSS. XT-15006</t>
  </si>
  <si>
    <t xml:space="preserve">DO. PC-AIT-18119 </t>
  </si>
  <si>
    <t>CSS. MB-12048-A1</t>
  </si>
  <si>
    <t>PC. PC-BNB-22049</t>
  </si>
  <si>
    <t>CQ. MB-12048-A1</t>
  </si>
  <si>
    <t>DO. MB-12048-A1</t>
  </si>
  <si>
    <t>Contracte de serveis per a l'assistència tècnica ambiental de l'execució de les obres del projecte constructiu de "Via ciclista del Ter. Llanars - Vilallonga de Ter". Clau: XC-10020.3</t>
  </si>
  <si>
    <t>Contracte de serveis per a l'assistència tècnica de coordinació de seguretat i salut de les obres del projecte executiu d'ampliació de l'Escola Castell d'Òdena per a un Institut escola de 2L d'infantil i primària i 2L d'ESO d'Òdena. Clau: SAH-21204</t>
  </si>
  <si>
    <t>Contracte de serveis per a l'assistència tècnica de control de qualitat de les obres del projecte constructiu "Nova parada d'autobusos a l'Avinguda Catalunya. Gironella". Clau: PC-ANB-20097</t>
  </si>
  <si>
    <t>Contracte de serveis per a l'assistència tècnica de coordinació de seguretat i salut de les obres del projecte constructiu de nova parada d'autobusos a l'avinguda Catalunya. Gironella. Clau: PC-ANB-20097</t>
  </si>
  <si>
    <t>Contracte de serveis per a l'assistència tècnica per a la direcció d'execució de les obres d'ampliació de l'Escola Castell d'Òdena per a un Institut escola de 2L d'infantil i primària i 2L d'ESO d'Òdena. Clau: SAH-21204</t>
  </si>
  <si>
    <t>Contracte de serveis per a l'assistència tècnica de control de qualitat de les obres d'ampliació de l'Escola Castell d'Òdena per a un Institut escola de 2L d'infantil i primària i 2L d'ESO d'Odena. Clau: SAH-21204</t>
  </si>
  <si>
    <t>Contracte de serveis per a l'assistència tècnica per a la direcció de les obres d'ampliació de l'Escola Castell d'Òdena per a un Institut escola de 2L d'infantil i primària i 2L d'ESO. Clau: SAH-21204</t>
  </si>
  <si>
    <t>Contracte de serveis per a la direcció de les obres del projecte constructiu "Nova parada d'autobusos a l'Avinguda Catalunya. Gironella". Clau: PC-ANB-20097</t>
  </si>
  <si>
    <t>Contracte de serveis per a l'assistència tècnica de coordinació de seguretat i salut de les obres del projecte constructiu de nova estació d'autobusos. Tàrrega.</t>
  </si>
  <si>
    <t>Contracte de serveis per a la redacció del projecte bàsic i executiu i la posterior direcció de les obres de modernització i actualització de les instal·lacions per millorar l'eficiència energètica del CAR de Sant Cugat.</t>
  </si>
  <si>
    <t>Contracte de serveis per a la Direcció de les obres de la Nova estació d'autobusos. Tàrrega.</t>
  </si>
  <si>
    <t>Contracte de serveis per a la direcció conjunta de les obres del "Projecte constructiu ruta cicloturística al corredor de Lleida - La Pobla de Segur. Fase 2. Balaguer - La Pobla de Segur. Tram 1. Balaguer - Sant Llorenç de Montgai.Projecte constructiu…</t>
  </si>
  <si>
    <t>Contracte de serveis per a la direcció de les obres de millora local. Via verda. Pista bici paral·lela a la carretera T-323, del PK 0+000 al 5+050. Tram: Mont-roig del Camp.</t>
  </si>
  <si>
    <t>Contracte de serveis per a l'assistència tècnica de Control de Qualitat de les obres de millora local. Via verda. Pista bici paral·lela a la carretera T-323, del PK 0+000 al 5+050. Tram: Mont-roig del Camp.</t>
  </si>
  <si>
    <t xml:space="preserve">Contracte de serveis per a l'assistència tècnica de control de qualitat de les obres de condicionament de dues parades de línies de transport interurbà de passatgers a la travessera urbana de la carretera N-420a. </t>
  </si>
  <si>
    <t>Contracte de serveis per al Control de qualitat de les obres de la Nova estació d'autobusos. Tàrrega.</t>
  </si>
  <si>
    <t>Contracte de serveis per a l'assistència tècnica de coordinació de seguretat i salut de les obres de millora local. Via verda. Pista bici paral·lela a la carretera T-323, del PK 0+000 al 5+050. Tram: Mont-roig del Camp.</t>
  </si>
  <si>
    <t>Contracte de serveis per a la direcció de les obres de condicionament de dues parades de línies de transport interurbà de passatgers a la travessera urbana de la carretera N-420a. Falset.</t>
  </si>
  <si>
    <t>Contracte serveis per a l'assistència tècnica de coordinació de seguretat i salut de les obres de millora local. Seguretat viària. R eordenació d'accessos a la C-35, PK 55+450 a 57+600. Tram: Sant Celoni. Clau: MB-12048-A1</t>
  </si>
  <si>
    <t>Contracte de serveis per a l'assistència tècnica per a la redacció del projecte constructiu. Via ciclista a la C-31 del PK 186+485 al 187+237. Viladecans.</t>
  </si>
  <si>
    <t>Contracte de serveis per a l'assistència tècnica de Control de Qualitat de les obres de millora local. Seguretat viària. Reordenació d'accessos a la C-35, PK 55+450 a 57+600. Tram: Sant Celoni.</t>
  </si>
  <si>
    <t>Contracte de serveis per a la direcció de les obres de millora local. Seguretat viària. Reordenació d'accessos a la C-35, PK 55+450 a 57+600. Tram: Sant Celoni.</t>
  </si>
  <si>
    <t>ATAM. DB-05111.2</t>
  </si>
  <si>
    <t>Contracte de serveis per a l'assistència tècnica ambiental de les obres de millora general. Desdoblament de la carretera B-224, del PK 24+000 al 26+000. Tram: Sant Esteve Sesrovires - Martorell.</t>
  </si>
  <si>
    <t>CSS. PPO-21282.A1</t>
  </si>
  <si>
    <t>CSS. PNL-17289</t>
  </si>
  <si>
    <t>CQ. PPO-21282.A1</t>
  </si>
  <si>
    <t>DO. PPO-21282.A1</t>
  </si>
  <si>
    <t>DE. PNL-17289</t>
  </si>
  <si>
    <t>DO. PNL-17289</t>
  </si>
  <si>
    <t>CQ. PNL-17289</t>
  </si>
  <si>
    <t>DO. XC-10020.2.3-F1-AA</t>
  </si>
  <si>
    <t>PC. RET-22319</t>
  </si>
  <si>
    <t>CQ. XC-10020.2.3-F1-AA</t>
  </si>
  <si>
    <t>CSS. XC-10020.2.3-F1-AA</t>
  </si>
  <si>
    <t>Contracte de serveis per a l'assistència tècnica per a la coordinació de seguretat i salut de les obres del "Projecte Actualitzat. Instal·lacions pel maneig de la fauna a la casa forestal de la Vall a Roquetes al Parc Natural dels Ports".</t>
  </si>
  <si>
    <t>Contracte de serveis per a l'assistència tècnica de coordinació de seguretat i salut de les obres del projecte executiu de nova construcció de l'Escola El Roser-ZER Plaurcén del Poal.</t>
  </si>
  <si>
    <t>Contracte de serveis per a l'assistència tècnica pel control de qualitat de les obres del "Projecte Actualitzat. Instal·lacions pel maneig de la fauna a la casa forestal de la Vall a Roquetes al Parc Natural dels Ports".</t>
  </si>
  <si>
    <t>Contracte de serveis per a la direcció de les obres del "Projecte Actualitzat. Instal·lacions pel maneig de la fauna a la casa forestal de la Vall a Roquetes al Parc Natural dels Ports".</t>
  </si>
  <si>
    <t>Contracte de serveis per a la direcció d'execució de les obres de nova construcció de l'Escola El Roser-ZER Plaurcén del Poal (4 uts).</t>
  </si>
  <si>
    <t>Contracte de serveis per a la direcció de les obres de la nova construcció de l'Escola El Roser-ZER Plaurcén del Poal (4 uts).</t>
  </si>
  <si>
    <t>Contracte de serveis per a l'assistència tècnica de control de qualitat de les obres de nova construcció de l'Escola El Roser-ZER Plaurcén del Poal (4 uts).</t>
  </si>
  <si>
    <t>Contracte de serveis per a la direcció de les obres de Via ciclista del Ter. Pont de la Rovira ¿ camí del càmping. Fase 1. Tram: Sant Pau de Segúries.</t>
  </si>
  <si>
    <t>Contracte de serveis per a l'assistència tècnica per a la redacció del projecte constructiu "Recuperació ecològica de la finca del Vinyet al terme municipal de Tarragona."</t>
  </si>
  <si>
    <t>Contracte de serveis per a l'assistència tècnica de Control de Qualitat de les obres de Via ciclista del Ter. Pont de la Rovira ¿ camí del càmping. Fase 1. Tram: Sant Pau de Segúries.</t>
  </si>
  <si>
    <t>Contracte de serveis per a l'assistència tècnica de coordinació de seguretat i salut de les obres de Via ciclista del Ter. Pont de la Rovira ¿ camí del càmping. Fase 1. Tram: Sant Pau de Segúries.</t>
  </si>
  <si>
    <t>PC. PC-CFE-21083</t>
  </si>
  <si>
    <t>PC. MT-15024-C1</t>
  </si>
  <si>
    <t>PC. PC-CPB-22006</t>
  </si>
  <si>
    <t>Contracte de serveis per a l'assistència tècnica a la redacció del projecte constructiu "Millora de característiques superficials de la C-221 del PK 54+900 al 65+500. Batea".</t>
  </si>
  <si>
    <t>Contracte de serveis per a l'assistència tècnica a la redacció del projecte constructiu: "Nova rotonda a la C-31 al PK 145+620 amb el carrer Santa Coloma. Cunit".</t>
  </si>
  <si>
    <t>Contracte de serveis per a l'assistència tècnica a la redacció del projecte constructiu: "Rotonda d'accés a la C-32 des de la BP-5002 al PK 1+615. Alella".</t>
  </si>
  <si>
    <t>CQ. XB-16010</t>
  </si>
  <si>
    <t>PC. PAP-22330</t>
  </si>
  <si>
    <t>DO. XB-16010</t>
  </si>
  <si>
    <t>PC. MCC-19264</t>
  </si>
  <si>
    <t>PC. MCB-22363</t>
  </si>
  <si>
    <t>CSS. XB-16010</t>
  </si>
  <si>
    <t>SC. EEI-22337</t>
  </si>
  <si>
    <t>Contracte de serveis per a l'assistència tècnica de control de qualitat de les obres de millora local. Via verda a la carretera BV-4501, del PK 2+470 (parc de l'Agulla) al 5+960. Tram: Manresa - Santpedor.</t>
  </si>
  <si>
    <t>Contracte de serveis per a l'assistència tècnica per a la redacció del Projecte Constructiu. Restauració ambiental del Pla de Salito al Parc Natural de l'Alt Pirineu.</t>
  </si>
  <si>
    <t>Contracte de serveis per a la direcció de les obres de Millora local. Via verda a la carretera BV-4501, del PK 2+470 (parc de l'Agulla) al 5+960. Tram: Manresa - Santpedor.</t>
  </si>
  <si>
    <t>Contracte de serveis per a l'assistència tècnica per a la redacció del Projecte Constructiu. Millora de la connectivitat terrestre. Permeabilització infraestructures. La Múnia - Marmellar.</t>
  </si>
  <si>
    <t>Contracte de serveis per a l'assistència tècnica per a la redacció del Projecte Constructiu. Millora connectivitat. Pas de fauna. Carretera N-150 pk 15+900 al Torrent de la Grípia. Terrassa.</t>
  </si>
  <si>
    <t>Contracte de serveis per a l'assistència tècnica de coordinació de seguretat i salut de les obres del projecte constructiu de millora local. Via verda a la carretera BV-4501, del PK 2+470 (parc de l'Agulla) al 5+960. Tram: Manresa ¿ Santpedor.</t>
  </si>
  <si>
    <t>Contracte de serveis per a l'assistència tècnica per a la redacció del Plec de Conservació Ambiental. Control i gestió d'espècies de flora exòtica invasora.</t>
  </si>
  <si>
    <t>ATAM. XC-10020.2.3-F1-AA</t>
  </si>
  <si>
    <t>PC. PC-CGB-21103</t>
  </si>
  <si>
    <t>CQ. ML-16017.F2.1 / F2.2</t>
  </si>
  <si>
    <t>ATAM. ML-16017.F2.1 ML-16017.F</t>
  </si>
  <si>
    <t>PC. PDE-22361</t>
  </si>
  <si>
    <t>CSS. ML-16017.F2.1+ML-16017.F2</t>
  </si>
  <si>
    <t>Contracte de serveis per a l'assistència tècnica ambiental de les obres de Via ciclista del Ter. Pont de la Rovira ¿ camí del càmping. Fase 1. Tram: Sant Pau de Segúries.</t>
  </si>
  <si>
    <t>Contracte de serveis per a l'assistència tècnica per a la redacció del projecte constructiu. Rehabilitació d'obra de fàbrica a la B-402 al PK 5+800 sobre el riu Llobregat. La Pobla de Lillet.</t>
  </si>
  <si>
    <t>Control de qualitat conjunt de les obres del "Projecte constructiu ruta cicloturística al corredor de Lleida - La Pobla de Segur. Fase 2. Balaguer - La Pobla de Segur.</t>
  </si>
  <si>
    <t>Contracte de serveis per a l'assistència tècnica ambiental conjunta de les obres del "Projecte constructiu ruta cicloturística al corredor de Lleida - La Pobla de Segur. Fase 2. Balaguer - La Pobla de Segur.</t>
  </si>
  <si>
    <t>Contracte de serveis per a l'assistència tècnica per a la redacció del Projecte Constructiu. Projecte de restauració ambiental de les antigues instal·lacions de la piscifactoria de l'illa de la Gaita al Parc Natural del Delta de l'Ebre. Clau: PDE-22361</t>
  </si>
  <si>
    <t>Assistència tècnica conjunta de coordinació de seguretat i salut de les obres dels projectes constructius de "Ruta cicloturística al corredor de Lleida - la Pobla de Segur. Fase 2. Balaguer - la Pobla de Segur.</t>
  </si>
  <si>
    <t>PC. PC-CFB-22015</t>
  </si>
  <si>
    <t>PC. PC-CPB-22052</t>
  </si>
  <si>
    <t>EV. EP-BNB-22010</t>
  </si>
  <si>
    <t>PC. PPO-22355</t>
  </si>
  <si>
    <t>CQ. PC-BNG-18005</t>
  </si>
  <si>
    <t>DO. PC-BNG-18005</t>
  </si>
  <si>
    <t>CSS. PC-BNG-18005</t>
  </si>
  <si>
    <t>PE+DO. CAP-22335</t>
  </si>
  <si>
    <t>Contracte de serveis per a l'assistència tècnica per a la redacció del projecte constructiu de reforçament del ferm i obres complementàries a la C-37 del PK 148+250 al 153+870. Manlleu-Torelló.</t>
  </si>
  <si>
    <t>Contracte de serveis per a l'assistència tècnica per a la redacció del projecte constructiu de millora d'enllaç a la C-55 al PK 28+535. Manresa.</t>
  </si>
  <si>
    <t>Redacció de l'estudi previ de viabilitat de la utilització de la galeria d'evacuació del Túnel de Vallvidrera com a via ciclista i de la seva connectivitat amb Barcelona i Sant Cugat.</t>
  </si>
  <si>
    <t>Contracte de serveis per a l'assistència tècnica de control de qualitat de les obres de la via ciclista a la GI-524 del PK 0+600 al 3+400. Tram: Olot - Can Blanc (Santa Pau).</t>
  </si>
  <si>
    <t>Contracte de serveis per a l'assistència tècnica per a la redacció del projecte constructiu de reordenació de l'entorn del centre de visitants de la Terra Alta del Parc Natural del Ports.</t>
  </si>
  <si>
    <t>Contracte de serveis per a la direcció de les obres la via ciclista a la GI-524 del PK 0+600 al 3+400. Tram: Olot - Can Blanc (Santa Pau).</t>
  </si>
  <si>
    <t>Contracte de serveis per a l'assistència tècnica de coordinació de seguretat i salut de les obres de la via ciclista a la GI-524 del PK 0+600 al 3+400. Tram: Olot - Can Blanc (Santa Pau).</t>
  </si>
  <si>
    <t>Concurs de projecte per a la redacció del projecte bàsic i executiu i la posterior direcció de les obres del Nou CAP Sant Boi-5, Sant Boi del Llobregat.</t>
  </si>
  <si>
    <t>Número d'Anuncis i Imports 2023</t>
  </si>
  <si>
    <t>Diferència 2022-2023</t>
  </si>
  <si>
    <t>Diferència 2023-2024</t>
  </si>
  <si>
    <t>CQ. PC-AIC-19030.F1</t>
  </si>
  <si>
    <t>DO. PC-AIC-19030.F1</t>
  </si>
  <si>
    <t>Contracte de serveis per a l'assistència tècnica de Control de Qualitat de les obres de la instal·lació de marquesines a parades dels serveis de transport interurbà de viatgers per carretera a diversos indrets de Catalunya.</t>
  </si>
  <si>
    <t>Contracte de serveis per a la direcció de les obres de la instal·lació de marquesines a parades dels serveis de transport interurbà de viatgers per carretera a diversos indrets de Catalunya. Fase 1.</t>
  </si>
  <si>
    <t>PE+DO BSE-22293</t>
  </si>
  <si>
    <t>EI. EI-XL-09052-A1</t>
  </si>
  <si>
    <t>Concurs de projecte per a la redacció del projecte bàsic i executiu i la posterior direcció de les Obres de Nova Construcció d'una Unitat Integrada d'Atenció a Infants i Adolescents (Barnahus) a Tortosa.</t>
  </si>
  <si>
    <t>Contracte de serveis per a l'assistència tècnica per a la redacció de l'estudi informatiu: "Connexió de la LP-2015 al PK 1+000 amb la C-233 al PK 82+500. Bellpuig".</t>
  </si>
  <si>
    <t>DO. PC-CDB-17105.F1.1</t>
  </si>
  <si>
    <t>CQ. PC-CDB-17105.F1.1</t>
  </si>
  <si>
    <t>CSS. PC-CDB-17105.F1.1</t>
  </si>
  <si>
    <t>Contracte de serveis per a la direcció de les obres de la via ciclista paral·lela a l'N-150 (PK 13+415 a 16+720). Sabadell - Terrassa. Fase 1.</t>
  </si>
  <si>
    <t>Contracte de serveis per a l'assistència tècnica de control de qualitat de les obres de la via ciclista paral·lela a l'N-150 (PK 13+415 a 16+720). Sabadell - Terrassa. Fase 1.</t>
  </si>
  <si>
    <t>Contracte de serveis per a l'assistència tècnica de coordinació de seguretat i salut de les obres del projecte constructiu de la via ciclista paral·lela a l'N-150 (PK 13+415 a 16+720). Sabadell ¿ Terrassa. Fase 1. Lot 1 + Lot 2.</t>
  </si>
  <si>
    <t>DO. XL-15022</t>
  </si>
  <si>
    <t>CQ. XL-15022</t>
  </si>
  <si>
    <t>Contracte de serveis per a la direcció de les obres de Via ciclista a l'entorn de la C-13 del PK 128+700 al 131+550. Sort - Rialp.</t>
  </si>
  <si>
    <t>Contracte de serveis per a l'assistència tècnica de Control de Qualitat de les obres de Via ciclista a l'entorn de la C-13 del PK 128+700 al 131+550. Sort - Rialp.</t>
  </si>
  <si>
    <t>PE+DO. SGC-22215</t>
  </si>
  <si>
    <t>IA. IA-CPB-21075</t>
  </si>
  <si>
    <t>Concurs de projecte per a la redacció del projecte bàsic i executiu i la posterior direcció de les obres de millora de la instal·lació de climatització de la Biblioteca de Catalunya al carrer Hospital, 56, de Barcelona.</t>
  </si>
  <si>
    <t>Assistència tècnica per a la redacció de l'estudi d'impacte ambiental. Millora de l'enllaç entre la B-30, la C-58 i l'N-150 i actuacions a l'N-150 per a la mobilitat activa. Barberà del Vallès -Ripollet -Cerdanyola del Vallès -Badia del Vallès.</t>
  </si>
  <si>
    <t>Deserta. Nova licitació 7/11/22</t>
  </si>
  <si>
    <t>Deserta. Nova licitació 2/12/22</t>
  </si>
  <si>
    <t>DO. AB-14009-C1</t>
  </si>
  <si>
    <t>CQ. AB-14009-C1</t>
  </si>
  <si>
    <t>CSS. AB-14009-C1</t>
  </si>
  <si>
    <t>DO. TF-11225.F1.2</t>
  </si>
  <si>
    <t>ATAM. TF-11225.F1.2</t>
  </si>
  <si>
    <t>RSC.TF-11225.F1.2</t>
  </si>
  <si>
    <t>CQ. TF-11225.F1.2</t>
  </si>
  <si>
    <t>IP. TF-11225.F1.2</t>
  </si>
  <si>
    <t>PC. ENP-22372</t>
  </si>
  <si>
    <t>PC. AG-07040.1-A1</t>
  </si>
  <si>
    <t>Contracte de serveis per a la direcció de les obres de mesures correctores d'impacte ambiental de l'ampliació de la C-58 del PK 12+600 al 18+800. Badia del Vallès - Terrassa.</t>
  </si>
  <si>
    <t>Contracte de serveis per a l'assistència tècnica de control de qualitat de les obres de mesures correctores d'impacte ambiental de l'ampliació de la C-58 del PK 12+600 al 18+800. Badia del Vallès - Terrassa.</t>
  </si>
  <si>
    <t>Contracte de serveis per a l'assistència tècnica de coordinació de seguretat i salut de les obres del projecte constructiu de mesures correctores d'impacte ambiental de l'ampliació de la C-58 del PK 12+600 al 18+800. Badia del Vallès - Terrassa.</t>
  </si>
  <si>
    <t>Contracte de serveis per a la direcció de les obres de Perllongament de la línia Llobregat - Anoia d'FGC a Barcelona. Plaça Espanya - Gràcia. Infraestructura.</t>
  </si>
  <si>
    <t>Contracte de serveis per a l'assistència tècnica ambiental de les obres de Perllongament de la línia Llobregat - Anoia d'FGC a Barcelona. Plaça Espanya - Gràcia. Infraestructura.</t>
  </si>
  <si>
    <t>Contracte de serveis per a l'assistència tècnica per al seguiment i control de les obres de Perllongament de la línia Llobregat - Anoia d'FGC a Barcelona. Plaça Espanya - Gràcia. Infraestructura.</t>
  </si>
  <si>
    <t>Contracte de serveis per a l'assistència tècnica de Control de Qualitat de les obres de Perllongament de la línia Llobregat - Anoia d'FGC a Barcelona. Plaça Espanya - Gràcia. Infraestructura.</t>
  </si>
  <si>
    <t>Contracte de serveis per a l'assistència tècnica per a la inspecció d'edificis i estructures de les obres de Perllongament de la línia Llobregat - Anoia d'FGC a Barcelona. Plaça Espanya - Gràcia. Infraestructura.</t>
  </si>
  <si>
    <t>Contracte de serveis per a l'assistència tècnica a la redacció del projecte constructiu: "Instal·lacions, senyalització i monitorització d'espais naturals marins i terrestres dels Parcs Naturals de l'Empordà".</t>
  </si>
  <si>
    <t>Contracte de serveis per a l'assistència tècnica per a la redacció del projecte constructiu de condicionament de la GI-643 del PK 0+000 al 4+550. Gualta - Serra de Daró.</t>
  </si>
  <si>
    <t>CQ. TM-04310.1-AA</t>
  </si>
  <si>
    <t>PE+DO. JVP-22365</t>
  </si>
  <si>
    <t>ATAM. MR-05919.7 (Fase 1)</t>
  </si>
  <si>
    <t>CSS. MR-05919.7 (Fase 1)</t>
  </si>
  <si>
    <t>CQ. MR-05919.7 (Fase 1)</t>
  </si>
  <si>
    <t>Contracte de serveis per a l'assistència tècnica de Control de Qualitat de les obres del projecte constructiu de millora de l'accessibilitat i adaptació a la normativa de l'intercanviador de l'estació del Clot (L1 i L2 d'FMB i RENFE). Fase 1.</t>
  </si>
  <si>
    <t>Contracte de serveis per a l'assistència tècnica per a la redacció del projecte bàsic i executiu i la posterior direcció de les obres d'implantació d'un nou sistema de videovigilància, i disseny d'un nou CCI en el Centre Penitenciari de Ponent de Lleida.</t>
  </si>
  <si>
    <t>Assistència tècnica ambiental de les obres del projecte constructiu del regadiu Xerta-Sénia. Xarxa de reg de la Zona 1 i posada en servei i posterior manteniment de la captació, de la impulsió, del canal executat i del bombament del Sector 1.</t>
  </si>
  <si>
    <t>Coordinació de seguretat i salut de les obres del projecte constructiu del regadiu Xerta-Sénia. Xarxa de reg de la zona 1 i posada en servei i posterior manteniment de la captació, de la impulsió, del canal executat i del bombament del sector 1.</t>
  </si>
  <si>
    <t>Control de qualitat de les obres del projecte constructiu del regadiu Xerta-Sénia. Xarxa de reg de la Zona 1 i posada en servei i posterior manteniment de la captació, de la impulsió, del canal executat i del bombament del Sector 1.</t>
  </si>
  <si>
    <t>TA. PT-CPB-21075</t>
  </si>
  <si>
    <t>ATAM. PC-CDB-17105.F1.1</t>
  </si>
  <si>
    <t>A.T. per a la redacció del projecte de traçat. Millora de l'enllaç entre la B-30, la C-58 i l'N-150 i actuacions a l'N-150 per a la mobilitat activa. Barberà del Vallès, Ripollet, Cerdanyola del Vallès, Badia del Vallès.</t>
  </si>
  <si>
    <t>Contracte de serveis per a l'assistència tècnica ambiental de les obres del projecte constructiu via ciclista paral·lela a l'N-150 (PK 13+415 a 16+720). Sabadell - Terrassa. Fase 1.</t>
  </si>
  <si>
    <t>EV. E3-MA-23900</t>
  </si>
  <si>
    <t>PE+DO JVX-22245</t>
  </si>
  <si>
    <t>E1. JVX-22265</t>
  </si>
  <si>
    <t>Assistència tècnica per l'estudi i seguiment. Cens de mascles de sisó en àrees pilot dels secans orientals i en els regs històrics del canalet de Tàrrega. Mesures correctores i compensatòries del regadiu del sistema Segarra-Garrigues. Campanya 2023-2024.</t>
  </si>
  <si>
    <t>Contracte de serveis per a l'assistència tècnica per a la redacció del projecte bàsic i executiu i la posterior direcció de les obres RAM per a l'adequació de l'edifici Judicial Francesc Layret de Badalona, per ubicar-hi un NNOOJJ.</t>
  </si>
  <si>
    <t>Contracte de serveis per a l'assistència tècnica per a la redacció de l'Estudi de cales Centre Penitenciari Quatre Camins.</t>
  </si>
  <si>
    <t>PC. PC-CFT-22039</t>
  </si>
  <si>
    <t>Contracte de serveis per a l'assistència tècnica per a la redacció del projecte constructiu "Millora de les característiques superficials del ferm a la T-233 del PK 0+000 al 8+245 i a la TP-2311 del PK 0+367 al 10+055. Sarral - Solivella.</t>
  </si>
  <si>
    <t>Última actualització any 2022: 07/02/2023</t>
  </si>
  <si>
    <t>PE+DO. SNV-20237</t>
  </si>
  <si>
    <t>Concurs de projectes per a la redacció del projecte bàsic i executiu i la posterior direcció de les obres de la nova construcció Institut Escola Sala i Badrinas de Terrassa.</t>
  </si>
  <si>
    <t>CSS. TM-04310.1-AA</t>
  </si>
  <si>
    <t>CSS. XL-15022</t>
  </si>
  <si>
    <t>Contracte de serveis per a l'assistència tècnica de coordinació de seguretat i salut de les obres del projecte constructiu de millora de l'accessibilitat i adaptació a la normativa de l'intercanviador de l'estació del Clot (L1 i L2 d'FMB i RENFE). Fase 1.</t>
  </si>
  <si>
    <t>Contracte serveis per a l'assistència tècnica de coordinació de seguretat i salut de les obres de Via ciclista a l'entorn de la C-13 del PK 128+700 al 131+550. Sort - Rialp.</t>
  </si>
  <si>
    <t>CSS. PC-AIC-19030.F1</t>
  </si>
  <si>
    <t>Contracte de serveis per a l'assistència tècnica de coordinació de seguretat i salut de les obres de la instal·lació de marquesines a parades dels serveis de transport interurbà de viatgers per carretera a diversos indrets de Catalunya. Fase 1.</t>
  </si>
  <si>
    <t>EC. EC23</t>
  </si>
  <si>
    <t>PC. PC-XIL-22014</t>
  </si>
  <si>
    <t>Contracte de serveis per a l'assistència tècnica per a la realització dels treballs de cartografia corresponents als estudis i projectes d'obra civil que són encarregats pels departaments de la Generalitat.</t>
  </si>
  <si>
    <t>Contracte de serveis per a l'assistència tècnica per a la redacció del projecte constructiu del condicionament del Camí de Torrebesses a Castelldans de la C-12 al PK 116+600 a la C-233 al PK 49+560. Torrebesses - Castelldans.</t>
  </si>
  <si>
    <t>PE+DO. PNC-21251</t>
  </si>
  <si>
    <t>CSS. RAE-21201</t>
  </si>
  <si>
    <t>DO. RAE-21201</t>
  </si>
  <si>
    <t>CSS. TF-11225.F1.2</t>
  </si>
  <si>
    <t>CQ. RAE-21201</t>
  </si>
  <si>
    <t>PC. PC-CGL-22060</t>
  </si>
  <si>
    <t>PE+DO JVX-22246</t>
  </si>
  <si>
    <t>Concurs de projectes per a la redacció del projecte bàsic i executiu i la posterior direcció de les obres de la nova construcció Escola 2L a l'Escola Montcau de Gelida.</t>
  </si>
  <si>
    <t>Contracte de serveis per a l'assistència tècnica de coordinació de seguretat i salut de les obres del projecte constructiu de restauració ambiental de l'activitat extractiva "Can Magí Vidal" a El Montmell. Baix Penedès.</t>
  </si>
  <si>
    <t>Contracte de serveis per a la direcció de les obres del projecte constructiu de restauració ambiental de l'activitat extractiva "Can Magí Vidal" a El Montmell. Baix Penedès.</t>
  </si>
  <si>
    <t>Contracte de serveis per a l'assistència tècnica de coordinació de seguretat i salut de les obres de Perllongament de la línia Llobregat ¿ Anoia d'FGC a Barcelona. Plaça Espanya - Gràcia. Infraestructura.</t>
  </si>
  <si>
    <t>Contracte de serveis per a l'assistència tècnica de control de qualitat de les obres del projecte constructiu de restauració ambiental de l'activitat extractiva "Can Magí Vidal" a El Montmell. Baix Penedès.</t>
  </si>
  <si>
    <t>Redacció del projecte constructiu de la millora de l'eficiència energètica, reducció d'emissions i autogeneració d'energia solar de túnels a la C-14 del PK 145+100 al 152+050. Peramola - Coll de Nargó.</t>
  </si>
  <si>
    <t>Assistència tècnica per a la redacció del projecte bàsic i executiu i la posterior direcció de les obres RAM de reforma del sistema de ventilació, climatització, coberta, i l'adequació de l'edifici Judicial de Reus, per ubicar-hi un N NOOJJ.</t>
  </si>
  <si>
    <t>ATAM. TM-04310.1-AA</t>
  </si>
  <si>
    <t>IA. XL-09052.A1</t>
  </si>
  <si>
    <t>PE+DO PNG-20229</t>
  </si>
  <si>
    <t>Contracte de serveis per a l'assistència tècnica ambiental de les obres del projecte constructiu de millora de l'accessibilitat i adaptació a la normativa de l'intercanviador de l'estació del Clot (L1 i L2 d'FMB i RENFE). Fase 1.</t>
  </si>
  <si>
    <t>Contracte de serveis per a l'assistència tècnica per a la redacció de l'estudi d'impacte ambiental: "Connexió de la LP-2015 al PK 1+000 amb la C-233 al PK 82+500. Bellpuig".</t>
  </si>
  <si>
    <t>Concurs de projecte per a la redacció del projecte bàsic i executiu i la posterior direcció de les obres de Nova construcció Escola 1L sense gimnàs Alzines Balladores de Sant Feliu de Buixalleu.</t>
  </si>
  <si>
    <t>PC. PC-CPL-22036</t>
  </si>
  <si>
    <t>PC. PAP-22336</t>
  </si>
  <si>
    <t>DO. MR-05919.7 (Fase 1)</t>
  </si>
  <si>
    <t>Contracte de serveis per a l'assistència tècnica per a la redacció del projecte constructiu de rotonda a la intersecció de la C-451 al PK 47+000 amb l'LV-3002. Llobera.</t>
  </si>
  <si>
    <t>Contracte de serveis per a l'assistència tècnica per a la redacció del projecte constructiu de restauració ambiental de la cua del pantà de Borén del Parc Natural de l'Alt Pirineu.</t>
  </si>
  <si>
    <t>Direcció de les obres del projecte constructiu del regadiu Xerta-Sénia. Xarxa de reg de la Zona 1 i posada en servei del posterior manteniment de la captació, de la impulsió, del canal executat i del bombament del Sector 1. Fase 1.</t>
  </si>
  <si>
    <t>PC. PC-CGB-22064</t>
  </si>
  <si>
    <t>EV. E1-MA-23900</t>
  </si>
  <si>
    <t>DO. RAE-21216</t>
  </si>
  <si>
    <t>CQ. RAE-21216</t>
  </si>
  <si>
    <t>Assistència tècnica per a la redacció del projecte constructiu: "Millora de l'eficiència energètica, reducció d'emissions i autogeneració d'energia solar del túnel de Parpers a la C-60 del PK 5+500 al 7+900. Argentona - La Roca del Vallés".</t>
  </si>
  <si>
    <t>Contracte de serveis per a l'assistència tècnica per al seguiment de les finques gestionades als Secans Orientals. Mesures correctores i compensatòries del regadiu del sistema Segarra-Garrigues. Campanya 2023-2024.</t>
  </si>
  <si>
    <t>Contracte de serveis per a la direcció d'obres de projecte constructiu de restauració ambiental de l'activitat extractiva "Pla de Bàscara" a Bàscara. Alt Empordà.</t>
  </si>
  <si>
    <t>Contracte de serveis per a l'assistència tècnica pel control de qualitat de restauració ambiental de l'activitat extractiva "Pla de Bàscara" a Bàscara. Alt Empordà.</t>
  </si>
  <si>
    <t>DO.TM-00509.4B+4C</t>
  </si>
  <si>
    <t>Direcció conjunta obres "Proj. constructiu L9 del Metro de Barcelona. Tram 3r. Zona Universitària-Sarera Meridiana. Estacions Prat de la Riba, Sarrià, Mandri i pous de ventilació" i "Proj. constructiu L9 Metro de Barcelona. Tram 3r. Zona Universitària-...</t>
  </si>
  <si>
    <t>PC. PC-CPL-21077</t>
  </si>
  <si>
    <t>Contracte de serveis per a l'assistència tècnica per a la redacció del projecte constructiu: "Construcció d'un carril central de girs a esquerres al PK 130+230 de la C-14. Pinell del Solsonès (parròquia Madrona)".</t>
  </si>
  <si>
    <t>CQ. JVX-19282</t>
  </si>
  <si>
    <t>CQ. JVX-21238</t>
  </si>
  <si>
    <t>Contracte de serveis per a l'assistència tècnica de Control de Qualitat de les obres Ram adequació espais sales escorcoll i cel·les de contenció en centres d'execució penal.</t>
  </si>
  <si>
    <t>Contracte de serveis per a l'assistència tècnica de Control de Qualitat de les obres de Modernització dels sistemes de climatització, ventilació, intrusió, PDCI, CCTV i megafonia de l'edifici l'EATAV de Lleida ubicat al carrer del Canyeret, 26.</t>
  </si>
  <si>
    <t>E1. VGB-22332</t>
  </si>
  <si>
    <t>Contracte de serveis per a l'assistència tècnica per a la redacció de l'estudi del programa funcional per a l'execució dels edificis prefabricats de les noves bases dels agents rurals.</t>
  </si>
  <si>
    <t>DO. PC-BMT-18013</t>
  </si>
  <si>
    <t>CQ. PC-BMT-18013</t>
  </si>
  <si>
    <t>CSS. PC-BMT-18013</t>
  </si>
  <si>
    <t>Contracte de serveis per a la direcció de les obres de la passarel·la per a vianants i ciclistes per sobre de la T-315 (Avinguda de Bellissens) al PK 5+654. Reus.</t>
  </si>
  <si>
    <t>Contracte de serveis per a l'assistència tècnica de control de qualitat de les obres de la passarel·la per a vianants i ciclistes per sobre de la T-315 (Avinguda de Bellissens) al PK 5+654. Reus.</t>
  </si>
  <si>
    <t>Contracte de serveis per a l'assistència tècnica de coordinació de seguretat i salut de les obres del projecte constructiu de passarel·la per a vianants i ciclistes per sobre de la T-315 (Avinguda de Bellissens) al PK 5+654. Reus.</t>
  </si>
  <si>
    <t>CQ. SEC-21230</t>
  </si>
  <si>
    <t>DE+CSS. SEC-21230</t>
  </si>
  <si>
    <t>DO. SEC-21230</t>
  </si>
  <si>
    <t>Contracte de serveis per a l'assistència tècnica de Control de Qualitat de les obres de reforma i adequació de la futura Oficina de Turisme ubicada a la planta baixa del Museu d'Història de Catalunya.</t>
  </si>
  <si>
    <t>Contracte de serveis per a la Direcció d'Execució i Coordinació de Seguretat i Salut de les obres de reforma i adequació de la futura Oficina de Turisme ubicada a la planta baixa del Museu d'Història de Catalunya.</t>
  </si>
  <si>
    <t>Contracte de serveis per a la direcció de les obres de reforma i adequació de la futura Oficina de Turisme ubicada a la planta baixa del Museu d'Història de Catalunya.</t>
  </si>
  <si>
    <t>EV. E4-MA-23900</t>
  </si>
  <si>
    <t>Redacció de l'estudi de seguiment de la poblacio de xoriguer petit de la Plana de Lleida, anàlisi de l'ocupació de torres i caixes niu. Mesures correctores i compensatòries del regadiu del sistema Segarra-Garrigues. Campanya 2023-2024.</t>
  </si>
  <si>
    <t>EV. E5-MA-23900</t>
  </si>
  <si>
    <t>EV. E6-MA-23900</t>
  </si>
  <si>
    <t>Assist. tèc. per a la realització dels treballs d'estudi i seguiment de la població d'arpella cendrosa a la Plana de Lleida, localització de nius. Mesures correctores i compensatòries del regadiu del sistema Segarra-Garrigues. Campanya 2023-2024,</t>
  </si>
  <si>
    <t>Contracte de serveis per a l'assistència tècnica per la planificació de la gestió la campanya 2023-2024 en les finques de compensació de l'àmbit del regadiu Segarra-Garrigues.</t>
  </si>
  <si>
    <t>EV. E2-MA-23900</t>
  </si>
  <si>
    <t>Contracte de serveis per a l'assistència tècnica per al seguiment de les finques gestionades als Secans Occidentals. Mesures correctores i compensatòries del regadiu del sistema Segarra-Garrigues. Campanya 2023-2024.</t>
  </si>
  <si>
    <t>AT. MEC-22L03</t>
  </si>
  <si>
    <t>Acord Marc per a la contracció d'assistències tècniques de redacció de projectes, direccions facultatives i coordinacions de seguretat i salut d'obres RAM i de manteniment i de serveis tècnics de suport d'arquitectura i enginyeria. 6 lots.</t>
  </si>
  <si>
    <t>CQ. TM-00509.4C</t>
  </si>
  <si>
    <t>Assistència tècnica de control de qualitat de les obres del projecte constructiu de la L9 del Metro de Barcelona. Tram 3r. Zona Universitària-Sagrera Meridiana. Estacions Putxet, Lesseps, Muntanya i Pous de Ventilació.</t>
  </si>
  <si>
    <t>DE. HTT-21212</t>
  </si>
  <si>
    <t>Assistència tècnica de la direcció d'execució de les obres de l'ampliació de l'Hospital Verge de la Cinta de Tortosa.</t>
  </si>
  <si>
    <t>E3. HTT-21212</t>
  </si>
  <si>
    <t>CSS. HTT-21212</t>
  </si>
  <si>
    <t>Contracte de serveis per a la gestió del projecte i obra segons metodologia LEAN (LEAN MANAGEMENT) de l'ampliació de l'Hospital Verge de la Cinta a Tortosa.</t>
  </si>
  <si>
    <t>Contracte de serveis per a l'assistència tècnica de coordinació de seguretat i salut de les obres del projecte executiu d'ampliació de l'Hospital Verge de la Cinta a Tortosa.</t>
  </si>
  <si>
    <t>CQ. PC-BNC-18128.2</t>
  </si>
  <si>
    <t>Serv. per a A.T.a de C.Q. de les obres de les obres de la Via ciclista paral·lela a la C-35 i GI-552 entre St. Celoni i Riells i Viabrea, i millora de ferm i reestudi de la secció transversal de la C-35 del PK 57+600 al 61+985. St. Celoni-Gualba-Riells i</t>
  </si>
  <si>
    <t>ES-BNC-18128.2</t>
  </si>
  <si>
    <t>CSS-PC-BNC-18128.2</t>
  </si>
  <si>
    <t>Assist. tèc. redacció de l'estudi Auditoria de seguretat viària d'obra. Via ciclista paral·lela a la C-35 i GI-552 entre Sant Celoni i Riells i Viabrea, i millora de ferm i reestudi de la secció transversal de la C-35 del pk 57,600 al 61,985. S. Celoni-..</t>
  </si>
  <si>
    <t>Coord. S.S. de les obres del projecte constructiu de la Via ciclista paral·lela a la C-35 i GI-552 entre Sant Celoni i Riells i Viabrea, i millora de ferm i reestudi de la secció transversal de la C-35 del pk 57,600 al 61,985. S. Celoni-Gualba-Riells i ..</t>
  </si>
  <si>
    <t>DO. XC-10020.2.3.F2</t>
  </si>
  <si>
    <t>DO. PC-BNC-18128.2</t>
  </si>
  <si>
    <t>Contracte de serveis per a la direcció de les obres d'adequació del pas de la via ciclista del Ter sota nou pont a la C-38 del pk 4,700 al 5,160. Sant Pau de Segúries - Camprodon.</t>
  </si>
  <si>
    <t>Direcció de les obres de la "Via Ciclista paral·lela a la C-35 i GI-552 entre Sant Celoni i Riells i Viabrea, i millora de ferm i reestudi de la secció transversal de la C-35 del pk 57,600 al 61,985. Sant Celoni-Gualba-Riells i Viabrea.</t>
  </si>
  <si>
    <t>PC. PAE-23206</t>
  </si>
  <si>
    <t>PC. PAE-23205</t>
  </si>
  <si>
    <t>Contracte de serveis per a l'assistència tècnica per a la redacció del projecte constructiu de soterrament de la línia elèctrica al Parc Natural dels Aiguamolls de l'Empordà. Rec Madral.</t>
  </si>
  <si>
    <t>Contracte de serveis per a l'assistència tècnica per a la redacció del projecte constructiu de soterrament de la línia elèctrica al Parc Natural dels Aiguamolls de l'Empordà. Camí del Cortalet.</t>
  </si>
  <si>
    <t>CSS. XC-10020.2.3-F2</t>
  </si>
  <si>
    <t>PC. PMM-22373</t>
  </si>
  <si>
    <t>Contracte de serveis per a l'assistència tècnica de coordinació de seguretat i salut de les obres del projecte constructiu d'adequació del pas de la via ciclista del Ter sota nou pont a la C-38 del pk 4,70 al 5-160. Sant Pau de Segúries-Camprodon.</t>
  </si>
  <si>
    <t>Contracte de serveis per a l'assistència tècnica per a la redacció del projecte constructiu d'instal·lacions dels itineraris de patrimoni històric submergit al Parc Natural del Montgrí, les Illes Medes i el Baix Ter.</t>
  </si>
  <si>
    <t>ATAM. PC-BNC-18128.2</t>
  </si>
  <si>
    <t>PC. PCR-23204</t>
  </si>
  <si>
    <t>CQ. XC-10020.2.3.F2</t>
  </si>
  <si>
    <t>Serv. assit. tècnica ambiental obres projecte constructiu Via ciclista paral·lela a la C-35 i GI-552 entre S. Celoni i Riells i Viabrea, i millora de ferm i reestudi de la secció transversal de la C-35 del pk 57,600 al 61,985. Sant Celoni-Gualba-Riells i</t>
  </si>
  <si>
    <t>Contracte de serveis per a l'assistència tècnica per a la redacció del projecte constructiu. Soterrament de la línia elèctrica al Parc Natural del Cap de Creus per la Crta. de Cadaqués al Far de Cap de Creus.</t>
  </si>
  <si>
    <t>Contracte de serveis per a l'assistència tècnica de control de qualitat de les obres d'adequació del pas de la via ciclista del Ter sota nou pont a la C-38 del PK 4+700 al 5+160. Sant Pau de Segúries – Camprodon.</t>
  </si>
  <si>
    <t>DO. PC-XIE-19014</t>
  </si>
  <si>
    <t>CSS. PC.XIE-19014</t>
  </si>
  <si>
    <t>CQ. PC-XIE-19014</t>
  </si>
  <si>
    <t>PC. PC-CFT-22040</t>
  </si>
  <si>
    <t>PE+DO. SNB-21252</t>
  </si>
  <si>
    <t>DO.TM-04310.1-AA+TM-16202.F1</t>
  </si>
  <si>
    <t>E1. DXB-22333</t>
  </si>
  <si>
    <t>Contracte de serveis per a la direcció de les obres de l‘Adaptació a PMR de la passarel·la de vianants situada al PK 18+280 de la C-12. Tortosa.</t>
  </si>
  <si>
    <t>Contracte de serveis per a l'assistència tècnica de coordinació de seguretat i salut de les obres de l‘Adaptació a PMR de la passarel·la de vianants situada al PK 18+280 de la C-12. Tortosa.</t>
  </si>
  <si>
    <t>Contracte de serveis per a l'assistència tècnica de control de qualitat de les obres del projecte constructiu "Adaptació a PMR de la passarel·la de vianants situada al PK 18+280 de la C-12. Tortosa".</t>
  </si>
  <si>
    <t>Contracte de serveis per a l'assistència tècnica per a la redacció del projecte constructiu. Millora de les característiques superficials del ferm a la C-242 del PK 34+220 al 44+850. Ulldemolins - Cornudella de Montsant.</t>
  </si>
  <si>
    <t>Concurs de projectes per a la redacció del projecte bàsic i executiu i la posterior direcció de les obres de nova construcció Institut Escola 2L 30 Passos a Barcelona.</t>
  </si>
  <si>
    <t>Direc. conjunta obres "Millora accessibilitat i adaptació normativa intercanviador estació Clot (L1 i L2 FMB i RENFE). Fase1" i "Millora accessibilitat intercanviadors Sants-Estació (L3 i L5 FMB - línies ADIF), Pg. Gràcia (L2, L3 i L4 FMB) i Catalunya ...</t>
  </si>
  <si>
    <t>Contracte de serveis per a l'assistència tècnica per a la redacció del Pla Director de les actuacions de Reforma per l'adequació de l'edifici Pavelló Ave Maria, dins el Complex de Maternitat.</t>
  </si>
  <si>
    <t>PE+DO. CAP-22229</t>
  </si>
  <si>
    <t>CQ. PSE-19406</t>
  </si>
  <si>
    <t>DO. PSE-19406</t>
  </si>
  <si>
    <t>Concurs de projectes per a la redacció del projecte bàsic i executiu i la posterior direcció de les obres d'ampliació i reforma del Centre d'Atenció Primària Doctor Josep Alsina i Bofill a Palafrugell.</t>
  </si>
  <si>
    <t>Contracte de serveis per a l'assistència tècnica de Control de Qualitat de les obres de Restauració ambiental de la finca la "Guixera" al terme municipal de Castellserà.</t>
  </si>
  <si>
    <t>Contracte de serveis per a la direcció de les obres de Restauració ambiental de la finca la "Guixera" al terme municipal de Castellserà.</t>
  </si>
  <si>
    <t>CSS. PSE-19406</t>
  </si>
  <si>
    <t>Contracte de serveis per a l'assistència tècnica de coordinació de seguretat i salut de les obres de Restauració ambiental de la finca la "Guixera" al terme municipal de Castellserà.</t>
  </si>
  <si>
    <t>CSS. ML-13028.1-AA</t>
  </si>
  <si>
    <t>CQ. ML-13028.1-AA</t>
  </si>
  <si>
    <t>DO. ML-13028.1-AA</t>
  </si>
  <si>
    <t>Coordinació de seguretat i salut de les obres del projecte constructiu de la millora local. Talussos. Estudi i estabilització de vessants. Carretera C-14. PK 148+513 al 149+150 i PK 149+950 al 150+249. Tram: Peramola.</t>
  </si>
  <si>
    <t>Control de Qualitat de les obres del projecte constructiu de la millora local. Talussos. Estudi i estabilització de vessants. Carretera C-14. PK 148+513 al 149+150 i PK 149+950 al 150+249. Tram: Peramola.</t>
  </si>
  <si>
    <t>Contracte de serveis per a la direcció de les obres del projecte constructiu de la millora local. Talussos. Estudi i estabilització de vessants. Carretera C-14. PK 148+513 al 149+150 i PK 149+950 al 150+249. Tram: Peramola.</t>
  </si>
  <si>
    <t>CQ. R0-22354</t>
  </si>
  <si>
    <t>DO. R0-22354</t>
  </si>
  <si>
    <t>CSS. R0-22354</t>
  </si>
  <si>
    <t>DO. MG-08008.1</t>
  </si>
  <si>
    <t>CQ. MG-08008.1</t>
  </si>
  <si>
    <t>CSS. MG-08008.1</t>
  </si>
  <si>
    <t>PC. MG-15015.4</t>
  </si>
  <si>
    <t>PC. PC-CGC-22061</t>
  </si>
  <si>
    <t>PE+DO. VA-21276</t>
  </si>
  <si>
    <t>CSS. VB-06102-AA</t>
  </si>
  <si>
    <t>CQ. VB-06102-AA</t>
  </si>
  <si>
    <t>ATAM. VB-06102-AA</t>
  </si>
  <si>
    <t>DO. VB-06102-AA</t>
  </si>
  <si>
    <t>AG-07040.2.A1</t>
  </si>
  <si>
    <t>DO. VB-01055-AA</t>
  </si>
  <si>
    <t>PC. AL-99276-A1</t>
  </si>
  <si>
    <t>DO. HTT-21212</t>
  </si>
  <si>
    <t>E1-INF-23500</t>
  </si>
  <si>
    <t>E2-INF-23500</t>
  </si>
  <si>
    <t>Contracte de serveis per a l'assistència tècnica de control de qualitat de les obres de rehabilitació de la coberta dels trallers de la Zona Franca de l'L9 de Metro de Barcelona. Clau: R0-22354.</t>
  </si>
  <si>
    <t>Contracte de serveis per a la direcció de les obres de rehabilitació de la coberta dels tallers de la Zona Franca de l'L9 de Metro de Barcelona. Clau: R0-22354.</t>
  </si>
  <si>
    <t>Contracte de serveis per a l'assistència tècnica de coordinació de seguretat i salut de les obres del projecte constructiu de rehabilitació de la coberta dels tallers de la Zona Franca de l'L9 de metro de Barcelona. Clau: R0-22354.</t>
  </si>
  <si>
    <t>Contracte de serveis per a la direcció de les obres d'ordenació d'accessos i millora del ferm a la C-63 del PK 5+300 al 8+850. Vidreres. Clau: MG-08008.1</t>
  </si>
  <si>
    <t>Contracte de serveis per a l'assistència tècnica de control de qualitat de les obres d'ordenació d'accessos i millora del ferm a la C-63 del PK 5+300 al 8+850. Vidreres. Clau: MG-08008.1</t>
  </si>
  <si>
    <t>Contracte de serveis per a l'assistència tècnica de coordinació de seguretat i salut de les obres del projecte constructiu d'ordenació d'accessos i millora del ferm a la C-63 del PK 5+300 al 8+850. Vidreres. Clau: MG-08008.1</t>
  </si>
  <si>
    <t>Contracte de serveis per a l'assistència tècnica per a la redacció del projecte constructiu: "Millores de seguretat a la C-66 del PK 53+450 al 55+520. Serinyà-Sant Ferriol. Clau: MG-15015.4”</t>
  </si>
  <si>
    <t>Redacció del projecte constructiu: "Millora de l'eficiència energètica, reducció d'emissions i autogeneració d'energia solar del túnel de Bracons a la C-37 del PK 155+500 al 171+000. St. Pere de Torelló-La Vall d'en Bas''.</t>
  </si>
  <si>
    <t>Contracte de serveis per a A.T. per a la redacció del projecte bàsic i executiu i la posterior D.O. de Distribució de la instal·lació hidràulica de climatització a l'edifici seu del Departament d'Acció Climàtica, Alimentació i Agenda Rural.</t>
  </si>
  <si>
    <t>Contracte de serveis per a l'assistència tècnica de coordinació de seguretat i salut de les obres de la Millora general. Variant. Pr olongació de la variant d'Artés, des de la carretera BV-4512, PK 0+960, fins la carretera B-431, PK 41+000. Tram: Artés.</t>
  </si>
  <si>
    <t>Contracte de serveis per a l'assistència tècnica de Control de Qualitat de les obres de la Millora general. Variant. Prolongació de la variant d'Artés, des de la carretera BV-4512, PK 0+960, fins la carretera B-431, PK 41+000. Tram: Artés.</t>
  </si>
  <si>
    <t>Contracte de serveis per a l'assistència tècnica ambiental de les obres de la Millora general. Variant. Prolongació de la variant d'Artés, des de la carretera BV-4512, PK 0+960, fins la carretera B-431, PK 41+000. Tram: Artés. Clau: VB-06102-AA</t>
  </si>
  <si>
    <t>Contracte de serveis per a la direcció de les obres de la Millora general. Variant. Prolongació de la variant d'Artés, des de la carretera BV-4512, PK 0+960, fins la carretera B-431, PK 41+000. Tram: Artés. Clau: VB-06102-AA</t>
  </si>
  <si>
    <t>Contracte de serveis per a l'assistència tècnica per a la redacció del projecte constructiu. Condicionament de la GI-643 del PK 4+550 al 7+882. Serra de Daró - Parlavà. Clau: AG-07040.2-A1</t>
  </si>
  <si>
    <t>Contracte de serveis per a la direcció de les obres del projecte constructiu més el seu annex d'actualització de "Variant de Sagàs a la C-62 del PK 23+000 al 25+600. Santa Maria de Merlès – Sagàs". Clau: VB-01055 i VB-01055-AA</t>
  </si>
  <si>
    <t>Contracte de serveis per a l'assistència tècnica per a la redacció del projecte constructiu. Eixamplament i millora del traçat de la C-26 al PK 116+930 fins al 10+790 de la B-420. Navès - Montmajor.</t>
  </si>
  <si>
    <t>Contracte de serveis per a l'assistència tècnica de la direcció de les obres de l'Ampliació de l'Hospital Verge de la Cinta de Tortosa.</t>
  </si>
  <si>
    <t>Contracte de serveis d'assistència tècnica per a la investigació i assessorament en temes estructurals de les infraestructures gestionades per Infraestructures de la Generalitat de Catalunya, SAU (Infraestructures.cat).</t>
  </si>
  <si>
    <t>Contracte de serveis d'assistència tècnica per a la investigació i assessorament en temes geotècnics de les infraestructures gestionades per Infraestructures de la Generalitat de Catalunya, SAU (Infraestructures.cat).</t>
  </si>
  <si>
    <t>Diferència 22-23</t>
  </si>
  <si>
    <t>Imports 2023</t>
  </si>
  <si>
    <t>Imports 2024</t>
  </si>
  <si>
    <t>Diferència 23-24</t>
  </si>
  <si>
    <t>PC. MG-15015.3-A1</t>
  </si>
  <si>
    <t>Contracte de serveis per a l'assistència tècnica per a la redacció del projecte constructiu: "Millores de seguretat a la C-66 entre els PK 50+650 al 51+700 i 52+040 al 53+500. Serinyà".</t>
  </si>
  <si>
    <t>CQ. SGC-22213</t>
  </si>
  <si>
    <t>DE. CAP-18335</t>
  </si>
  <si>
    <t>CQ. RAM-23900</t>
  </si>
  <si>
    <t>CQ. VB-01055-AA</t>
  </si>
  <si>
    <t>Contracte de serveis per a l'assistència tècnica de control de qualitat de les obres de la primera fase de l'ampliació dels dipòsits documentals de l'Arxiu Nacional de Catalunya, a Sant Cugat del Vallès.</t>
  </si>
  <si>
    <t>Contracte de serveis per a la direcció d'execució de les obres d'ampliació i reforma del CAP Moisès Broggide l'Escala.</t>
  </si>
  <si>
    <t>Contracte de serveis per a l'assistència tècnica de control de qualitat de les obres RAM d'equipament públics del Departament d'Educació. 4 lots.</t>
  </si>
  <si>
    <t>Contracte de serveis per a l'assistència tècnica de control de qualitat de les obres del projecte constructiu més el seu annex d'actualització de "Variant de Sagàs a la C-62 del PK 23+000 al 25+600. Santa Maria de Merlès – Sagàs".</t>
  </si>
  <si>
    <t>DO. TM-16202.F2</t>
  </si>
  <si>
    <t>PC-MGB-22007.F3.</t>
  </si>
  <si>
    <t>Direcció de les obres de millora de l'accessibilitat dels intercanviadors de Sants - Estació (Línies L3 i L5 dels FMB - Línies ADIF), Passeig de Gràcia (Línies L2, L3 i L4 dels FMB) i Catalunya (Línies L1 i L3 dels FMB). Barcelona. Fase 2.</t>
  </si>
  <si>
    <t>Redacció del projecte constructiu "Ampliació de l'accés del carrer Badajoz de l'estació de Glòries de l'L1 del Ferrocarril Metropolità de Barcelona (FMB). Barcelona. Fase 3. Remodelació del vestíbul actual i ascensor vestíbul-andana".</t>
  </si>
  <si>
    <t>DO. TM-12002.4</t>
  </si>
  <si>
    <t>DE. SGC-22213</t>
  </si>
  <si>
    <t>CSS. ML-14044.1</t>
  </si>
  <si>
    <t>DO. ML-14044.1</t>
  </si>
  <si>
    <t>CQ. ML-14044.1</t>
  </si>
  <si>
    <t>DO. PC-CXG-17032.F2+MB-15037</t>
  </si>
  <si>
    <t>CQ. PC-CXG-17032.F2</t>
  </si>
  <si>
    <t>CSS. PC-CXG-17032.F2</t>
  </si>
  <si>
    <t>Contracte de serveis per a la direcció de les obres del projecte constructiu de millora de les condicions mecàniques de la superestructura de diversos trams de via de la L2 de FMB.</t>
  </si>
  <si>
    <t>Contracte de serveis per a la direcció d'execució de les obres de la primera fase de l'ampliació dels dipòsits documentals de l'Arxiu Nacional de Catalunya, a Sant Cugat del Vallès.</t>
  </si>
  <si>
    <t>Contracte de serveis per a l'assistència tècnica de coordinació de seguretat i salut de les obres d'ordenació de la travessera del Pi de Sant Just i tancament de rotondes a la C-55 del PK 75+770 al 77+350. El Pi de Sant Just.</t>
  </si>
  <si>
    <t>Contracte de serveis per a la direcció de les obres d'ordenació de la travessera del Pi de Sant Just i tancament de rotondes a la C-55 del PK 75+770 al 77+350. El Pi de Sant Just.</t>
  </si>
  <si>
    <t>Contracte de serveis per a l'assistència tècnica de Control de Qualitat de les obres d'ordenació de la travessera del Pi de Sant Just i tancament de rotondes a la C-55 del PK 75+770 al 77+350. El Pi de Sant Just.</t>
  </si>
  <si>
    <t>Direcció conjunta de les obres de "Portada d'aigües a la finca Sant Mateu. Carretera C-37, PK 168+000, marge esquerre. La Vall d'en Bas i "Reparació puntual del sosteniment del túnel de la Codina a la C-37 al PK 170+114. La Vall d'en Bas".</t>
  </si>
  <si>
    <t>Contracte de serveis per a l'assistència tècnica de Control de Qualitat de les obres de la portada d'aigües a la finca Sant Mateu. C-37, PK 168+000, marge esquerre. La Vall d'en Bas.</t>
  </si>
  <si>
    <t>Contracte de serveis per a l'assistència tècnica de coordinació de seguretat i salut de les obres de la portada d'aigües a la finca Sant Mateu. C-37, PK 168+000, marge esquerre. La Vall d'en Bas.</t>
  </si>
  <si>
    <t>CQ. ECO-21265</t>
  </si>
  <si>
    <t>Contracte de serveis per a l'assistència tècnica de Control de Qualitat de les obres de reparació dels tancaments exteriors i dentells del Vapor Ros de Terrassa.</t>
  </si>
  <si>
    <t>CQ. HTT-21212</t>
  </si>
  <si>
    <t>DO. MB-16056</t>
  </si>
  <si>
    <t>DO. PC-CPC-20035</t>
  </si>
  <si>
    <t>DO. PC-CMB-17020-AA</t>
  </si>
  <si>
    <t>DO. PC-CGB-19023</t>
  </si>
  <si>
    <t>ATAM. PC-CAB-17038</t>
  </si>
  <si>
    <t>DO. MB-15055-C1</t>
  </si>
  <si>
    <t>ATAM. VB-01055-AA</t>
  </si>
  <si>
    <t>DO. PC-CCB-17025</t>
  </si>
  <si>
    <t>DO. TA-16203-AA.1</t>
  </si>
  <si>
    <t>DO. PC-CMB-17031</t>
  </si>
  <si>
    <t>DO. MG-04010-A1</t>
  </si>
  <si>
    <t>DO. PC-CGT-19047</t>
  </si>
  <si>
    <t>Contracte de serveis per a l'assistència tècnica per al control de qualitat de les obres de l'Ampliació de l'Hospital Verge de la Cinta de Tortosa.</t>
  </si>
  <si>
    <t>Contracte de serveis per a la direcció de les obres de millora local. Apantallament acústic a la carretera C-17, al PK 21+200 (Cal Pastor) i PK 22+600 (Can Duran). Tram: Granollers - Canovelles.</t>
  </si>
  <si>
    <t>Contracte de serveis per a la direcció de les obres "Estudi i implantació de millores de seguretat viària per a motoristes a la xarxa de carreteres de la Generalitat. Any 2020".</t>
  </si>
  <si>
    <t>Contracte de serveis per a la direcció de les obres de millora local. Estabilització de talussos a la carretera C-31 del PK 164+000 al 176+420. Tram: Costes del Garraf (Sitges).</t>
  </si>
  <si>
    <t>Contracte de serveis per a la direcció de les obres de "Rehabilitació de les obres de fàbrica a la C-31 al PK 209+775. Sant Adrià de Besòs - Badalona".</t>
  </si>
  <si>
    <t>Contracte de serveis per a l'assistència tècnica ambiental de les obres de condicionament del tercer carril de la C-16 del PK 22+000 al 23+800. Terrassa.</t>
  </si>
  <si>
    <t>Contracte de serveis per a la direcció de les obres de la millora de les característiques superficials del ferm i reestudi de la secció transversal. Carretera C-55, del PK 16+600 al 18+000. Castellbell i el Vilar.</t>
  </si>
  <si>
    <t>Contracte de serveis per a l'assistència tècnica ambiental de les obres del projecte constructiu més el seu annex d'actualització de "Variant de Sagàs a la C-62 del PK 23+000 al 25+600. Santa Maria de Merlès – Sagàs".</t>
  </si>
  <si>
    <t>Contracte de serveis per a la direcció de les obres de "Conservació extraordinària. Reubicació del cablejat de les instal·lacions de seguretat del túnel d'Amadeu Torner. Carretera C-31 del PK 198+060 al 198+453. Tram: l'Hospitalet de Llobregat".</t>
  </si>
  <si>
    <t>Contracte de serveis per a la direcció de les obres del projecte constructiu "Nova estació d'autobusos d'Almacelles".</t>
  </si>
  <si>
    <t>Contracte de serveis per a la direcció de les obres de la millora de talussos a l'N-141g. Aguilar de Segarra – Rajadell.</t>
  </si>
  <si>
    <t>Contracte de serveis per a la direcció de les obres de la millora local. Rotonda a la carretera C-66, PK 26+690. Tram: Bordils.</t>
  </si>
  <si>
    <t>Contracte de serveis per a la direcció de les obres de "Construcció de cunetes trepitjables a la T-723 i TV-7005. Mont-roig del Camp, Prades i Vilanova de Prades".</t>
  </si>
  <si>
    <t>DO. VE-06008.1-C1</t>
  </si>
  <si>
    <t>DO. TA-16247-AA</t>
  </si>
  <si>
    <t>DO. PC-CPT-20058+PC-CMT-17054</t>
  </si>
  <si>
    <t>DO. MT-08117.F1+PC-CMT-17053</t>
  </si>
  <si>
    <t>DO. SGC-22213</t>
  </si>
  <si>
    <t>DO. PC-CMB-17106</t>
  </si>
  <si>
    <t>DO. R0-21221</t>
  </si>
  <si>
    <t>Contracte de serveis per a la direcció de les obres de les actuacions d'enllaç a la variant de Gandesa. C-43 del PK 11+700 al 13+600. Gandesa.</t>
  </si>
  <si>
    <t>Contracte de serveis per a la direcció de les obres de la nova estació d'autobusos. Palamós.</t>
  </si>
  <si>
    <t>Dir. conjunta obres "Rotonda urbana a la T-322 i la T-323 al PK 5,060. Mont-roig del Camp" i "Millora local. Seg. viària. cunetes trepitjables, adequació elements contenció vehicles i millora ferm a la C-242, del pk 24,590 al 34,220. Tram: Ulldemolins.</t>
  </si>
  <si>
    <t>Dir. conjunta obres "Millora local. Millora nus. Enllaç TV-7211 de Reus a Constantí, pk 5,300. Fase 1. Rotonda. Tram: Constantí" i "Cunetes trepitjables, adequació elements contenció de vehicles i millora ferm T-214, pk 2,900 a 4,970. Altafulla-La Riera G</t>
  </si>
  <si>
    <t>Contracte de serveis per a la direcció de les obres de la primera fase de l'ampliació dels dipòsits documentals de l'Arxiu Nacional de Catalunya, a Sant Cugat del Vallès.</t>
  </si>
  <si>
    <t>Contracte de serveis per a la direcció de les obres de la millora local. Ponts i estructures. Millora de la capacitat hidràulica del pontó sobre la Riera de les Cases Noves, al PK 8+620 de la carretera C-153. Tram: les Masies de Roda.</t>
  </si>
  <si>
    <t>Contracte de serveis per a la direcció de les obres de renovació per obsolescència d'equipaments per al sistema de senyalització de l'L9 de Metro de Barcelona.</t>
  </si>
  <si>
    <t>DO. PC-MIB-20029</t>
  </si>
  <si>
    <t>Contracte de serveis per a la direcció de les obres del "Projecte constructiu d'ampliació dels tallers i cotxeres de Sant Genís de la Línia 3 dels FMB. Barcelona".</t>
  </si>
  <si>
    <t>DO. PC-CAB-17038</t>
  </si>
  <si>
    <t>DO. TM-11020.F1</t>
  </si>
  <si>
    <t>Contracte de serveis per a la direcció de les obres de condicionament del tercer carril de la C-16 del PK 22+000 al 23+800. Terrassa.</t>
  </si>
  <si>
    <t>Contracte de serveis per a la direcció de les obres del projecte constructiu de millora de l'accessibilitat de l'estació de Ciutadella - Vila Olímpica de la Línia 4 del FMB.</t>
  </si>
  <si>
    <t>CQ. TM-16202.F1</t>
  </si>
  <si>
    <t>CQ. TM-12002.4</t>
  </si>
  <si>
    <t>CSS. PC-MIB-20029</t>
  </si>
  <si>
    <t>CQ. TM-16202.F2</t>
  </si>
  <si>
    <t>Control de qualitat de les obres de millora de l'accessibilitat dels intercanviadors de Sants - Estació (línies L3 i L5 dels FMB - línies ADIF), Passeig de Gràcia (línies L2, L3 i L4 dels FMB) i Catalunya (línies L1 i L3 dels FMB). Barcelona. Fase 1.</t>
  </si>
  <si>
    <t>Contracte de serveis per a l'assistència tècnica de control de qualitat de les obres del projecte constructiu de millora de les condicions mecàniques de la superestructura de diversos trams de via de la L2 de FMB.</t>
  </si>
  <si>
    <t>Contracte de serveis per a l'assistència tècnica de coordinació de seguretat i salut de les obres del projecte constructiu d'ampliació dels tallers i cotxeres de Sant Genís de la línia 3 dels FMB. Barcelona.</t>
  </si>
  <si>
    <t>Control de qualitat de les obres del projecte constructiu de millora de l'accessibilitat dels intercanviadors de Sants - Estació (línies L3 i L5 dels FMB - línies ADIF) i Catalunya (línies L1 i L3 dels FMB). Barcelona. Fase 2.</t>
  </si>
  <si>
    <t>CQ-PC-MIB-20029</t>
  </si>
  <si>
    <t>CQ. TA-16247-AA</t>
  </si>
  <si>
    <t>CSS. TA-16247-AA</t>
  </si>
  <si>
    <t>CSS. TM-16202.F2</t>
  </si>
  <si>
    <t>CSS. TM-16202.F1</t>
  </si>
  <si>
    <t>CSS. TM-12002.4</t>
  </si>
  <si>
    <t>CSS. SGC-22213</t>
  </si>
  <si>
    <t>CSS. CAP-18335</t>
  </si>
  <si>
    <t>CSS. VB-01055-AA</t>
  </si>
  <si>
    <t>Contracte de serveis per a l'assistència tècnica de control de qualitat de les obres del "Projecte constructiu d'ampliació dels tallers i cotxeres de Sant Genís de la Línia 3 dels FMB. Barcelona".</t>
  </si>
  <si>
    <t>Contracte de serveis per a l'assistència tècnica de Control de Qualitat de les obres de la nova estació d'autobusos. Palamós.</t>
  </si>
  <si>
    <t>Contracte de serveis per a l'assistència tècnica de coordinació de seguretat i salut de les obres de la nova estació d'autobusos. Palamós.</t>
  </si>
  <si>
    <t>Coord. S.S. obres projecte constructiu millora de l'accessibilitat dels intercanviadors de Sants - Estació (línies L3 i L5 dels FMB - línies ADIF), Passeig de Gràcia (línies L2, L3 i L4 dels FMB) i Catalunya (línies L1 i L3 dels FMB). Barcelona. Fase 2.</t>
  </si>
  <si>
    <t>Coord. S.S. per exec.  obres del projecte constructiu de millora de l'accessibilitat dels intercanviadors de Sants - Estació (línies L3 i L5 dels FMB - línies ADIF), Passeig de Gràcia (línies L2, L3 i L4 dels FMB) i Catalunya (línies L1 i L3 dels FMB).</t>
  </si>
  <si>
    <t>Contracte de serveis per a l'assistència tècnica de coordinació de seguretat i salut de les obres del projecte constructiu de millora de les condicions mecàniques de la superestructura de diversos trams de via de la Línia 2 d'FMB.</t>
  </si>
  <si>
    <t>Contracte de serveis per a l'assistència tècnica de coordinació de seguretat i salut de les obres del projecte executiu de primera fase de l'ampliació dels dipòsits documentals de l'Arxiu Nacional de Catalunya, a Sant Cugat del Vallès.</t>
  </si>
  <si>
    <t>Contracte de serveis per a l'assistència tècnica de coordinació de seguretat i salut de les obres del projecte executiu d'ampliació i reforma del Centre d'Atenció Primària Moisès Broggi, de l'Escala.</t>
  </si>
  <si>
    <t>Coordinació de seguretat i salut de les obres del projecte constructiu més el seu annex d'actualització de la variant de Sagàs a la C-62 del PK 23+000 al 25+600. Santa Maria de Merlès – Sagàs. Lot 1 + Lot 2.</t>
  </si>
  <si>
    <t>CQ. CAP-18335</t>
  </si>
  <si>
    <t>Contracte de serveis per a l'assistència tècnica de control de qualitat de les obres d'ampliació i reforma del CAP Moisès Broggi de l'Escala.</t>
  </si>
  <si>
    <t>PC. AT-00164-C4</t>
  </si>
  <si>
    <t>Contracte de serveis per a l'assistència tècnica per a la redacció del projecte constructiu de condicionament de la C-51, millora de la secció dels camins de servei, calçades laterals i connexions amb la C-51z del PK 10+150 al 32+240. Albinyana-Valls.</t>
  </si>
  <si>
    <t>PC. PC-BNC-18128.3</t>
  </si>
  <si>
    <t>Contracte de serveis per a l'assistència tècnica per a la redacció del projecte constructiu: "Via ciclista paral·lela a les BV-5301 i C-35. Vilalba Sasserra - Santa Maria de Palautordera-Sant Celoni. Estació FFCC Palautordera-Rotonda de la C-35 amb BV-...</t>
  </si>
  <si>
    <t>PC. PC-CFB-22023</t>
  </si>
  <si>
    <t>EV. EX-CIT-21036</t>
  </si>
  <si>
    <t>PC. PC-CFL-22037</t>
  </si>
  <si>
    <t>PC. PC-CPB-22016</t>
  </si>
  <si>
    <t>PC. PC-CGT-22043</t>
  </si>
  <si>
    <t>PC. PC-CGB-22030</t>
  </si>
  <si>
    <t>CQ. S15-PNG-03463</t>
  </si>
  <si>
    <t>CQ. S14-INT-06497</t>
  </si>
  <si>
    <t>CQ. JVV-08227.A</t>
  </si>
  <si>
    <t>DE. JVV-08227.A</t>
  </si>
  <si>
    <t>EV. ES-CGB-22002 + 3</t>
  </si>
  <si>
    <t>CQ. S8-PNA-07373</t>
  </si>
  <si>
    <t>CQ. S8-INA-05559</t>
  </si>
  <si>
    <t>CSS. JVV-08227.A</t>
  </si>
  <si>
    <t>Contracte de serveis per a l'assistència tècnica per a la redacció del projecte constructiu de millora de les característiques superficials i obres complementàries a la C-352 del PK 17+300 al 18+800. Granollers.</t>
  </si>
  <si>
    <t>Contracte de serveis per a l'assistència tècnica per a la redacció del document ambiental de la millora de característiques superficials i reestudi de secció transversal a la C-14 del PK 20+830 al 35+000. Alcover – Montblanc.</t>
  </si>
  <si>
    <t>Contracte de serveis per a l'assistència tècnica per a la redacció del projecte constructiu. Reforçament de ferm i obres complementàries a la C-233 del PK 22+100 al 35+370. La Granadella – el Soleràs.</t>
  </si>
  <si>
    <t>Contracte de serveis per a l'assistència tècnica per a la redacció del projecte constructiu de rotonda a la intersecció de la C-35 al PK 31+525 amb el carrer del Camí Ral. Granollers.</t>
  </si>
  <si>
    <t>Contracte de serveis per a l'assistència tècnica per a la redacció del projecte constructiu de millora dels sistemes de contenció de vehicles a les carreteres del Servei Territorial de Carreteres de Tarragona.</t>
  </si>
  <si>
    <t>Contracte de serveis per a l'assistència tècnica per a la redacció del projecte constructiu. Estabilització de talussos a la BP-1103 del PK 0+000 al 6+646 i a la BP-1121 del PK 5+710 al 11+150. El Bruc – Monistrol de Montserrat.</t>
  </si>
  <si>
    <t>Contracte de serveis per a l'assistència tècnica de Control de Qualitat de les obres de condicionament d'elements i espais de l'escola Mas Masó de Salt.</t>
  </si>
  <si>
    <t>Contracte de serveis per a l'assistència tècnica de Control de Qualitat de les obres de condicionament de la coberta de l'edifici principal de l' IES d'Altafulla.</t>
  </si>
  <si>
    <t>Contracte de serveis per al control de qualitat de les obres d'adequació del projecte de reforma i ampliació de l'àrea de comunicacions i l'edifici d'accés al Centre Educatiu El Segre.</t>
  </si>
  <si>
    <t>Contracte de serveis per a la direcció d'execució de les obres d'adequació del projecte de reforma i ampliació de l'àrea de comunica cions i l'edifici d'accés al Centre Educatiu El Segre.</t>
  </si>
  <si>
    <t>Redacció dels treballs: "Auditoria de seguretat viària. Millora dels elements funcionals existents de la B-23 del PK 0+000 al 7+260. Barcelona-Sant Feliu de Llobregat", Auditoria seg. viària. Millores seguretat C-66 entre pk 50,650 al 51,700 i 52,040....</t>
  </si>
  <si>
    <t>Contracte de serveis per a l'assistència tècnica de Control de Qualitat de les obres de condicionament de les cobertes dels edificis d'infantil, primària i gimnàs i drenatge pati d'infantil de l'escola Campderrós de Vallirana.</t>
  </si>
  <si>
    <t>Contracte de serveis per a l'assistència tècnica de Control de Qualitat de les obres de condicionament de les façanes, de cobertes i espais exteriors del SES Collbató.</t>
  </si>
  <si>
    <t>Contracte de serveis per a l'assistència tècnica de coordinació de seguretat i salut de les obres d'adequació del projecte de reforma i ampliació de l'àrea de comunicacions i l'edifici d'accés al Centre Educatiu El Segre.</t>
  </si>
  <si>
    <t>CSS. PRL-23001</t>
  </si>
  <si>
    <t>Contracte de serveis per a la supervisió de la prevenció de riscos laborals i de la coordinació de seguretat i salut de les obres de la Línia 9 del metro de Barcelona.</t>
  </si>
  <si>
    <t>CSS. MB-15037</t>
  </si>
  <si>
    <t>CQ. MB-15037</t>
  </si>
  <si>
    <t>Contracte de serveis per a l'assistència tècnica de coordinació de seguretat i salut de les obres de la reparació puntual del sosteniment del túnel de la Codina a la C-37 al PK 170+114. La Vall d'en Bas.</t>
  </si>
  <si>
    <t>Contracte de serveis per a l'assistència tècnica de Control de Qualitat de les obres de la reparació puntual del sosteniment del túnel de la Codina a la C-37 al PK 170+114. La Vall d'en Bas.</t>
  </si>
  <si>
    <t>Data darrera actualització: 6 de juny de 2023</t>
  </si>
  <si>
    <t>Última actualització any 2023: 22/06/2023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</si>
</sst>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0.00\ &quot;€&quot;;[Red]\-#,##0.00\ &quot;€&quot;"/>
    <numFmt numFmtId="44" formatCode="_-* #,##0.00\ &quot;€&quot;_-;\-* #,##0.00\ &quot;€&quot;_-;_-* &quot;-&quot;??\ &quot;€&quot;_-;_-@_-"/>
    <numFmt numFmtId="164" formatCode="_-* #,##0.00\ _€_-;\-* #,##0.00\ _€_-;_-* &quot;-&quot;??\ _€_-;_-@_-"/>
    <numFmt numFmtId="165" formatCode="#,##0.00\ &quot;€&quot;"/>
    <numFmt numFmtId="166" formatCode="#,##0.00\ _€"/>
    <numFmt numFmtId="167" formatCode="dd/mm/yyyy;@"/>
  </numFmts>
  <fonts count="26" x14ac:knownFonts="1">
    <font>
      <sz val="10"/>
      <name val="Arial"/>
    </font>
    <font>
      <sz val="10"/>
      <name val="Arial"/>
      <family val="2"/>
    </font>
    <font>
      <sz val="8"/>
      <name val="Arial"/>
      <family val="2"/>
    </font>
    <font>
      <u/>
      <sz val="10"/>
      <name val="Arial"/>
      <family val="2"/>
    </font>
    <font>
      <b/>
      <sz val="10"/>
      <name val="Arial"/>
      <family val="2"/>
    </font>
    <font>
      <b/>
      <u/>
      <sz val="10"/>
      <name val="Arial"/>
      <family val="2"/>
    </font>
    <font>
      <u/>
      <sz val="10"/>
      <color theme="10"/>
      <name val="Arial"/>
      <family val="2"/>
    </font>
    <font>
      <u/>
      <sz val="10"/>
      <color theme="11"/>
      <name val="Arial"/>
      <family val="2"/>
    </font>
    <font>
      <sz val="10"/>
      <color rgb="FF008000"/>
      <name val="Arial"/>
      <family val="2"/>
    </font>
    <font>
      <sz val="10"/>
      <name val="Arial"/>
      <family val="2"/>
    </font>
    <font>
      <u/>
      <sz val="14"/>
      <name val="Arial"/>
      <family val="2"/>
    </font>
    <font>
      <sz val="14"/>
      <name val="Arial"/>
      <family val="2"/>
    </font>
    <font>
      <b/>
      <sz val="14"/>
      <name val="Arial"/>
      <family val="2"/>
    </font>
    <font>
      <sz val="10"/>
      <color indexed="8"/>
      <name val="Arial"/>
      <family val="2"/>
    </font>
    <font>
      <u/>
      <sz val="10"/>
      <color theme="10"/>
      <name val="Arial"/>
      <family val="2"/>
    </font>
    <font>
      <sz val="10"/>
      <name val="Arial"/>
      <family val="2"/>
    </font>
    <font>
      <sz val="11"/>
      <color indexed="8"/>
      <name val="Calibri"/>
      <family val="2"/>
    </font>
    <font>
      <sz val="10"/>
      <color indexed="8"/>
      <name val="Arial"/>
      <family val="2"/>
    </font>
    <font>
      <sz val="11"/>
      <name val="Arial"/>
      <family val="2"/>
    </font>
    <font>
      <u/>
      <sz val="11"/>
      <color theme="1"/>
      <name val="Arial"/>
      <family val="2"/>
    </font>
    <font>
      <sz val="11"/>
      <color rgb="FF000000"/>
      <name val="Arial"/>
      <family val="2"/>
    </font>
    <font>
      <sz val="11"/>
      <color indexed="8"/>
      <name val="Arial"/>
      <family val="2"/>
    </font>
    <font>
      <sz val="10"/>
      <color indexed="8"/>
      <name val="Arial"/>
      <family val="2"/>
    </font>
    <font>
      <sz val="10"/>
      <color indexed="8"/>
      <name val="Arial"/>
      <family val="2"/>
    </font>
    <font>
      <sz val="11"/>
      <color indexed="8"/>
      <name val="Calibri"/>
      <family val="2"/>
    </font>
    <font>
      <sz val="10"/>
      <color indexed="8"/>
      <name val="Arial"/>
      <family val="2"/>
    </font>
  </fonts>
  <fills count="13">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indexed="4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6" tint="0.59999389629810485"/>
        <bgColor indexed="64"/>
      </patternFill>
    </fill>
    <fill>
      <patternFill patternType="solid">
        <fgColor rgb="FFCCFFCC"/>
        <bgColor indexed="64"/>
      </patternFill>
    </fill>
    <fill>
      <patternFill patternType="solid">
        <fgColor rgb="FF99FF66"/>
        <bgColor indexed="64"/>
      </patternFill>
    </fill>
    <fill>
      <patternFill patternType="solid">
        <fgColor rgb="FF92D050"/>
        <bgColor indexed="64"/>
      </patternFill>
    </fill>
    <fill>
      <patternFill patternType="solid">
        <fgColor theme="0"/>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127">
    <xf numFmtId="0" fontId="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4" fontId="9" fillId="0" borderId="0" applyFont="0" applyFill="0" applyBorder="0" applyAlignment="0" applyProtection="0"/>
    <xf numFmtId="164" fontId="9" fillId="0" borderId="0" applyFont="0" applyFill="0" applyBorder="0" applyAlignment="0" applyProtection="0"/>
    <xf numFmtId="0" fontId="13" fillId="0" borderId="0"/>
    <xf numFmtId="0" fontId="14" fillId="0" borderId="0" applyNumberFormat="0" applyFill="0" applyBorder="0" applyAlignment="0" applyProtection="0"/>
    <xf numFmtId="44" fontId="15" fillId="0" borderId="0" applyFont="0" applyFill="0" applyBorder="0" applyAlignment="0" applyProtection="0"/>
    <xf numFmtId="0" fontId="22" fillId="0" borderId="0"/>
    <xf numFmtId="4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xf numFmtId="44" fontId="1" fillId="0" borderId="0" applyFont="0" applyFill="0" applyBorder="0" applyAlignment="0" applyProtection="0"/>
    <xf numFmtId="0" fontId="23" fillId="0" borderId="0"/>
    <xf numFmtId="0" fontId="25" fillId="0" borderId="0"/>
  </cellStyleXfs>
  <cellXfs count="441">
    <xf numFmtId="0" fontId="0" fillId="0" borderId="0" xfId="0"/>
    <xf numFmtId="165" fontId="0" fillId="0" borderId="0" xfId="0" applyNumberFormat="1"/>
    <xf numFmtId="0" fontId="0" fillId="2" borderId="1" xfId="0" applyFill="1" applyBorder="1" applyAlignment="1">
      <alignment horizontal="left"/>
    </xf>
    <xf numFmtId="0" fontId="1" fillId="2" borderId="1" xfId="0" applyFont="1" applyFill="1" applyBorder="1" applyAlignment="1">
      <alignment horizontal="left"/>
    </xf>
    <xf numFmtId="0" fontId="0" fillId="0" borderId="1" xfId="0" applyBorder="1" applyAlignment="1">
      <alignment horizontal="left"/>
    </xf>
    <xf numFmtId="0" fontId="0" fillId="0" borderId="0" xfId="0" applyAlignment="1">
      <alignment horizontal="left"/>
    </xf>
    <xf numFmtId="165" fontId="0" fillId="0" borderId="1" xfId="0" applyNumberFormat="1" applyBorder="1" applyAlignment="1">
      <alignment horizontal="right"/>
    </xf>
    <xf numFmtId="165" fontId="0" fillId="0" borderId="0" xfId="0" applyNumberFormat="1" applyAlignment="1">
      <alignment horizontal="right"/>
    </xf>
    <xf numFmtId="0" fontId="0" fillId="0" borderId="1" xfId="0" applyBorder="1" applyAlignment="1">
      <alignment horizontal="center"/>
    </xf>
    <xf numFmtId="14" fontId="0" fillId="0" borderId="1" xfId="0" applyNumberFormat="1" applyBorder="1" applyAlignment="1">
      <alignment horizontal="center"/>
    </xf>
    <xf numFmtId="0" fontId="0" fillId="0" borderId="0" xfId="0" applyAlignment="1">
      <alignment horizontal="center"/>
    </xf>
    <xf numFmtId="165" fontId="0" fillId="0" borderId="2" xfId="0" applyNumberFormat="1" applyBorder="1" applyAlignment="1">
      <alignment horizontal="right"/>
    </xf>
    <xf numFmtId="14" fontId="0" fillId="0" borderId="3" xfId="0" applyNumberFormat="1" applyBorder="1" applyAlignment="1">
      <alignment horizontal="center"/>
    </xf>
    <xf numFmtId="0" fontId="0" fillId="0" borderId="3" xfId="0" applyBorder="1" applyAlignment="1">
      <alignment horizontal="left"/>
    </xf>
    <xf numFmtId="0" fontId="0" fillId="0" borderId="3" xfId="0" applyBorder="1" applyAlignment="1">
      <alignment horizontal="center"/>
    </xf>
    <xf numFmtId="165" fontId="0" fillId="0" borderId="3" xfId="0" applyNumberFormat="1" applyBorder="1" applyAlignment="1">
      <alignment horizontal="right"/>
    </xf>
    <xf numFmtId="165" fontId="0" fillId="0" borderId="1" xfId="0" applyNumberFormat="1" applyBorder="1"/>
    <xf numFmtId="165" fontId="0" fillId="0" borderId="3" xfId="0" applyNumberFormat="1" applyBorder="1"/>
    <xf numFmtId="4" fontId="0" fillId="0" borderId="4" xfId="0" applyNumberFormat="1" applyBorder="1"/>
    <xf numFmtId="0" fontId="0" fillId="0" borderId="3" xfId="0" applyBorder="1"/>
    <xf numFmtId="0" fontId="0" fillId="0" borderId="1" xfId="0" applyBorder="1"/>
    <xf numFmtId="0" fontId="0" fillId="0" borderId="2"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2" borderId="3" xfId="0" applyFill="1" applyBorder="1" applyAlignment="1">
      <alignment horizontal="left"/>
    </xf>
    <xf numFmtId="0" fontId="1" fillId="2" borderId="3" xfId="0" applyFont="1" applyFill="1" applyBorder="1" applyAlignment="1">
      <alignment horizontal="left"/>
    </xf>
    <xf numFmtId="14" fontId="0" fillId="0" borderId="1" xfId="0" applyNumberFormat="1" applyBorder="1"/>
    <xf numFmtId="165" fontId="4" fillId="0" borderId="12" xfId="0" applyNumberFormat="1" applyFont="1" applyBorder="1"/>
    <xf numFmtId="165" fontId="4" fillId="0" borderId="12" xfId="0" applyNumberFormat="1" applyFont="1" applyBorder="1" applyAlignment="1">
      <alignment horizontal="right"/>
    </xf>
    <xf numFmtId="14" fontId="0" fillId="0" borderId="1" xfId="0" applyNumberFormat="1" applyBorder="1" applyAlignment="1">
      <alignment horizontal="left"/>
    </xf>
    <xf numFmtId="49" fontId="0" fillId="0" borderId="0" xfId="0" applyNumberFormat="1" applyAlignment="1">
      <alignment horizontal="left"/>
    </xf>
    <xf numFmtId="49" fontId="0" fillId="0" borderId="1" xfId="0" applyNumberFormat="1" applyBorder="1" applyAlignment="1">
      <alignment horizontal="left"/>
    </xf>
    <xf numFmtId="0" fontId="0" fillId="2" borderId="1" xfId="0" applyFill="1" applyBorder="1" applyAlignment="1">
      <alignment horizontal="center"/>
    </xf>
    <xf numFmtId="49" fontId="1" fillId="2" borderId="1" xfId="0" applyNumberFormat="1" applyFont="1" applyFill="1" applyBorder="1" applyAlignment="1">
      <alignment horizontal="left"/>
    </xf>
    <xf numFmtId="165" fontId="1" fillId="2" borderId="1" xfId="0" applyNumberFormat="1" applyFont="1" applyFill="1" applyBorder="1" applyAlignment="1">
      <alignment horizontal="left"/>
    </xf>
    <xf numFmtId="2" fontId="0" fillId="0" borderId="1" xfId="0" applyNumberFormat="1" applyBorder="1" applyAlignment="1">
      <alignment horizontal="left"/>
    </xf>
    <xf numFmtId="0" fontId="0" fillId="0" borderId="1" xfId="0" applyBorder="1" applyAlignment="1">
      <alignment horizontal="right"/>
    </xf>
    <xf numFmtId="0" fontId="0" fillId="3" borderId="1" xfId="0" applyFill="1" applyBorder="1" applyAlignment="1">
      <alignment horizontal="center"/>
    </xf>
    <xf numFmtId="14" fontId="0" fillId="3" borderId="1" xfId="0" applyNumberFormat="1" applyFill="1" applyBorder="1" applyAlignment="1">
      <alignment horizontal="center"/>
    </xf>
    <xf numFmtId="165" fontId="0" fillId="3" borderId="1" xfId="0" applyNumberFormat="1" applyFill="1" applyBorder="1" applyAlignment="1">
      <alignment horizontal="right"/>
    </xf>
    <xf numFmtId="165" fontId="0" fillId="3" borderId="3" xfId="0" applyNumberFormat="1" applyFill="1" applyBorder="1" applyAlignment="1">
      <alignment horizontal="right"/>
    </xf>
    <xf numFmtId="14" fontId="0" fillId="3" borderId="1" xfId="0" applyNumberFormat="1" applyFill="1" applyBorder="1" applyAlignment="1">
      <alignment horizontal="left"/>
    </xf>
    <xf numFmtId="14" fontId="0" fillId="4" borderId="1" xfId="0" applyNumberFormat="1" applyFill="1" applyBorder="1" applyAlignment="1">
      <alignment horizontal="center"/>
    </xf>
    <xf numFmtId="14" fontId="0" fillId="4" borderId="1" xfId="0" applyNumberFormat="1" applyFill="1" applyBorder="1" applyAlignment="1">
      <alignment horizontal="left"/>
    </xf>
    <xf numFmtId="165" fontId="0" fillId="4" borderId="1" xfId="0" applyNumberFormat="1" applyFill="1" applyBorder="1" applyAlignment="1">
      <alignment horizontal="right"/>
    </xf>
    <xf numFmtId="165" fontId="0" fillId="4" borderId="3" xfId="0" applyNumberFormat="1" applyFill="1" applyBorder="1"/>
    <xf numFmtId="0" fontId="0" fillId="4" borderId="1" xfId="0" applyFill="1" applyBorder="1" applyAlignment="1">
      <alignment horizontal="left"/>
    </xf>
    <xf numFmtId="165" fontId="0" fillId="4" borderId="3" xfId="0" applyNumberFormat="1" applyFill="1" applyBorder="1" applyAlignment="1">
      <alignment horizontal="right"/>
    </xf>
    <xf numFmtId="49" fontId="0" fillId="4" borderId="1" xfId="0" applyNumberFormat="1" applyFill="1" applyBorder="1" applyAlignment="1">
      <alignment horizontal="left"/>
    </xf>
    <xf numFmtId="2" fontId="0" fillId="4" borderId="1" xfId="0" applyNumberFormat="1" applyFill="1" applyBorder="1" applyAlignment="1">
      <alignment horizontal="left"/>
    </xf>
    <xf numFmtId="14" fontId="0" fillId="4" borderId="1" xfId="0" applyNumberFormat="1" applyFill="1" applyBorder="1"/>
    <xf numFmtId="14" fontId="0" fillId="0" borderId="3" xfId="0" applyNumberFormat="1" applyBorder="1" applyAlignment="1">
      <alignment horizontal="left"/>
    </xf>
    <xf numFmtId="49" fontId="0" fillId="3" borderId="1" xfId="0" applyNumberFormat="1" applyFill="1" applyBorder="1" applyAlignment="1">
      <alignment horizontal="left"/>
    </xf>
    <xf numFmtId="2" fontId="0" fillId="3" borderId="1" xfId="0" applyNumberFormat="1" applyFill="1" applyBorder="1" applyAlignment="1">
      <alignment horizontal="left"/>
    </xf>
    <xf numFmtId="3" fontId="0" fillId="0" borderId="1" xfId="0" applyNumberFormat="1" applyBorder="1" applyAlignment="1">
      <alignment horizontal="right"/>
    </xf>
    <xf numFmtId="3" fontId="0" fillId="0" borderId="1" xfId="0" applyNumberFormat="1" applyBorder="1"/>
    <xf numFmtId="0" fontId="4" fillId="0" borderId="1" xfId="0" applyFont="1" applyBorder="1" applyAlignment="1">
      <alignment horizontal="right"/>
    </xf>
    <xf numFmtId="165" fontId="4" fillId="0" borderId="1" xfId="0" applyNumberFormat="1" applyFont="1" applyBorder="1" applyAlignment="1">
      <alignment horizontal="right"/>
    </xf>
    <xf numFmtId="14" fontId="0" fillId="0" borderId="1" xfId="0" applyNumberFormat="1" applyBorder="1" applyAlignment="1">
      <alignment horizontal="left" vertical="top"/>
    </xf>
    <xf numFmtId="14" fontId="0" fillId="6" borderId="1" xfId="0" applyNumberFormat="1" applyFill="1" applyBorder="1" applyAlignment="1">
      <alignment horizontal="center"/>
    </xf>
    <xf numFmtId="14" fontId="0" fillId="6" borderId="1" xfId="0" applyNumberFormat="1" applyFill="1" applyBorder="1" applyAlignment="1">
      <alignment horizontal="left"/>
    </xf>
    <xf numFmtId="165" fontId="0" fillId="6" borderId="1" xfId="0" applyNumberFormat="1" applyFill="1" applyBorder="1" applyAlignment="1">
      <alignment horizontal="right"/>
    </xf>
    <xf numFmtId="0" fontId="1" fillId="0" borderId="1" xfId="0" applyFont="1" applyBorder="1"/>
    <xf numFmtId="14" fontId="0" fillId="8" borderId="1" xfId="0" applyNumberFormat="1" applyFill="1" applyBorder="1" applyAlignment="1">
      <alignment horizontal="center"/>
    </xf>
    <xf numFmtId="165" fontId="0" fillId="8" borderId="1" xfId="0" applyNumberFormat="1" applyFill="1" applyBorder="1" applyAlignment="1">
      <alignment horizontal="right"/>
    </xf>
    <xf numFmtId="14" fontId="0" fillId="8" borderId="1" xfId="0" applyNumberFormat="1" applyFill="1" applyBorder="1" applyAlignment="1">
      <alignment horizontal="left"/>
    </xf>
    <xf numFmtId="0" fontId="5" fillId="5" borderId="0" xfId="0" applyFont="1" applyFill="1" applyAlignment="1">
      <alignment vertical="center"/>
    </xf>
    <xf numFmtId="14" fontId="0" fillId="9" borderId="1" xfId="0" applyNumberFormat="1" applyFill="1" applyBorder="1" applyAlignment="1">
      <alignment horizontal="center"/>
    </xf>
    <xf numFmtId="14" fontId="0" fillId="9" borderId="1" xfId="0" applyNumberFormat="1" applyFill="1" applyBorder="1" applyAlignment="1">
      <alignment horizontal="left"/>
    </xf>
    <xf numFmtId="165" fontId="0" fillId="9" borderId="1" xfId="0" applyNumberFormat="1" applyFill="1" applyBorder="1" applyAlignment="1">
      <alignment horizontal="right"/>
    </xf>
    <xf numFmtId="0" fontId="0" fillId="9" borderId="1" xfId="0" applyFill="1" applyBorder="1" applyAlignment="1">
      <alignment horizontal="right"/>
    </xf>
    <xf numFmtId="3" fontId="8" fillId="0" borderId="0" xfId="0" applyNumberFormat="1" applyFont="1"/>
    <xf numFmtId="4" fontId="0" fillId="0" borderId="1" xfId="0" applyNumberFormat="1" applyBorder="1"/>
    <xf numFmtId="14" fontId="1" fillId="0" borderId="1" xfId="0" applyNumberFormat="1" applyFont="1" applyBorder="1" applyAlignment="1">
      <alignment horizontal="left"/>
    </xf>
    <xf numFmtId="44" fontId="0" fillId="0" borderId="1" xfId="115" applyFont="1" applyFill="1" applyBorder="1" applyAlignment="1">
      <alignment horizontal="center"/>
    </xf>
    <xf numFmtId="14" fontId="0" fillId="0" borderId="0" xfId="0" applyNumberFormat="1" applyAlignment="1">
      <alignment horizontal="center"/>
    </xf>
    <xf numFmtId="44" fontId="4" fillId="0" borderId="12" xfId="0" applyNumberFormat="1" applyFont="1" applyBorder="1"/>
    <xf numFmtId="14" fontId="0" fillId="0" borderId="0" xfId="0" applyNumberFormat="1" applyAlignment="1">
      <alignment horizontal="left"/>
    </xf>
    <xf numFmtId="4" fontId="0" fillId="0" borderId="0" xfId="0" applyNumberFormat="1"/>
    <xf numFmtId="0" fontId="1" fillId="0" borderId="0" xfId="0" applyFont="1"/>
    <xf numFmtId="0" fontId="1" fillId="0" borderId="1" xfId="0" applyFont="1" applyBorder="1" applyAlignment="1">
      <alignment horizontal="center"/>
    </xf>
    <xf numFmtId="14" fontId="1" fillId="0" borderId="1" xfId="0" applyNumberFormat="1" applyFont="1" applyBorder="1" applyAlignment="1">
      <alignment horizontal="center"/>
    </xf>
    <xf numFmtId="165" fontId="1" fillId="0" borderId="1" xfId="0" applyNumberFormat="1" applyFont="1" applyBorder="1" applyAlignment="1">
      <alignment horizontal="right"/>
    </xf>
    <xf numFmtId="165" fontId="1" fillId="0" borderId="0" xfId="0" applyNumberFormat="1" applyFont="1"/>
    <xf numFmtId="44" fontId="1" fillId="0" borderId="1" xfId="115" applyFont="1" applyFill="1" applyBorder="1" applyAlignment="1">
      <alignment horizontal="center"/>
    </xf>
    <xf numFmtId="44" fontId="1" fillId="0" borderId="0" xfId="0" applyNumberFormat="1" applyFont="1"/>
    <xf numFmtId="44" fontId="1" fillId="0" borderId="1" xfId="0" applyNumberFormat="1" applyFont="1" applyBorder="1" applyAlignment="1">
      <alignment horizontal="center"/>
    </xf>
    <xf numFmtId="44" fontId="0" fillId="0" borderId="1" xfId="0" applyNumberFormat="1" applyBorder="1"/>
    <xf numFmtId="44" fontId="4" fillId="0" borderId="5" xfId="0" applyNumberFormat="1" applyFont="1" applyBorder="1"/>
    <xf numFmtId="0" fontId="0" fillId="0" borderId="16" xfId="0" applyBorder="1" applyAlignment="1">
      <alignment horizontal="center"/>
    </xf>
    <xf numFmtId="14" fontId="0" fillId="0" borderId="16" xfId="0" applyNumberFormat="1" applyBorder="1" applyAlignment="1">
      <alignment horizontal="center"/>
    </xf>
    <xf numFmtId="14" fontId="1" fillId="0" borderId="16" xfId="0" applyNumberFormat="1" applyFont="1" applyBorder="1" applyAlignment="1">
      <alignment horizontal="left"/>
    </xf>
    <xf numFmtId="0" fontId="0" fillId="0" borderId="16" xfId="0" applyBorder="1"/>
    <xf numFmtId="4" fontId="0" fillId="0" borderId="16" xfId="0" applyNumberFormat="1" applyBorder="1"/>
    <xf numFmtId="4" fontId="0" fillId="0" borderId="16" xfId="0" applyNumberFormat="1" applyBorder="1" applyAlignment="1">
      <alignment horizontal="right"/>
    </xf>
    <xf numFmtId="14" fontId="0" fillId="0" borderId="16" xfId="0" applyNumberFormat="1" applyBorder="1"/>
    <xf numFmtId="14" fontId="1" fillId="0" borderId="16" xfId="0" applyNumberFormat="1" applyFont="1" applyBorder="1" applyAlignment="1">
      <alignment horizontal="center"/>
    </xf>
    <xf numFmtId="165" fontId="0" fillId="0" borderId="16" xfId="0" applyNumberFormat="1" applyBorder="1" applyAlignment="1">
      <alignment horizontal="right"/>
    </xf>
    <xf numFmtId="165" fontId="0" fillId="0" borderId="16" xfId="0" applyNumberFormat="1" applyBorder="1"/>
    <xf numFmtId="3" fontId="0" fillId="0" borderId="16" xfId="0" applyNumberFormat="1" applyBorder="1"/>
    <xf numFmtId="14" fontId="1" fillId="0" borderId="1" xfId="0" applyNumberFormat="1" applyFont="1" applyBorder="1"/>
    <xf numFmtId="44" fontId="0" fillId="0" borderId="1" xfId="115" applyFont="1" applyFill="1" applyBorder="1" applyAlignment="1">
      <alignment horizontal="right"/>
    </xf>
    <xf numFmtId="0" fontId="4" fillId="0" borderId="16" xfId="0" applyFont="1" applyBorder="1"/>
    <xf numFmtId="165" fontId="4" fillId="0" borderId="16" xfId="0" applyNumberFormat="1" applyFont="1" applyBorder="1"/>
    <xf numFmtId="0" fontId="0" fillId="0" borderId="16" xfId="0" applyBorder="1" applyAlignment="1">
      <alignment horizontal="center" vertical="center"/>
    </xf>
    <xf numFmtId="14" fontId="0" fillId="0" borderId="16" xfId="0" applyNumberFormat="1" applyBorder="1" applyAlignment="1">
      <alignment horizontal="center" vertical="center"/>
    </xf>
    <xf numFmtId="165" fontId="4" fillId="0" borderId="5" xfId="0" applyNumberFormat="1" applyFont="1" applyBorder="1" applyAlignment="1">
      <alignment horizontal="right"/>
    </xf>
    <xf numFmtId="14" fontId="1" fillId="0" borderId="16" xfId="0" applyNumberFormat="1" applyFont="1" applyBorder="1"/>
    <xf numFmtId="165" fontId="1" fillId="0" borderId="16" xfId="0" applyNumberFormat="1" applyFont="1" applyBorder="1" applyAlignment="1">
      <alignment horizontal="right"/>
    </xf>
    <xf numFmtId="0" fontId="0" fillId="0" borderId="17" xfId="0" applyBorder="1" applyAlignment="1">
      <alignment horizontal="center"/>
    </xf>
    <xf numFmtId="0" fontId="0" fillId="0" borderId="17" xfId="0" applyBorder="1"/>
    <xf numFmtId="4" fontId="0" fillId="0" borderId="17" xfId="0" applyNumberFormat="1" applyBorder="1"/>
    <xf numFmtId="165" fontId="0" fillId="0" borderId="17" xfId="0" applyNumberFormat="1" applyBorder="1"/>
    <xf numFmtId="4" fontId="0" fillId="0" borderId="2" xfId="0" applyNumberFormat="1" applyBorder="1"/>
    <xf numFmtId="0" fontId="0" fillId="0" borderId="18" xfId="0" applyBorder="1"/>
    <xf numFmtId="14" fontId="1" fillId="0" borderId="18" xfId="0" applyNumberFormat="1" applyFont="1" applyBorder="1" applyAlignment="1">
      <alignment horizontal="left"/>
    </xf>
    <xf numFmtId="4" fontId="0" fillId="0" borderId="18" xfId="0" applyNumberFormat="1" applyBorder="1"/>
    <xf numFmtId="165" fontId="0" fillId="0" borderId="18" xfId="0" applyNumberFormat="1" applyBorder="1" applyAlignment="1">
      <alignment horizontal="right"/>
    </xf>
    <xf numFmtId="0" fontId="1" fillId="2" borderId="1" xfId="0" applyFont="1" applyFill="1" applyBorder="1"/>
    <xf numFmtId="0" fontId="0" fillId="2" borderId="1" xfId="0" applyFill="1" applyBorder="1"/>
    <xf numFmtId="0" fontId="0" fillId="0" borderId="18" xfId="0" applyBorder="1" applyAlignment="1">
      <alignment horizontal="center"/>
    </xf>
    <xf numFmtId="165" fontId="0" fillId="0" borderId="5" xfId="0" applyNumberFormat="1" applyBorder="1"/>
    <xf numFmtId="14" fontId="1" fillId="0" borderId="18" xfId="0" applyNumberFormat="1" applyFont="1" applyBorder="1"/>
    <xf numFmtId="14" fontId="1" fillId="0" borderId="18" xfId="0" applyNumberFormat="1" applyFont="1" applyBorder="1" applyAlignment="1">
      <alignment horizontal="center"/>
    </xf>
    <xf numFmtId="4" fontId="1" fillId="0" borderId="16" xfId="0" applyNumberFormat="1" applyFont="1" applyBorder="1" applyAlignment="1">
      <alignment horizontal="right"/>
    </xf>
    <xf numFmtId="165" fontId="0" fillId="0" borderId="18" xfId="0" applyNumberFormat="1" applyBorder="1"/>
    <xf numFmtId="3" fontId="4" fillId="0" borderId="1" xfId="0" applyNumberFormat="1" applyFont="1" applyBorder="1" applyAlignment="1">
      <alignment horizontal="right"/>
    </xf>
    <xf numFmtId="0" fontId="11" fillId="0" borderId="0" xfId="0" applyFont="1"/>
    <xf numFmtId="0" fontId="11" fillId="0" borderId="0" xfId="0" applyFont="1" applyAlignment="1">
      <alignment horizontal="center"/>
    </xf>
    <xf numFmtId="0" fontId="12" fillId="0" borderId="1" xfId="0" applyFont="1" applyBorder="1" applyAlignment="1">
      <alignment horizontal="center"/>
    </xf>
    <xf numFmtId="0" fontId="11" fillId="0" borderId="3" xfId="0" applyFont="1" applyBorder="1"/>
    <xf numFmtId="0" fontId="11" fillId="0" borderId="1" xfId="0" applyFont="1" applyBorder="1"/>
    <xf numFmtId="165" fontId="11" fillId="0" borderId="1" xfId="0" applyNumberFormat="1" applyFont="1" applyBorder="1"/>
    <xf numFmtId="0" fontId="11" fillId="0" borderId="1" xfId="0" applyFont="1" applyBorder="1" applyAlignment="1">
      <alignment horizontal="right"/>
    </xf>
    <xf numFmtId="165" fontId="11" fillId="0" borderId="1" xfId="0" applyNumberFormat="1" applyFont="1" applyBorder="1" applyAlignment="1">
      <alignment horizontal="right"/>
    </xf>
    <xf numFmtId="0" fontId="11" fillId="0" borderId="5" xfId="0" applyFont="1" applyBorder="1" applyAlignment="1">
      <alignment horizontal="right"/>
    </xf>
    <xf numFmtId="0" fontId="11" fillId="0" borderId="2" xfId="0" applyFont="1" applyBorder="1"/>
    <xf numFmtId="0" fontId="11" fillId="0" borderId="5" xfId="0" applyFont="1" applyBorder="1"/>
    <xf numFmtId="0" fontId="11" fillId="0" borderId="6" xfId="0" applyFont="1" applyBorder="1"/>
    <xf numFmtId="0" fontId="11" fillId="0" borderId="7" xfId="0" applyFont="1" applyBorder="1"/>
    <xf numFmtId="0" fontId="11" fillId="0" borderId="8" xfId="0" applyFont="1" applyBorder="1"/>
    <xf numFmtId="0" fontId="11" fillId="0" borderId="9" xfId="0" applyFont="1" applyBorder="1"/>
    <xf numFmtId="0" fontId="11" fillId="0" borderId="10" xfId="0" applyFont="1" applyBorder="1"/>
    <xf numFmtId="0" fontId="11" fillId="0" borderId="11" xfId="0" applyFont="1" applyBorder="1"/>
    <xf numFmtId="8" fontId="11" fillId="0" borderId="0" xfId="0" applyNumberFormat="1" applyFont="1"/>
    <xf numFmtId="164" fontId="11" fillId="0" borderId="0" xfId="116" applyFont="1"/>
    <xf numFmtId="165" fontId="11" fillId="0" borderId="3" xfId="0" applyNumberFormat="1" applyFont="1" applyBorder="1" applyAlignment="1">
      <alignment horizontal="right"/>
    </xf>
    <xf numFmtId="165" fontId="11" fillId="0" borderId="16" xfId="0" applyNumberFormat="1" applyFont="1" applyBorder="1" applyAlignment="1">
      <alignment vertical="center"/>
    </xf>
    <xf numFmtId="165" fontId="11" fillId="0" borderId="5" xfId="0" applyNumberFormat="1" applyFont="1" applyBorder="1" applyAlignment="1">
      <alignment horizontal="right"/>
    </xf>
    <xf numFmtId="0" fontId="11" fillId="0" borderId="18" xfId="0" applyFont="1" applyBorder="1"/>
    <xf numFmtId="165" fontId="11" fillId="0" borderId="0" xfId="0" applyNumberFormat="1" applyFont="1"/>
    <xf numFmtId="49" fontId="1" fillId="2" borderId="1" xfId="0" applyNumberFormat="1" applyFont="1" applyFill="1" applyBorder="1"/>
    <xf numFmtId="166" fontId="1" fillId="0" borderId="16" xfId="0" applyNumberFormat="1" applyFont="1" applyBorder="1"/>
    <xf numFmtId="3" fontId="1" fillId="0" borderId="1" xfId="0" applyNumberFormat="1" applyFont="1" applyBorder="1" applyAlignment="1">
      <alignment horizontal="right"/>
    </xf>
    <xf numFmtId="0" fontId="0" fillId="0" borderId="19" xfId="0" applyBorder="1"/>
    <xf numFmtId="165" fontId="1" fillId="0" borderId="1" xfId="0" applyNumberFormat="1" applyFont="1" applyBorder="1"/>
    <xf numFmtId="3" fontId="0" fillId="0" borderId="19" xfId="0" applyNumberFormat="1" applyBorder="1" applyAlignment="1">
      <alignment horizontal="right"/>
    </xf>
    <xf numFmtId="165" fontId="0" fillId="0" borderId="19" xfId="0" applyNumberFormat="1" applyBorder="1"/>
    <xf numFmtId="0" fontId="0" fillId="0" borderId="20" xfId="0" applyBorder="1"/>
    <xf numFmtId="3" fontId="11" fillId="0" borderId="1" xfId="0" applyNumberFormat="1" applyFont="1" applyBorder="1" applyAlignment="1">
      <alignment horizontal="right"/>
    </xf>
    <xf numFmtId="3" fontId="11" fillId="0" borderId="18" xfId="0" applyNumberFormat="1" applyFont="1" applyBorder="1"/>
    <xf numFmtId="0" fontId="11" fillId="0" borderId="20" xfId="0" applyFont="1" applyBorder="1"/>
    <xf numFmtId="0" fontId="11" fillId="0" borderId="20" xfId="0" applyFont="1" applyBorder="1" applyAlignment="1">
      <alignment horizontal="right"/>
    </xf>
    <xf numFmtId="165" fontId="11" fillId="0" borderId="5" xfId="0" applyNumberFormat="1" applyFont="1" applyBorder="1" applyAlignment="1">
      <alignment vertical="center"/>
    </xf>
    <xf numFmtId="165" fontId="11" fillId="0" borderId="20" xfId="0" applyNumberFormat="1" applyFont="1" applyBorder="1"/>
    <xf numFmtId="3" fontId="11" fillId="0" borderId="20" xfId="0" applyNumberFormat="1" applyFont="1" applyBorder="1" applyAlignment="1">
      <alignment horizontal="right"/>
    </xf>
    <xf numFmtId="0" fontId="0" fillId="0" borderId="21" xfId="0" applyBorder="1" applyAlignment="1">
      <alignment horizontal="center"/>
    </xf>
    <xf numFmtId="3" fontId="11" fillId="0" borderId="1" xfId="0" applyNumberFormat="1" applyFont="1" applyBorder="1"/>
    <xf numFmtId="165" fontId="1" fillId="0" borderId="21" xfId="0" applyNumberFormat="1" applyFont="1" applyBorder="1"/>
    <xf numFmtId="165" fontId="1" fillId="0" borderId="19" xfId="0" applyNumberFormat="1" applyFont="1" applyBorder="1"/>
    <xf numFmtId="4" fontId="16" fillId="0" borderId="23" xfId="0" applyNumberFormat="1" applyFont="1" applyBorder="1" applyAlignment="1">
      <alignment horizontal="right" wrapText="1"/>
    </xf>
    <xf numFmtId="4" fontId="16" fillId="6" borderId="23" xfId="0" applyNumberFormat="1" applyFont="1" applyFill="1" applyBorder="1" applyAlignment="1">
      <alignment horizontal="right" wrapText="1"/>
    </xf>
    <xf numFmtId="4" fontId="17" fillId="0" borderId="22" xfId="0" applyNumberFormat="1" applyFont="1" applyBorder="1" applyAlignment="1">
      <alignment horizontal="right" wrapText="1"/>
    </xf>
    <xf numFmtId="0" fontId="18" fillId="0" borderId="0" xfId="0" applyFont="1"/>
    <xf numFmtId="0" fontId="18" fillId="2" borderId="1" xfId="0" applyFont="1" applyFill="1" applyBorder="1" applyAlignment="1">
      <alignment horizontal="left"/>
    </xf>
    <xf numFmtId="0" fontId="18" fillId="2" borderId="21" xfId="0" applyFont="1" applyFill="1" applyBorder="1" applyAlignment="1">
      <alignment horizontal="left"/>
    </xf>
    <xf numFmtId="0" fontId="18" fillId="0" borderId="1" xfId="0" applyFont="1" applyBorder="1" applyAlignment="1">
      <alignment horizontal="center"/>
    </xf>
    <xf numFmtId="14" fontId="18" fillId="0" borderId="1" xfId="0" applyNumberFormat="1" applyFont="1" applyBorder="1" applyAlignment="1">
      <alignment horizontal="center"/>
    </xf>
    <xf numFmtId="0" fontId="18" fillId="0" borderId="1" xfId="0" applyFont="1" applyBorder="1" applyAlignment="1">
      <alignment horizontal="left"/>
    </xf>
    <xf numFmtId="14" fontId="18" fillId="4" borderId="1" xfId="0" applyNumberFormat="1" applyFont="1" applyFill="1" applyBorder="1" applyAlignment="1">
      <alignment horizontal="center"/>
    </xf>
    <xf numFmtId="0" fontId="18" fillId="4" borderId="1" xfId="0" applyFont="1" applyFill="1" applyBorder="1" applyAlignment="1">
      <alignment horizontal="left"/>
    </xf>
    <xf numFmtId="14" fontId="18" fillId="0" borderId="3" xfId="0" applyNumberFormat="1" applyFont="1" applyBorder="1" applyAlignment="1">
      <alignment horizontal="center"/>
    </xf>
    <xf numFmtId="0" fontId="18" fillId="0" borderId="3" xfId="0" applyFont="1" applyBorder="1" applyAlignment="1">
      <alignment horizontal="left"/>
    </xf>
    <xf numFmtId="0" fontId="18" fillId="0" borderId="3" xfId="0" applyFont="1" applyBorder="1" applyAlignment="1">
      <alignment horizontal="center"/>
    </xf>
    <xf numFmtId="0" fontId="18" fillId="3" borderId="1" xfId="0" applyFont="1" applyFill="1" applyBorder="1" applyAlignment="1">
      <alignment horizontal="center"/>
    </xf>
    <xf numFmtId="14" fontId="18" fillId="3" borderId="1" xfId="0" applyNumberFormat="1" applyFont="1" applyFill="1" applyBorder="1" applyAlignment="1">
      <alignment horizontal="center"/>
    </xf>
    <xf numFmtId="0" fontId="18" fillId="3" borderId="1" xfId="0" applyFont="1" applyFill="1" applyBorder="1" applyAlignment="1">
      <alignment horizontal="left"/>
    </xf>
    <xf numFmtId="14" fontId="18" fillId="3" borderId="3" xfId="0" applyNumberFormat="1" applyFont="1" applyFill="1" applyBorder="1" applyAlignment="1">
      <alignment horizontal="center"/>
    </xf>
    <xf numFmtId="0" fontId="18" fillId="3" borderId="3" xfId="0" applyFont="1" applyFill="1" applyBorder="1" applyAlignment="1">
      <alignment horizontal="left"/>
    </xf>
    <xf numFmtId="14" fontId="18" fillId="4" borderId="3" xfId="0" applyNumberFormat="1" applyFont="1" applyFill="1" applyBorder="1" applyAlignment="1">
      <alignment horizontal="center"/>
    </xf>
    <xf numFmtId="0" fontId="18" fillId="4" borderId="3" xfId="0" applyFont="1" applyFill="1" applyBorder="1" applyAlignment="1">
      <alignment horizontal="left"/>
    </xf>
    <xf numFmtId="0" fontId="18" fillId="0" borderId="3" xfId="0" applyFont="1" applyBorder="1"/>
    <xf numFmtId="2" fontId="18" fillId="4" borderId="3" xfId="0" applyNumberFormat="1" applyFont="1" applyFill="1" applyBorder="1" applyAlignment="1">
      <alignment horizontal="left"/>
    </xf>
    <xf numFmtId="49" fontId="18" fillId="0" borderId="1" xfId="0" applyNumberFormat="1" applyFont="1" applyBorder="1" applyAlignment="1">
      <alignment horizontal="left"/>
    </xf>
    <xf numFmtId="49" fontId="18" fillId="0" borderId="3" xfId="0" applyNumberFormat="1" applyFont="1" applyBorder="1" applyAlignment="1">
      <alignment horizontal="left"/>
    </xf>
    <xf numFmtId="4" fontId="18" fillId="4" borderId="1" xfId="0" applyNumberFormat="1" applyFont="1" applyFill="1" applyBorder="1"/>
    <xf numFmtId="14" fontId="18" fillId="0" borderId="1" xfId="0" applyNumberFormat="1" applyFont="1" applyBorder="1" applyAlignment="1">
      <alignment horizontal="left"/>
    </xf>
    <xf numFmtId="14" fontId="18" fillId="7" borderId="1" xfId="0" applyNumberFormat="1" applyFont="1" applyFill="1" applyBorder="1" applyAlignment="1">
      <alignment horizontal="center"/>
    </xf>
    <xf numFmtId="0" fontId="18" fillId="7" borderId="1" xfId="0" applyFont="1" applyFill="1" applyBorder="1" applyAlignment="1">
      <alignment horizontal="left"/>
    </xf>
    <xf numFmtId="4" fontId="18" fillId="7" borderId="3" xfId="0" applyNumberFormat="1" applyFont="1" applyFill="1" applyBorder="1"/>
    <xf numFmtId="0" fontId="18" fillId="4" borderId="3" xfId="0" applyFont="1" applyFill="1" applyBorder="1"/>
    <xf numFmtId="0" fontId="18" fillId="0" borderId="1" xfId="0" applyFont="1" applyBorder="1"/>
    <xf numFmtId="0" fontId="18" fillId="3" borderId="1" xfId="0" applyFont="1" applyFill="1" applyBorder="1"/>
    <xf numFmtId="14" fontId="18" fillId="6" borderId="1" xfId="0" applyNumberFormat="1" applyFont="1" applyFill="1" applyBorder="1" applyAlignment="1">
      <alignment horizontal="center"/>
    </xf>
    <xf numFmtId="0" fontId="18" fillId="6" borderId="1" xfId="0" applyFont="1" applyFill="1" applyBorder="1" applyAlignment="1">
      <alignment horizontal="left"/>
    </xf>
    <xf numFmtId="0" fontId="18" fillId="6" borderId="1" xfId="0" applyFont="1" applyFill="1" applyBorder="1"/>
    <xf numFmtId="14" fontId="18" fillId="6" borderId="3" xfId="0" applyNumberFormat="1" applyFont="1" applyFill="1" applyBorder="1" applyAlignment="1">
      <alignment horizontal="center"/>
    </xf>
    <xf numFmtId="0" fontId="18" fillId="6" borderId="3" xfId="0" applyFont="1" applyFill="1" applyBorder="1" applyAlignment="1">
      <alignment horizontal="left"/>
    </xf>
    <xf numFmtId="0" fontId="18" fillId="6" borderId="3" xfId="0" applyFont="1" applyFill="1" applyBorder="1"/>
    <xf numFmtId="0" fontId="18" fillId="0" borderId="1" xfId="0" applyFont="1" applyBorder="1" applyAlignment="1">
      <alignment horizontal="left" wrapText="1"/>
    </xf>
    <xf numFmtId="0" fontId="18" fillId="0" borderId="3" xfId="0" applyFont="1" applyBorder="1" applyAlignment="1">
      <alignment wrapText="1"/>
    </xf>
    <xf numFmtId="14" fontId="18" fillId="7" borderId="3" xfId="0" applyNumberFormat="1" applyFont="1" applyFill="1" applyBorder="1" applyAlignment="1">
      <alignment horizontal="center"/>
    </xf>
    <xf numFmtId="0" fontId="18" fillId="7" borderId="3" xfId="0" applyFont="1" applyFill="1" applyBorder="1"/>
    <xf numFmtId="0" fontId="18" fillId="7" borderId="8" xfId="0" applyFont="1" applyFill="1" applyBorder="1"/>
    <xf numFmtId="14" fontId="18" fillId="8" borderId="1" xfId="0" applyNumberFormat="1" applyFont="1" applyFill="1" applyBorder="1" applyAlignment="1">
      <alignment horizontal="center"/>
    </xf>
    <xf numFmtId="14" fontId="18" fillId="9" borderId="1" xfId="0" applyNumberFormat="1" applyFont="1" applyFill="1" applyBorder="1" applyAlignment="1">
      <alignment horizontal="center"/>
    </xf>
    <xf numFmtId="0" fontId="18" fillId="9" borderId="1" xfId="0" applyFont="1" applyFill="1" applyBorder="1"/>
    <xf numFmtId="14" fontId="18" fillId="0" borderId="0" xfId="0" applyNumberFormat="1" applyFont="1" applyAlignment="1">
      <alignment horizontal="center"/>
    </xf>
    <xf numFmtId="14" fontId="18" fillId="0" borderId="0" xfId="0" applyNumberFormat="1" applyFont="1" applyAlignment="1">
      <alignment horizontal="left"/>
    </xf>
    <xf numFmtId="4" fontId="18" fillId="0" borderId="0" xfId="0" applyNumberFormat="1" applyFont="1"/>
    <xf numFmtId="0" fontId="18" fillId="0" borderId="19" xfId="0" applyFont="1" applyBorder="1" applyAlignment="1">
      <alignment horizontal="center"/>
    </xf>
    <xf numFmtId="14" fontId="18" fillId="0" borderId="19" xfId="0" applyNumberFormat="1" applyFont="1" applyBorder="1" applyAlignment="1">
      <alignment horizontal="center"/>
    </xf>
    <xf numFmtId="14" fontId="18" fillId="0" borderId="19" xfId="0" applyNumberFormat="1" applyFont="1" applyBorder="1" applyAlignment="1">
      <alignment horizontal="left"/>
    </xf>
    <xf numFmtId="14" fontId="18" fillId="10" borderId="1" xfId="0" applyNumberFormat="1" applyFont="1" applyFill="1" applyBorder="1" applyAlignment="1">
      <alignment horizontal="center"/>
    </xf>
    <xf numFmtId="14" fontId="18" fillId="10" borderId="1" xfId="0" applyNumberFormat="1" applyFont="1" applyFill="1" applyBorder="1" applyAlignment="1">
      <alignment horizontal="left"/>
    </xf>
    <xf numFmtId="4" fontId="18" fillId="0" borderId="1" xfId="0" applyNumberFormat="1" applyFont="1" applyBorder="1"/>
    <xf numFmtId="14" fontId="18" fillId="0" borderId="1" xfId="0" applyNumberFormat="1" applyFont="1" applyBorder="1"/>
    <xf numFmtId="14" fontId="18" fillId="0" borderId="16" xfId="0" applyNumberFormat="1" applyFont="1" applyBorder="1" applyAlignment="1">
      <alignment horizontal="center"/>
    </xf>
    <xf numFmtId="14" fontId="18" fillId="0" borderId="16" xfId="0" applyNumberFormat="1" applyFont="1" applyBorder="1" applyAlignment="1">
      <alignment horizontal="left"/>
    </xf>
    <xf numFmtId="0" fontId="18" fillId="0" borderId="16" xfId="0" applyFont="1" applyBorder="1"/>
    <xf numFmtId="4" fontId="18" fillId="0" borderId="16" xfId="0" applyNumberFormat="1" applyFont="1" applyBorder="1"/>
    <xf numFmtId="4" fontId="18" fillId="0" borderId="16" xfId="0" applyNumberFormat="1" applyFont="1" applyBorder="1" applyAlignment="1">
      <alignment horizontal="right"/>
    </xf>
    <xf numFmtId="14" fontId="18" fillId="0" borderId="17" xfId="0" applyNumberFormat="1" applyFont="1" applyBorder="1" applyAlignment="1">
      <alignment horizontal="center"/>
    </xf>
    <xf numFmtId="14" fontId="18" fillId="0" borderId="17" xfId="0" applyNumberFormat="1" applyFont="1" applyBorder="1" applyAlignment="1">
      <alignment horizontal="left"/>
    </xf>
    <xf numFmtId="0" fontId="18" fillId="0" borderId="17" xfId="0" applyFont="1" applyBorder="1"/>
    <xf numFmtId="4" fontId="18" fillId="0" borderId="17" xfId="0" applyNumberFormat="1" applyFont="1" applyBorder="1"/>
    <xf numFmtId="14" fontId="18" fillId="10" borderId="17" xfId="0" applyNumberFormat="1" applyFont="1" applyFill="1" applyBorder="1" applyAlignment="1">
      <alignment horizontal="center"/>
    </xf>
    <xf numFmtId="14" fontId="18" fillId="10" borderId="17" xfId="0" applyNumberFormat="1" applyFont="1" applyFill="1" applyBorder="1" applyAlignment="1">
      <alignment horizontal="left"/>
    </xf>
    <xf numFmtId="0" fontId="18" fillId="10" borderId="17" xfId="0" applyFont="1" applyFill="1" applyBorder="1"/>
    <xf numFmtId="4" fontId="18" fillId="10" borderId="17" xfId="0" applyNumberFormat="1" applyFont="1" applyFill="1" applyBorder="1"/>
    <xf numFmtId="0" fontId="18" fillId="0" borderId="17" xfId="0" applyFont="1" applyBorder="1" applyAlignment="1">
      <alignment horizontal="center"/>
    </xf>
    <xf numFmtId="0" fontId="18" fillId="0" borderId="18" xfId="0" applyFont="1" applyBorder="1" applyAlignment="1">
      <alignment horizontal="center"/>
    </xf>
    <xf numFmtId="14" fontId="18" fillId="0" borderId="18" xfId="0" applyNumberFormat="1" applyFont="1" applyBorder="1" applyAlignment="1">
      <alignment horizontal="center"/>
    </xf>
    <xf numFmtId="14" fontId="18" fillId="0" borderId="18" xfId="0" applyNumberFormat="1" applyFont="1" applyBorder="1" applyAlignment="1">
      <alignment horizontal="left"/>
    </xf>
    <xf numFmtId="0" fontId="18" fillId="0" borderId="18" xfId="0" applyFont="1" applyBorder="1"/>
    <xf numFmtId="4" fontId="18" fillId="0" borderId="18" xfId="0" applyNumberFormat="1" applyFont="1" applyBorder="1"/>
    <xf numFmtId="14" fontId="18" fillId="11" borderId="18" xfId="0" applyNumberFormat="1" applyFont="1" applyFill="1" applyBorder="1" applyAlignment="1">
      <alignment horizontal="center"/>
    </xf>
    <xf numFmtId="14" fontId="18" fillId="11" borderId="18" xfId="0" applyNumberFormat="1" applyFont="1" applyFill="1" applyBorder="1" applyAlignment="1">
      <alignment horizontal="left"/>
    </xf>
    <xf numFmtId="22" fontId="18" fillId="11" borderId="18" xfId="0" applyNumberFormat="1" applyFont="1" applyFill="1" applyBorder="1"/>
    <xf numFmtId="0" fontId="18" fillId="11" borderId="18" xfId="0" applyFont="1" applyFill="1" applyBorder="1"/>
    <xf numFmtId="4" fontId="18" fillId="11" borderId="18" xfId="0" applyNumberFormat="1" applyFont="1" applyFill="1" applyBorder="1"/>
    <xf numFmtId="14" fontId="18" fillId="6" borderId="18" xfId="0" applyNumberFormat="1" applyFont="1" applyFill="1" applyBorder="1" applyAlignment="1">
      <alignment horizontal="center"/>
    </xf>
    <xf numFmtId="14" fontId="18" fillId="6" borderId="18" xfId="0" applyNumberFormat="1" applyFont="1" applyFill="1" applyBorder="1" applyAlignment="1">
      <alignment horizontal="left"/>
    </xf>
    <xf numFmtId="0" fontId="18" fillId="6" borderId="18" xfId="0" applyFont="1" applyFill="1" applyBorder="1"/>
    <xf numFmtId="4" fontId="18" fillId="6" borderId="18" xfId="0" applyNumberFormat="1" applyFont="1" applyFill="1" applyBorder="1"/>
    <xf numFmtId="0" fontId="18" fillId="11" borderId="18" xfId="0" applyFont="1" applyFill="1" applyBorder="1" applyAlignment="1">
      <alignment horizontal="center"/>
    </xf>
    <xf numFmtId="14" fontId="18" fillId="0" borderId="18" xfId="0" applyNumberFormat="1" applyFont="1" applyBorder="1"/>
    <xf numFmtId="0" fontId="18" fillId="6" borderId="18" xfId="0" applyFont="1" applyFill="1" applyBorder="1" applyAlignment="1">
      <alignment horizontal="center"/>
    </xf>
    <xf numFmtId="0" fontId="18" fillId="0" borderId="19" xfId="0" applyFont="1" applyBorder="1"/>
    <xf numFmtId="4" fontId="18" fillId="0" borderId="19" xfId="0" applyNumberFormat="1" applyFont="1" applyBorder="1"/>
    <xf numFmtId="14" fontId="18" fillId="6" borderId="19" xfId="0" applyNumberFormat="1" applyFont="1" applyFill="1" applyBorder="1" applyAlignment="1">
      <alignment horizontal="center"/>
    </xf>
    <xf numFmtId="14" fontId="18" fillId="6" borderId="19" xfId="0" applyNumberFormat="1" applyFont="1" applyFill="1" applyBorder="1" applyAlignment="1">
      <alignment horizontal="left"/>
    </xf>
    <xf numFmtId="0" fontId="18" fillId="6" borderId="19" xfId="0" applyFont="1" applyFill="1" applyBorder="1"/>
    <xf numFmtId="4" fontId="18" fillId="6" borderId="19" xfId="0" applyNumberFormat="1" applyFont="1" applyFill="1" applyBorder="1"/>
    <xf numFmtId="14" fontId="18" fillId="0" borderId="14" xfId="0" applyNumberFormat="1" applyFont="1" applyBorder="1" applyAlignment="1">
      <alignment horizontal="center"/>
    </xf>
    <xf numFmtId="0" fontId="18" fillId="0" borderId="14" xfId="0" applyFont="1" applyBorder="1"/>
    <xf numFmtId="4" fontId="18" fillId="0" borderId="15" xfId="0" applyNumberFormat="1" applyFont="1" applyBorder="1"/>
    <xf numFmtId="0" fontId="18" fillId="11" borderId="19" xfId="0" applyFont="1" applyFill="1" applyBorder="1" applyAlignment="1">
      <alignment horizontal="center"/>
    </xf>
    <xf numFmtId="14" fontId="18" fillId="11" borderId="19" xfId="0" applyNumberFormat="1" applyFont="1" applyFill="1" applyBorder="1" applyAlignment="1">
      <alignment horizontal="center"/>
    </xf>
    <xf numFmtId="14" fontId="18" fillId="11" borderId="19" xfId="0" applyNumberFormat="1" applyFont="1" applyFill="1" applyBorder="1" applyAlignment="1">
      <alignment horizontal="left"/>
    </xf>
    <xf numFmtId="0" fontId="18" fillId="11" borderId="19" xfId="0" applyFont="1" applyFill="1" applyBorder="1"/>
    <xf numFmtId="4" fontId="18" fillId="11" borderId="19" xfId="0" applyNumberFormat="1" applyFont="1" applyFill="1" applyBorder="1"/>
    <xf numFmtId="0" fontId="18" fillId="12" borderId="19" xfId="0" applyFont="1" applyFill="1" applyBorder="1" applyAlignment="1">
      <alignment horizontal="center"/>
    </xf>
    <xf numFmtId="0" fontId="18" fillId="6" borderId="19" xfId="0" applyFont="1" applyFill="1" applyBorder="1" applyAlignment="1">
      <alignment horizontal="center"/>
    </xf>
    <xf numFmtId="0" fontId="18" fillId="0" borderId="20" xfId="0" applyFont="1" applyBorder="1" applyAlignment="1">
      <alignment horizontal="center"/>
    </xf>
    <xf numFmtId="14" fontId="18" fillId="0" borderId="20" xfId="0" applyNumberFormat="1" applyFont="1" applyBorder="1" applyAlignment="1">
      <alignment horizontal="center"/>
    </xf>
    <xf numFmtId="14" fontId="18" fillId="0" borderId="20" xfId="0" applyNumberFormat="1" applyFont="1" applyBorder="1" applyAlignment="1">
      <alignment horizontal="left"/>
    </xf>
    <xf numFmtId="0" fontId="18" fillId="0" borderId="20" xfId="0" applyFont="1" applyBorder="1"/>
    <xf numFmtId="4" fontId="18" fillId="0" borderId="20" xfId="0" applyNumberFormat="1" applyFont="1" applyBorder="1"/>
    <xf numFmtId="14" fontId="18" fillId="6" borderId="20" xfId="0" applyNumberFormat="1" applyFont="1" applyFill="1" applyBorder="1" applyAlignment="1">
      <alignment horizontal="center"/>
    </xf>
    <xf numFmtId="14" fontId="18" fillId="6" borderId="20" xfId="0" applyNumberFormat="1" applyFont="1" applyFill="1" applyBorder="1" applyAlignment="1">
      <alignment horizontal="left"/>
    </xf>
    <xf numFmtId="0" fontId="18" fillId="6" borderId="20" xfId="0" applyFont="1" applyFill="1" applyBorder="1"/>
    <xf numFmtId="4" fontId="18" fillId="6" borderId="20" xfId="0" applyNumberFormat="1" applyFont="1" applyFill="1" applyBorder="1"/>
    <xf numFmtId="0" fontId="18" fillId="11" borderId="20" xfId="0" applyFont="1" applyFill="1" applyBorder="1" applyAlignment="1">
      <alignment horizontal="center"/>
    </xf>
    <xf numFmtId="14" fontId="18" fillId="11" borderId="20" xfId="0" applyNumberFormat="1" applyFont="1" applyFill="1" applyBorder="1" applyAlignment="1">
      <alignment horizontal="center"/>
    </xf>
    <xf numFmtId="14" fontId="18" fillId="11" borderId="20" xfId="0" applyNumberFormat="1" applyFont="1" applyFill="1" applyBorder="1" applyAlignment="1">
      <alignment horizontal="left"/>
    </xf>
    <xf numFmtId="0" fontId="18" fillId="11" borderId="20" xfId="0" applyFont="1" applyFill="1" applyBorder="1"/>
    <xf numFmtId="4" fontId="18" fillId="11" borderId="20" xfId="0" applyNumberFormat="1" applyFont="1" applyFill="1" applyBorder="1"/>
    <xf numFmtId="0" fontId="18" fillId="12" borderId="20" xfId="0" applyFont="1" applyFill="1" applyBorder="1" applyAlignment="1">
      <alignment horizontal="center"/>
    </xf>
    <xf numFmtId="14" fontId="18" fillId="0" borderId="21" xfId="0" applyNumberFormat="1" applyFont="1" applyBorder="1" applyAlignment="1">
      <alignment horizontal="center"/>
    </xf>
    <xf numFmtId="14" fontId="18" fillId="0" borderId="21" xfId="0" applyNumberFormat="1" applyFont="1" applyBorder="1" applyAlignment="1">
      <alignment horizontal="left"/>
    </xf>
    <xf numFmtId="0" fontId="18" fillId="0" borderId="21" xfId="0" applyFont="1" applyBorder="1"/>
    <xf numFmtId="4" fontId="18" fillId="0" borderId="21" xfId="0" applyNumberFormat="1" applyFont="1" applyBorder="1"/>
    <xf numFmtId="0" fontId="16" fillId="0" borderId="21" xfId="117" applyFont="1" applyBorder="1" applyAlignment="1">
      <alignment wrapText="1"/>
    </xf>
    <xf numFmtId="4" fontId="16" fillId="0" borderId="21" xfId="117" applyNumberFormat="1" applyFont="1" applyBorder="1" applyAlignment="1">
      <alignment horizontal="right" wrapText="1"/>
    </xf>
    <xf numFmtId="0" fontId="19" fillId="0" borderId="21" xfId="118" applyFont="1" applyBorder="1"/>
    <xf numFmtId="0" fontId="20" fillId="0" borderId="21" xfId="0" applyFont="1" applyBorder="1"/>
    <xf numFmtId="14" fontId="18" fillId="6" borderId="21" xfId="0" applyNumberFormat="1" applyFont="1" applyFill="1" applyBorder="1" applyAlignment="1">
      <alignment horizontal="center"/>
    </xf>
    <xf numFmtId="14" fontId="18" fillId="6" borderId="21" xfId="0" applyNumberFormat="1" applyFont="1" applyFill="1" applyBorder="1" applyAlignment="1">
      <alignment horizontal="left"/>
    </xf>
    <xf numFmtId="0" fontId="18" fillId="6" borderId="21" xfId="0" applyFont="1" applyFill="1" applyBorder="1"/>
    <xf numFmtId="4" fontId="18" fillId="6" borderId="21" xfId="0" applyNumberFormat="1" applyFont="1" applyFill="1" applyBorder="1"/>
    <xf numFmtId="0" fontId="18" fillId="0" borderId="21" xfId="0" applyFont="1" applyBorder="1" applyAlignment="1">
      <alignment horizontal="center"/>
    </xf>
    <xf numFmtId="0" fontId="18" fillId="6" borderId="21" xfId="0" applyFont="1" applyFill="1" applyBorder="1" applyAlignment="1">
      <alignment horizontal="center"/>
    </xf>
    <xf numFmtId="14" fontId="18" fillId="0" borderId="21" xfId="0" applyNumberFormat="1" applyFont="1" applyBorder="1"/>
    <xf numFmtId="14" fontId="21" fillId="0" borderId="23" xfId="0" applyNumberFormat="1" applyFont="1" applyBorder="1" applyAlignment="1">
      <alignment horizontal="center" wrapText="1"/>
    </xf>
    <xf numFmtId="167" fontId="21" fillId="0" borderId="23" xfId="0" applyNumberFormat="1" applyFont="1" applyBorder="1" applyAlignment="1">
      <alignment horizontal="center" wrapText="1"/>
    </xf>
    <xf numFmtId="14" fontId="18" fillId="0" borderId="23" xfId="0" applyNumberFormat="1" applyFont="1" applyBorder="1" applyAlignment="1">
      <alignment horizontal="left"/>
    </xf>
    <xf numFmtId="0" fontId="18" fillId="0" borderId="23" xfId="0" applyFont="1" applyBorder="1"/>
    <xf numFmtId="4" fontId="18" fillId="0" borderId="23" xfId="0" applyNumberFormat="1" applyFont="1" applyBorder="1"/>
    <xf numFmtId="0" fontId="21" fillId="0" borderId="23" xfId="0" applyFont="1" applyBorder="1" applyAlignment="1">
      <alignment wrapText="1"/>
    </xf>
    <xf numFmtId="14" fontId="21" fillId="6" borderId="23" xfId="0" applyNumberFormat="1" applyFont="1" applyFill="1" applyBorder="1" applyAlignment="1">
      <alignment horizontal="center" wrapText="1"/>
    </xf>
    <xf numFmtId="167" fontId="21" fillId="6" borderId="23" xfId="0" applyNumberFormat="1" applyFont="1" applyFill="1" applyBorder="1" applyAlignment="1">
      <alignment horizontal="center" wrapText="1"/>
    </xf>
    <xf numFmtId="14" fontId="18" fillId="6" borderId="23" xfId="0" applyNumberFormat="1" applyFont="1" applyFill="1" applyBorder="1" applyAlignment="1">
      <alignment horizontal="left"/>
    </xf>
    <xf numFmtId="0" fontId="21" fillId="6" borderId="23" xfId="0" applyFont="1" applyFill="1" applyBorder="1" applyAlignment="1">
      <alignment wrapText="1"/>
    </xf>
    <xf numFmtId="0" fontId="18" fillId="6" borderId="23" xfId="0" applyFont="1" applyFill="1" applyBorder="1"/>
    <xf numFmtId="14" fontId="18" fillId="0" borderId="23" xfId="0" applyNumberFormat="1" applyFont="1" applyBorder="1" applyAlignment="1">
      <alignment horizontal="center"/>
    </xf>
    <xf numFmtId="0" fontId="18" fillId="0" borderId="23" xfId="0" applyFont="1" applyBorder="1" applyAlignment="1">
      <alignment horizontal="center"/>
    </xf>
    <xf numFmtId="14" fontId="18" fillId="6" borderId="23" xfId="0" applyNumberFormat="1" applyFont="1" applyFill="1" applyBorder="1" applyAlignment="1">
      <alignment horizontal="center"/>
    </xf>
    <xf numFmtId="4" fontId="18" fillId="6" borderId="23" xfId="0" applyNumberFormat="1" applyFont="1" applyFill="1" applyBorder="1"/>
    <xf numFmtId="0" fontId="20" fillId="0" borderId="23" xfId="0" applyFont="1" applyBorder="1"/>
    <xf numFmtId="0" fontId="18" fillId="6" borderId="2" xfId="0" applyFont="1" applyFill="1" applyBorder="1"/>
    <xf numFmtId="0" fontId="18" fillId="0" borderId="2" xfId="0" applyFont="1" applyBorder="1"/>
    <xf numFmtId="0" fontId="18" fillId="0" borderId="0" xfId="0" applyFont="1" applyAlignment="1">
      <alignment horizontal="center"/>
    </xf>
    <xf numFmtId="0" fontId="18" fillId="6" borderId="0" xfId="0" applyFont="1" applyFill="1"/>
    <xf numFmtId="0" fontId="18" fillId="0" borderId="23" xfId="0" quotePrefix="1" applyFont="1" applyBorder="1"/>
    <xf numFmtId="0" fontId="18" fillId="12" borderId="23" xfId="0" applyFont="1" applyFill="1" applyBorder="1"/>
    <xf numFmtId="0" fontId="1" fillId="2" borderId="1" xfId="0" applyFont="1" applyFill="1" applyBorder="1" applyAlignment="1">
      <alignment horizontal="left" vertical="top"/>
    </xf>
    <xf numFmtId="14" fontId="1" fillId="0" borderId="16" xfId="0" applyNumberFormat="1" applyFont="1" applyBorder="1" applyAlignment="1">
      <alignment horizontal="left" vertical="top"/>
    </xf>
    <xf numFmtId="0" fontId="18" fillId="0" borderId="24" xfId="0" applyFont="1" applyBorder="1" applyAlignment="1">
      <alignment horizontal="center"/>
    </xf>
    <xf numFmtId="14" fontId="18" fillId="0" borderId="24" xfId="0" applyNumberFormat="1" applyFont="1" applyBorder="1" applyAlignment="1">
      <alignment horizontal="center"/>
    </xf>
    <xf numFmtId="0" fontId="18" fillId="0" borderId="24" xfId="0" applyFont="1" applyBorder="1"/>
    <xf numFmtId="0" fontId="21" fillId="0" borderId="24" xfId="120" applyFont="1" applyBorder="1" applyAlignment="1">
      <alignment wrapText="1"/>
    </xf>
    <xf numFmtId="0" fontId="21" fillId="0" borderId="24" xfId="117" applyFont="1" applyBorder="1" applyAlignment="1">
      <alignment wrapText="1"/>
    </xf>
    <xf numFmtId="4" fontId="21" fillId="0" borderId="24" xfId="117" applyNumberFormat="1" applyFont="1" applyBorder="1" applyAlignment="1">
      <alignment horizontal="right" wrapText="1"/>
    </xf>
    <xf numFmtId="0" fontId="18" fillId="0" borderId="24" xfId="0" quotePrefix="1" applyFont="1" applyBorder="1"/>
    <xf numFmtId="0" fontId="20" fillId="0" borderId="24" xfId="0" applyFont="1" applyBorder="1" applyAlignment="1">
      <alignment horizontal="left" vertical="center" wrapText="1"/>
    </xf>
    <xf numFmtId="4" fontId="18" fillId="0" borderId="24" xfId="0" applyNumberFormat="1" applyFont="1" applyBorder="1"/>
    <xf numFmtId="0" fontId="20" fillId="0" borderId="24" xfId="0" applyFont="1" applyBorder="1"/>
    <xf numFmtId="0" fontId="18" fillId="6" borderId="24" xfId="0" applyFont="1" applyFill="1" applyBorder="1" applyAlignment="1">
      <alignment horizontal="center"/>
    </xf>
    <xf numFmtId="14" fontId="18" fillId="6" borderId="24" xfId="0" applyNumberFormat="1" applyFont="1" applyFill="1" applyBorder="1" applyAlignment="1">
      <alignment horizontal="center"/>
    </xf>
    <xf numFmtId="0" fontId="18" fillId="6" borderId="24" xfId="0" applyFont="1" applyFill="1" applyBorder="1"/>
    <xf numFmtId="4" fontId="18" fillId="6" borderId="24" xfId="0" applyNumberFormat="1" applyFont="1" applyFill="1" applyBorder="1"/>
    <xf numFmtId="0" fontId="18" fillId="0" borderId="25" xfId="0" applyFont="1" applyBorder="1" applyAlignment="1">
      <alignment horizontal="center"/>
    </xf>
    <xf numFmtId="14" fontId="18" fillId="0" borderId="25" xfId="0" applyNumberFormat="1" applyFont="1" applyBorder="1" applyAlignment="1">
      <alignment horizontal="center"/>
    </xf>
    <xf numFmtId="0" fontId="18" fillId="0" borderId="25" xfId="0" applyFont="1" applyBorder="1"/>
    <xf numFmtId="4" fontId="18" fillId="0" borderId="25" xfId="0" applyNumberFormat="1" applyFont="1" applyBorder="1"/>
    <xf numFmtId="4" fontId="24" fillId="0" borderId="26" xfId="125" applyNumberFormat="1" applyFont="1" applyBorder="1" applyAlignment="1">
      <alignment horizontal="right" wrapText="1"/>
    </xf>
    <xf numFmtId="4" fontId="18" fillId="2" borderId="1" xfId="0" applyNumberFormat="1" applyFont="1" applyFill="1" applyBorder="1" applyAlignment="1">
      <alignment horizontal="left"/>
    </xf>
    <xf numFmtId="4" fontId="18" fillId="0" borderId="1" xfId="0" applyNumberFormat="1" applyFont="1" applyBorder="1" applyAlignment="1">
      <alignment horizontal="right"/>
    </xf>
    <xf numFmtId="4" fontId="18" fillId="4" borderId="1" xfId="0" applyNumberFormat="1" applyFont="1" applyFill="1" applyBorder="1" applyAlignment="1">
      <alignment horizontal="right"/>
    </xf>
    <xf numFmtId="4" fontId="18" fillId="0" borderId="2" xfId="0" applyNumberFormat="1" applyFont="1" applyBorder="1" applyAlignment="1">
      <alignment horizontal="right"/>
    </xf>
    <xf numFmtId="4" fontId="18" fillId="0" borderId="3" xfId="0" applyNumberFormat="1" applyFont="1" applyBorder="1" applyAlignment="1">
      <alignment horizontal="right"/>
    </xf>
    <xf numFmtId="4" fontId="18" fillId="0" borderId="3" xfId="0" applyNumberFormat="1" applyFont="1" applyBorder="1"/>
    <xf numFmtId="4" fontId="18" fillId="4" borderId="3" xfId="0" applyNumberFormat="1" applyFont="1" applyFill="1" applyBorder="1" applyAlignment="1">
      <alignment horizontal="right"/>
    </xf>
    <xf numFmtId="4" fontId="18" fillId="3" borderId="1" xfId="0" applyNumberFormat="1" applyFont="1" applyFill="1" applyBorder="1"/>
    <xf numFmtId="4" fontId="18" fillId="3" borderId="1" xfId="0" applyNumberFormat="1" applyFont="1" applyFill="1" applyBorder="1" applyAlignment="1">
      <alignment horizontal="right"/>
    </xf>
    <xf numFmtId="4" fontId="18" fillId="3" borderId="3" xfId="0" applyNumberFormat="1" applyFont="1" applyFill="1" applyBorder="1" applyAlignment="1">
      <alignment horizontal="right"/>
    </xf>
    <xf numFmtId="4" fontId="18" fillId="4" borderId="3" xfId="0" applyNumberFormat="1" applyFont="1" applyFill="1" applyBorder="1"/>
    <xf numFmtId="4" fontId="18" fillId="3" borderId="3" xfId="0" applyNumberFormat="1" applyFont="1" applyFill="1" applyBorder="1"/>
    <xf numFmtId="4" fontId="18" fillId="6" borderId="1" xfId="0" applyNumberFormat="1" applyFont="1" applyFill="1" applyBorder="1"/>
    <xf numFmtId="4" fontId="18" fillId="6" borderId="3" xfId="0" applyNumberFormat="1" applyFont="1" applyFill="1" applyBorder="1"/>
    <xf numFmtId="4" fontId="18" fillId="6" borderId="3" xfId="0" applyNumberFormat="1" applyFont="1" applyFill="1" applyBorder="1" applyAlignment="1">
      <alignment horizontal="right"/>
    </xf>
    <xf numFmtId="4" fontId="18" fillId="6" borderId="1" xfId="0" applyNumberFormat="1" applyFont="1" applyFill="1" applyBorder="1" applyAlignment="1">
      <alignment horizontal="right"/>
    </xf>
    <xf numFmtId="4" fontId="18" fillId="9" borderId="3" xfId="0" applyNumberFormat="1" applyFont="1" applyFill="1" applyBorder="1"/>
    <xf numFmtId="4" fontId="18" fillId="0" borderId="19" xfId="0" applyNumberFormat="1" applyFont="1" applyBorder="1" applyAlignment="1">
      <alignment horizontal="right"/>
    </xf>
    <xf numFmtId="4" fontId="18" fillId="10" borderId="1" xfId="0" applyNumberFormat="1" applyFont="1" applyFill="1" applyBorder="1" applyAlignment="1">
      <alignment horizontal="right"/>
    </xf>
    <xf numFmtId="4" fontId="18" fillId="0" borderId="1" xfId="115" applyNumberFormat="1" applyFont="1" applyFill="1" applyBorder="1" applyAlignment="1">
      <alignment horizontal="center"/>
    </xf>
    <xf numFmtId="4" fontId="18" fillId="0" borderId="17" xfId="0" applyNumberFormat="1" applyFont="1" applyBorder="1" applyAlignment="1">
      <alignment horizontal="right"/>
    </xf>
    <xf numFmtId="4" fontId="18" fillId="0" borderId="18" xfId="0" applyNumberFormat="1" applyFont="1" applyBorder="1" applyAlignment="1">
      <alignment horizontal="right"/>
    </xf>
    <xf numFmtId="4" fontId="18" fillId="0" borderId="5" xfId="0" applyNumberFormat="1" applyFont="1" applyBorder="1" applyAlignment="1">
      <alignment horizontal="right"/>
    </xf>
    <xf numFmtId="0" fontId="18" fillId="0" borderId="27" xfId="0" applyFont="1" applyBorder="1" applyAlignment="1">
      <alignment horizontal="center"/>
    </xf>
    <xf numFmtId="14" fontId="18" fillId="0" borderId="27" xfId="0" applyNumberFormat="1" applyFont="1" applyBorder="1" applyAlignment="1">
      <alignment horizontal="center"/>
    </xf>
    <xf numFmtId="0" fontId="18" fillId="0" borderId="27" xfId="0" applyFont="1" applyBorder="1"/>
    <xf numFmtId="4" fontId="21" fillId="0" borderId="27" xfId="125" applyNumberFormat="1" applyFont="1" applyBorder="1" applyAlignment="1">
      <alignment horizontal="right" wrapText="1"/>
    </xf>
    <xf numFmtId="0" fontId="18" fillId="0" borderId="27" xfId="0" quotePrefix="1" applyFont="1" applyBorder="1"/>
    <xf numFmtId="4" fontId="18" fillId="0" borderId="27" xfId="0" applyNumberFormat="1" applyFont="1" applyBorder="1"/>
    <xf numFmtId="0" fontId="18" fillId="6" borderId="25" xfId="0" applyFont="1" applyFill="1" applyBorder="1" applyAlignment="1">
      <alignment horizontal="center"/>
    </xf>
    <xf numFmtId="14" fontId="18" fillId="6" borderId="25" xfId="0" applyNumberFormat="1" applyFont="1" applyFill="1" applyBorder="1" applyAlignment="1">
      <alignment horizontal="center"/>
    </xf>
    <xf numFmtId="0" fontId="18" fillId="6" borderId="25" xfId="0" applyFont="1" applyFill="1" applyBorder="1"/>
    <xf numFmtId="4" fontId="18" fillId="6" borderId="25" xfId="0" applyNumberFormat="1" applyFont="1" applyFill="1" applyBorder="1"/>
    <xf numFmtId="8" fontId="11" fillId="0" borderId="27" xfId="0" applyNumberFormat="1" applyFont="1" applyBorder="1"/>
    <xf numFmtId="14" fontId="18" fillId="6" borderId="27" xfId="0" applyNumberFormat="1" applyFont="1" applyFill="1" applyBorder="1" applyAlignment="1">
      <alignment horizontal="center"/>
    </xf>
    <xf numFmtId="0" fontId="18" fillId="6" borderId="27" xfId="0" applyFont="1" applyFill="1" applyBorder="1"/>
    <xf numFmtId="4" fontId="18" fillId="6" borderId="27" xfId="0" applyNumberFormat="1" applyFont="1" applyFill="1" applyBorder="1"/>
    <xf numFmtId="0" fontId="18" fillId="6" borderId="27" xfId="0" applyFont="1" applyFill="1" applyBorder="1" applyAlignment="1">
      <alignment horizontal="center"/>
    </xf>
    <xf numFmtId="3" fontId="11" fillId="0" borderId="28" xfId="0" applyNumberFormat="1" applyFont="1" applyBorder="1" applyAlignment="1">
      <alignment horizontal="right"/>
    </xf>
    <xf numFmtId="8" fontId="11" fillId="0" borderId="28" xfId="0" applyNumberFormat="1" applyFont="1" applyBorder="1"/>
    <xf numFmtId="165" fontId="11" fillId="0" borderId="28" xfId="0" applyNumberFormat="1" applyFont="1" applyBorder="1" applyAlignment="1">
      <alignment horizontal="right"/>
    </xf>
    <xf numFmtId="0" fontId="18" fillId="0" borderId="28" xfId="0" applyFont="1" applyBorder="1" applyAlignment="1">
      <alignment horizontal="center"/>
    </xf>
    <xf numFmtId="14" fontId="18" fillId="0" borderId="28" xfId="0" applyNumberFormat="1" applyFont="1" applyBorder="1" applyAlignment="1">
      <alignment horizontal="center"/>
    </xf>
    <xf numFmtId="0" fontId="18" fillId="0" borderId="28" xfId="0" applyFont="1" applyBorder="1"/>
    <xf numFmtId="4" fontId="18" fillId="0" borderId="28" xfId="0" applyNumberFormat="1" applyFont="1" applyBorder="1"/>
    <xf numFmtId="0" fontId="18" fillId="0" borderId="28" xfId="0" quotePrefix="1" applyFont="1" applyBorder="1"/>
    <xf numFmtId="0" fontId="18" fillId="0" borderId="29" xfId="0" applyFont="1" applyBorder="1" applyAlignment="1">
      <alignment horizontal="center"/>
    </xf>
    <xf numFmtId="14" fontId="18" fillId="0" borderId="29" xfId="0" applyNumberFormat="1" applyFont="1" applyBorder="1" applyAlignment="1">
      <alignment horizontal="center"/>
    </xf>
    <xf numFmtId="0" fontId="18" fillId="0" borderId="29" xfId="0" applyFont="1" applyBorder="1"/>
    <xf numFmtId="4" fontId="18" fillId="0" borderId="29" xfId="0" applyNumberFormat="1" applyFont="1" applyBorder="1"/>
    <xf numFmtId="0" fontId="18" fillId="0" borderId="29" xfId="0" quotePrefix="1" applyFont="1" applyBorder="1"/>
    <xf numFmtId="0" fontId="18" fillId="0" borderId="30" xfId="0" applyFont="1" applyBorder="1" applyAlignment="1">
      <alignment horizontal="center"/>
    </xf>
    <xf numFmtId="14" fontId="18" fillId="0" borderId="30" xfId="0" applyNumberFormat="1" applyFont="1" applyBorder="1" applyAlignment="1">
      <alignment horizontal="center"/>
    </xf>
    <xf numFmtId="0" fontId="18" fillId="0" borderId="30" xfId="0" applyFont="1" applyBorder="1"/>
    <xf numFmtId="4" fontId="21" fillId="0" borderId="30" xfId="126" applyNumberFormat="1" applyFont="1" applyBorder="1" applyAlignment="1">
      <alignment horizontal="right" wrapText="1"/>
    </xf>
    <xf numFmtId="4" fontId="18" fillId="0" borderId="30" xfId="0" applyNumberFormat="1" applyFont="1" applyBorder="1"/>
    <xf numFmtId="0" fontId="18" fillId="6" borderId="28" xfId="0" applyFont="1" applyFill="1" applyBorder="1" applyAlignment="1">
      <alignment horizontal="center"/>
    </xf>
    <xf numFmtId="14" fontId="18" fillId="6" borderId="28" xfId="0" applyNumberFormat="1" applyFont="1" applyFill="1" applyBorder="1" applyAlignment="1">
      <alignment horizontal="center"/>
    </xf>
    <xf numFmtId="0" fontId="18" fillId="6" borderId="28" xfId="0" applyFont="1" applyFill="1" applyBorder="1"/>
    <xf numFmtId="4" fontId="18" fillId="6" borderId="28" xfId="0" applyNumberFormat="1" applyFont="1" applyFill="1" applyBorder="1"/>
    <xf numFmtId="0" fontId="18" fillId="6" borderId="30" xfId="0" applyFont="1" applyFill="1" applyBorder="1" applyAlignment="1">
      <alignment horizontal="center"/>
    </xf>
    <xf numFmtId="14" fontId="18" fillId="6" borderId="30" xfId="0" applyNumberFormat="1" applyFont="1" applyFill="1" applyBorder="1" applyAlignment="1">
      <alignment horizontal="center"/>
    </xf>
    <xf numFmtId="0" fontId="18" fillId="6" borderId="30" xfId="0" applyFont="1" applyFill="1" applyBorder="1"/>
    <xf numFmtId="4" fontId="18" fillId="6" borderId="30" xfId="0" applyNumberFormat="1" applyFont="1" applyFill="1" applyBorder="1"/>
    <xf numFmtId="0" fontId="18" fillId="0" borderId="30" xfId="0" quotePrefix="1" applyFont="1" applyBorder="1"/>
    <xf numFmtId="0" fontId="18" fillId="6" borderId="29" xfId="0" applyFont="1" applyFill="1" applyBorder="1" applyAlignment="1">
      <alignment horizontal="center"/>
    </xf>
    <xf numFmtId="14" fontId="18" fillId="6" borderId="29" xfId="0" applyNumberFormat="1" applyFont="1" applyFill="1" applyBorder="1" applyAlignment="1">
      <alignment horizontal="center"/>
    </xf>
    <xf numFmtId="0" fontId="18" fillId="6" borderId="29" xfId="0" applyFont="1" applyFill="1" applyBorder="1"/>
    <xf numFmtId="4" fontId="18" fillId="6" borderId="29" xfId="0" applyNumberFormat="1" applyFont="1" applyFill="1" applyBorder="1"/>
    <xf numFmtId="0" fontId="0" fillId="0" borderId="1" xfId="0" applyBorder="1" applyAlignment="1">
      <alignment horizontal="center"/>
    </xf>
    <xf numFmtId="0" fontId="0" fillId="0" borderId="13" xfId="0" applyBorder="1" applyAlignment="1">
      <alignment horizontal="center" vertical="center"/>
    </xf>
    <xf numFmtId="0" fontId="0" fillId="0" borderId="15" xfId="0" applyBorder="1" applyAlignment="1">
      <alignment horizontal="center" vertical="center"/>
    </xf>
    <xf numFmtId="0" fontId="4" fillId="0" borderId="13" xfId="0" applyFont="1" applyBorder="1" applyAlignment="1">
      <alignment horizontal="center"/>
    </xf>
    <xf numFmtId="0" fontId="4" fillId="0" borderId="14" xfId="0" applyFont="1" applyBorder="1" applyAlignment="1">
      <alignment horizontal="center"/>
    </xf>
    <xf numFmtId="0" fontId="4" fillId="0" borderId="15" xfId="0" applyFont="1" applyBorder="1" applyAlignment="1">
      <alignment horizontal="center"/>
    </xf>
    <xf numFmtId="0" fontId="8" fillId="0" borderId="1" xfId="0" applyFont="1" applyBorder="1" applyAlignment="1">
      <alignment horizontal="center"/>
    </xf>
    <xf numFmtId="0" fontId="1" fillId="0" borderId="1" xfId="0" applyFont="1" applyBorder="1" applyAlignment="1">
      <alignment horizontal="center"/>
    </xf>
    <xf numFmtId="0" fontId="12" fillId="0" borderId="1" xfId="0" applyFont="1" applyBorder="1" applyAlignment="1">
      <alignment horizontal="center"/>
    </xf>
    <xf numFmtId="0" fontId="11" fillId="0" borderId="13" xfId="0" applyFont="1" applyBorder="1" applyAlignment="1">
      <alignment horizontal="center"/>
    </xf>
    <xf numFmtId="0" fontId="11" fillId="0" borderId="14" xfId="0" applyFont="1" applyBorder="1" applyAlignment="1">
      <alignment horizontal="center"/>
    </xf>
    <xf numFmtId="0" fontId="11" fillId="0" borderId="15" xfId="0" applyFont="1" applyBorder="1" applyAlignment="1">
      <alignment horizontal="center"/>
    </xf>
    <xf numFmtId="0" fontId="12" fillId="0" borderId="18" xfId="0" applyFont="1" applyBorder="1" applyAlignment="1">
      <alignment horizontal="center"/>
    </xf>
    <xf numFmtId="0" fontId="10" fillId="0" borderId="0" xfId="0" applyFont="1" applyAlignment="1">
      <alignment horizontal="center"/>
    </xf>
    <xf numFmtId="0" fontId="12" fillId="0" borderId="13" xfId="0" applyFont="1" applyBorder="1" applyAlignment="1">
      <alignment horizontal="center"/>
    </xf>
    <xf numFmtId="0" fontId="12" fillId="0" borderId="15" xfId="0" applyFont="1"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4" xfId="0" applyBorder="1" applyAlignment="1">
      <alignment horizontal="center"/>
    </xf>
    <xf numFmtId="0" fontId="3" fillId="0" borderId="0" xfId="0" applyFont="1" applyAlignment="1">
      <alignment horizontal="center"/>
    </xf>
  </cellXfs>
  <cellStyles count="127">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8" builtinId="8"/>
    <cellStyle name="Hipervínculo 2" xfId="123" xr:uid="{00000000-0005-0000-0000-00003A000000}"/>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Millares" xfId="116" builtinId="3"/>
    <cellStyle name="Millares 2" xfId="122" xr:uid="{00000000-0005-0000-0000-000075000000}"/>
    <cellStyle name="Moneda" xfId="115" builtinId="4"/>
    <cellStyle name="Moneda 2" xfId="119" xr:uid="{00000000-0005-0000-0000-000077000000}"/>
    <cellStyle name="Moneda 2 2" xfId="124" xr:uid="{00000000-0005-0000-0000-000078000000}"/>
    <cellStyle name="Moneda 3" xfId="121" xr:uid="{00000000-0005-0000-0000-000079000000}"/>
    <cellStyle name="Normal" xfId="0" builtinId="0"/>
    <cellStyle name="Normal_Hoja1" xfId="126" xr:uid="{82DCEA85-89F0-453D-9F0E-0FD62BE9626D}"/>
    <cellStyle name="Normal_Total" xfId="117" xr:uid="{00000000-0005-0000-0000-00007B000000}"/>
    <cellStyle name="Normal_Total_1" xfId="120" xr:uid="{00000000-0005-0000-0000-00007C000000}"/>
    <cellStyle name="Normal_Total_2" xfId="125" xr:uid="{00000000-0005-0000-0000-00007D000000}"/>
  </cellStyles>
  <dxfs count="1">
    <dxf>
      <fill>
        <patternFill patternType="none">
          <fgColor rgb="FF000000"/>
          <bgColor rgb="FFFFFFFF"/>
        </patternFill>
      </fill>
    </dxf>
  </dxfs>
  <tableStyles count="0" defaultTableStyle="TableStyleMedium9" defaultPivotStyle="PivotStyleLight16"/>
  <colors>
    <mruColors>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customXml" Target="../customXml/item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licitacions.infraestructures.cat/licitacions/?licitationID=CT1065314" TargetMode="External"/></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3724"/>
  <sheetViews>
    <sheetView zoomScale="80" zoomScaleNormal="80" workbookViewId="0">
      <pane ySplit="1" topLeftCell="A3692" activePane="bottomLeft" state="frozen"/>
      <selection pane="bottomLeft" activeCell="A3724" sqref="A3724"/>
    </sheetView>
  </sheetViews>
  <sheetFormatPr baseColWidth="10" defaultColWidth="11.42578125" defaultRowHeight="14.25" x14ac:dyDescent="0.2"/>
  <cols>
    <col min="1" max="1" width="8" style="178" bestFit="1" customWidth="1"/>
    <col min="2" max="2" width="14.5703125" style="327" bestFit="1" customWidth="1"/>
    <col min="3" max="3" width="18.42578125" style="327" bestFit="1" customWidth="1"/>
    <col min="4" max="4" width="21.7109375" style="178" customWidth="1"/>
    <col min="5" max="5" width="11.85546875" style="178" customWidth="1"/>
    <col min="6" max="6" width="29.7109375" style="178" customWidth="1"/>
    <col min="7" max="7" width="37.7109375" style="178" customWidth="1"/>
    <col min="8" max="8" width="135" style="178" customWidth="1"/>
    <col min="9" max="9" width="24.42578125" style="224" bestFit="1" customWidth="1"/>
    <col min="10" max="10" width="80.5703125" style="178" bestFit="1" customWidth="1"/>
    <col min="11" max="11" width="52.85546875" style="178" bestFit="1" customWidth="1"/>
    <col min="12" max="16384" width="11.42578125" style="178"/>
  </cols>
  <sheetData>
    <row r="1" spans="1:9" x14ac:dyDescent="0.2">
      <c r="B1" s="179" t="s">
        <v>57</v>
      </c>
      <c r="C1" s="180" t="s">
        <v>499</v>
      </c>
      <c r="D1" s="179" t="s">
        <v>58</v>
      </c>
      <c r="E1" s="179" t="s">
        <v>59</v>
      </c>
      <c r="F1" s="179" t="s">
        <v>60</v>
      </c>
      <c r="G1" s="179" t="s">
        <v>61</v>
      </c>
      <c r="H1" s="179" t="s">
        <v>62</v>
      </c>
      <c r="I1" s="352" t="s">
        <v>63</v>
      </c>
    </row>
    <row r="2" spans="1:9" x14ac:dyDescent="0.2">
      <c r="A2" s="181">
        <v>1</v>
      </c>
      <c r="B2" s="182">
        <v>40119</v>
      </c>
      <c r="C2" s="182"/>
      <c r="D2" s="183" t="s">
        <v>66</v>
      </c>
      <c r="E2" s="183" t="s">
        <v>422</v>
      </c>
      <c r="F2" s="183" t="s">
        <v>701</v>
      </c>
      <c r="G2" s="183" t="s">
        <v>64</v>
      </c>
      <c r="H2" s="183" t="s">
        <v>65</v>
      </c>
      <c r="I2" s="353">
        <v>204116.2</v>
      </c>
    </row>
    <row r="3" spans="1:9" x14ac:dyDescent="0.2">
      <c r="A3" s="181">
        <f>A2+1</f>
        <v>2</v>
      </c>
      <c r="B3" s="182">
        <v>40121</v>
      </c>
      <c r="C3" s="182"/>
      <c r="D3" s="183" t="s">
        <v>66</v>
      </c>
      <c r="E3" s="183" t="s">
        <v>422</v>
      </c>
      <c r="F3" s="183" t="s">
        <v>71</v>
      </c>
      <c r="G3" s="183" t="s">
        <v>423</v>
      </c>
      <c r="H3" s="183" t="s">
        <v>395</v>
      </c>
      <c r="I3" s="353">
        <v>61640.3</v>
      </c>
    </row>
    <row r="4" spans="1:9" x14ac:dyDescent="0.2">
      <c r="A4" s="181">
        <f t="shared" ref="A4:A68" si="0">A3+1</f>
        <v>3</v>
      </c>
      <c r="B4" s="182">
        <v>40121</v>
      </c>
      <c r="C4" s="182"/>
      <c r="D4" s="183" t="s">
        <v>66</v>
      </c>
      <c r="E4" s="183" t="s">
        <v>422</v>
      </c>
      <c r="F4" s="183" t="s">
        <v>396</v>
      </c>
      <c r="G4" s="183" t="s">
        <v>397</v>
      </c>
      <c r="H4" s="183" t="s">
        <v>700</v>
      </c>
      <c r="I4" s="353">
        <v>62100</v>
      </c>
    </row>
    <row r="5" spans="1:9" x14ac:dyDescent="0.2">
      <c r="A5" s="181">
        <f t="shared" si="0"/>
        <v>4</v>
      </c>
      <c r="B5" s="182">
        <v>40121</v>
      </c>
      <c r="C5" s="182"/>
      <c r="D5" s="183" t="s">
        <v>66</v>
      </c>
      <c r="E5" s="183" t="s">
        <v>422</v>
      </c>
      <c r="F5" s="183" t="s">
        <v>701</v>
      </c>
      <c r="G5" s="183" t="s">
        <v>702</v>
      </c>
      <c r="H5" s="183" t="s">
        <v>703</v>
      </c>
      <c r="I5" s="353">
        <v>173448.28</v>
      </c>
    </row>
    <row r="6" spans="1:9" x14ac:dyDescent="0.2">
      <c r="A6" s="181">
        <f t="shared" si="0"/>
        <v>5</v>
      </c>
      <c r="B6" s="182">
        <v>40121</v>
      </c>
      <c r="C6" s="182"/>
      <c r="D6" s="183" t="s">
        <v>66</v>
      </c>
      <c r="E6" s="183" t="s">
        <v>422</v>
      </c>
      <c r="F6" s="183" t="s">
        <v>701</v>
      </c>
      <c r="G6" s="183" t="s">
        <v>704</v>
      </c>
      <c r="H6" s="183" t="s">
        <v>705</v>
      </c>
      <c r="I6" s="353">
        <v>53620.69</v>
      </c>
    </row>
    <row r="7" spans="1:9" x14ac:dyDescent="0.2">
      <c r="A7" s="181">
        <f t="shared" si="0"/>
        <v>6</v>
      </c>
      <c r="B7" s="182">
        <v>40121</v>
      </c>
      <c r="C7" s="182"/>
      <c r="D7" s="183" t="s">
        <v>66</v>
      </c>
      <c r="E7" s="183" t="s">
        <v>422</v>
      </c>
      <c r="F7" s="183" t="s">
        <v>701</v>
      </c>
      <c r="G7" s="183" t="s">
        <v>706</v>
      </c>
      <c r="H7" s="183" t="s">
        <v>391</v>
      </c>
      <c r="I7" s="353">
        <v>205000</v>
      </c>
    </row>
    <row r="8" spans="1:9" x14ac:dyDescent="0.2">
      <c r="A8" s="181">
        <f t="shared" si="0"/>
        <v>7</v>
      </c>
      <c r="B8" s="182">
        <v>40123</v>
      </c>
      <c r="C8" s="182"/>
      <c r="D8" s="183" t="s">
        <v>66</v>
      </c>
      <c r="E8" s="183" t="s">
        <v>392</v>
      </c>
      <c r="F8" s="183" t="s">
        <v>393</v>
      </c>
      <c r="G8" s="183" t="s">
        <v>394</v>
      </c>
      <c r="H8" s="183" t="s">
        <v>735</v>
      </c>
      <c r="I8" s="353">
        <v>54450</v>
      </c>
    </row>
    <row r="9" spans="1:9" x14ac:dyDescent="0.2">
      <c r="A9" s="181">
        <f t="shared" si="0"/>
        <v>8</v>
      </c>
      <c r="B9" s="182">
        <v>40123</v>
      </c>
      <c r="C9" s="182"/>
      <c r="D9" s="183" t="s">
        <v>66</v>
      </c>
      <c r="E9" s="183" t="s">
        <v>392</v>
      </c>
      <c r="F9" s="183" t="s">
        <v>393</v>
      </c>
      <c r="G9" s="183" t="s">
        <v>736</v>
      </c>
      <c r="H9" s="183" t="s">
        <v>444</v>
      </c>
      <c r="I9" s="353">
        <v>119852</v>
      </c>
    </row>
    <row r="10" spans="1:9" x14ac:dyDescent="0.2">
      <c r="A10" s="181">
        <f t="shared" si="0"/>
        <v>9</v>
      </c>
      <c r="B10" s="182">
        <v>40123</v>
      </c>
      <c r="C10" s="182"/>
      <c r="D10" s="183" t="s">
        <v>66</v>
      </c>
      <c r="E10" s="183" t="s">
        <v>392</v>
      </c>
      <c r="F10" s="183" t="s">
        <v>71</v>
      </c>
      <c r="G10" s="183" t="s">
        <v>445</v>
      </c>
      <c r="H10" s="183" t="s">
        <v>202</v>
      </c>
      <c r="I10" s="353">
        <v>131233.04</v>
      </c>
    </row>
    <row r="11" spans="1:9" x14ac:dyDescent="0.2">
      <c r="A11" s="181">
        <f t="shared" si="0"/>
        <v>10</v>
      </c>
      <c r="B11" s="182">
        <v>40123</v>
      </c>
      <c r="C11" s="182"/>
      <c r="D11" s="183" t="s">
        <v>66</v>
      </c>
      <c r="E11" s="183" t="s">
        <v>392</v>
      </c>
      <c r="F11" s="183" t="s">
        <v>393</v>
      </c>
      <c r="G11" s="183" t="s">
        <v>203</v>
      </c>
      <c r="H11" s="183" t="s">
        <v>126</v>
      </c>
      <c r="I11" s="353">
        <v>94512</v>
      </c>
    </row>
    <row r="12" spans="1:9" x14ac:dyDescent="0.2">
      <c r="A12" s="181">
        <f t="shared" si="0"/>
        <v>11</v>
      </c>
      <c r="B12" s="182">
        <v>40123</v>
      </c>
      <c r="C12" s="182"/>
      <c r="D12" s="183" t="s">
        <v>66</v>
      </c>
      <c r="E12" s="183" t="s">
        <v>392</v>
      </c>
      <c r="F12" s="183" t="s">
        <v>393</v>
      </c>
      <c r="G12" s="183" t="s">
        <v>127</v>
      </c>
      <c r="H12" s="183" t="s">
        <v>128</v>
      </c>
      <c r="I12" s="353">
        <v>144300</v>
      </c>
    </row>
    <row r="13" spans="1:9" x14ac:dyDescent="0.2">
      <c r="A13" s="181">
        <f t="shared" si="0"/>
        <v>12</v>
      </c>
      <c r="B13" s="182">
        <v>40123</v>
      </c>
      <c r="C13" s="182"/>
      <c r="D13" s="183" t="s">
        <v>66</v>
      </c>
      <c r="E13" s="183" t="s">
        <v>392</v>
      </c>
      <c r="F13" s="183" t="s">
        <v>71</v>
      </c>
      <c r="G13" s="183" t="s">
        <v>129</v>
      </c>
      <c r="H13" s="183" t="s">
        <v>783</v>
      </c>
      <c r="I13" s="353">
        <v>111266.39</v>
      </c>
    </row>
    <row r="14" spans="1:9" x14ac:dyDescent="0.2">
      <c r="A14" s="181">
        <f t="shared" si="0"/>
        <v>13</v>
      </c>
      <c r="B14" s="182">
        <v>40123</v>
      </c>
      <c r="C14" s="182"/>
      <c r="D14" s="183" t="s">
        <v>66</v>
      </c>
      <c r="E14" s="183" t="s">
        <v>392</v>
      </c>
      <c r="F14" s="183" t="s">
        <v>71</v>
      </c>
      <c r="G14" s="183" t="s">
        <v>784</v>
      </c>
      <c r="H14" s="183" t="s">
        <v>785</v>
      </c>
      <c r="I14" s="353">
        <v>156546.43</v>
      </c>
    </row>
    <row r="15" spans="1:9" x14ac:dyDescent="0.2">
      <c r="A15" s="181">
        <f t="shared" si="0"/>
        <v>14</v>
      </c>
      <c r="B15" s="182">
        <v>40123</v>
      </c>
      <c r="C15" s="182"/>
      <c r="D15" s="183" t="s">
        <v>66</v>
      </c>
      <c r="E15" s="183" t="s">
        <v>392</v>
      </c>
      <c r="F15" s="183" t="s">
        <v>71</v>
      </c>
      <c r="G15" s="183" t="s">
        <v>786</v>
      </c>
      <c r="H15" s="183" t="s">
        <v>458</v>
      </c>
      <c r="I15" s="353">
        <v>188702.38</v>
      </c>
    </row>
    <row r="16" spans="1:9" x14ac:dyDescent="0.2">
      <c r="A16" s="181">
        <f t="shared" si="0"/>
        <v>15</v>
      </c>
      <c r="B16" s="182">
        <v>40123</v>
      </c>
      <c r="C16" s="182"/>
      <c r="D16" s="183" t="s">
        <v>66</v>
      </c>
      <c r="E16" s="183" t="s">
        <v>392</v>
      </c>
      <c r="F16" s="183" t="s">
        <v>71</v>
      </c>
      <c r="G16" s="183" t="s">
        <v>459</v>
      </c>
      <c r="H16" s="183" t="s">
        <v>460</v>
      </c>
      <c r="I16" s="353">
        <v>82306.149999999994</v>
      </c>
    </row>
    <row r="17" spans="1:9" x14ac:dyDescent="0.2">
      <c r="A17" s="181">
        <f t="shared" si="0"/>
        <v>16</v>
      </c>
      <c r="B17" s="182">
        <v>40126</v>
      </c>
      <c r="C17" s="182"/>
      <c r="D17" s="183" t="s">
        <v>66</v>
      </c>
      <c r="E17" s="183" t="s">
        <v>422</v>
      </c>
      <c r="F17" s="183" t="s">
        <v>71</v>
      </c>
      <c r="G17" s="183" t="s">
        <v>461</v>
      </c>
      <c r="H17" s="183" t="s">
        <v>645</v>
      </c>
      <c r="I17" s="353">
        <v>64821.4</v>
      </c>
    </row>
    <row r="18" spans="1:9" x14ac:dyDescent="0.2">
      <c r="A18" s="181">
        <f t="shared" si="0"/>
        <v>17</v>
      </c>
      <c r="B18" s="182">
        <v>40126</v>
      </c>
      <c r="C18" s="182"/>
      <c r="D18" s="183" t="s">
        <v>66</v>
      </c>
      <c r="E18" s="183" t="s">
        <v>422</v>
      </c>
      <c r="F18" s="183" t="s">
        <v>396</v>
      </c>
      <c r="G18" s="183" t="s">
        <v>646</v>
      </c>
      <c r="H18" s="183" t="s">
        <v>70</v>
      </c>
      <c r="I18" s="353">
        <v>194500</v>
      </c>
    </row>
    <row r="19" spans="1:9" x14ac:dyDescent="0.2">
      <c r="A19" s="181">
        <f t="shared" si="0"/>
        <v>18</v>
      </c>
      <c r="B19" s="182">
        <v>40128</v>
      </c>
      <c r="C19" s="182"/>
      <c r="D19" s="183" t="s">
        <v>66</v>
      </c>
      <c r="E19" s="183" t="s">
        <v>422</v>
      </c>
      <c r="F19" s="183" t="s">
        <v>701</v>
      </c>
      <c r="G19" s="183" t="s">
        <v>72</v>
      </c>
      <c r="H19" s="183" t="s">
        <v>670</v>
      </c>
      <c r="I19" s="230">
        <v>153275.85999999999</v>
      </c>
    </row>
    <row r="20" spans="1:9" x14ac:dyDescent="0.2">
      <c r="A20" s="181">
        <f t="shared" si="0"/>
        <v>19</v>
      </c>
      <c r="B20" s="182">
        <v>40130</v>
      </c>
      <c r="C20" s="182"/>
      <c r="D20" s="183" t="s">
        <v>66</v>
      </c>
      <c r="E20" s="183" t="s">
        <v>422</v>
      </c>
      <c r="F20" s="183" t="s">
        <v>396</v>
      </c>
      <c r="G20" s="183" t="s">
        <v>716</v>
      </c>
      <c r="H20" s="183" t="s">
        <v>618</v>
      </c>
      <c r="I20" s="230">
        <v>345685</v>
      </c>
    </row>
    <row r="21" spans="1:9" x14ac:dyDescent="0.2">
      <c r="A21" s="181">
        <f t="shared" si="0"/>
        <v>20</v>
      </c>
      <c r="B21" s="184">
        <v>40130</v>
      </c>
      <c r="C21" s="184"/>
      <c r="D21" s="185" t="s">
        <v>66</v>
      </c>
      <c r="E21" s="185" t="s">
        <v>422</v>
      </c>
      <c r="F21" s="185" t="s">
        <v>396</v>
      </c>
      <c r="G21" s="185" t="s">
        <v>619</v>
      </c>
      <c r="H21" s="185" t="s">
        <v>196</v>
      </c>
      <c r="I21" s="354">
        <v>1148585</v>
      </c>
    </row>
    <row r="22" spans="1:9" x14ac:dyDescent="0.2">
      <c r="A22" s="181">
        <f t="shared" si="0"/>
        <v>21</v>
      </c>
      <c r="B22" s="186">
        <v>40137</v>
      </c>
      <c r="C22" s="186"/>
      <c r="D22" s="187" t="s">
        <v>66</v>
      </c>
      <c r="E22" s="187" t="s">
        <v>422</v>
      </c>
      <c r="F22" s="187" t="s">
        <v>396</v>
      </c>
      <c r="G22" s="187" t="s">
        <v>197</v>
      </c>
      <c r="H22" s="187" t="s">
        <v>198</v>
      </c>
      <c r="I22" s="355">
        <v>200000</v>
      </c>
    </row>
    <row r="23" spans="1:9" x14ac:dyDescent="0.2">
      <c r="A23" s="181">
        <f t="shared" si="0"/>
        <v>22</v>
      </c>
      <c r="B23" s="182">
        <v>40140</v>
      </c>
      <c r="C23" s="182"/>
      <c r="D23" s="183" t="s">
        <v>66</v>
      </c>
      <c r="E23" s="183" t="s">
        <v>422</v>
      </c>
      <c r="F23" s="183" t="s">
        <v>701</v>
      </c>
      <c r="G23" s="183" t="s">
        <v>199</v>
      </c>
      <c r="H23" s="183" t="s">
        <v>200</v>
      </c>
      <c r="I23" s="230">
        <v>71293.100000000006</v>
      </c>
    </row>
    <row r="24" spans="1:9" x14ac:dyDescent="0.2">
      <c r="A24" s="188">
        <f t="shared" si="0"/>
        <v>23</v>
      </c>
      <c r="B24" s="186">
        <v>40140</v>
      </c>
      <c r="C24" s="186"/>
      <c r="D24" s="187" t="s">
        <v>66</v>
      </c>
      <c r="E24" s="187" t="s">
        <v>422</v>
      </c>
      <c r="F24" s="187" t="s">
        <v>701</v>
      </c>
      <c r="G24" s="187" t="s">
        <v>201</v>
      </c>
      <c r="H24" s="187" t="s">
        <v>409</v>
      </c>
      <c r="I24" s="356">
        <v>86034.48</v>
      </c>
    </row>
    <row r="25" spans="1:9" x14ac:dyDescent="0.2">
      <c r="A25" s="181">
        <f t="shared" si="0"/>
        <v>24</v>
      </c>
      <c r="B25" s="182">
        <v>40141</v>
      </c>
      <c r="C25" s="182"/>
      <c r="D25" s="183" t="s">
        <v>66</v>
      </c>
      <c r="E25" s="183" t="s">
        <v>392</v>
      </c>
      <c r="F25" s="183" t="s">
        <v>396</v>
      </c>
      <c r="G25" s="183" t="s">
        <v>410</v>
      </c>
      <c r="H25" s="183" t="s">
        <v>50</v>
      </c>
      <c r="I25" s="230">
        <v>90000</v>
      </c>
    </row>
    <row r="26" spans="1:9" x14ac:dyDescent="0.2">
      <c r="A26" s="181">
        <f t="shared" si="0"/>
        <v>25</v>
      </c>
      <c r="B26" s="182">
        <v>40141</v>
      </c>
      <c r="C26" s="182"/>
      <c r="D26" s="183" t="s">
        <v>66</v>
      </c>
      <c r="E26" s="183" t="s">
        <v>392</v>
      </c>
      <c r="F26" s="183" t="s">
        <v>393</v>
      </c>
      <c r="G26" s="183" t="s">
        <v>51</v>
      </c>
      <c r="H26" s="183" t="s">
        <v>52</v>
      </c>
      <c r="I26" s="353">
        <v>115000</v>
      </c>
    </row>
    <row r="27" spans="1:9" x14ac:dyDescent="0.2">
      <c r="A27" s="181">
        <f t="shared" si="0"/>
        <v>26</v>
      </c>
      <c r="B27" s="186">
        <v>40141</v>
      </c>
      <c r="C27" s="186"/>
      <c r="D27" s="187" t="s">
        <v>66</v>
      </c>
      <c r="E27" s="187" t="s">
        <v>392</v>
      </c>
      <c r="F27" s="187" t="s">
        <v>393</v>
      </c>
      <c r="G27" s="187" t="s">
        <v>53</v>
      </c>
      <c r="H27" s="187" t="s">
        <v>54</v>
      </c>
      <c r="I27" s="357">
        <v>205722.22</v>
      </c>
    </row>
    <row r="28" spans="1:9" x14ac:dyDescent="0.2">
      <c r="A28" s="181">
        <f t="shared" si="0"/>
        <v>27</v>
      </c>
      <c r="B28" s="182">
        <v>40142</v>
      </c>
      <c r="C28" s="182"/>
      <c r="D28" s="183" t="s">
        <v>66</v>
      </c>
      <c r="E28" s="183" t="s">
        <v>422</v>
      </c>
      <c r="F28" s="183" t="s">
        <v>701</v>
      </c>
      <c r="G28" s="183" t="s">
        <v>55</v>
      </c>
      <c r="H28" s="183" t="s">
        <v>33</v>
      </c>
      <c r="I28" s="230">
        <v>25862.07</v>
      </c>
    </row>
    <row r="29" spans="1:9" x14ac:dyDescent="0.2">
      <c r="A29" s="181">
        <f t="shared" si="0"/>
        <v>28</v>
      </c>
      <c r="B29" s="182">
        <v>40142</v>
      </c>
      <c r="C29" s="182"/>
      <c r="D29" s="183" t="s">
        <v>66</v>
      </c>
      <c r="E29" s="183" t="s">
        <v>422</v>
      </c>
      <c r="F29" s="183" t="s">
        <v>701</v>
      </c>
      <c r="G29" s="183" t="s">
        <v>812</v>
      </c>
      <c r="H29" s="183" t="s">
        <v>148</v>
      </c>
      <c r="I29" s="353">
        <v>25862.07</v>
      </c>
    </row>
    <row r="30" spans="1:9" x14ac:dyDescent="0.2">
      <c r="A30" s="181">
        <f t="shared" si="0"/>
        <v>29</v>
      </c>
      <c r="B30" s="182">
        <v>40142</v>
      </c>
      <c r="C30" s="182"/>
      <c r="D30" s="183" t="s">
        <v>66</v>
      </c>
      <c r="E30" s="183" t="s">
        <v>422</v>
      </c>
      <c r="F30" s="183" t="s">
        <v>701</v>
      </c>
      <c r="G30" s="183" t="s">
        <v>149</v>
      </c>
      <c r="H30" s="183" t="s">
        <v>815</v>
      </c>
      <c r="I30" s="353">
        <v>55258.62</v>
      </c>
    </row>
    <row r="31" spans="1:9" x14ac:dyDescent="0.2">
      <c r="A31" s="181">
        <f t="shared" si="0"/>
        <v>30</v>
      </c>
      <c r="B31" s="182">
        <v>40142</v>
      </c>
      <c r="C31" s="182"/>
      <c r="D31" s="183" t="s">
        <v>66</v>
      </c>
      <c r="E31" s="183" t="s">
        <v>392</v>
      </c>
      <c r="F31" s="183" t="s">
        <v>393</v>
      </c>
      <c r="G31" s="183" t="s">
        <v>816</v>
      </c>
      <c r="H31" s="183" t="s">
        <v>369</v>
      </c>
      <c r="I31" s="353">
        <v>46125</v>
      </c>
    </row>
    <row r="32" spans="1:9" x14ac:dyDescent="0.2">
      <c r="A32" s="181">
        <f t="shared" si="0"/>
        <v>31</v>
      </c>
      <c r="B32" s="182">
        <v>40142</v>
      </c>
      <c r="C32" s="182"/>
      <c r="D32" s="183" t="s">
        <v>66</v>
      </c>
      <c r="E32" s="183" t="s">
        <v>392</v>
      </c>
      <c r="F32" s="183" t="s">
        <v>71</v>
      </c>
      <c r="G32" s="183" t="s">
        <v>370</v>
      </c>
      <c r="H32" s="183" t="s">
        <v>373</v>
      </c>
      <c r="I32" s="353">
        <v>73752.03</v>
      </c>
    </row>
    <row r="33" spans="1:9" x14ac:dyDescent="0.2">
      <c r="A33" s="181">
        <f t="shared" si="0"/>
        <v>32</v>
      </c>
      <c r="B33" s="182">
        <v>40142</v>
      </c>
      <c r="C33" s="182"/>
      <c r="D33" s="183" t="s">
        <v>66</v>
      </c>
      <c r="E33" s="183" t="s">
        <v>392</v>
      </c>
      <c r="F33" s="183" t="s">
        <v>71</v>
      </c>
      <c r="G33" s="183" t="s">
        <v>769</v>
      </c>
      <c r="H33" s="183" t="s">
        <v>770</v>
      </c>
      <c r="I33" s="353">
        <v>197228.6</v>
      </c>
    </row>
    <row r="34" spans="1:9" x14ac:dyDescent="0.2">
      <c r="A34" s="181">
        <f t="shared" si="0"/>
        <v>33</v>
      </c>
      <c r="B34" s="182">
        <v>40142</v>
      </c>
      <c r="C34" s="182"/>
      <c r="D34" s="183" t="s">
        <v>66</v>
      </c>
      <c r="E34" s="183" t="s">
        <v>392</v>
      </c>
      <c r="F34" s="183" t="s">
        <v>71</v>
      </c>
      <c r="G34" s="183" t="s">
        <v>771</v>
      </c>
      <c r="H34" s="183" t="s">
        <v>487</v>
      </c>
      <c r="I34" s="357">
        <v>151430.39000000001</v>
      </c>
    </row>
    <row r="35" spans="1:9" x14ac:dyDescent="0.2">
      <c r="A35" s="188">
        <f t="shared" si="0"/>
        <v>34</v>
      </c>
      <c r="B35" s="186">
        <v>40144</v>
      </c>
      <c r="C35" s="186"/>
      <c r="D35" s="187" t="s">
        <v>66</v>
      </c>
      <c r="E35" s="187" t="s">
        <v>422</v>
      </c>
      <c r="F35" s="187" t="s">
        <v>701</v>
      </c>
      <c r="G35" s="187" t="s">
        <v>488</v>
      </c>
      <c r="H35" s="187" t="s">
        <v>7</v>
      </c>
      <c r="I35" s="357">
        <v>256188.79</v>
      </c>
    </row>
    <row r="36" spans="1:9" x14ac:dyDescent="0.2">
      <c r="A36" s="188">
        <f t="shared" si="0"/>
        <v>35</v>
      </c>
      <c r="B36" s="182">
        <v>40156</v>
      </c>
      <c r="C36" s="182"/>
      <c r="D36" s="183" t="s">
        <v>66</v>
      </c>
      <c r="E36" s="183" t="s">
        <v>422</v>
      </c>
      <c r="F36" s="183" t="s">
        <v>396</v>
      </c>
      <c r="G36" s="183" t="s">
        <v>806</v>
      </c>
      <c r="H36" s="183" t="s">
        <v>807</v>
      </c>
      <c r="I36" s="230">
        <v>692500</v>
      </c>
    </row>
    <row r="37" spans="1:9" x14ac:dyDescent="0.2">
      <c r="A37" s="188">
        <f t="shared" si="0"/>
        <v>36</v>
      </c>
      <c r="B37" s="182">
        <v>40156</v>
      </c>
      <c r="C37" s="182"/>
      <c r="D37" s="183" t="s">
        <v>66</v>
      </c>
      <c r="E37" s="183" t="s">
        <v>422</v>
      </c>
      <c r="F37" s="183" t="s">
        <v>396</v>
      </c>
      <c r="G37" s="183" t="s">
        <v>808</v>
      </c>
      <c r="H37" s="183" t="s">
        <v>267</v>
      </c>
      <c r="I37" s="353">
        <v>658155</v>
      </c>
    </row>
    <row r="38" spans="1:9" x14ac:dyDescent="0.2">
      <c r="A38" s="181">
        <f t="shared" si="0"/>
        <v>37</v>
      </c>
      <c r="B38" s="182">
        <v>40156</v>
      </c>
      <c r="C38" s="182"/>
      <c r="D38" s="183" t="s">
        <v>66</v>
      </c>
      <c r="E38" s="183" t="s">
        <v>422</v>
      </c>
      <c r="F38" s="183" t="s">
        <v>71</v>
      </c>
      <c r="G38" s="183" t="s">
        <v>268</v>
      </c>
      <c r="H38" s="183" t="s">
        <v>745</v>
      </c>
      <c r="I38" s="356">
        <v>218568.55</v>
      </c>
    </row>
    <row r="39" spans="1:9" x14ac:dyDescent="0.2">
      <c r="A39" s="181">
        <f t="shared" si="0"/>
        <v>38</v>
      </c>
      <c r="B39" s="186">
        <v>40164</v>
      </c>
      <c r="C39" s="186"/>
      <c r="D39" s="187" t="s">
        <v>66</v>
      </c>
      <c r="E39" s="187" t="s">
        <v>392</v>
      </c>
      <c r="F39" s="187" t="s">
        <v>701</v>
      </c>
      <c r="G39" s="187" t="s">
        <v>746</v>
      </c>
      <c r="H39" s="187" t="s">
        <v>791</v>
      </c>
      <c r="I39" s="357">
        <v>204741.38</v>
      </c>
    </row>
    <row r="40" spans="1:9" x14ac:dyDescent="0.2">
      <c r="A40" s="181">
        <f t="shared" si="0"/>
        <v>39</v>
      </c>
      <c r="B40" s="182">
        <v>40169</v>
      </c>
      <c r="C40" s="182"/>
      <c r="D40" s="183" t="s">
        <v>66</v>
      </c>
      <c r="E40" s="183" t="s">
        <v>422</v>
      </c>
      <c r="F40" s="183" t="s">
        <v>701</v>
      </c>
      <c r="G40" s="183" t="s">
        <v>792</v>
      </c>
      <c r="H40" s="183" t="s">
        <v>793</v>
      </c>
      <c r="I40" s="230">
        <v>258620.7</v>
      </c>
    </row>
    <row r="41" spans="1:9" x14ac:dyDescent="0.2">
      <c r="A41" s="181">
        <f t="shared" si="0"/>
        <v>40</v>
      </c>
      <c r="B41" s="182">
        <v>40169</v>
      </c>
      <c r="C41" s="182"/>
      <c r="D41" s="183" t="s">
        <v>66</v>
      </c>
      <c r="E41" s="183" t="s">
        <v>422</v>
      </c>
      <c r="F41" s="183" t="s">
        <v>701</v>
      </c>
      <c r="G41" s="183" t="s">
        <v>794</v>
      </c>
      <c r="H41" s="183" t="s">
        <v>480</v>
      </c>
      <c r="I41" s="353">
        <v>258620.7</v>
      </c>
    </row>
    <row r="42" spans="1:9" x14ac:dyDescent="0.2">
      <c r="A42" s="181">
        <f t="shared" si="0"/>
        <v>41</v>
      </c>
      <c r="B42" s="182">
        <v>40169</v>
      </c>
      <c r="C42" s="182"/>
      <c r="D42" s="183" t="s">
        <v>66</v>
      </c>
      <c r="E42" s="183" t="s">
        <v>422</v>
      </c>
      <c r="F42" s="183" t="s">
        <v>701</v>
      </c>
      <c r="G42" s="183" t="s">
        <v>481</v>
      </c>
      <c r="H42" s="183" t="s">
        <v>287</v>
      </c>
      <c r="I42" s="353">
        <v>271551.73</v>
      </c>
    </row>
    <row r="43" spans="1:9" x14ac:dyDescent="0.2">
      <c r="A43" s="181">
        <f t="shared" si="0"/>
        <v>42</v>
      </c>
      <c r="B43" s="182">
        <v>40169</v>
      </c>
      <c r="C43" s="182"/>
      <c r="D43" s="183" t="s">
        <v>66</v>
      </c>
      <c r="E43" s="183" t="s">
        <v>422</v>
      </c>
      <c r="F43" s="183" t="s">
        <v>701</v>
      </c>
      <c r="G43" s="183" t="s">
        <v>288</v>
      </c>
      <c r="H43" s="183" t="s">
        <v>309</v>
      </c>
      <c r="I43" s="353">
        <v>258620.7</v>
      </c>
    </row>
    <row r="44" spans="1:9" x14ac:dyDescent="0.2">
      <c r="A44" s="181">
        <f t="shared" si="0"/>
        <v>43</v>
      </c>
      <c r="B44" s="182">
        <v>40169</v>
      </c>
      <c r="C44" s="182"/>
      <c r="D44" s="183" t="s">
        <v>66</v>
      </c>
      <c r="E44" s="183" t="s">
        <v>422</v>
      </c>
      <c r="F44" s="183" t="s">
        <v>701</v>
      </c>
      <c r="G44" s="183" t="s">
        <v>310</v>
      </c>
      <c r="H44" s="183" t="s">
        <v>561</v>
      </c>
      <c r="I44" s="353">
        <v>86034.48</v>
      </c>
    </row>
    <row r="45" spans="1:9" x14ac:dyDescent="0.2">
      <c r="A45" s="181">
        <f t="shared" si="0"/>
        <v>44</v>
      </c>
      <c r="B45" s="184">
        <v>40169</v>
      </c>
      <c r="C45" s="184"/>
      <c r="D45" s="185" t="s">
        <v>66</v>
      </c>
      <c r="E45" s="185" t="s">
        <v>422</v>
      </c>
      <c r="F45" s="185" t="s">
        <v>396</v>
      </c>
      <c r="G45" s="185" t="s">
        <v>588</v>
      </c>
      <c r="H45" s="185" t="s">
        <v>604</v>
      </c>
      <c r="I45" s="354">
        <v>1458888.88</v>
      </c>
    </row>
    <row r="46" spans="1:9" x14ac:dyDescent="0.2">
      <c r="A46" s="188">
        <f t="shared" si="0"/>
        <v>45</v>
      </c>
      <c r="B46" s="186">
        <v>40169</v>
      </c>
      <c r="C46" s="186"/>
      <c r="D46" s="187" t="s">
        <v>66</v>
      </c>
      <c r="E46" s="187" t="s">
        <v>422</v>
      </c>
      <c r="F46" s="187" t="s">
        <v>71</v>
      </c>
      <c r="G46" s="187" t="s">
        <v>605</v>
      </c>
      <c r="H46" s="187" t="s">
        <v>606</v>
      </c>
      <c r="I46" s="356">
        <v>114867.86</v>
      </c>
    </row>
    <row r="47" spans="1:9" x14ac:dyDescent="0.2">
      <c r="A47" s="188">
        <f t="shared" si="0"/>
        <v>46</v>
      </c>
      <c r="B47" s="182">
        <v>40170</v>
      </c>
      <c r="C47" s="182"/>
      <c r="D47" s="183" t="s">
        <v>66</v>
      </c>
      <c r="E47" s="183" t="s">
        <v>422</v>
      </c>
      <c r="F47" s="183" t="s">
        <v>701</v>
      </c>
      <c r="G47" s="183" t="s">
        <v>607</v>
      </c>
      <c r="H47" s="183" t="s">
        <v>608</v>
      </c>
      <c r="I47" s="230">
        <v>86206.9</v>
      </c>
    </row>
    <row r="48" spans="1:9" x14ac:dyDescent="0.2">
      <c r="A48" s="188">
        <f t="shared" si="0"/>
        <v>47</v>
      </c>
      <c r="B48" s="182">
        <v>40170</v>
      </c>
      <c r="C48" s="182"/>
      <c r="D48" s="183" t="s">
        <v>66</v>
      </c>
      <c r="E48" s="183" t="s">
        <v>422</v>
      </c>
      <c r="F48" s="183" t="s">
        <v>701</v>
      </c>
      <c r="G48" s="183" t="s">
        <v>833</v>
      </c>
      <c r="H48" s="183" t="s">
        <v>834</v>
      </c>
      <c r="I48" s="353">
        <v>534310.34</v>
      </c>
    </row>
    <row r="49" spans="1:9" x14ac:dyDescent="0.2">
      <c r="A49" s="188">
        <f t="shared" si="0"/>
        <v>48</v>
      </c>
      <c r="B49" s="182">
        <v>40170</v>
      </c>
      <c r="C49" s="182"/>
      <c r="D49" s="183" t="s">
        <v>66</v>
      </c>
      <c r="E49" s="183" t="s">
        <v>422</v>
      </c>
      <c r="F49" s="183" t="s">
        <v>701</v>
      </c>
      <c r="G49" s="183" t="s">
        <v>835</v>
      </c>
      <c r="H49" s="183" t="s">
        <v>836</v>
      </c>
      <c r="I49" s="353">
        <v>245431.03</v>
      </c>
    </row>
    <row r="50" spans="1:9" x14ac:dyDescent="0.2">
      <c r="A50" s="188">
        <f t="shared" si="0"/>
        <v>49</v>
      </c>
      <c r="B50" s="182">
        <v>40170</v>
      </c>
      <c r="C50" s="182"/>
      <c r="D50" s="183" t="s">
        <v>66</v>
      </c>
      <c r="E50" s="183" t="s">
        <v>422</v>
      </c>
      <c r="F50" s="183" t="s">
        <v>701</v>
      </c>
      <c r="G50" s="183" t="s">
        <v>837</v>
      </c>
      <c r="H50" s="183" t="s">
        <v>680</v>
      </c>
      <c r="I50" s="353">
        <v>336551.72</v>
      </c>
    </row>
    <row r="51" spans="1:9" x14ac:dyDescent="0.2">
      <c r="A51" s="188">
        <f t="shared" si="0"/>
        <v>50</v>
      </c>
      <c r="B51" s="182">
        <v>40170</v>
      </c>
      <c r="C51" s="182"/>
      <c r="D51" s="183" t="s">
        <v>66</v>
      </c>
      <c r="E51" s="183" t="s">
        <v>392</v>
      </c>
      <c r="F51" s="183" t="s">
        <v>71</v>
      </c>
      <c r="G51" s="183" t="s">
        <v>681</v>
      </c>
      <c r="H51" s="183" t="s">
        <v>682</v>
      </c>
      <c r="I51" s="353">
        <v>43941.96</v>
      </c>
    </row>
    <row r="52" spans="1:9" x14ac:dyDescent="0.2">
      <c r="A52" s="188">
        <f t="shared" si="0"/>
        <v>51</v>
      </c>
      <c r="B52" s="182">
        <v>40171</v>
      </c>
      <c r="C52" s="182"/>
      <c r="D52" s="183" t="s">
        <v>66</v>
      </c>
      <c r="E52" s="183" t="s">
        <v>392</v>
      </c>
      <c r="F52" s="183" t="s">
        <v>9</v>
      </c>
      <c r="G52" s="183" t="s">
        <v>683</v>
      </c>
      <c r="H52" s="183" t="s">
        <v>684</v>
      </c>
      <c r="I52" s="353">
        <v>143517.24</v>
      </c>
    </row>
    <row r="53" spans="1:9" x14ac:dyDescent="0.2">
      <c r="A53" s="188">
        <f t="shared" si="0"/>
        <v>52</v>
      </c>
      <c r="B53" s="182">
        <v>40171</v>
      </c>
      <c r="C53" s="182"/>
      <c r="D53" s="183" t="s">
        <v>66</v>
      </c>
      <c r="E53" s="183" t="s">
        <v>392</v>
      </c>
      <c r="F53" s="183" t="s">
        <v>9</v>
      </c>
      <c r="G53" s="183" t="s">
        <v>685</v>
      </c>
      <c r="H53" s="183" t="s">
        <v>510</v>
      </c>
      <c r="I53" s="353">
        <v>189157.63</v>
      </c>
    </row>
    <row r="54" spans="1:9" x14ac:dyDescent="0.2">
      <c r="A54" s="181">
        <f t="shared" si="0"/>
        <v>53</v>
      </c>
      <c r="B54" s="182">
        <v>40171</v>
      </c>
      <c r="C54" s="182"/>
      <c r="D54" s="183" t="s">
        <v>66</v>
      </c>
      <c r="E54" s="183" t="s">
        <v>392</v>
      </c>
      <c r="F54" s="183" t="s">
        <v>9</v>
      </c>
      <c r="G54" s="183" t="s">
        <v>511</v>
      </c>
      <c r="H54" s="183" t="s">
        <v>512</v>
      </c>
      <c r="I54" s="356">
        <v>184874.39</v>
      </c>
    </row>
    <row r="55" spans="1:9" x14ac:dyDescent="0.2">
      <c r="A55" s="181">
        <f t="shared" si="0"/>
        <v>54</v>
      </c>
      <c r="B55" s="182">
        <v>40177</v>
      </c>
      <c r="C55" s="182"/>
      <c r="D55" s="183" t="s">
        <v>66</v>
      </c>
      <c r="E55" s="183" t="s">
        <v>392</v>
      </c>
      <c r="F55" s="183" t="s">
        <v>9</v>
      </c>
      <c r="G55" s="183" t="s">
        <v>513</v>
      </c>
      <c r="H55" s="183" t="s">
        <v>727</v>
      </c>
      <c r="I55" s="230">
        <v>376050.49</v>
      </c>
    </row>
    <row r="56" spans="1:9" x14ac:dyDescent="0.2">
      <c r="A56" s="181">
        <f t="shared" si="0"/>
        <v>55</v>
      </c>
      <c r="B56" s="182">
        <v>40177</v>
      </c>
      <c r="C56" s="182"/>
      <c r="D56" s="183" t="s">
        <v>66</v>
      </c>
      <c r="E56" s="183" t="s">
        <v>392</v>
      </c>
      <c r="F56" s="183" t="s">
        <v>9</v>
      </c>
      <c r="G56" s="183" t="s">
        <v>728</v>
      </c>
      <c r="H56" s="183" t="s">
        <v>729</v>
      </c>
      <c r="I56" s="353">
        <v>338254.93</v>
      </c>
    </row>
    <row r="57" spans="1:9" x14ac:dyDescent="0.2">
      <c r="A57" s="181">
        <f t="shared" si="0"/>
        <v>56</v>
      </c>
      <c r="B57" s="182">
        <v>40189</v>
      </c>
      <c r="C57" s="182"/>
      <c r="D57" s="183" t="s">
        <v>66</v>
      </c>
      <c r="E57" s="183" t="s">
        <v>422</v>
      </c>
      <c r="F57" s="183" t="s">
        <v>71</v>
      </c>
      <c r="G57" s="183" t="s">
        <v>730</v>
      </c>
      <c r="H57" s="183" t="s">
        <v>731</v>
      </c>
      <c r="I57" s="230">
        <v>79692.710000000006</v>
      </c>
    </row>
    <row r="58" spans="1:9" x14ac:dyDescent="0.2">
      <c r="A58" s="181">
        <f t="shared" si="0"/>
        <v>57</v>
      </c>
      <c r="B58" s="182">
        <v>40189</v>
      </c>
      <c r="C58" s="182"/>
      <c r="D58" s="183" t="s">
        <v>66</v>
      </c>
      <c r="E58" s="183" t="s">
        <v>422</v>
      </c>
      <c r="F58" s="183" t="s">
        <v>71</v>
      </c>
      <c r="G58" s="183" t="s">
        <v>732</v>
      </c>
      <c r="H58" s="183" t="s">
        <v>255</v>
      </c>
      <c r="I58" s="353">
        <v>189077.79</v>
      </c>
    </row>
    <row r="59" spans="1:9" x14ac:dyDescent="0.2">
      <c r="A59" s="181">
        <f t="shared" si="0"/>
        <v>58</v>
      </c>
      <c r="B59" s="182">
        <v>40189</v>
      </c>
      <c r="C59" s="182"/>
      <c r="D59" s="183" t="s">
        <v>66</v>
      </c>
      <c r="E59" s="183" t="s">
        <v>422</v>
      </c>
      <c r="F59" s="183" t="s">
        <v>396</v>
      </c>
      <c r="G59" s="183" t="s">
        <v>256</v>
      </c>
      <c r="H59" s="183" t="s">
        <v>750</v>
      </c>
      <c r="I59" s="353">
        <v>158255.56</v>
      </c>
    </row>
    <row r="60" spans="1:9" x14ac:dyDescent="0.2">
      <c r="A60" s="181">
        <f t="shared" si="0"/>
        <v>59</v>
      </c>
      <c r="B60" s="182">
        <v>40189</v>
      </c>
      <c r="C60" s="182"/>
      <c r="D60" s="183" t="s">
        <v>66</v>
      </c>
      <c r="E60" s="183" t="s">
        <v>422</v>
      </c>
      <c r="F60" s="183" t="s">
        <v>396</v>
      </c>
      <c r="G60" s="183" t="s">
        <v>751</v>
      </c>
      <c r="H60" s="183" t="s">
        <v>752</v>
      </c>
      <c r="I60" s="353">
        <v>66696</v>
      </c>
    </row>
    <row r="61" spans="1:9" x14ac:dyDescent="0.2">
      <c r="A61" s="181">
        <f t="shared" si="0"/>
        <v>60</v>
      </c>
      <c r="B61" s="182">
        <v>40189</v>
      </c>
      <c r="C61" s="182"/>
      <c r="D61" s="183" t="s">
        <v>66</v>
      </c>
      <c r="E61" s="183" t="s">
        <v>422</v>
      </c>
      <c r="F61" s="183" t="s">
        <v>396</v>
      </c>
      <c r="G61" s="183" t="s">
        <v>753</v>
      </c>
      <c r="H61" s="183" t="s">
        <v>361</v>
      </c>
      <c r="I61" s="353">
        <v>178840</v>
      </c>
    </row>
    <row r="62" spans="1:9" x14ac:dyDescent="0.2">
      <c r="A62" s="181">
        <f t="shared" si="0"/>
        <v>61</v>
      </c>
      <c r="B62" s="182">
        <v>40189</v>
      </c>
      <c r="C62" s="182"/>
      <c r="D62" s="183" t="s">
        <v>66</v>
      </c>
      <c r="E62" s="183" t="s">
        <v>422</v>
      </c>
      <c r="F62" s="183" t="s">
        <v>396</v>
      </c>
      <c r="G62" s="183" t="s">
        <v>362</v>
      </c>
      <c r="H62" s="183" t="s">
        <v>363</v>
      </c>
      <c r="I62" s="356">
        <v>76368</v>
      </c>
    </row>
    <row r="63" spans="1:9" x14ac:dyDescent="0.2">
      <c r="A63" s="181">
        <f t="shared" si="0"/>
        <v>62</v>
      </c>
      <c r="B63" s="182">
        <v>40190</v>
      </c>
      <c r="C63" s="182"/>
      <c r="D63" s="183" t="s">
        <v>66</v>
      </c>
      <c r="E63" s="183" t="s">
        <v>392</v>
      </c>
      <c r="F63" s="183" t="s">
        <v>71</v>
      </c>
      <c r="G63" s="183" t="s">
        <v>364</v>
      </c>
      <c r="H63" s="183" t="s">
        <v>365</v>
      </c>
      <c r="I63" s="357">
        <v>61022.65</v>
      </c>
    </row>
    <row r="64" spans="1:9" x14ac:dyDescent="0.2">
      <c r="A64" s="181">
        <f t="shared" si="0"/>
        <v>63</v>
      </c>
      <c r="B64" s="182">
        <v>40190</v>
      </c>
      <c r="C64" s="182"/>
      <c r="D64" s="183" t="s">
        <v>66</v>
      </c>
      <c r="E64" s="183" t="s">
        <v>392</v>
      </c>
      <c r="F64" s="183" t="s">
        <v>71</v>
      </c>
      <c r="G64" s="183" t="s">
        <v>366</v>
      </c>
      <c r="H64" s="183" t="s">
        <v>175</v>
      </c>
      <c r="I64" s="230">
        <v>37922.449999999997</v>
      </c>
    </row>
    <row r="65" spans="1:9" x14ac:dyDescent="0.2">
      <c r="A65" s="181">
        <f t="shared" si="0"/>
        <v>64</v>
      </c>
      <c r="B65" s="184">
        <v>40191</v>
      </c>
      <c r="C65" s="184"/>
      <c r="D65" s="185" t="s">
        <v>66</v>
      </c>
      <c r="E65" s="185" t="s">
        <v>392</v>
      </c>
      <c r="F65" s="185" t="s">
        <v>701</v>
      </c>
      <c r="G65" s="185" t="s">
        <v>176</v>
      </c>
      <c r="H65" s="185" t="s">
        <v>177</v>
      </c>
      <c r="I65" s="358">
        <v>2895711.66</v>
      </c>
    </row>
    <row r="66" spans="1:9" x14ac:dyDescent="0.2">
      <c r="A66" s="181">
        <f t="shared" si="0"/>
        <v>65</v>
      </c>
      <c r="B66" s="182">
        <v>40192</v>
      </c>
      <c r="C66" s="182"/>
      <c r="D66" s="183" t="s">
        <v>66</v>
      </c>
      <c r="E66" s="183" t="s">
        <v>392</v>
      </c>
      <c r="F66" s="183" t="s">
        <v>393</v>
      </c>
      <c r="G66" s="183" t="s">
        <v>713</v>
      </c>
      <c r="H66" s="183" t="s">
        <v>712</v>
      </c>
      <c r="I66" s="230">
        <v>196375.56</v>
      </c>
    </row>
    <row r="67" spans="1:9" x14ac:dyDescent="0.2">
      <c r="A67" s="181">
        <f t="shared" si="0"/>
        <v>66</v>
      </c>
      <c r="B67" s="182">
        <v>40192</v>
      </c>
      <c r="C67" s="182"/>
      <c r="D67" s="183" t="s">
        <v>66</v>
      </c>
      <c r="E67" s="183" t="s">
        <v>422</v>
      </c>
      <c r="F67" s="183" t="s">
        <v>71</v>
      </c>
      <c r="G67" s="183" t="s">
        <v>714</v>
      </c>
      <c r="H67" s="183" t="s">
        <v>715</v>
      </c>
      <c r="I67" s="356">
        <v>403991.8</v>
      </c>
    </row>
    <row r="68" spans="1:9" x14ac:dyDescent="0.2">
      <c r="A68" s="181">
        <f t="shared" si="0"/>
        <v>67</v>
      </c>
      <c r="B68" s="182">
        <v>40196</v>
      </c>
      <c r="C68" s="182"/>
      <c r="D68" s="183" t="s">
        <v>66</v>
      </c>
      <c r="E68" s="183" t="s">
        <v>422</v>
      </c>
      <c r="F68" s="183" t="s">
        <v>396</v>
      </c>
      <c r="G68" s="183" t="s">
        <v>544</v>
      </c>
      <c r="H68" s="183" t="s">
        <v>545</v>
      </c>
      <c r="I68" s="230">
        <v>76800</v>
      </c>
    </row>
    <row r="69" spans="1:9" x14ac:dyDescent="0.2">
      <c r="A69" s="181">
        <f t="shared" ref="A69:A132" si="1">A68+1</f>
        <v>68</v>
      </c>
      <c r="B69" s="182">
        <v>40196</v>
      </c>
      <c r="C69" s="182"/>
      <c r="D69" s="183" t="s">
        <v>66</v>
      </c>
      <c r="E69" s="183" t="s">
        <v>422</v>
      </c>
      <c r="F69" s="183" t="s">
        <v>396</v>
      </c>
      <c r="G69" s="183" t="s">
        <v>546</v>
      </c>
      <c r="H69" s="183" t="s">
        <v>342</v>
      </c>
      <c r="I69" s="353">
        <v>63750</v>
      </c>
    </row>
    <row r="70" spans="1:9" x14ac:dyDescent="0.2">
      <c r="A70" s="181">
        <f t="shared" si="1"/>
        <v>69</v>
      </c>
      <c r="B70" s="182">
        <v>40196</v>
      </c>
      <c r="C70" s="182"/>
      <c r="D70" s="183" t="s">
        <v>66</v>
      </c>
      <c r="E70" s="183" t="s">
        <v>422</v>
      </c>
      <c r="F70" s="183" t="s">
        <v>701</v>
      </c>
      <c r="G70" s="183" t="s">
        <v>343</v>
      </c>
      <c r="H70" s="183" t="s">
        <v>145</v>
      </c>
      <c r="I70" s="353">
        <v>67758.62</v>
      </c>
    </row>
    <row r="71" spans="1:9" x14ac:dyDescent="0.2">
      <c r="A71" s="181">
        <f t="shared" si="1"/>
        <v>70</v>
      </c>
      <c r="B71" s="182">
        <v>40196</v>
      </c>
      <c r="C71" s="182"/>
      <c r="D71" s="183" t="s">
        <v>66</v>
      </c>
      <c r="E71" s="183" t="s">
        <v>422</v>
      </c>
      <c r="F71" s="183" t="s">
        <v>701</v>
      </c>
      <c r="G71" s="183" t="s">
        <v>146</v>
      </c>
      <c r="H71" s="183" t="s">
        <v>623</v>
      </c>
      <c r="I71" s="353">
        <v>64224.14</v>
      </c>
    </row>
    <row r="72" spans="1:9" x14ac:dyDescent="0.2">
      <c r="A72" s="181">
        <f t="shared" si="1"/>
        <v>71</v>
      </c>
      <c r="B72" s="182">
        <v>40196</v>
      </c>
      <c r="C72" s="182"/>
      <c r="D72" s="183" t="s">
        <v>66</v>
      </c>
      <c r="E72" s="183" t="s">
        <v>422</v>
      </c>
      <c r="F72" s="183" t="s">
        <v>701</v>
      </c>
      <c r="G72" s="183" t="s">
        <v>624</v>
      </c>
      <c r="H72" s="183" t="s">
        <v>626</v>
      </c>
      <c r="I72" s="356">
        <v>157250</v>
      </c>
    </row>
    <row r="73" spans="1:9" x14ac:dyDescent="0.2">
      <c r="A73" s="181">
        <f t="shared" si="1"/>
        <v>72</v>
      </c>
      <c r="B73" s="182">
        <v>40197</v>
      </c>
      <c r="C73" s="182"/>
      <c r="D73" s="183" t="s">
        <v>66</v>
      </c>
      <c r="E73" s="183" t="s">
        <v>392</v>
      </c>
      <c r="F73" s="183" t="s">
        <v>393</v>
      </c>
      <c r="G73" s="183" t="s">
        <v>627</v>
      </c>
      <c r="H73" s="183" t="s">
        <v>628</v>
      </c>
      <c r="I73" s="230">
        <v>65250</v>
      </c>
    </row>
    <row r="74" spans="1:9" x14ac:dyDescent="0.2">
      <c r="A74" s="181">
        <f t="shared" si="1"/>
        <v>73</v>
      </c>
      <c r="B74" s="186">
        <v>40197</v>
      </c>
      <c r="C74" s="186"/>
      <c r="D74" s="187" t="s">
        <v>66</v>
      </c>
      <c r="E74" s="187" t="s">
        <v>422</v>
      </c>
      <c r="F74" s="187" t="s">
        <v>701</v>
      </c>
      <c r="G74" s="187" t="s">
        <v>629</v>
      </c>
      <c r="H74" s="187" t="s">
        <v>338</v>
      </c>
      <c r="I74" s="356">
        <v>67758.62</v>
      </c>
    </row>
    <row r="75" spans="1:9" x14ac:dyDescent="0.2">
      <c r="A75" s="181">
        <f t="shared" si="1"/>
        <v>74</v>
      </c>
      <c r="B75" s="186">
        <v>40198</v>
      </c>
      <c r="C75" s="186"/>
      <c r="D75" s="187" t="s">
        <v>66</v>
      </c>
      <c r="E75" s="187" t="s">
        <v>422</v>
      </c>
      <c r="F75" s="187" t="s">
        <v>71</v>
      </c>
      <c r="G75" s="187" t="s">
        <v>339</v>
      </c>
      <c r="H75" s="187" t="s">
        <v>340</v>
      </c>
      <c r="I75" s="357">
        <v>152792.28</v>
      </c>
    </row>
    <row r="76" spans="1:9" x14ac:dyDescent="0.2">
      <c r="A76" s="181">
        <f t="shared" si="1"/>
        <v>75</v>
      </c>
      <c r="B76" s="182">
        <v>40199</v>
      </c>
      <c r="C76" s="182"/>
      <c r="D76" s="183" t="s">
        <v>66</v>
      </c>
      <c r="E76" s="183" t="s">
        <v>422</v>
      </c>
      <c r="F76" s="183" t="s">
        <v>701</v>
      </c>
      <c r="G76" s="183" t="s">
        <v>478</v>
      </c>
      <c r="H76" s="183" t="s">
        <v>43</v>
      </c>
      <c r="I76" s="230">
        <v>204741.38</v>
      </c>
    </row>
    <row r="77" spans="1:9" x14ac:dyDescent="0.2">
      <c r="A77" s="188">
        <f t="shared" si="1"/>
        <v>76</v>
      </c>
      <c r="B77" s="186">
        <v>40200</v>
      </c>
      <c r="C77" s="186"/>
      <c r="D77" s="187" t="s">
        <v>66</v>
      </c>
      <c r="E77" s="187" t="s">
        <v>422</v>
      </c>
      <c r="F77" s="187" t="s">
        <v>701</v>
      </c>
      <c r="G77" s="187" t="s">
        <v>44</v>
      </c>
      <c r="H77" s="187" t="s">
        <v>429</v>
      </c>
      <c r="I77" s="356">
        <v>188275.86</v>
      </c>
    </row>
    <row r="78" spans="1:9" x14ac:dyDescent="0.2">
      <c r="A78" s="189">
        <f t="shared" si="1"/>
        <v>77</v>
      </c>
      <c r="B78" s="190">
        <v>40205</v>
      </c>
      <c r="C78" s="190"/>
      <c r="D78" s="191" t="s">
        <v>66</v>
      </c>
      <c r="E78" s="191" t="s">
        <v>422</v>
      </c>
      <c r="F78" s="191" t="s">
        <v>701</v>
      </c>
      <c r="G78" s="191" t="s">
        <v>430</v>
      </c>
      <c r="H78" s="191" t="s">
        <v>500</v>
      </c>
      <c r="I78" s="359">
        <v>219827.59</v>
      </c>
    </row>
    <row r="79" spans="1:9" x14ac:dyDescent="0.2">
      <c r="A79" s="189">
        <f t="shared" si="1"/>
        <v>78</v>
      </c>
      <c r="B79" s="190">
        <v>40205</v>
      </c>
      <c r="C79" s="190"/>
      <c r="D79" s="191" t="s">
        <v>66</v>
      </c>
      <c r="E79" s="191" t="s">
        <v>422</v>
      </c>
      <c r="F79" s="191" t="s">
        <v>701</v>
      </c>
      <c r="G79" s="191" t="s">
        <v>501</v>
      </c>
      <c r="H79" s="191" t="s">
        <v>502</v>
      </c>
      <c r="I79" s="360">
        <v>362068.96</v>
      </c>
    </row>
    <row r="80" spans="1:9" x14ac:dyDescent="0.2">
      <c r="A80" s="189">
        <f t="shared" si="1"/>
        <v>79</v>
      </c>
      <c r="B80" s="190">
        <v>40205</v>
      </c>
      <c r="C80" s="190"/>
      <c r="D80" s="191" t="s">
        <v>66</v>
      </c>
      <c r="E80" s="191" t="s">
        <v>422</v>
      </c>
      <c r="F80" s="191" t="s">
        <v>701</v>
      </c>
      <c r="G80" s="191" t="s">
        <v>503</v>
      </c>
      <c r="H80" s="191" t="s">
        <v>431</v>
      </c>
      <c r="I80" s="360">
        <v>271551.71999999997</v>
      </c>
    </row>
    <row r="81" spans="1:9" x14ac:dyDescent="0.2">
      <c r="A81" s="189">
        <f t="shared" si="1"/>
        <v>80</v>
      </c>
      <c r="B81" s="192">
        <v>40205</v>
      </c>
      <c r="C81" s="192"/>
      <c r="D81" s="193" t="s">
        <v>66</v>
      </c>
      <c r="E81" s="193" t="s">
        <v>422</v>
      </c>
      <c r="F81" s="193" t="s">
        <v>701</v>
      </c>
      <c r="G81" s="193" t="s">
        <v>641</v>
      </c>
      <c r="H81" s="193" t="s">
        <v>462</v>
      </c>
      <c r="I81" s="361">
        <v>344827.59</v>
      </c>
    </row>
    <row r="82" spans="1:9" x14ac:dyDescent="0.2">
      <c r="A82" s="181">
        <f t="shared" si="1"/>
        <v>81</v>
      </c>
      <c r="B82" s="194">
        <v>40205</v>
      </c>
      <c r="C82" s="194"/>
      <c r="D82" s="195" t="s">
        <v>66</v>
      </c>
      <c r="E82" s="195" t="s">
        <v>422</v>
      </c>
      <c r="F82" s="195" t="s">
        <v>396</v>
      </c>
      <c r="G82" s="195" t="s">
        <v>463</v>
      </c>
      <c r="H82" s="195" t="s">
        <v>292</v>
      </c>
      <c r="I82" s="362">
        <v>5450453.7400000002</v>
      </c>
    </row>
    <row r="83" spans="1:9" x14ac:dyDescent="0.2">
      <c r="A83" s="181">
        <f t="shared" si="1"/>
        <v>82</v>
      </c>
      <c r="B83" s="182">
        <v>40207</v>
      </c>
      <c r="C83" s="182"/>
      <c r="D83" s="183" t="s">
        <v>66</v>
      </c>
      <c r="E83" s="183" t="s">
        <v>392</v>
      </c>
      <c r="F83" s="183" t="s">
        <v>701</v>
      </c>
      <c r="G83" s="183" t="s">
        <v>293</v>
      </c>
      <c r="H83" s="183" t="s">
        <v>298</v>
      </c>
      <c r="I83" s="230">
        <v>192000</v>
      </c>
    </row>
    <row r="84" spans="1:9" x14ac:dyDescent="0.2">
      <c r="A84" s="181">
        <f t="shared" si="1"/>
        <v>83</v>
      </c>
      <c r="B84" s="182">
        <v>40207</v>
      </c>
      <c r="C84" s="182"/>
      <c r="D84" s="183" t="s">
        <v>66</v>
      </c>
      <c r="E84" s="183" t="s">
        <v>392</v>
      </c>
      <c r="F84" s="183" t="s">
        <v>393</v>
      </c>
      <c r="G84" s="183" t="s">
        <v>299</v>
      </c>
      <c r="H84" s="183" t="s">
        <v>225</v>
      </c>
      <c r="I84" s="353">
        <v>90000</v>
      </c>
    </row>
    <row r="85" spans="1:9" x14ac:dyDescent="0.2">
      <c r="A85" s="181">
        <f t="shared" si="1"/>
        <v>84</v>
      </c>
      <c r="B85" s="182">
        <v>40207</v>
      </c>
      <c r="C85" s="182"/>
      <c r="D85" s="183" t="s">
        <v>66</v>
      </c>
      <c r="E85" s="183" t="s">
        <v>392</v>
      </c>
      <c r="F85" s="183" t="s">
        <v>393</v>
      </c>
      <c r="G85" s="183" t="s">
        <v>226</v>
      </c>
      <c r="H85" s="183" t="s">
        <v>528</v>
      </c>
      <c r="I85" s="353">
        <v>142683.34</v>
      </c>
    </row>
    <row r="86" spans="1:9" x14ac:dyDescent="0.2">
      <c r="A86" s="181">
        <f t="shared" si="1"/>
        <v>85</v>
      </c>
      <c r="B86" s="182">
        <v>40207</v>
      </c>
      <c r="C86" s="182"/>
      <c r="D86" s="183" t="s">
        <v>66</v>
      </c>
      <c r="E86" s="183" t="s">
        <v>392</v>
      </c>
      <c r="F86" s="183" t="s">
        <v>393</v>
      </c>
      <c r="G86" s="183" t="s">
        <v>529</v>
      </c>
      <c r="H86" s="183" t="s">
        <v>530</v>
      </c>
      <c r="I86" s="353">
        <v>117100</v>
      </c>
    </row>
    <row r="87" spans="1:9" x14ac:dyDescent="0.2">
      <c r="A87" s="181">
        <f t="shared" si="1"/>
        <v>86</v>
      </c>
      <c r="B87" s="186">
        <v>40207</v>
      </c>
      <c r="C87" s="186"/>
      <c r="D87" s="187" t="s">
        <v>11</v>
      </c>
      <c r="E87" s="196"/>
      <c r="F87" s="187" t="s">
        <v>701</v>
      </c>
      <c r="G87" s="187" t="s">
        <v>531</v>
      </c>
      <c r="H87" s="187" t="s">
        <v>532</v>
      </c>
      <c r="I87" s="356">
        <v>109482.76</v>
      </c>
    </row>
    <row r="88" spans="1:9" x14ac:dyDescent="0.2">
      <c r="A88" s="181">
        <f t="shared" si="1"/>
        <v>87</v>
      </c>
      <c r="B88" s="182">
        <v>40210</v>
      </c>
      <c r="C88" s="182"/>
      <c r="D88" s="183" t="s">
        <v>66</v>
      </c>
      <c r="E88" s="183" t="s">
        <v>392</v>
      </c>
      <c r="F88" s="183" t="s">
        <v>71</v>
      </c>
      <c r="G88" s="183" t="s">
        <v>533</v>
      </c>
      <c r="H88" s="183" t="s">
        <v>534</v>
      </c>
      <c r="I88" s="230">
        <v>54398.04</v>
      </c>
    </row>
    <row r="89" spans="1:9" x14ac:dyDescent="0.2">
      <c r="A89" s="181">
        <f t="shared" si="1"/>
        <v>88</v>
      </c>
      <c r="B89" s="186">
        <v>40210</v>
      </c>
      <c r="C89" s="186"/>
      <c r="D89" s="187" t="s">
        <v>66</v>
      </c>
      <c r="E89" s="187" t="s">
        <v>392</v>
      </c>
      <c r="F89" s="187" t="s">
        <v>71</v>
      </c>
      <c r="G89" s="187" t="s">
        <v>535</v>
      </c>
      <c r="H89" s="187" t="s">
        <v>536</v>
      </c>
      <c r="I89" s="356">
        <v>74955.399999999994</v>
      </c>
    </row>
    <row r="90" spans="1:9" x14ac:dyDescent="0.2">
      <c r="A90" s="188">
        <f t="shared" si="1"/>
        <v>89</v>
      </c>
      <c r="B90" s="186">
        <v>40212</v>
      </c>
      <c r="C90" s="186"/>
      <c r="D90" s="187" t="s">
        <v>11</v>
      </c>
      <c r="E90" s="187"/>
      <c r="F90" s="187" t="s">
        <v>701</v>
      </c>
      <c r="G90" s="187" t="s">
        <v>537</v>
      </c>
      <c r="H90" s="187" t="s">
        <v>664</v>
      </c>
      <c r="I90" s="357">
        <v>115517.24</v>
      </c>
    </row>
    <row r="91" spans="1:9" x14ac:dyDescent="0.2">
      <c r="A91" s="181">
        <f t="shared" si="1"/>
        <v>90</v>
      </c>
      <c r="B91" s="186">
        <v>40213</v>
      </c>
      <c r="C91" s="186"/>
      <c r="D91" s="187" t="s">
        <v>11</v>
      </c>
      <c r="E91" s="187"/>
      <c r="F91" s="187" t="s">
        <v>701</v>
      </c>
      <c r="G91" s="187" t="s">
        <v>665</v>
      </c>
      <c r="H91" s="187" t="s">
        <v>666</v>
      </c>
      <c r="I91" s="357">
        <v>110000</v>
      </c>
    </row>
    <row r="92" spans="1:9" x14ac:dyDescent="0.2">
      <c r="A92" s="188">
        <f t="shared" si="1"/>
        <v>91</v>
      </c>
      <c r="B92" s="194">
        <v>40214</v>
      </c>
      <c r="C92" s="194"/>
      <c r="D92" s="195" t="s">
        <v>11</v>
      </c>
      <c r="E92" s="195"/>
      <c r="F92" s="195" t="s">
        <v>701</v>
      </c>
      <c r="G92" s="195" t="s">
        <v>667</v>
      </c>
      <c r="H92" s="197" t="s">
        <v>668</v>
      </c>
      <c r="I92" s="362">
        <v>267241.38</v>
      </c>
    </row>
    <row r="93" spans="1:9" x14ac:dyDescent="0.2">
      <c r="A93" s="188">
        <f t="shared" si="1"/>
        <v>92</v>
      </c>
      <c r="B93" s="182">
        <v>40217</v>
      </c>
      <c r="C93" s="182"/>
      <c r="D93" s="183" t="s">
        <v>66</v>
      </c>
      <c r="E93" s="198" t="s">
        <v>422</v>
      </c>
      <c r="F93" s="183" t="s">
        <v>701</v>
      </c>
      <c r="G93" s="183" t="s">
        <v>669</v>
      </c>
      <c r="H93" s="183" t="s">
        <v>251</v>
      </c>
      <c r="I93" s="230">
        <v>190000</v>
      </c>
    </row>
    <row r="94" spans="1:9" x14ac:dyDescent="0.2">
      <c r="A94" s="188">
        <f t="shared" si="1"/>
        <v>93</v>
      </c>
      <c r="B94" s="182">
        <v>40217</v>
      </c>
      <c r="C94" s="182"/>
      <c r="D94" s="183" t="s">
        <v>66</v>
      </c>
      <c r="E94" s="198" t="s">
        <v>422</v>
      </c>
      <c r="F94" s="183" t="s">
        <v>701</v>
      </c>
      <c r="G94" s="183" t="s">
        <v>252</v>
      </c>
      <c r="H94" s="183" t="s">
        <v>253</v>
      </c>
      <c r="I94" s="353">
        <v>191580</v>
      </c>
    </row>
    <row r="95" spans="1:9" x14ac:dyDescent="0.2">
      <c r="A95" s="181">
        <f t="shared" si="1"/>
        <v>94</v>
      </c>
      <c r="B95" s="186">
        <v>40217</v>
      </c>
      <c r="C95" s="186"/>
      <c r="D95" s="187" t="s">
        <v>66</v>
      </c>
      <c r="E95" s="199" t="s">
        <v>422</v>
      </c>
      <c r="F95" s="187" t="s">
        <v>701</v>
      </c>
      <c r="G95" s="187" t="s">
        <v>254</v>
      </c>
      <c r="H95" s="187" t="s">
        <v>419</v>
      </c>
      <c r="I95" s="356">
        <v>60000</v>
      </c>
    </row>
    <row r="96" spans="1:9" x14ac:dyDescent="0.2">
      <c r="A96" s="181">
        <f t="shared" si="1"/>
        <v>95</v>
      </c>
      <c r="B96" s="182">
        <v>40218</v>
      </c>
      <c r="C96" s="182"/>
      <c r="D96" s="183" t="s">
        <v>66</v>
      </c>
      <c r="E96" s="199" t="s">
        <v>422</v>
      </c>
      <c r="F96" s="187" t="s">
        <v>701</v>
      </c>
      <c r="G96" s="183" t="s">
        <v>420</v>
      </c>
      <c r="H96" s="183" t="s">
        <v>187</v>
      </c>
      <c r="I96" s="230">
        <v>51810.34</v>
      </c>
    </row>
    <row r="97" spans="1:9" x14ac:dyDescent="0.2">
      <c r="A97" s="181">
        <f t="shared" si="1"/>
        <v>96</v>
      </c>
      <c r="B97" s="182">
        <v>40218</v>
      </c>
      <c r="C97" s="182"/>
      <c r="D97" s="183" t="s">
        <v>66</v>
      </c>
      <c r="E97" s="199" t="s">
        <v>422</v>
      </c>
      <c r="F97" s="187" t="s">
        <v>701</v>
      </c>
      <c r="G97" s="183" t="s">
        <v>188</v>
      </c>
      <c r="H97" s="183" t="s">
        <v>322</v>
      </c>
      <c r="I97" s="353">
        <v>78362.070000000007</v>
      </c>
    </row>
    <row r="98" spans="1:9" x14ac:dyDescent="0.2">
      <c r="A98" s="181">
        <f t="shared" si="1"/>
        <v>97</v>
      </c>
      <c r="B98" s="186">
        <v>40218</v>
      </c>
      <c r="C98" s="186"/>
      <c r="D98" s="187" t="s">
        <v>66</v>
      </c>
      <c r="E98" s="187" t="s">
        <v>392</v>
      </c>
      <c r="F98" s="187" t="s">
        <v>393</v>
      </c>
      <c r="G98" s="187" t="s">
        <v>323</v>
      </c>
      <c r="H98" s="187" t="s">
        <v>324</v>
      </c>
      <c r="I98" s="356">
        <v>190000</v>
      </c>
    </row>
    <row r="99" spans="1:9" x14ac:dyDescent="0.2">
      <c r="A99" s="181">
        <f t="shared" si="1"/>
        <v>98</v>
      </c>
      <c r="B99" s="182">
        <v>40219</v>
      </c>
      <c r="C99" s="182"/>
      <c r="D99" s="183" t="s">
        <v>11</v>
      </c>
      <c r="E99" s="183"/>
      <c r="F99" s="183" t="s">
        <v>701</v>
      </c>
      <c r="G99" s="183" t="s">
        <v>327</v>
      </c>
      <c r="H99" s="183" t="s">
        <v>518</v>
      </c>
      <c r="I99" s="230">
        <v>100000</v>
      </c>
    </row>
    <row r="100" spans="1:9" x14ac:dyDescent="0.2">
      <c r="A100" s="181">
        <f t="shared" si="1"/>
        <v>99</v>
      </c>
      <c r="B100" s="182">
        <v>40219</v>
      </c>
      <c r="C100" s="182"/>
      <c r="D100" s="183" t="s">
        <v>11</v>
      </c>
      <c r="E100" s="183"/>
      <c r="F100" s="183" t="s">
        <v>701</v>
      </c>
      <c r="G100" s="183" t="s">
        <v>519</v>
      </c>
      <c r="H100" s="183" t="s">
        <v>520</v>
      </c>
      <c r="I100" s="353">
        <v>126724.14</v>
      </c>
    </row>
    <row r="101" spans="1:9" x14ac:dyDescent="0.2">
      <c r="A101" s="181">
        <f t="shared" si="1"/>
        <v>100</v>
      </c>
      <c r="B101" s="194">
        <v>40213</v>
      </c>
      <c r="C101" s="194"/>
      <c r="D101" s="195" t="s">
        <v>66</v>
      </c>
      <c r="E101" s="195" t="s">
        <v>422</v>
      </c>
      <c r="F101" s="195" t="s">
        <v>396</v>
      </c>
      <c r="G101" s="195" t="s">
        <v>521</v>
      </c>
      <c r="H101" s="195" t="s">
        <v>56</v>
      </c>
      <c r="I101" s="358">
        <v>3441800.01</v>
      </c>
    </row>
    <row r="102" spans="1:9" x14ac:dyDescent="0.2">
      <c r="A102" s="181">
        <f t="shared" si="1"/>
        <v>101</v>
      </c>
      <c r="B102" s="182">
        <v>40224</v>
      </c>
      <c r="C102" s="182"/>
      <c r="D102" s="183" t="s">
        <v>66</v>
      </c>
      <c r="E102" s="183" t="s">
        <v>422</v>
      </c>
      <c r="F102" s="183" t="s">
        <v>701</v>
      </c>
      <c r="G102" s="183" t="s">
        <v>328</v>
      </c>
      <c r="H102" s="183" t="s">
        <v>329</v>
      </c>
      <c r="I102" s="230">
        <v>478393.97</v>
      </c>
    </row>
    <row r="103" spans="1:9" x14ac:dyDescent="0.2">
      <c r="A103" s="181">
        <f t="shared" si="1"/>
        <v>102</v>
      </c>
      <c r="B103" s="182">
        <v>40224</v>
      </c>
      <c r="C103" s="182"/>
      <c r="D103" s="183" t="s">
        <v>66</v>
      </c>
      <c r="E103" s="183" t="s">
        <v>422</v>
      </c>
      <c r="F103" s="183" t="s">
        <v>701</v>
      </c>
      <c r="G103" s="183" t="s">
        <v>330</v>
      </c>
      <c r="H103" s="183" t="s">
        <v>331</v>
      </c>
      <c r="I103" s="353">
        <v>911800</v>
      </c>
    </row>
    <row r="104" spans="1:9" x14ac:dyDescent="0.2">
      <c r="A104" s="181">
        <f t="shared" si="1"/>
        <v>103</v>
      </c>
      <c r="B104" s="182">
        <v>40224</v>
      </c>
      <c r="C104" s="182"/>
      <c r="D104" s="183" t="s">
        <v>66</v>
      </c>
      <c r="E104" s="183" t="s">
        <v>422</v>
      </c>
      <c r="F104" s="183" t="s">
        <v>701</v>
      </c>
      <c r="G104" s="183" t="s">
        <v>332</v>
      </c>
      <c r="H104" s="183" t="s">
        <v>722</v>
      </c>
      <c r="I104" s="353">
        <v>150000</v>
      </c>
    </row>
    <row r="105" spans="1:9" x14ac:dyDescent="0.2">
      <c r="A105" s="181">
        <f t="shared" si="1"/>
        <v>104</v>
      </c>
      <c r="B105" s="182">
        <v>40226</v>
      </c>
      <c r="C105" s="182"/>
      <c r="D105" s="183" t="s">
        <v>66</v>
      </c>
      <c r="E105" s="183" t="s">
        <v>422</v>
      </c>
      <c r="F105" s="183" t="s">
        <v>396</v>
      </c>
      <c r="G105" s="183" t="s">
        <v>464</v>
      </c>
      <c r="H105" s="183" t="s">
        <v>465</v>
      </c>
      <c r="I105" s="353">
        <v>189000</v>
      </c>
    </row>
    <row r="106" spans="1:9" x14ac:dyDescent="0.2">
      <c r="A106" s="181">
        <f t="shared" si="1"/>
        <v>105</v>
      </c>
      <c r="B106" s="182">
        <v>40226</v>
      </c>
      <c r="C106" s="182"/>
      <c r="D106" s="183" t="s">
        <v>66</v>
      </c>
      <c r="E106" s="183" t="s">
        <v>422</v>
      </c>
      <c r="F106" s="183" t="s">
        <v>71</v>
      </c>
      <c r="G106" s="183" t="s">
        <v>466</v>
      </c>
      <c r="H106" s="183" t="s">
        <v>81</v>
      </c>
      <c r="I106" s="353">
        <v>567660.46</v>
      </c>
    </row>
    <row r="107" spans="1:9" x14ac:dyDescent="0.2">
      <c r="A107" s="181">
        <f t="shared" si="1"/>
        <v>106</v>
      </c>
      <c r="B107" s="182">
        <v>40226</v>
      </c>
      <c r="C107" s="182"/>
      <c r="D107" s="183" t="s">
        <v>66</v>
      </c>
      <c r="E107" s="183" t="s">
        <v>422</v>
      </c>
      <c r="F107" s="183" t="s">
        <v>71</v>
      </c>
      <c r="G107" s="183" t="s">
        <v>613</v>
      </c>
      <c r="H107" s="183" t="s">
        <v>289</v>
      </c>
      <c r="I107" s="353">
        <v>51601.67</v>
      </c>
    </row>
    <row r="108" spans="1:9" x14ac:dyDescent="0.2">
      <c r="A108" s="181">
        <f t="shared" si="1"/>
        <v>107</v>
      </c>
      <c r="B108" s="194">
        <v>40226</v>
      </c>
      <c r="C108" s="194"/>
      <c r="D108" s="195" t="s">
        <v>66</v>
      </c>
      <c r="E108" s="195" t="s">
        <v>422</v>
      </c>
      <c r="F108" s="195" t="s">
        <v>396</v>
      </c>
      <c r="G108" s="195" t="s">
        <v>290</v>
      </c>
      <c r="H108" s="195" t="s">
        <v>291</v>
      </c>
      <c r="I108" s="362">
        <v>2195955.56</v>
      </c>
    </row>
    <row r="109" spans="1:9" x14ac:dyDescent="0.2">
      <c r="A109" s="181">
        <f t="shared" si="1"/>
        <v>108</v>
      </c>
      <c r="B109" s="186">
        <v>40227</v>
      </c>
      <c r="C109" s="186"/>
      <c r="D109" s="187" t="s">
        <v>66</v>
      </c>
      <c r="E109" s="187" t="s">
        <v>392</v>
      </c>
      <c r="F109" s="187" t="s">
        <v>9</v>
      </c>
      <c r="G109" s="187" t="s">
        <v>358</v>
      </c>
      <c r="H109" s="187" t="s">
        <v>477</v>
      </c>
      <c r="I109" s="357">
        <v>556985.23</v>
      </c>
    </row>
    <row r="110" spans="1:9" x14ac:dyDescent="0.2">
      <c r="A110" s="181">
        <f t="shared" si="1"/>
        <v>109</v>
      </c>
      <c r="B110" s="182">
        <v>40231</v>
      </c>
      <c r="C110" s="182"/>
      <c r="D110" s="183" t="s">
        <v>66</v>
      </c>
      <c r="E110" s="183" t="s">
        <v>422</v>
      </c>
      <c r="F110" s="183" t="s">
        <v>701</v>
      </c>
      <c r="G110" s="183" t="s">
        <v>754</v>
      </c>
      <c r="H110" s="183" t="s">
        <v>548</v>
      </c>
      <c r="I110" s="230">
        <v>205000</v>
      </c>
    </row>
    <row r="111" spans="1:9" x14ac:dyDescent="0.2">
      <c r="A111" s="181">
        <f t="shared" si="1"/>
        <v>110</v>
      </c>
      <c r="B111" s="186">
        <v>40231</v>
      </c>
      <c r="C111" s="186"/>
      <c r="D111" s="187" t="s">
        <v>66</v>
      </c>
      <c r="E111" s="187" t="s">
        <v>422</v>
      </c>
      <c r="F111" s="187" t="s">
        <v>701</v>
      </c>
      <c r="G111" s="187" t="s">
        <v>549</v>
      </c>
      <c r="H111" s="187" t="s">
        <v>360</v>
      </c>
      <c r="I111" s="357">
        <v>74827.59</v>
      </c>
    </row>
    <row r="112" spans="1:9" x14ac:dyDescent="0.2">
      <c r="A112" s="181">
        <f t="shared" si="1"/>
        <v>111</v>
      </c>
      <c r="B112" s="182">
        <v>40233</v>
      </c>
      <c r="C112" s="182"/>
      <c r="D112" s="183" t="s">
        <v>66</v>
      </c>
      <c r="E112" s="183" t="s">
        <v>392</v>
      </c>
      <c r="F112" s="183" t="s">
        <v>393</v>
      </c>
      <c r="G112" s="183" t="s">
        <v>838</v>
      </c>
      <c r="H112" s="183" t="s">
        <v>839</v>
      </c>
      <c r="I112" s="230">
        <v>110000</v>
      </c>
    </row>
    <row r="113" spans="1:9" x14ac:dyDescent="0.2">
      <c r="A113" s="181">
        <f t="shared" si="1"/>
        <v>112</v>
      </c>
      <c r="B113" s="182">
        <v>40233</v>
      </c>
      <c r="C113" s="182"/>
      <c r="D113" s="183" t="s">
        <v>66</v>
      </c>
      <c r="E113" s="183" t="s">
        <v>392</v>
      </c>
      <c r="F113" s="183" t="s">
        <v>393</v>
      </c>
      <c r="G113" s="183" t="s">
        <v>840</v>
      </c>
      <c r="H113" s="183" t="s">
        <v>841</v>
      </c>
      <c r="I113" s="353">
        <v>137755.56</v>
      </c>
    </row>
    <row r="114" spans="1:9" x14ac:dyDescent="0.2">
      <c r="A114" s="181">
        <f t="shared" si="1"/>
        <v>113</v>
      </c>
      <c r="B114" s="182">
        <v>40233</v>
      </c>
      <c r="C114" s="182"/>
      <c r="D114" s="183" t="s">
        <v>66</v>
      </c>
      <c r="E114" s="183" t="s">
        <v>392</v>
      </c>
      <c r="F114" s="183" t="s">
        <v>393</v>
      </c>
      <c r="G114" s="183" t="s">
        <v>842</v>
      </c>
      <c r="H114" s="183" t="s">
        <v>550</v>
      </c>
      <c r="I114" s="353">
        <v>110000</v>
      </c>
    </row>
    <row r="115" spans="1:9" x14ac:dyDescent="0.2">
      <c r="A115" s="181">
        <f t="shared" si="1"/>
        <v>114</v>
      </c>
      <c r="B115" s="182">
        <v>40233</v>
      </c>
      <c r="C115" s="182"/>
      <c r="D115" s="183" t="s">
        <v>66</v>
      </c>
      <c r="E115" s="183" t="s">
        <v>392</v>
      </c>
      <c r="F115" s="183" t="s">
        <v>393</v>
      </c>
      <c r="G115" s="183" t="s">
        <v>558</v>
      </c>
      <c r="H115" s="183" t="s">
        <v>677</v>
      </c>
      <c r="I115" s="353">
        <v>150000</v>
      </c>
    </row>
    <row r="116" spans="1:9" x14ac:dyDescent="0.2">
      <c r="A116" s="189">
        <f t="shared" si="1"/>
        <v>115</v>
      </c>
      <c r="B116" s="192">
        <v>40233</v>
      </c>
      <c r="C116" s="192"/>
      <c r="D116" s="193" t="s">
        <v>66</v>
      </c>
      <c r="E116" s="193" t="s">
        <v>392</v>
      </c>
      <c r="F116" s="193" t="s">
        <v>393</v>
      </c>
      <c r="G116" s="193" t="s">
        <v>678</v>
      </c>
      <c r="H116" s="193" t="s">
        <v>679</v>
      </c>
      <c r="I116" s="363">
        <v>150000</v>
      </c>
    </row>
    <row r="117" spans="1:9" x14ac:dyDescent="0.2">
      <c r="A117" s="181">
        <f t="shared" si="1"/>
        <v>116</v>
      </c>
      <c r="B117" s="182">
        <v>40234</v>
      </c>
      <c r="C117" s="182"/>
      <c r="D117" s="183" t="s">
        <v>66</v>
      </c>
      <c r="E117" s="183" t="s">
        <v>392</v>
      </c>
      <c r="F117" s="183" t="s">
        <v>396</v>
      </c>
      <c r="G117" s="183" t="s">
        <v>489</v>
      </c>
      <c r="H117" s="183" t="s">
        <v>490</v>
      </c>
      <c r="I117" s="230">
        <v>121481.1</v>
      </c>
    </row>
    <row r="118" spans="1:9" x14ac:dyDescent="0.2">
      <c r="A118" s="181">
        <f t="shared" si="1"/>
        <v>117</v>
      </c>
      <c r="B118" s="182">
        <v>40234</v>
      </c>
      <c r="C118" s="182"/>
      <c r="D118" s="183" t="s">
        <v>66</v>
      </c>
      <c r="E118" s="183" t="s">
        <v>392</v>
      </c>
      <c r="F118" s="183" t="s">
        <v>71</v>
      </c>
      <c r="G118" s="183" t="s">
        <v>491</v>
      </c>
      <c r="H118" s="183" t="s">
        <v>671</v>
      </c>
      <c r="I118" s="353">
        <v>47908.52</v>
      </c>
    </row>
    <row r="119" spans="1:9" x14ac:dyDescent="0.2">
      <c r="A119" s="181">
        <f t="shared" si="1"/>
        <v>118</v>
      </c>
      <c r="B119" s="182">
        <v>40234</v>
      </c>
      <c r="C119" s="182"/>
      <c r="D119" s="183" t="s">
        <v>66</v>
      </c>
      <c r="E119" s="183" t="s">
        <v>392</v>
      </c>
      <c r="F119" s="183" t="s">
        <v>71</v>
      </c>
      <c r="G119" s="183" t="s">
        <v>672</v>
      </c>
      <c r="H119" s="183" t="s">
        <v>673</v>
      </c>
      <c r="I119" s="353">
        <v>66870.63</v>
      </c>
    </row>
    <row r="120" spans="1:9" x14ac:dyDescent="0.2">
      <c r="A120" s="181">
        <f t="shared" si="1"/>
        <v>119</v>
      </c>
      <c r="B120" s="186">
        <v>40234</v>
      </c>
      <c r="C120" s="186"/>
      <c r="D120" s="187" t="s">
        <v>66</v>
      </c>
      <c r="E120" s="187" t="s">
        <v>392</v>
      </c>
      <c r="F120" s="187" t="s">
        <v>71</v>
      </c>
      <c r="G120" s="187" t="s">
        <v>674</v>
      </c>
      <c r="H120" s="187" t="s">
        <v>386</v>
      </c>
      <c r="I120" s="356">
        <v>146757.07</v>
      </c>
    </row>
    <row r="121" spans="1:9" x14ac:dyDescent="0.2">
      <c r="A121" s="181">
        <f t="shared" si="1"/>
        <v>120</v>
      </c>
      <c r="B121" s="186">
        <v>40235</v>
      </c>
      <c r="C121" s="186"/>
      <c r="D121" s="187" t="s">
        <v>66</v>
      </c>
      <c r="E121" s="187" t="s">
        <v>422</v>
      </c>
      <c r="F121" s="187" t="s">
        <v>701</v>
      </c>
      <c r="G121" s="187" t="s">
        <v>723</v>
      </c>
      <c r="H121" s="187" t="s">
        <v>169</v>
      </c>
      <c r="I121" s="357">
        <v>190000</v>
      </c>
    </row>
    <row r="122" spans="1:9" x14ac:dyDescent="0.2">
      <c r="A122" s="181">
        <f t="shared" si="1"/>
        <v>121</v>
      </c>
      <c r="B122" s="182">
        <v>40238</v>
      </c>
      <c r="C122" s="182"/>
      <c r="D122" s="183" t="s">
        <v>66</v>
      </c>
      <c r="E122" s="183" t="s">
        <v>422</v>
      </c>
      <c r="F122" s="183" t="s">
        <v>701</v>
      </c>
      <c r="G122" s="183" t="s">
        <v>359</v>
      </c>
      <c r="H122" s="183" t="s">
        <v>14</v>
      </c>
      <c r="I122" s="230">
        <v>48000</v>
      </c>
    </row>
    <row r="123" spans="1:9" x14ac:dyDescent="0.2">
      <c r="A123" s="181">
        <f t="shared" si="1"/>
        <v>122</v>
      </c>
      <c r="B123" s="182">
        <v>40238</v>
      </c>
      <c r="C123" s="182"/>
      <c r="D123" s="183" t="s">
        <v>66</v>
      </c>
      <c r="E123" s="183" t="s">
        <v>422</v>
      </c>
      <c r="F123" s="183" t="s">
        <v>701</v>
      </c>
      <c r="G123" s="183" t="s">
        <v>15</v>
      </c>
      <c r="H123" s="183" t="s">
        <v>442</v>
      </c>
      <c r="I123" s="353">
        <v>55258.62</v>
      </c>
    </row>
    <row r="124" spans="1:9" x14ac:dyDescent="0.2">
      <c r="A124" s="181">
        <f t="shared" si="1"/>
        <v>123</v>
      </c>
      <c r="B124" s="182">
        <v>40238</v>
      </c>
      <c r="C124" s="182"/>
      <c r="D124" s="183" t="s">
        <v>66</v>
      </c>
      <c r="E124" s="183" t="s">
        <v>422</v>
      </c>
      <c r="F124" s="183" t="s">
        <v>71</v>
      </c>
      <c r="G124" s="183" t="s">
        <v>443</v>
      </c>
      <c r="H124" s="183" t="s">
        <v>344</v>
      </c>
      <c r="I124" s="353">
        <v>158400</v>
      </c>
    </row>
    <row r="125" spans="1:9" x14ac:dyDescent="0.2">
      <c r="A125" s="181">
        <f t="shared" si="1"/>
        <v>124</v>
      </c>
      <c r="B125" s="186">
        <v>40238</v>
      </c>
      <c r="C125" s="186"/>
      <c r="D125" s="187" t="s">
        <v>66</v>
      </c>
      <c r="E125" s="187" t="s">
        <v>392</v>
      </c>
      <c r="F125" s="187" t="s">
        <v>701</v>
      </c>
      <c r="G125" s="187" t="s">
        <v>345</v>
      </c>
      <c r="H125" s="187" t="s">
        <v>34</v>
      </c>
      <c r="I125" s="356">
        <v>155172.41</v>
      </c>
    </row>
    <row r="126" spans="1:9" x14ac:dyDescent="0.2">
      <c r="A126" s="181">
        <f t="shared" si="1"/>
        <v>125</v>
      </c>
      <c r="B126" s="182">
        <v>40239</v>
      </c>
      <c r="C126" s="182"/>
      <c r="D126" s="183" t="s">
        <v>66</v>
      </c>
      <c r="E126" s="183" t="s">
        <v>422</v>
      </c>
      <c r="F126" s="183" t="s">
        <v>396</v>
      </c>
      <c r="G126" s="183" t="s">
        <v>686</v>
      </c>
      <c r="H126" s="183" t="s">
        <v>687</v>
      </c>
      <c r="I126" s="230">
        <v>320760</v>
      </c>
    </row>
    <row r="127" spans="1:9" x14ac:dyDescent="0.2">
      <c r="A127" s="181">
        <f t="shared" si="1"/>
        <v>126</v>
      </c>
      <c r="B127" s="182">
        <v>40239</v>
      </c>
      <c r="C127" s="182"/>
      <c r="D127" s="183" t="s">
        <v>66</v>
      </c>
      <c r="E127" s="183" t="s">
        <v>422</v>
      </c>
      <c r="F127" s="183" t="s">
        <v>396</v>
      </c>
      <c r="G127" s="183" t="s">
        <v>688</v>
      </c>
      <c r="H127" s="183" t="s">
        <v>595</v>
      </c>
      <c r="I127" s="353">
        <v>231000</v>
      </c>
    </row>
    <row r="128" spans="1:9" x14ac:dyDescent="0.2">
      <c r="A128" s="181">
        <f t="shared" si="1"/>
        <v>127</v>
      </c>
      <c r="B128" s="186">
        <v>40239</v>
      </c>
      <c r="C128" s="186"/>
      <c r="D128" s="187" t="s">
        <v>66</v>
      </c>
      <c r="E128" s="187" t="s">
        <v>422</v>
      </c>
      <c r="F128" s="187" t="s">
        <v>396</v>
      </c>
      <c r="G128" s="187" t="s">
        <v>596</v>
      </c>
      <c r="H128" s="187" t="s">
        <v>597</v>
      </c>
      <c r="I128" s="356">
        <v>941666.67</v>
      </c>
    </row>
    <row r="129" spans="1:9" x14ac:dyDescent="0.2">
      <c r="A129" s="181">
        <f t="shared" si="1"/>
        <v>128</v>
      </c>
      <c r="B129" s="182">
        <v>40240</v>
      </c>
      <c r="C129" s="182"/>
      <c r="D129" s="183" t="s">
        <v>66</v>
      </c>
      <c r="E129" s="183" t="s">
        <v>392</v>
      </c>
      <c r="F129" s="183" t="s">
        <v>393</v>
      </c>
      <c r="G129" s="183" t="s">
        <v>13</v>
      </c>
      <c r="H129" s="183" t="s">
        <v>851</v>
      </c>
      <c r="I129" s="230">
        <v>190000</v>
      </c>
    </row>
    <row r="130" spans="1:9" x14ac:dyDescent="0.2">
      <c r="A130" s="181">
        <f t="shared" si="1"/>
        <v>129</v>
      </c>
      <c r="B130" s="182">
        <v>40240</v>
      </c>
      <c r="C130" s="182"/>
      <c r="D130" s="183" t="s">
        <v>66</v>
      </c>
      <c r="E130" s="183" t="s">
        <v>392</v>
      </c>
      <c r="F130" s="183" t="s">
        <v>393</v>
      </c>
      <c r="G130" s="183" t="s">
        <v>852</v>
      </c>
      <c r="H130" s="183" t="s">
        <v>439</v>
      </c>
      <c r="I130" s="353">
        <v>160066.67000000001</v>
      </c>
    </row>
    <row r="131" spans="1:9" x14ac:dyDescent="0.2">
      <c r="A131" s="181">
        <f t="shared" si="1"/>
        <v>130</v>
      </c>
      <c r="B131" s="182">
        <v>40240</v>
      </c>
      <c r="C131" s="182"/>
      <c r="D131" s="183" t="s">
        <v>66</v>
      </c>
      <c r="E131" s="183" t="s">
        <v>392</v>
      </c>
      <c r="F131" s="183" t="s">
        <v>393</v>
      </c>
      <c r="G131" s="183" t="s">
        <v>440</v>
      </c>
      <c r="H131" s="183" t="s">
        <v>346</v>
      </c>
      <c r="I131" s="353">
        <v>156888.89000000001</v>
      </c>
    </row>
    <row r="132" spans="1:9" x14ac:dyDescent="0.2">
      <c r="A132" s="181">
        <f t="shared" si="1"/>
        <v>131</v>
      </c>
      <c r="B132" s="182">
        <v>40240</v>
      </c>
      <c r="C132" s="182"/>
      <c r="D132" s="183" t="s">
        <v>66</v>
      </c>
      <c r="E132" s="183" t="s">
        <v>392</v>
      </c>
      <c r="F132" s="183" t="s">
        <v>393</v>
      </c>
      <c r="G132" s="183" t="s">
        <v>347</v>
      </c>
      <c r="H132" s="183" t="s">
        <v>348</v>
      </c>
      <c r="I132" s="353">
        <v>128622.22</v>
      </c>
    </row>
    <row r="133" spans="1:9" x14ac:dyDescent="0.2">
      <c r="A133" s="181">
        <f t="shared" ref="A133:A198" si="2">A132+1</f>
        <v>132</v>
      </c>
      <c r="B133" s="182">
        <v>40240</v>
      </c>
      <c r="C133" s="182"/>
      <c r="D133" s="183" t="s">
        <v>66</v>
      </c>
      <c r="E133" s="183" t="s">
        <v>392</v>
      </c>
      <c r="F133" s="183" t="s">
        <v>393</v>
      </c>
      <c r="G133" s="183" t="s">
        <v>349</v>
      </c>
      <c r="H133" s="183" t="s">
        <v>350</v>
      </c>
      <c r="I133" s="353">
        <v>118622.22</v>
      </c>
    </row>
    <row r="134" spans="1:9" x14ac:dyDescent="0.2">
      <c r="A134" s="181">
        <f t="shared" si="2"/>
        <v>133</v>
      </c>
      <c r="B134" s="182">
        <v>40240</v>
      </c>
      <c r="C134" s="182"/>
      <c r="D134" s="183" t="s">
        <v>66</v>
      </c>
      <c r="E134" s="183" t="s">
        <v>392</v>
      </c>
      <c r="F134" s="183" t="s">
        <v>396</v>
      </c>
      <c r="G134" s="183" t="s">
        <v>351</v>
      </c>
      <c r="H134" s="183" t="s">
        <v>352</v>
      </c>
      <c r="I134" s="353">
        <v>86000</v>
      </c>
    </row>
    <row r="135" spans="1:9" x14ac:dyDescent="0.2">
      <c r="A135" s="181">
        <f t="shared" si="2"/>
        <v>134</v>
      </c>
      <c r="B135" s="182">
        <v>40240</v>
      </c>
      <c r="C135" s="182"/>
      <c r="D135" s="183" t="s">
        <v>66</v>
      </c>
      <c r="E135" s="183" t="s">
        <v>392</v>
      </c>
      <c r="F135" s="183" t="s">
        <v>9</v>
      </c>
      <c r="G135" s="183" t="s">
        <v>353</v>
      </c>
      <c r="H135" s="183" t="s">
        <v>184</v>
      </c>
      <c r="I135" s="353">
        <v>87285.71</v>
      </c>
    </row>
    <row r="136" spans="1:9" x14ac:dyDescent="0.2">
      <c r="A136" s="181">
        <f t="shared" si="2"/>
        <v>135</v>
      </c>
      <c r="B136" s="182">
        <v>40240</v>
      </c>
      <c r="C136" s="182"/>
      <c r="D136" s="183" t="s">
        <v>66</v>
      </c>
      <c r="E136" s="183" t="s">
        <v>392</v>
      </c>
      <c r="F136" s="183" t="s">
        <v>9</v>
      </c>
      <c r="G136" s="183" t="s">
        <v>185</v>
      </c>
      <c r="H136" s="183" t="s">
        <v>805</v>
      </c>
      <c r="I136" s="356">
        <v>149401.47</v>
      </c>
    </row>
    <row r="137" spans="1:9" x14ac:dyDescent="0.2">
      <c r="A137" s="181">
        <f t="shared" si="2"/>
        <v>136</v>
      </c>
      <c r="B137" s="186">
        <v>40241</v>
      </c>
      <c r="C137" s="186"/>
      <c r="D137" s="187" t="s">
        <v>66</v>
      </c>
      <c r="E137" s="187" t="s">
        <v>392</v>
      </c>
      <c r="F137" s="187" t="s">
        <v>393</v>
      </c>
      <c r="G137" s="187" t="s">
        <v>204</v>
      </c>
      <c r="H137" s="187" t="s">
        <v>209</v>
      </c>
      <c r="I137" s="357">
        <v>190000</v>
      </c>
    </row>
    <row r="138" spans="1:9" x14ac:dyDescent="0.2">
      <c r="A138" s="181">
        <f t="shared" si="2"/>
        <v>137</v>
      </c>
      <c r="B138" s="182">
        <v>40242</v>
      </c>
      <c r="C138" s="182"/>
      <c r="D138" s="183" t="s">
        <v>66</v>
      </c>
      <c r="E138" s="183" t="s">
        <v>422</v>
      </c>
      <c r="F138" s="183" t="s">
        <v>396</v>
      </c>
      <c r="G138" s="183" t="s">
        <v>82</v>
      </c>
      <c r="H138" s="183" t="s">
        <v>83</v>
      </c>
      <c r="I138" s="230">
        <v>77400</v>
      </c>
    </row>
    <row r="139" spans="1:9" x14ac:dyDescent="0.2">
      <c r="A139" s="181">
        <f t="shared" si="2"/>
        <v>138</v>
      </c>
      <c r="B139" s="182">
        <v>40242</v>
      </c>
      <c r="C139" s="182"/>
      <c r="D139" s="183" t="s">
        <v>66</v>
      </c>
      <c r="E139" s="183" t="s">
        <v>392</v>
      </c>
      <c r="F139" s="183" t="s">
        <v>9</v>
      </c>
      <c r="G139" s="183" t="s">
        <v>84</v>
      </c>
      <c r="H139" s="183" t="s">
        <v>589</v>
      </c>
      <c r="I139" s="353">
        <v>550607.14</v>
      </c>
    </row>
    <row r="140" spans="1:9" x14ac:dyDescent="0.2">
      <c r="A140" s="181">
        <f t="shared" si="2"/>
        <v>139</v>
      </c>
      <c r="B140" s="186">
        <v>40242</v>
      </c>
      <c r="C140" s="186"/>
      <c r="D140" s="187" t="s">
        <v>66</v>
      </c>
      <c r="E140" s="187" t="s">
        <v>392</v>
      </c>
      <c r="F140" s="187" t="s">
        <v>9</v>
      </c>
      <c r="G140" s="187" t="s">
        <v>590</v>
      </c>
      <c r="H140" s="187" t="s">
        <v>612</v>
      </c>
      <c r="I140" s="356">
        <v>259179.8</v>
      </c>
    </row>
    <row r="141" spans="1:9" x14ac:dyDescent="0.2">
      <c r="A141" s="181">
        <f t="shared" si="2"/>
        <v>140</v>
      </c>
      <c r="B141" s="182">
        <v>40245</v>
      </c>
      <c r="C141" s="182"/>
      <c r="D141" s="183" t="s">
        <v>66</v>
      </c>
      <c r="E141" s="183" t="s">
        <v>392</v>
      </c>
      <c r="F141" s="183" t="s">
        <v>393</v>
      </c>
      <c r="G141" s="183" t="s">
        <v>689</v>
      </c>
      <c r="H141" s="183" t="s">
        <v>508</v>
      </c>
      <c r="I141" s="230">
        <v>190000</v>
      </c>
    </row>
    <row r="142" spans="1:9" x14ac:dyDescent="0.2">
      <c r="A142" s="181">
        <f t="shared" si="2"/>
        <v>141</v>
      </c>
      <c r="B142" s="184">
        <v>40245</v>
      </c>
      <c r="C142" s="184"/>
      <c r="D142" s="185" t="s">
        <v>11</v>
      </c>
      <c r="E142" s="185"/>
      <c r="F142" s="185" t="s">
        <v>701</v>
      </c>
      <c r="G142" s="185" t="s">
        <v>509</v>
      </c>
      <c r="H142" s="185" t="s">
        <v>401</v>
      </c>
      <c r="I142" s="354">
        <v>490000</v>
      </c>
    </row>
    <row r="143" spans="1:9" x14ac:dyDescent="0.2">
      <c r="A143" s="181">
        <f t="shared" si="2"/>
        <v>142</v>
      </c>
      <c r="B143" s="182">
        <v>40246</v>
      </c>
      <c r="C143" s="182"/>
      <c r="D143" s="183" t="s">
        <v>66</v>
      </c>
      <c r="E143" s="183" t="s">
        <v>392</v>
      </c>
      <c r="F143" s="183" t="s">
        <v>393</v>
      </c>
      <c r="G143" s="183" t="s">
        <v>402</v>
      </c>
      <c r="H143" s="183" t="s">
        <v>89</v>
      </c>
      <c r="I143" s="353">
        <v>80400</v>
      </c>
    </row>
    <row r="144" spans="1:9" x14ac:dyDescent="0.2">
      <c r="A144" s="181">
        <f t="shared" si="2"/>
        <v>143</v>
      </c>
      <c r="B144" s="182">
        <v>40246</v>
      </c>
      <c r="C144" s="182"/>
      <c r="D144" s="183" t="s">
        <v>66</v>
      </c>
      <c r="E144" s="183" t="s">
        <v>392</v>
      </c>
      <c r="F144" s="183" t="s">
        <v>393</v>
      </c>
      <c r="G144" s="183" t="s">
        <v>90</v>
      </c>
      <c r="H144" s="183" t="s">
        <v>307</v>
      </c>
      <c r="I144" s="353">
        <v>85560</v>
      </c>
    </row>
    <row r="145" spans="1:9" x14ac:dyDescent="0.2">
      <c r="A145" s="181">
        <f t="shared" si="2"/>
        <v>144</v>
      </c>
      <c r="B145" s="182">
        <v>40246</v>
      </c>
      <c r="C145" s="182"/>
      <c r="D145" s="183" t="s">
        <v>66</v>
      </c>
      <c r="E145" s="183" t="s">
        <v>392</v>
      </c>
      <c r="F145" s="183" t="s">
        <v>393</v>
      </c>
      <c r="G145" s="183" t="s">
        <v>308</v>
      </c>
      <c r="H145" s="183" t="s">
        <v>741</v>
      </c>
      <c r="I145" s="353">
        <v>65250</v>
      </c>
    </row>
    <row r="146" spans="1:9" x14ac:dyDescent="0.2">
      <c r="A146" s="181">
        <f t="shared" si="2"/>
        <v>145</v>
      </c>
      <c r="B146" s="186">
        <v>40246</v>
      </c>
      <c r="C146" s="186"/>
      <c r="D146" s="187" t="s">
        <v>66</v>
      </c>
      <c r="E146" s="187" t="s">
        <v>392</v>
      </c>
      <c r="F146" s="187" t="s">
        <v>393</v>
      </c>
      <c r="G146" s="187" t="s">
        <v>742</v>
      </c>
      <c r="H146" s="187" t="s">
        <v>743</v>
      </c>
      <c r="I146" s="356">
        <v>172142.22</v>
      </c>
    </row>
    <row r="147" spans="1:9" x14ac:dyDescent="0.2">
      <c r="A147" s="181">
        <f t="shared" si="2"/>
        <v>146</v>
      </c>
      <c r="B147" s="186">
        <v>40248</v>
      </c>
      <c r="C147" s="186"/>
      <c r="D147" s="187" t="s">
        <v>66</v>
      </c>
      <c r="E147" s="187" t="s">
        <v>392</v>
      </c>
      <c r="F147" s="187" t="s">
        <v>396</v>
      </c>
      <c r="G147" s="187" t="s">
        <v>371</v>
      </c>
      <c r="H147" s="187" t="s">
        <v>372</v>
      </c>
      <c r="I147" s="357">
        <v>87481.82</v>
      </c>
    </row>
    <row r="148" spans="1:9" x14ac:dyDescent="0.2">
      <c r="A148" s="181">
        <f t="shared" si="2"/>
        <v>147</v>
      </c>
      <c r="B148" s="186">
        <v>40249</v>
      </c>
      <c r="C148" s="186"/>
      <c r="D148" s="187" t="s">
        <v>66</v>
      </c>
      <c r="E148" s="187" t="s">
        <v>392</v>
      </c>
      <c r="F148" s="187" t="s">
        <v>393</v>
      </c>
      <c r="G148" s="187" t="s">
        <v>421</v>
      </c>
      <c r="H148" s="187" t="s">
        <v>186</v>
      </c>
      <c r="I148" s="357">
        <v>190000</v>
      </c>
    </row>
    <row r="149" spans="1:9" x14ac:dyDescent="0.2">
      <c r="A149" s="181">
        <f t="shared" si="2"/>
        <v>148</v>
      </c>
      <c r="B149" s="182">
        <v>40252</v>
      </c>
      <c r="C149" s="182"/>
      <c r="D149" s="183" t="s">
        <v>66</v>
      </c>
      <c r="E149" s="183" t="s">
        <v>392</v>
      </c>
      <c r="F149" s="183" t="s">
        <v>71</v>
      </c>
      <c r="G149" s="183" t="s">
        <v>130</v>
      </c>
      <c r="H149" s="183" t="s">
        <v>467</v>
      </c>
      <c r="I149" s="230">
        <v>137196.44</v>
      </c>
    </row>
    <row r="150" spans="1:9" x14ac:dyDescent="0.2">
      <c r="A150" s="181">
        <f t="shared" si="2"/>
        <v>149</v>
      </c>
      <c r="B150" s="182">
        <v>40252</v>
      </c>
      <c r="C150" s="182"/>
      <c r="D150" s="183" t="s">
        <v>66</v>
      </c>
      <c r="E150" s="183" t="s">
        <v>392</v>
      </c>
      <c r="F150" s="183" t="s">
        <v>71</v>
      </c>
      <c r="G150" s="183" t="s">
        <v>468</v>
      </c>
      <c r="H150" s="183" t="s">
        <v>469</v>
      </c>
      <c r="I150" s="353">
        <v>57193.27</v>
      </c>
    </row>
    <row r="151" spans="1:9" x14ac:dyDescent="0.2">
      <c r="A151" s="181">
        <f t="shared" si="2"/>
        <v>150</v>
      </c>
      <c r="B151" s="182">
        <v>40252</v>
      </c>
      <c r="C151" s="182"/>
      <c r="D151" s="183" t="s">
        <v>66</v>
      </c>
      <c r="E151" s="183" t="s">
        <v>392</v>
      </c>
      <c r="F151" s="183" t="s">
        <v>393</v>
      </c>
      <c r="G151" s="183" t="s">
        <v>470</v>
      </c>
      <c r="H151" s="183" t="s">
        <v>156</v>
      </c>
      <c r="I151" s="353">
        <v>61568.01</v>
      </c>
    </row>
    <row r="152" spans="1:9" x14ac:dyDescent="0.2">
      <c r="A152" s="181">
        <f t="shared" si="2"/>
        <v>151</v>
      </c>
      <c r="B152" s="182">
        <v>40252</v>
      </c>
      <c r="C152" s="182"/>
      <c r="D152" s="183" t="s">
        <v>66</v>
      </c>
      <c r="E152" s="183" t="s">
        <v>392</v>
      </c>
      <c r="F152" s="183" t="s">
        <v>393</v>
      </c>
      <c r="G152" s="183" t="s">
        <v>157</v>
      </c>
      <c r="H152" s="183" t="s">
        <v>158</v>
      </c>
      <c r="I152" s="353">
        <v>60000</v>
      </c>
    </row>
    <row r="153" spans="1:9" x14ac:dyDescent="0.2">
      <c r="A153" s="181">
        <f t="shared" si="2"/>
        <v>152</v>
      </c>
      <c r="B153" s="182">
        <v>40252</v>
      </c>
      <c r="C153" s="182"/>
      <c r="D153" s="183" t="s">
        <v>66</v>
      </c>
      <c r="E153" s="183" t="s">
        <v>422</v>
      </c>
      <c r="F153" s="183" t="s">
        <v>71</v>
      </c>
      <c r="G153" s="183" t="s">
        <v>159</v>
      </c>
      <c r="H153" s="183" t="s">
        <v>160</v>
      </c>
      <c r="I153" s="353">
        <v>453509.86</v>
      </c>
    </row>
    <row r="154" spans="1:9" x14ac:dyDescent="0.2">
      <c r="A154" s="181">
        <f t="shared" si="2"/>
        <v>153</v>
      </c>
      <c r="B154" s="182">
        <v>40252</v>
      </c>
      <c r="C154" s="182"/>
      <c r="D154" s="183" t="s">
        <v>66</v>
      </c>
      <c r="E154" s="183" t="s">
        <v>392</v>
      </c>
      <c r="F154" s="183" t="s">
        <v>71</v>
      </c>
      <c r="G154" s="183" t="s">
        <v>161</v>
      </c>
      <c r="H154" s="183" t="s">
        <v>162</v>
      </c>
      <c r="I154" s="353">
        <v>68179.91</v>
      </c>
    </row>
    <row r="155" spans="1:9" x14ac:dyDescent="0.2">
      <c r="A155" s="181">
        <f t="shared" si="2"/>
        <v>154</v>
      </c>
      <c r="B155" s="182">
        <v>40252</v>
      </c>
      <c r="C155" s="182"/>
      <c r="D155" s="183" t="s">
        <v>66</v>
      </c>
      <c r="E155" s="183" t="s">
        <v>392</v>
      </c>
      <c r="F155" s="183" t="s">
        <v>71</v>
      </c>
      <c r="G155" s="183" t="s">
        <v>239</v>
      </c>
      <c r="H155" s="183" t="s">
        <v>240</v>
      </c>
      <c r="I155" s="353">
        <v>68790.94</v>
      </c>
    </row>
    <row r="156" spans="1:9" x14ac:dyDescent="0.2">
      <c r="A156" s="181">
        <f t="shared" si="2"/>
        <v>155</v>
      </c>
      <c r="B156" s="182">
        <v>40252</v>
      </c>
      <c r="C156" s="182"/>
      <c r="D156" s="183" t="s">
        <v>66</v>
      </c>
      <c r="E156" s="183" t="s">
        <v>392</v>
      </c>
      <c r="F156" s="183" t="s">
        <v>71</v>
      </c>
      <c r="G156" s="183" t="s">
        <v>241</v>
      </c>
      <c r="H156" s="183" t="s">
        <v>242</v>
      </c>
      <c r="I156" s="353">
        <v>79749.8</v>
      </c>
    </row>
    <row r="157" spans="1:9" x14ac:dyDescent="0.2">
      <c r="A157" s="181">
        <f t="shared" si="2"/>
        <v>156</v>
      </c>
      <c r="B157" s="182">
        <v>40252</v>
      </c>
      <c r="C157" s="182"/>
      <c r="D157" s="183" t="s">
        <v>66</v>
      </c>
      <c r="E157" s="183" t="s">
        <v>392</v>
      </c>
      <c r="F157" s="183" t="s">
        <v>71</v>
      </c>
      <c r="G157" s="183" t="s">
        <v>243</v>
      </c>
      <c r="H157" s="183" t="s">
        <v>244</v>
      </c>
      <c r="I157" s="353">
        <v>76961.19</v>
      </c>
    </row>
    <row r="158" spans="1:9" x14ac:dyDescent="0.2">
      <c r="A158" s="181">
        <f t="shared" si="2"/>
        <v>157</v>
      </c>
      <c r="B158" s="182">
        <v>40252</v>
      </c>
      <c r="C158" s="182"/>
      <c r="D158" s="183" t="s">
        <v>66</v>
      </c>
      <c r="E158" s="183" t="s">
        <v>392</v>
      </c>
      <c r="F158" s="183" t="s">
        <v>71</v>
      </c>
      <c r="G158" s="183" t="s">
        <v>245</v>
      </c>
      <c r="H158" s="183" t="s">
        <v>246</v>
      </c>
      <c r="I158" s="353">
        <v>59580.89</v>
      </c>
    </row>
    <row r="159" spans="1:9" x14ac:dyDescent="0.2">
      <c r="A159" s="188">
        <f t="shared" si="2"/>
        <v>158</v>
      </c>
      <c r="B159" s="186">
        <v>40252</v>
      </c>
      <c r="C159" s="186"/>
      <c r="D159" s="187" t="s">
        <v>66</v>
      </c>
      <c r="E159" s="187" t="s">
        <v>422</v>
      </c>
      <c r="F159" s="187" t="s">
        <v>701</v>
      </c>
      <c r="G159" s="187" t="s">
        <v>247</v>
      </c>
      <c r="H159" s="187" t="s">
        <v>248</v>
      </c>
      <c r="I159" s="356">
        <v>898275.86</v>
      </c>
    </row>
    <row r="160" spans="1:9" x14ac:dyDescent="0.2">
      <c r="A160" s="188">
        <f t="shared" si="2"/>
        <v>159</v>
      </c>
      <c r="B160" s="182">
        <v>40253</v>
      </c>
      <c r="C160" s="182"/>
      <c r="D160" s="183" t="s">
        <v>66</v>
      </c>
      <c r="E160" s="183" t="s">
        <v>392</v>
      </c>
      <c r="F160" s="183" t="s">
        <v>393</v>
      </c>
      <c r="G160" s="183" t="s">
        <v>294</v>
      </c>
      <c r="H160" s="183" t="s">
        <v>295</v>
      </c>
      <c r="I160" s="230">
        <v>142000</v>
      </c>
    </row>
    <row r="161" spans="1:9" x14ac:dyDescent="0.2">
      <c r="A161" s="188">
        <f t="shared" si="2"/>
        <v>160</v>
      </c>
      <c r="B161" s="182">
        <v>40253</v>
      </c>
      <c r="C161" s="182"/>
      <c r="D161" s="183" t="s">
        <v>66</v>
      </c>
      <c r="E161" s="183" t="s">
        <v>392</v>
      </c>
      <c r="F161" s="183" t="s">
        <v>393</v>
      </c>
      <c r="G161" s="183" t="s">
        <v>296</v>
      </c>
      <c r="H161" s="183" t="s">
        <v>312</v>
      </c>
      <c r="I161" s="353">
        <v>158666.67000000001</v>
      </c>
    </row>
    <row r="162" spans="1:9" x14ac:dyDescent="0.2">
      <c r="A162" s="188">
        <f t="shared" si="2"/>
        <v>161</v>
      </c>
      <c r="B162" s="182">
        <v>40253</v>
      </c>
      <c r="C162" s="182"/>
      <c r="D162" s="183" t="s">
        <v>66</v>
      </c>
      <c r="E162" s="183" t="s">
        <v>392</v>
      </c>
      <c r="F162" s="183" t="s">
        <v>393</v>
      </c>
      <c r="G162" s="183" t="s">
        <v>313</v>
      </c>
      <c r="H162" s="183" t="s">
        <v>30</v>
      </c>
      <c r="I162" s="353">
        <v>158666.67000000001</v>
      </c>
    </row>
    <row r="163" spans="1:9" x14ac:dyDescent="0.2">
      <c r="A163" s="188">
        <f t="shared" si="2"/>
        <v>162</v>
      </c>
      <c r="B163" s="182">
        <v>40253</v>
      </c>
      <c r="C163" s="182"/>
      <c r="D163" s="183" t="s">
        <v>66</v>
      </c>
      <c r="E163" s="183" t="s">
        <v>392</v>
      </c>
      <c r="F163" s="183" t="s">
        <v>393</v>
      </c>
      <c r="G163" s="183" t="s">
        <v>31</v>
      </c>
      <c r="H163" s="183" t="s">
        <v>153</v>
      </c>
      <c r="I163" s="353">
        <v>142000</v>
      </c>
    </row>
    <row r="164" spans="1:9" x14ac:dyDescent="0.2">
      <c r="A164" s="188">
        <f t="shared" si="2"/>
        <v>163</v>
      </c>
      <c r="B164" s="182">
        <v>40253</v>
      </c>
      <c r="C164" s="182"/>
      <c r="D164" s="183" t="s">
        <v>66</v>
      </c>
      <c r="E164" s="183" t="s">
        <v>392</v>
      </c>
      <c r="F164" s="183" t="s">
        <v>393</v>
      </c>
      <c r="G164" s="183" t="s">
        <v>154</v>
      </c>
      <c r="H164" s="183" t="s">
        <v>621</v>
      </c>
      <c r="I164" s="353">
        <v>191000</v>
      </c>
    </row>
    <row r="165" spans="1:9" x14ac:dyDescent="0.2">
      <c r="A165" s="188">
        <f t="shared" si="2"/>
        <v>164</v>
      </c>
      <c r="B165" s="182">
        <v>40253</v>
      </c>
      <c r="C165" s="182"/>
      <c r="D165" s="183" t="s">
        <v>66</v>
      </c>
      <c r="E165" s="183" t="s">
        <v>392</v>
      </c>
      <c r="F165" s="183" t="s">
        <v>393</v>
      </c>
      <c r="G165" s="183" t="s">
        <v>622</v>
      </c>
      <c r="H165" s="183" t="s">
        <v>777</v>
      </c>
      <c r="I165" s="353">
        <v>192000</v>
      </c>
    </row>
    <row r="166" spans="1:9" x14ac:dyDescent="0.2">
      <c r="A166" s="188">
        <f t="shared" si="2"/>
        <v>165</v>
      </c>
      <c r="B166" s="182">
        <v>40253</v>
      </c>
      <c r="C166" s="182"/>
      <c r="D166" s="183" t="s">
        <v>66</v>
      </c>
      <c r="E166" s="183" t="s">
        <v>392</v>
      </c>
      <c r="F166" s="183" t="s">
        <v>393</v>
      </c>
      <c r="G166" s="183" t="s">
        <v>778</v>
      </c>
      <c r="H166" s="183" t="s">
        <v>779</v>
      </c>
      <c r="I166" s="353">
        <v>191000</v>
      </c>
    </row>
    <row r="167" spans="1:9" x14ac:dyDescent="0.2">
      <c r="A167" s="188">
        <f t="shared" si="2"/>
        <v>166</v>
      </c>
      <c r="B167" s="182">
        <v>40253</v>
      </c>
      <c r="C167" s="182"/>
      <c r="D167" s="183" t="s">
        <v>66</v>
      </c>
      <c r="E167" s="183" t="s">
        <v>392</v>
      </c>
      <c r="F167" s="183" t="s">
        <v>393</v>
      </c>
      <c r="G167" s="183" t="s">
        <v>780</v>
      </c>
      <c r="H167" s="183" t="s">
        <v>781</v>
      </c>
      <c r="I167" s="353">
        <v>192000</v>
      </c>
    </row>
    <row r="168" spans="1:9" x14ac:dyDescent="0.2">
      <c r="A168" s="181">
        <f t="shared" si="2"/>
        <v>167</v>
      </c>
      <c r="B168" s="186">
        <v>40253</v>
      </c>
      <c r="C168" s="186"/>
      <c r="D168" s="187" t="s">
        <v>66</v>
      </c>
      <c r="E168" s="187" t="s">
        <v>422</v>
      </c>
      <c r="F168" s="187" t="s">
        <v>396</v>
      </c>
      <c r="G168" s="187" t="s">
        <v>782</v>
      </c>
      <c r="H168" s="187" t="s">
        <v>507</v>
      </c>
      <c r="I168" s="356">
        <v>267451.93</v>
      </c>
    </row>
    <row r="169" spans="1:9" x14ac:dyDescent="0.2">
      <c r="A169" s="181">
        <f t="shared" si="2"/>
        <v>168</v>
      </c>
      <c r="B169" s="186">
        <v>40254</v>
      </c>
      <c r="C169" s="186"/>
      <c r="D169" s="187" t="s">
        <v>66</v>
      </c>
      <c r="E169" s="187" t="s">
        <v>422</v>
      </c>
      <c r="F169" s="187" t="s">
        <v>701</v>
      </c>
      <c r="G169" s="187" t="s">
        <v>446</v>
      </c>
      <c r="H169" s="187" t="s">
        <v>67</v>
      </c>
      <c r="I169" s="357">
        <v>142241.38</v>
      </c>
    </row>
    <row r="170" spans="1:9" x14ac:dyDescent="0.2">
      <c r="A170" s="181">
        <f t="shared" si="2"/>
        <v>169</v>
      </c>
      <c r="B170" s="182">
        <v>40256</v>
      </c>
      <c r="C170" s="182"/>
      <c r="D170" s="183" t="s">
        <v>66</v>
      </c>
      <c r="E170" s="183" t="s">
        <v>422</v>
      </c>
      <c r="F170" s="183" t="s">
        <v>701</v>
      </c>
      <c r="G170" s="183" t="s">
        <v>675</v>
      </c>
      <c r="H170" s="183" t="s">
        <v>236</v>
      </c>
      <c r="I170" s="230">
        <v>90720</v>
      </c>
    </row>
    <row r="171" spans="1:9" x14ac:dyDescent="0.2">
      <c r="A171" s="181">
        <f t="shared" si="2"/>
        <v>170</v>
      </c>
      <c r="B171" s="182">
        <v>40256</v>
      </c>
      <c r="C171" s="182"/>
      <c r="D171" s="183" t="s">
        <v>66</v>
      </c>
      <c r="E171" s="183" t="s">
        <v>422</v>
      </c>
      <c r="F171" s="183" t="s">
        <v>701</v>
      </c>
      <c r="G171" s="183" t="s">
        <v>237</v>
      </c>
      <c r="H171" s="183" t="s">
        <v>654</v>
      </c>
      <c r="I171" s="353">
        <v>120689.65</v>
      </c>
    </row>
    <row r="172" spans="1:9" x14ac:dyDescent="0.2">
      <c r="A172" s="181">
        <f t="shared" si="2"/>
        <v>171</v>
      </c>
      <c r="B172" s="182">
        <v>40255</v>
      </c>
      <c r="C172" s="182"/>
      <c r="D172" s="183" t="s">
        <v>66</v>
      </c>
      <c r="E172" s="183" t="s">
        <v>392</v>
      </c>
      <c r="F172" s="183" t="s">
        <v>393</v>
      </c>
      <c r="G172" s="183" t="s">
        <v>155</v>
      </c>
      <c r="H172" s="183" t="s">
        <v>522</v>
      </c>
      <c r="I172" s="230">
        <v>76500</v>
      </c>
    </row>
    <row r="173" spans="1:9" x14ac:dyDescent="0.2">
      <c r="A173" s="181">
        <f t="shared" si="2"/>
        <v>172</v>
      </c>
      <c r="B173" s="182">
        <v>40259</v>
      </c>
      <c r="C173" s="182"/>
      <c r="D173" s="183" t="s">
        <v>66</v>
      </c>
      <c r="E173" s="183" t="s">
        <v>392</v>
      </c>
      <c r="F173" s="183" t="s">
        <v>71</v>
      </c>
      <c r="G173" s="183" t="s">
        <v>523</v>
      </c>
      <c r="H173" s="183" t="s">
        <v>524</v>
      </c>
      <c r="I173" s="230">
        <v>57885</v>
      </c>
    </row>
    <row r="174" spans="1:9" x14ac:dyDescent="0.2">
      <c r="A174" s="181">
        <f t="shared" si="2"/>
        <v>173</v>
      </c>
      <c r="B174" s="182">
        <v>40259</v>
      </c>
      <c r="C174" s="182"/>
      <c r="D174" s="183" t="s">
        <v>66</v>
      </c>
      <c r="E174" s="183" t="s">
        <v>392</v>
      </c>
      <c r="F174" s="183" t="s">
        <v>71</v>
      </c>
      <c r="G174" s="183" t="s">
        <v>525</v>
      </c>
      <c r="H174" s="183" t="s">
        <v>526</v>
      </c>
      <c r="I174" s="353">
        <v>69396.62</v>
      </c>
    </row>
    <row r="175" spans="1:9" x14ac:dyDescent="0.2">
      <c r="A175" s="181">
        <f t="shared" si="2"/>
        <v>174</v>
      </c>
      <c r="B175" s="186">
        <v>40259</v>
      </c>
      <c r="C175" s="186"/>
      <c r="D175" s="187" t="s">
        <v>66</v>
      </c>
      <c r="E175" s="187" t="s">
        <v>392</v>
      </c>
      <c r="F175" s="187" t="s">
        <v>71</v>
      </c>
      <c r="G175" s="187" t="s">
        <v>527</v>
      </c>
      <c r="H175" s="187" t="s">
        <v>620</v>
      </c>
      <c r="I175" s="356">
        <v>60879.13</v>
      </c>
    </row>
    <row r="176" spans="1:9" x14ac:dyDescent="0.2">
      <c r="A176" s="181">
        <f t="shared" si="2"/>
        <v>175</v>
      </c>
      <c r="B176" s="186">
        <v>40261</v>
      </c>
      <c r="C176" s="186"/>
      <c r="D176" s="187" t="s">
        <v>11</v>
      </c>
      <c r="E176" s="187"/>
      <c r="F176" s="187" t="s">
        <v>701</v>
      </c>
      <c r="G176" s="187" t="s">
        <v>398</v>
      </c>
      <c r="H176" s="187" t="s">
        <v>223</v>
      </c>
      <c r="I176" s="357">
        <v>137000</v>
      </c>
    </row>
    <row r="177" spans="1:9" x14ac:dyDescent="0.2">
      <c r="A177" s="181">
        <f t="shared" si="2"/>
        <v>176</v>
      </c>
      <c r="B177" s="182">
        <v>40262</v>
      </c>
      <c r="C177" s="182"/>
      <c r="D177" s="183" t="s">
        <v>66</v>
      </c>
      <c r="E177" s="183" t="s">
        <v>392</v>
      </c>
      <c r="F177" s="183" t="s">
        <v>71</v>
      </c>
      <c r="G177" s="183" t="s">
        <v>249</v>
      </c>
      <c r="H177" s="183" t="s">
        <v>141</v>
      </c>
      <c r="I177" s="230">
        <v>84194.87</v>
      </c>
    </row>
    <row r="178" spans="1:9" x14ac:dyDescent="0.2">
      <c r="A178" s="181">
        <f t="shared" si="2"/>
        <v>177</v>
      </c>
      <c r="B178" s="182">
        <v>40262</v>
      </c>
      <c r="C178" s="182"/>
      <c r="D178" s="183" t="s">
        <v>66</v>
      </c>
      <c r="E178" s="183" t="s">
        <v>392</v>
      </c>
      <c r="F178" s="183" t="s">
        <v>393</v>
      </c>
      <c r="G178" s="183" t="s">
        <v>142</v>
      </c>
      <c r="H178" s="183" t="s">
        <v>143</v>
      </c>
      <c r="I178" s="353">
        <v>97111.11</v>
      </c>
    </row>
    <row r="179" spans="1:9" x14ac:dyDescent="0.2">
      <c r="A179" s="181">
        <f t="shared" si="2"/>
        <v>178</v>
      </c>
      <c r="B179" s="182">
        <v>40262</v>
      </c>
      <c r="C179" s="182"/>
      <c r="D179" s="183" t="s">
        <v>66</v>
      </c>
      <c r="E179" s="183" t="s">
        <v>392</v>
      </c>
      <c r="F179" s="183" t="s">
        <v>71</v>
      </c>
      <c r="G179" s="183" t="s">
        <v>144</v>
      </c>
      <c r="H179" s="183" t="s">
        <v>810</v>
      </c>
      <c r="I179" s="353">
        <v>49515.61</v>
      </c>
    </row>
    <row r="180" spans="1:9" x14ac:dyDescent="0.2">
      <c r="A180" s="181">
        <f t="shared" si="2"/>
        <v>179</v>
      </c>
      <c r="B180" s="182">
        <v>40262</v>
      </c>
      <c r="C180" s="182"/>
      <c r="D180" s="183" t="s">
        <v>66</v>
      </c>
      <c r="E180" s="183" t="s">
        <v>392</v>
      </c>
      <c r="F180" s="183" t="s">
        <v>71</v>
      </c>
      <c r="G180" s="183" t="s">
        <v>811</v>
      </c>
      <c r="H180" s="183" t="s">
        <v>773</v>
      </c>
      <c r="I180" s="356">
        <v>79447.38</v>
      </c>
    </row>
    <row r="181" spans="1:9" x14ac:dyDescent="0.2">
      <c r="A181" s="181">
        <f t="shared" si="2"/>
        <v>180</v>
      </c>
      <c r="B181" s="186">
        <v>40267</v>
      </c>
      <c r="C181" s="186"/>
      <c r="D181" s="187" t="s">
        <v>11</v>
      </c>
      <c r="E181" s="187"/>
      <c r="F181" s="187" t="s">
        <v>701</v>
      </c>
      <c r="G181" s="187" t="s">
        <v>341</v>
      </c>
      <c r="H181" s="187" t="s">
        <v>357</v>
      </c>
      <c r="I181" s="357">
        <v>132000</v>
      </c>
    </row>
    <row r="182" spans="1:9" x14ac:dyDescent="0.2">
      <c r="A182" s="181">
        <f t="shared" si="2"/>
        <v>181</v>
      </c>
      <c r="B182" s="186">
        <v>40268</v>
      </c>
      <c r="C182" s="186"/>
      <c r="D182" s="187" t="s">
        <v>66</v>
      </c>
      <c r="E182" s="187" t="s">
        <v>392</v>
      </c>
      <c r="F182" s="187" t="s">
        <v>9</v>
      </c>
      <c r="G182" s="187" t="s">
        <v>655</v>
      </c>
      <c r="H182" s="187" t="s">
        <v>656</v>
      </c>
      <c r="I182" s="357">
        <v>309166.26</v>
      </c>
    </row>
    <row r="183" spans="1:9" x14ac:dyDescent="0.2">
      <c r="A183" s="181">
        <f t="shared" si="2"/>
        <v>182</v>
      </c>
      <c r="B183" s="184">
        <v>40275</v>
      </c>
      <c r="C183" s="184"/>
      <c r="D183" s="185" t="s">
        <v>11</v>
      </c>
      <c r="E183" s="185"/>
      <c r="F183" s="185" t="s">
        <v>701</v>
      </c>
      <c r="G183" s="185" t="s">
        <v>744</v>
      </c>
      <c r="H183" s="185" t="s">
        <v>551</v>
      </c>
      <c r="I183" s="200">
        <v>319000</v>
      </c>
    </row>
    <row r="184" spans="1:9" x14ac:dyDescent="0.2">
      <c r="A184" s="181">
        <f t="shared" si="2"/>
        <v>183</v>
      </c>
      <c r="B184" s="186">
        <v>40275</v>
      </c>
      <c r="C184" s="186"/>
      <c r="D184" s="187" t="s">
        <v>66</v>
      </c>
      <c r="E184" s="187" t="s">
        <v>392</v>
      </c>
      <c r="F184" s="187" t="s">
        <v>9</v>
      </c>
      <c r="G184" s="187" t="s">
        <v>552</v>
      </c>
      <c r="H184" s="187" t="s">
        <v>617</v>
      </c>
      <c r="I184" s="356">
        <v>292153.84999999998</v>
      </c>
    </row>
    <row r="185" spans="1:9" x14ac:dyDescent="0.2">
      <c r="A185" s="181">
        <f t="shared" si="2"/>
        <v>184</v>
      </c>
      <c r="B185" s="182">
        <v>40277</v>
      </c>
      <c r="C185" s="182"/>
      <c r="D185" s="183" t="s">
        <v>66</v>
      </c>
      <c r="E185" s="183" t="s">
        <v>392</v>
      </c>
      <c r="F185" s="183" t="s">
        <v>71</v>
      </c>
      <c r="G185" s="183" t="s">
        <v>238</v>
      </c>
      <c r="H185" s="183" t="s">
        <v>270</v>
      </c>
      <c r="I185" s="230">
        <v>43357.16</v>
      </c>
    </row>
    <row r="186" spans="1:9" x14ac:dyDescent="0.2">
      <c r="A186" s="181">
        <f t="shared" si="2"/>
        <v>185</v>
      </c>
      <c r="B186" s="182">
        <v>40277</v>
      </c>
      <c r="C186" s="182"/>
      <c r="D186" s="183" t="s">
        <v>66</v>
      </c>
      <c r="E186" s="183" t="s">
        <v>392</v>
      </c>
      <c r="F186" s="183" t="s">
        <v>71</v>
      </c>
      <c r="G186" s="183" t="s">
        <v>271</v>
      </c>
      <c r="H186" s="183" t="s">
        <v>272</v>
      </c>
      <c r="I186" s="353">
        <v>45809.34</v>
      </c>
    </row>
    <row r="187" spans="1:9" x14ac:dyDescent="0.2">
      <c r="A187" s="181">
        <f t="shared" si="2"/>
        <v>186</v>
      </c>
      <c r="B187" s="182">
        <v>40277</v>
      </c>
      <c r="C187" s="182"/>
      <c r="D187" s="183" t="s">
        <v>66</v>
      </c>
      <c r="E187" s="183" t="s">
        <v>392</v>
      </c>
      <c r="F187" s="183" t="s">
        <v>71</v>
      </c>
      <c r="G187" s="183" t="s">
        <v>273</v>
      </c>
      <c r="H187" s="183" t="s">
        <v>274</v>
      </c>
      <c r="I187" s="353">
        <v>48485.440000000002</v>
      </c>
    </row>
    <row r="188" spans="1:9" x14ac:dyDescent="0.2">
      <c r="A188" s="181">
        <f t="shared" si="2"/>
        <v>187</v>
      </c>
      <c r="B188" s="182">
        <v>40277</v>
      </c>
      <c r="C188" s="182"/>
      <c r="D188" s="183" t="s">
        <v>66</v>
      </c>
      <c r="E188" s="183" t="s">
        <v>422</v>
      </c>
      <c r="F188" s="183" t="s">
        <v>701</v>
      </c>
      <c r="G188" s="183" t="s">
        <v>275</v>
      </c>
      <c r="H188" s="183" t="s">
        <v>500</v>
      </c>
      <c r="I188" s="353">
        <v>219827.59</v>
      </c>
    </row>
    <row r="189" spans="1:9" x14ac:dyDescent="0.2">
      <c r="A189" s="181">
        <f t="shared" si="2"/>
        <v>188</v>
      </c>
      <c r="B189" s="182">
        <v>40277</v>
      </c>
      <c r="C189" s="182"/>
      <c r="D189" s="183" t="s">
        <v>66</v>
      </c>
      <c r="E189" s="183" t="s">
        <v>422</v>
      </c>
      <c r="F189" s="183" t="s">
        <v>701</v>
      </c>
      <c r="G189" s="183" t="s">
        <v>276</v>
      </c>
      <c r="H189" s="183" t="s">
        <v>502</v>
      </c>
      <c r="I189" s="353">
        <v>362068.96</v>
      </c>
    </row>
    <row r="190" spans="1:9" x14ac:dyDescent="0.2">
      <c r="A190" s="181">
        <f t="shared" si="2"/>
        <v>189</v>
      </c>
      <c r="B190" s="182">
        <v>40277</v>
      </c>
      <c r="C190" s="182"/>
      <c r="D190" s="183" t="s">
        <v>66</v>
      </c>
      <c r="E190" s="183" t="s">
        <v>422</v>
      </c>
      <c r="F190" s="183" t="s">
        <v>701</v>
      </c>
      <c r="G190" s="183" t="s">
        <v>277</v>
      </c>
      <c r="H190" s="183" t="s">
        <v>431</v>
      </c>
      <c r="I190" s="353">
        <v>271551.71999999997</v>
      </c>
    </row>
    <row r="191" spans="1:9" x14ac:dyDescent="0.2">
      <c r="A191" s="181">
        <f t="shared" si="2"/>
        <v>190</v>
      </c>
      <c r="B191" s="182">
        <v>40277</v>
      </c>
      <c r="C191" s="182"/>
      <c r="D191" s="183" t="s">
        <v>66</v>
      </c>
      <c r="E191" s="183" t="s">
        <v>422</v>
      </c>
      <c r="F191" s="183" t="s">
        <v>701</v>
      </c>
      <c r="G191" s="183" t="s">
        <v>278</v>
      </c>
      <c r="H191" s="183" t="s">
        <v>462</v>
      </c>
      <c r="I191" s="353">
        <v>344827.59</v>
      </c>
    </row>
    <row r="192" spans="1:9" x14ac:dyDescent="0.2">
      <c r="A192" s="181">
        <f t="shared" si="2"/>
        <v>191</v>
      </c>
      <c r="B192" s="182">
        <v>40277</v>
      </c>
      <c r="C192" s="182"/>
      <c r="D192" s="183" t="s">
        <v>66</v>
      </c>
      <c r="E192" s="183" t="s">
        <v>392</v>
      </c>
      <c r="F192" s="183" t="s">
        <v>71</v>
      </c>
      <c r="G192" s="183" t="s">
        <v>95</v>
      </c>
      <c r="H192" s="183" t="s">
        <v>96</v>
      </c>
      <c r="I192" s="353">
        <v>68610.42</v>
      </c>
    </row>
    <row r="193" spans="1:9" x14ac:dyDescent="0.2">
      <c r="A193" s="181">
        <f t="shared" si="2"/>
        <v>192</v>
      </c>
      <c r="B193" s="194">
        <v>40277</v>
      </c>
      <c r="C193" s="194"/>
      <c r="D193" s="195" t="s">
        <v>66</v>
      </c>
      <c r="E193" s="195" t="s">
        <v>422</v>
      </c>
      <c r="F193" s="195" t="s">
        <v>701</v>
      </c>
      <c r="G193" s="195" t="s">
        <v>97</v>
      </c>
      <c r="H193" s="195" t="s">
        <v>707</v>
      </c>
      <c r="I193" s="358">
        <v>1415517.24</v>
      </c>
    </row>
    <row r="194" spans="1:9" x14ac:dyDescent="0.2">
      <c r="A194" s="181">
        <f t="shared" si="2"/>
        <v>193</v>
      </c>
      <c r="B194" s="182">
        <v>40281</v>
      </c>
      <c r="C194" s="182"/>
      <c r="D194" s="183" t="s">
        <v>66</v>
      </c>
      <c r="E194" s="183" t="s">
        <v>392</v>
      </c>
      <c r="F194" s="183" t="s">
        <v>393</v>
      </c>
      <c r="G194" s="183" t="s">
        <v>591</v>
      </c>
      <c r="H194" s="183" t="s">
        <v>485</v>
      </c>
      <c r="I194" s="230">
        <v>68544</v>
      </c>
    </row>
    <row r="195" spans="1:9" x14ac:dyDescent="0.2">
      <c r="A195" s="181">
        <f t="shared" si="2"/>
        <v>194</v>
      </c>
      <c r="B195" s="182">
        <v>40281</v>
      </c>
      <c r="C195" s="182"/>
      <c r="D195" s="183" t="s">
        <v>66</v>
      </c>
      <c r="E195" s="183" t="s">
        <v>392</v>
      </c>
      <c r="F195" s="183" t="s">
        <v>393</v>
      </c>
      <c r="G195" s="183" t="s">
        <v>486</v>
      </c>
      <c r="H195" s="183" t="s">
        <v>36</v>
      </c>
      <c r="I195" s="353">
        <v>54600</v>
      </c>
    </row>
    <row r="196" spans="1:9" x14ac:dyDescent="0.2">
      <c r="A196" s="181">
        <f t="shared" si="2"/>
        <v>195</v>
      </c>
      <c r="B196" s="182">
        <v>40281</v>
      </c>
      <c r="C196" s="182"/>
      <c r="D196" s="183" t="s">
        <v>66</v>
      </c>
      <c r="E196" s="183" t="s">
        <v>392</v>
      </c>
      <c r="F196" s="183" t="s">
        <v>393</v>
      </c>
      <c r="G196" s="183" t="s">
        <v>37</v>
      </c>
      <c r="H196" s="183" t="s">
        <v>471</v>
      </c>
      <c r="I196" s="353">
        <v>72744</v>
      </c>
    </row>
    <row r="197" spans="1:9" x14ac:dyDescent="0.2">
      <c r="A197" s="181">
        <f t="shared" si="2"/>
        <v>196</v>
      </c>
      <c r="B197" s="186">
        <v>40281</v>
      </c>
      <c r="C197" s="186"/>
      <c r="D197" s="187" t="s">
        <v>66</v>
      </c>
      <c r="E197" s="187" t="s">
        <v>392</v>
      </c>
      <c r="F197" s="187" t="s">
        <v>393</v>
      </c>
      <c r="G197" s="187" t="s">
        <v>472</v>
      </c>
      <c r="H197" s="187" t="s">
        <v>250</v>
      </c>
      <c r="I197" s="356">
        <v>54600</v>
      </c>
    </row>
    <row r="198" spans="1:9" x14ac:dyDescent="0.2">
      <c r="A198" s="181">
        <f t="shared" si="2"/>
        <v>197</v>
      </c>
      <c r="B198" s="182">
        <v>40282</v>
      </c>
      <c r="C198" s="182"/>
      <c r="D198" s="183" t="s">
        <v>66</v>
      </c>
      <c r="E198" s="183" t="s">
        <v>392</v>
      </c>
      <c r="F198" s="183" t="s">
        <v>9</v>
      </c>
      <c r="G198" s="183" t="s">
        <v>650</v>
      </c>
      <c r="H198" s="183" t="s">
        <v>651</v>
      </c>
      <c r="I198" s="230">
        <v>880012.86</v>
      </c>
    </row>
    <row r="199" spans="1:9" x14ac:dyDescent="0.2">
      <c r="A199" s="181">
        <f t="shared" ref="A199:A262" si="3">A198+1</f>
        <v>198</v>
      </c>
      <c r="B199" s="182">
        <v>40282</v>
      </c>
      <c r="C199" s="182"/>
      <c r="D199" s="183" t="s">
        <v>66</v>
      </c>
      <c r="E199" s="183" t="s">
        <v>392</v>
      </c>
      <c r="F199" s="183" t="s">
        <v>396</v>
      </c>
      <c r="G199" s="183" t="s">
        <v>652</v>
      </c>
      <c r="H199" s="183" t="s">
        <v>85</v>
      </c>
      <c r="I199" s="353">
        <v>171187.93</v>
      </c>
    </row>
    <row r="200" spans="1:9" x14ac:dyDescent="0.2">
      <c r="A200" s="181">
        <f t="shared" si="3"/>
        <v>199</v>
      </c>
      <c r="B200" s="182">
        <v>40282</v>
      </c>
      <c r="C200" s="182"/>
      <c r="D200" s="183" t="s">
        <v>66</v>
      </c>
      <c r="E200" s="183" t="s">
        <v>392</v>
      </c>
      <c r="F200" s="183" t="s">
        <v>393</v>
      </c>
      <c r="G200" s="183" t="s">
        <v>86</v>
      </c>
      <c r="H200" s="183" t="s">
        <v>230</v>
      </c>
      <c r="I200" s="353">
        <v>190000</v>
      </c>
    </row>
    <row r="201" spans="1:9" x14ac:dyDescent="0.2">
      <c r="A201" s="181">
        <f t="shared" si="3"/>
        <v>200</v>
      </c>
      <c r="B201" s="182">
        <v>40282</v>
      </c>
      <c r="C201" s="182"/>
      <c r="D201" s="183" t="s">
        <v>66</v>
      </c>
      <c r="E201" s="183" t="s">
        <v>392</v>
      </c>
      <c r="F201" s="183" t="s">
        <v>393</v>
      </c>
      <c r="G201" s="183" t="s">
        <v>231</v>
      </c>
      <c r="H201" s="183" t="s">
        <v>232</v>
      </c>
      <c r="I201" s="353">
        <v>131702.39999999999</v>
      </c>
    </row>
    <row r="202" spans="1:9" x14ac:dyDescent="0.2">
      <c r="A202" s="181">
        <f t="shared" si="3"/>
        <v>201</v>
      </c>
      <c r="B202" s="182">
        <v>40282</v>
      </c>
      <c r="C202" s="182"/>
      <c r="D202" s="183" t="s">
        <v>66</v>
      </c>
      <c r="E202" s="183" t="s">
        <v>392</v>
      </c>
      <c r="F202" s="183" t="s">
        <v>393</v>
      </c>
      <c r="G202" s="183" t="s">
        <v>559</v>
      </c>
      <c r="H202" s="183" t="s">
        <v>190</v>
      </c>
      <c r="I202" s="353">
        <v>97000</v>
      </c>
    </row>
    <row r="203" spans="1:9" x14ac:dyDescent="0.2">
      <c r="A203" s="181">
        <f t="shared" si="3"/>
        <v>202</v>
      </c>
      <c r="B203" s="182">
        <v>40294</v>
      </c>
      <c r="C203" s="182"/>
      <c r="D203" s="183" t="s">
        <v>66</v>
      </c>
      <c r="E203" s="183" t="s">
        <v>392</v>
      </c>
      <c r="F203" s="183" t="s">
        <v>393</v>
      </c>
      <c r="G203" s="183" t="s">
        <v>269</v>
      </c>
      <c r="H203" s="183" t="s">
        <v>473</v>
      </c>
      <c r="I203" s="230">
        <v>190000</v>
      </c>
    </row>
    <row r="204" spans="1:9" x14ac:dyDescent="0.2">
      <c r="A204" s="181">
        <f t="shared" si="3"/>
        <v>203</v>
      </c>
      <c r="B204" s="182">
        <v>40294</v>
      </c>
      <c r="C204" s="182"/>
      <c r="D204" s="183" t="s">
        <v>66</v>
      </c>
      <c r="E204" s="183" t="s">
        <v>392</v>
      </c>
      <c r="F204" s="183" t="s">
        <v>393</v>
      </c>
      <c r="G204" s="183" t="s">
        <v>474</v>
      </c>
      <c r="H204" s="183" t="s">
        <v>475</v>
      </c>
      <c r="I204" s="353">
        <v>190000</v>
      </c>
    </row>
    <row r="205" spans="1:9" x14ac:dyDescent="0.2">
      <c r="A205" s="181">
        <f t="shared" si="3"/>
        <v>204</v>
      </c>
      <c r="B205" s="182">
        <v>40294</v>
      </c>
      <c r="C205" s="182"/>
      <c r="D205" s="183" t="s">
        <v>66</v>
      </c>
      <c r="E205" s="183" t="s">
        <v>392</v>
      </c>
      <c r="F205" s="183" t="s">
        <v>71</v>
      </c>
      <c r="G205" s="183" t="s">
        <v>476</v>
      </c>
      <c r="H205" s="183" t="s">
        <v>846</v>
      </c>
      <c r="I205" s="353">
        <v>64970.09</v>
      </c>
    </row>
    <row r="206" spans="1:9" x14ac:dyDescent="0.2">
      <c r="A206" s="181">
        <f t="shared" si="3"/>
        <v>205</v>
      </c>
      <c r="B206" s="182">
        <v>40294</v>
      </c>
      <c r="C206" s="182"/>
      <c r="D206" s="183" t="s">
        <v>66</v>
      </c>
      <c r="E206" s="183" t="s">
        <v>392</v>
      </c>
      <c r="F206" s="183" t="s">
        <v>71</v>
      </c>
      <c r="G206" s="183" t="s">
        <v>847</v>
      </c>
      <c r="H206" s="183" t="s">
        <v>68</v>
      </c>
      <c r="I206" s="353">
        <v>103482.63</v>
      </c>
    </row>
    <row r="207" spans="1:9" x14ac:dyDescent="0.2">
      <c r="A207" s="181">
        <f t="shared" si="3"/>
        <v>206</v>
      </c>
      <c r="B207" s="182">
        <v>40294</v>
      </c>
      <c r="C207" s="182"/>
      <c r="D207" s="183" t="s">
        <v>66</v>
      </c>
      <c r="E207" s="183" t="s">
        <v>392</v>
      </c>
      <c r="F207" s="183" t="s">
        <v>71</v>
      </c>
      <c r="G207" s="183" t="s">
        <v>69</v>
      </c>
      <c r="H207" s="183" t="s">
        <v>311</v>
      </c>
      <c r="I207" s="353">
        <v>64954.86</v>
      </c>
    </row>
    <row r="208" spans="1:9" x14ac:dyDescent="0.2">
      <c r="A208" s="181">
        <f t="shared" si="3"/>
        <v>207</v>
      </c>
      <c r="B208" s="182">
        <v>40295</v>
      </c>
      <c r="C208" s="182"/>
      <c r="D208" s="183" t="s">
        <v>66</v>
      </c>
      <c r="E208" s="183" t="s">
        <v>392</v>
      </c>
      <c r="F208" s="183" t="s">
        <v>393</v>
      </c>
      <c r="G208" s="183" t="s">
        <v>297</v>
      </c>
      <c r="H208" s="183" t="s">
        <v>647</v>
      </c>
      <c r="I208" s="230">
        <v>91656</v>
      </c>
    </row>
    <row r="209" spans="1:9" x14ac:dyDescent="0.2">
      <c r="A209" s="181">
        <f t="shared" si="3"/>
        <v>208</v>
      </c>
      <c r="B209" s="186">
        <v>40295</v>
      </c>
      <c r="C209" s="186"/>
      <c r="D209" s="187" t="s">
        <v>66</v>
      </c>
      <c r="E209" s="187" t="s">
        <v>422</v>
      </c>
      <c r="F209" s="187" t="s">
        <v>71</v>
      </c>
      <c r="G209" s="187" t="s">
        <v>648</v>
      </c>
      <c r="H209" s="187" t="s">
        <v>649</v>
      </c>
      <c r="I209" s="357">
        <v>150233.73000000001</v>
      </c>
    </row>
    <row r="210" spans="1:9" x14ac:dyDescent="0.2">
      <c r="A210" s="181">
        <f t="shared" si="3"/>
        <v>209</v>
      </c>
      <c r="B210" s="190">
        <v>40296</v>
      </c>
      <c r="C210" s="190"/>
      <c r="D210" s="191" t="s">
        <v>66</v>
      </c>
      <c r="E210" s="191" t="s">
        <v>422</v>
      </c>
      <c r="F210" s="191" t="s">
        <v>396</v>
      </c>
      <c r="G210" s="191" t="s">
        <v>809</v>
      </c>
      <c r="H210" s="191" t="s">
        <v>482</v>
      </c>
      <c r="I210" s="359">
        <v>1988888.89</v>
      </c>
    </row>
    <row r="211" spans="1:9" x14ac:dyDescent="0.2">
      <c r="A211" s="181">
        <f t="shared" si="3"/>
        <v>210</v>
      </c>
      <c r="B211" s="186">
        <v>40296</v>
      </c>
      <c r="C211" s="186"/>
      <c r="D211" s="187" t="s">
        <v>11</v>
      </c>
      <c r="E211" s="187"/>
      <c r="F211" s="187" t="s">
        <v>701</v>
      </c>
      <c r="G211" s="187" t="s">
        <v>483</v>
      </c>
      <c r="H211" s="187" t="s">
        <v>484</v>
      </c>
      <c r="I211" s="357">
        <v>130000</v>
      </c>
    </row>
    <row r="212" spans="1:9" x14ac:dyDescent="0.2">
      <c r="A212" s="181">
        <f t="shared" si="3"/>
        <v>211</v>
      </c>
      <c r="B212" s="182">
        <v>40297</v>
      </c>
      <c r="C212" s="182"/>
      <c r="D212" s="183" t="s">
        <v>66</v>
      </c>
      <c r="E212" s="183" t="s">
        <v>422</v>
      </c>
      <c r="F212" s="183" t="s">
        <v>701</v>
      </c>
      <c r="G212" s="183" t="s">
        <v>592</v>
      </c>
      <c r="H212" s="183" t="s">
        <v>94</v>
      </c>
      <c r="I212" s="357">
        <v>198275.86</v>
      </c>
    </row>
    <row r="213" spans="1:9" x14ac:dyDescent="0.2">
      <c r="A213" s="181">
        <f t="shared" si="3"/>
        <v>212</v>
      </c>
      <c r="B213" s="182">
        <v>40301</v>
      </c>
      <c r="C213" s="182"/>
      <c r="D213" s="201" t="s">
        <v>66</v>
      </c>
      <c r="E213" s="201" t="s">
        <v>422</v>
      </c>
      <c r="F213" s="201" t="s">
        <v>701</v>
      </c>
      <c r="G213" s="201" t="s">
        <v>708</v>
      </c>
      <c r="H213" s="201" t="s">
        <v>709</v>
      </c>
      <c r="I213" s="353">
        <v>86034.48</v>
      </c>
    </row>
    <row r="214" spans="1:9" x14ac:dyDescent="0.2">
      <c r="A214" s="181">
        <f t="shared" si="3"/>
        <v>213</v>
      </c>
      <c r="B214" s="182">
        <v>40301</v>
      </c>
      <c r="C214" s="182"/>
      <c r="D214" s="201" t="s">
        <v>66</v>
      </c>
      <c r="E214" s="201" t="s">
        <v>422</v>
      </c>
      <c r="F214" s="201" t="s">
        <v>701</v>
      </c>
      <c r="G214" s="201" t="s">
        <v>710</v>
      </c>
      <c r="H214" s="201" t="s">
        <v>711</v>
      </c>
      <c r="I214" s="353">
        <v>82931.03</v>
      </c>
    </row>
    <row r="215" spans="1:9" x14ac:dyDescent="0.2">
      <c r="A215" s="181">
        <f t="shared" si="3"/>
        <v>214</v>
      </c>
      <c r="B215" s="202">
        <v>40304</v>
      </c>
      <c r="C215" s="202"/>
      <c r="D215" s="203" t="s">
        <v>66</v>
      </c>
      <c r="E215" s="203" t="s">
        <v>422</v>
      </c>
      <c r="F215" s="203" t="s">
        <v>701</v>
      </c>
      <c r="G215" s="203" t="s">
        <v>178</v>
      </c>
      <c r="H215" s="203" t="s">
        <v>321</v>
      </c>
      <c r="I215" s="204">
        <v>255689.65</v>
      </c>
    </row>
    <row r="216" spans="1:9" x14ac:dyDescent="0.2">
      <c r="A216" s="181">
        <f t="shared" si="3"/>
        <v>215</v>
      </c>
      <c r="B216" s="182">
        <v>40309</v>
      </c>
      <c r="C216" s="182"/>
      <c r="D216" s="183" t="s">
        <v>66</v>
      </c>
      <c r="E216" s="183" t="s">
        <v>422</v>
      </c>
      <c r="F216" s="183" t="s">
        <v>701</v>
      </c>
      <c r="G216" s="183" t="s">
        <v>514</v>
      </c>
      <c r="H216" s="198" t="s">
        <v>515</v>
      </c>
      <c r="I216" s="353">
        <v>191034.48</v>
      </c>
    </row>
    <row r="217" spans="1:9" x14ac:dyDescent="0.2">
      <c r="A217" s="181">
        <f t="shared" si="3"/>
        <v>216</v>
      </c>
      <c r="B217" s="186">
        <v>40309</v>
      </c>
      <c r="C217" s="186"/>
      <c r="D217" s="187" t="s">
        <v>66</v>
      </c>
      <c r="E217" s="187" t="s">
        <v>422</v>
      </c>
      <c r="F217" s="187" t="s">
        <v>396</v>
      </c>
      <c r="G217" s="187" t="s">
        <v>516</v>
      </c>
      <c r="H217" s="199" t="s">
        <v>517</v>
      </c>
      <c r="I217" s="356">
        <v>215600</v>
      </c>
    </row>
    <row r="218" spans="1:9" x14ac:dyDescent="0.2">
      <c r="A218" s="181">
        <f t="shared" si="3"/>
        <v>217</v>
      </c>
      <c r="B218" s="186">
        <v>40310</v>
      </c>
      <c r="C218" s="186"/>
      <c r="D218" s="187" t="s">
        <v>66</v>
      </c>
      <c r="E218" s="187" t="s">
        <v>392</v>
      </c>
      <c r="F218" s="187" t="s">
        <v>393</v>
      </c>
      <c r="G218" s="187" t="s">
        <v>170</v>
      </c>
      <c r="H218" s="187" t="s">
        <v>560</v>
      </c>
      <c r="I218" s="357">
        <v>190000</v>
      </c>
    </row>
    <row r="219" spans="1:9" x14ac:dyDescent="0.2">
      <c r="A219" s="181">
        <f t="shared" si="3"/>
        <v>218</v>
      </c>
      <c r="B219" s="182">
        <v>40312</v>
      </c>
      <c r="C219" s="182"/>
      <c r="D219" s="183" t="s">
        <v>66</v>
      </c>
      <c r="E219" s="183" t="s">
        <v>422</v>
      </c>
      <c r="F219" s="183" t="s">
        <v>396</v>
      </c>
      <c r="G219" s="183" t="s">
        <v>848</v>
      </c>
      <c r="H219" s="183" t="s">
        <v>106</v>
      </c>
      <c r="I219" s="230">
        <v>171599.98</v>
      </c>
    </row>
    <row r="220" spans="1:9" x14ac:dyDescent="0.2">
      <c r="A220" s="181">
        <f t="shared" si="3"/>
        <v>219</v>
      </c>
      <c r="B220" s="182">
        <v>40312</v>
      </c>
      <c r="C220" s="182"/>
      <c r="D220" s="183" t="s">
        <v>66</v>
      </c>
      <c r="E220" s="183" t="s">
        <v>422</v>
      </c>
      <c r="F220" s="183" t="s">
        <v>396</v>
      </c>
      <c r="G220" s="183" t="s">
        <v>107</v>
      </c>
      <c r="H220" s="183" t="s">
        <v>108</v>
      </c>
      <c r="I220" s="353">
        <v>127680</v>
      </c>
    </row>
    <row r="221" spans="1:9" x14ac:dyDescent="0.2">
      <c r="A221" s="181">
        <f t="shared" si="3"/>
        <v>220</v>
      </c>
      <c r="B221" s="182">
        <v>40312</v>
      </c>
      <c r="C221" s="182"/>
      <c r="D221" s="183" t="s">
        <v>66</v>
      </c>
      <c r="E221" s="183" t="s">
        <v>422</v>
      </c>
      <c r="F221" s="183" t="s">
        <v>396</v>
      </c>
      <c r="G221" s="183" t="s">
        <v>109</v>
      </c>
      <c r="H221" s="183" t="s">
        <v>110</v>
      </c>
      <c r="I221" s="353">
        <v>67200</v>
      </c>
    </row>
    <row r="222" spans="1:9" x14ac:dyDescent="0.2">
      <c r="A222" s="181">
        <f t="shared" si="3"/>
        <v>221</v>
      </c>
      <c r="B222" s="194">
        <v>40312</v>
      </c>
      <c r="C222" s="194"/>
      <c r="D222" s="195" t="s">
        <v>66</v>
      </c>
      <c r="E222" s="195" t="s">
        <v>422</v>
      </c>
      <c r="F222" s="195" t="s">
        <v>701</v>
      </c>
      <c r="G222" s="195" t="s">
        <v>111</v>
      </c>
      <c r="H222" s="195" t="s">
        <v>653</v>
      </c>
      <c r="I222" s="358">
        <v>1470689.65</v>
      </c>
    </row>
    <row r="223" spans="1:9" x14ac:dyDescent="0.2">
      <c r="A223" s="181">
        <f t="shared" si="3"/>
        <v>222</v>
      </c>
      <c r="B223" s="186">
        <v>40316</v>
      </c>
      <c r="C223" s="186"/>
      <c r="D223" s="187" t="s">
        <v>66</v>
      </c>
      <c r="E223" s="187" t="s">
        <v>422</v>
      </c>
      <c r="F223" s="187" t="s">
        <v>701</v>
      </c>
      <c r="G223" s="187" t="s">
        <v>748</v>
      </c>
      <c r="H223" s="187" t="s">
        <v>749</v>
      </c>
      <c r="I223" s="357">
        <v>139482.76</v>
      </c>
    </row>
    <row r="224" spans="1:9" x14ac:dyDescent="0.2">
      <c r="A224" s="181">
        <f t="shared" si="3"/>
        <v>223</v>
      </c>
      <c r="B224" s="194">
        <v>40318</v>
      </c>
      <c r="C224" s="194"/>
      <c r="D224" s="195" t="s">
        <v>11</v>
      </c>
      <c r="E224" s="195"/>
      <c r="F224" s="195" t="s">
        <v>701</v>
      </c>
      <c r="G224" s="195" t="s">
        <v>257</v>
      </c>
      <c r="H224" s="195" t="s">
        <v>258</v>
      </c>
      <c r="I224" s="362">
        <v>224200</v>
      </c>
    </row>
    <row r="225" spans="1:9" x14ac:dyDescent="0.2">
      <c r="A225" s="181">
        <f t="shared" si="3"/>
        <v>224</v>
      </c>
      <c r="B225" s="194">
        <v>40323</v>
      </c>
      <c r="C225" s="194"/>
      <c r="D225" s="195" t="s">
        <v>66</v>
      </c>
      <c r="E225" s="195" t="s">
        <v>422</v>
      </c>
      <c r="F225" s="195" t="s">
        <v>396</v>
      </c>
      <c r="G225" s="195" t="s">
        <v>407</v>
      </c>
      <c r="H225" s="195" t="s">
        <v>408</v>
      </c>
      <c r="I225" s="362">
        <v>1462222.22</v>
      </c>
    </row>
    <row r="226" spans="1:9" x14ac:dyDescent="0.2">
      <c r="A226" s="181">
        <f t="shared" si="3"/>
        <v>225</v>
      </c>
      <c r="B226" s="186">
        <v>40332</v>
      </c>
      <c r="C226" s="186"/>
      <c r="D226" s="187" t="s">
        <v>66</v>
      </c>
      <c r="E226" s="187" t="s">
        <v>422</v>
      </c>
      <c r="F226" s="187" t="s">
        <v>701</v>
      </c>
      <c r="G226" s="187" t="s">
        <v>45</v>
      </c>
      <c r="H226" s="187" t="s">
        <v>147</v>
      </c>
      <c r="I226" s="357">
        <v>192000</v>
      </c>
    </row>
    <row r="227" spans="1:9" x14ac:dyDescent="0.2">
      <c r="A227" s="181">
        <f t="shared" si="3"/>
        <v>226</v>
      </c>
      <c r="B227" s="186">
        <v>40333</v>
      </c>
      <c r="C227" s="186"/>
      <c r="D227" s="187" t="s">
        <v>66</v>
      </c>
      <c r="E227" s="187" t="s">
        <v>422</v>
      </c>
      <c r="F227" s="187" t="s">
        <v>71</v>
      </c>
      <c r="G227" s="187" t="s">
        <v>813</v>
      </c>
      <c r="H227" s="187" t="s">
        <v>814</v>
      </c>
      <c r="I227" s="357">
        <v>973316.16</v>
      </c>
    </row>
    <row r="228" spans="1:9" x14ac:dyDescent="0.2">
      <c r="A228" s="181">
        <f t="shared" si="3"/>
        <v>227</v>
      </c>
      <c r="B228" s="184">
        <v>40336</v>
      </c>
      <c r="C228" s="184"/>
      <c r="D228" s="185" t="s">
        <v>66</v>
      </c>
      <c r="E228" s="185" t="s">
        <v>422</v>
      </c>
      <c r="F228" s="185" t="s">
        <v>396</v>
      </c>
      <c r="G228" s="185" t="s">
        <v>795</v>
      </c>
      <c r="H228" s="185" t="s">
        <v>796</v>
      </c>
      <c r="I228" s="200">
        <v>1360666.67</v>
      </c>
    </row>
    <row r="229" spans="1:9" x14ac:dyDescent="0.2">
      <c r="A229" s="181">
        <f t="shared" si="3"/>
        <v>228</v>
      </c>
      <c r="B229" s="194">
        <v>40336</v>
      </c>
      <c r="C229" s="194"/>
      <c r="D229" s="195" t="s">
        <v>66</v>
      </c>
      <c r="E229" s="195" t="s">
        <v>422</v>
      </c>
      <c r="F229" s="195" t="s">
        <v>71</v>
      </c>
      <c r="G229" s="195" t="s">
        <v>797</v>
      </c>
      <c r="H229" s="195" t="s">
        <v>798</v>
      </c>
      <c r="I229" s="358">
        <v>1118268.77</v>
      </c>
    </row>
    <row r="230" spans="1:9" x14ac:dyDescent="0.2">
      <c r="A230" s="181">
        <f t="shared" si="3"/>
        <v>229</v>
      </c>
      <c r="B230" s="182">
        <v>40337</v>
      </c>
      <c r="C230" s="182"/>
      <c r="D230" s="183" t="s">
        <v>66</v>
      </c>
      <c r="E230" s="183" t="s">
        <v>422</v>
      </c>
      <c r="F230" s="183" t="s">
        <v>701</v>
      </c>
      <c r="G230" s="187" t="s">
        <v>224</v>
      </c>
      <c r="H230" s="187" t="s">
        <v>119</v>
      </c>
      <c r="I230" s="357">
        <v>89000</v>
      </c>
    </row>
    <row r="231" spans="1:9" x14ac:dyDescent="0.2">
      <c r="A231" s="181">
        <f t="shared" si="3"/>
        <v>230</v>
      </c>
      <c r="B231" s="182">
        <v>40338</v>
      </c>
      <c r="C231" s="182"/>
      <c r="D231" s="183" t="s">
        <v>66</v>
      </c>
      <c r="E231" s="183" t="s">
        <v>422</v>
      </c>
      <c r="F231" s="183" t="s">
        <v>701</v>
      </c>
      <c r="G231" s="183" t="s">
        <v>16</v>
      </c>
      <c r="H231" s="183" t="s">
        <v>17</v>
      </c>
      <c r="I231" s="230">
        <v>180000</v>
      </c>
    </row>
    <row r="232" spans="1:9" x14ac:dyDescent="0.2">
      <c r="A232" s="181">
        <f t="shared" si="3"/>
        <v>231</v>
      </c>
      <c r="B232" s="182">
        <v>40338</v>
      </c>
      <c r="C232" s="182"/>
      <c r="D232" s="183" t="s">
        <v>66</v>
      </c>
      <c r="E232" s="183" t="s">
        <v>422</v>
      </c>
      <c r="F232" s="183" t="s">
        <v>701</v>
      </c>
      <c r="G232" s="183" t="s">
        <v>18</v>
      </c>
      <c r="H232" s="183" t="s">
        <v>19</v>
      </c>
      <c r="I232" s="353">
        <v>73150</v>
      </c>
    </row>
    <row r="233" spans="1:9" x14ac:dyDescent="0.2">
      <c r="A233" s="181">
        <f t="shared" si="3"/>
        <v>232</v>
      </c>
      <c r="B233" s="182">
        <v>40338</v>
      </c>
      <c r="C233" s="182"/>
      <c r="D233" s="183" t="s">
        <v>66</v>
      </c>
      <c r="E233" s="183" t="s">
        <v>422</v>
      </c>
      <c r="F233" s="183" t="s">
        <v>701</v>
      </c>
      <c r="G233" s="183" t="s">
        <v>20</v>
      </c>
      <c r="H233" s="183" t="s">
        <v>21</v>
      </c>
      <c r="I233" s="353">
        <v>79741.38</v>
      </c>
    </row>
    <row r="234" spans="1:9" x14ac:dyDescent="0.2">
      <c r="A234" s="181">
        <f t="shared" si="3"/>
        <v>233</v>
      </c>
      <c r="B234" s="186">
        <v>40338</v>
      </c>
      <c r="C234" s="186"/>
      <c r="D234" s="187" t="s">
        <v>66</v>
      </c>
      <c r="E234" s="187" t="s">
        <v>422</v>
      </c>
      <c r="F234" s="187" t="s">
        <v>701</v>
      </c>
      <c r="G234" s="187" t="s">
        <v>22</v>
      </c>
      <c r="H234" s="187" t="s">
        <v>747</v>
      </c>
      <c r="I234" s="356">
        <v>89224.14</v>
      </c>
    </row>
    <row r="235" spans="1:9" x14ac:dyDescent="0.2">
      <c r="A235" s="181">
        <f t="shared" si="3"/>
        <v>234</v>
      </c>
      <c r="B235" s="182">
        <v>40340</v>
      </c>
      <c r="C235" s="182"/>
      <c r="D235" s="183" t="s">
        <v>66</v>
      </c>
      <c r="E235" s="183" t="s">
        <v>392</v>
      </c>
      <c r="F235" s="183" t="s">
        <v>9</v>
      </c>
      <c r="G235" s="183" t="s">
        <v>279</v>
      </c>
      <c r="H235" s="183" t="s">
        <v>413</v>
      </c>
      <c r="I235" s="230">
        <v>136824.29</v>
      </c>
    </row>
    <row r="236" spans="1:9" x14ac:dyDescent="0.2">
      <c r="A236" s="181">
        <f t="shared" si="3"/>
        <v>235</v>
      </c>
      <c r="B236" s="182">
        <v>40340</v>
      </c>
      <c r="C236" s="182"/>
      <c r="D236" s="183" t="s">
        <v>66</v>
      </c>
      <c r="E236" s="183" t="s">
        <v>392</v>
      </c>
      <c r="F236" s="183" t="s">
        <v>9</v>
      </c>
      <c r="G236" s="183" t="s">
        <v>414</v>
      </c>
      <c r="H236" s="183" t="s">
        <v>415</v>
      </c>
      <c r="I236" s="353">
        <v>123597.29</v>
      </c>
    </row>
    <row r="237" spans="1:9" x14ac:dyDescent="0.2">
      <c r="A237" s="181">
        <f t="shared" si="3"/>
        <v>236</v>
      </c>
      <c r="B237" s="182">
        <v>40340</v>
      </c>
      <c r="C237" s="182"/>
      <c r="D237" s="183" t="s">
        <v>66</v>
      </c>
      <c r="E237" s="183" t="s">
        <v>392</v>
      </c>
      <c r="F237" s="183" t="s">
        <v>9</v>
      </c>
      <c r="G237" s="183" t="s">
        <v>416</v>
      </c>
      <c r="H237" s="183" t="s">
        <v>733</v>
      </c>
      <c r="I237" s="353">
        <v>192122.86</v>
      </c>
    </row>
    <row r="238" spans="1:9" x14ac:dyDescent="0.2">
      <c r="A238" s="181">
        <f t="shared" si="3"/>
        <v>237</v>
      </c>
      <c r="B238" s="186">
        <v>40340</v>
      </c>
      <c r="C238" s="186"/>
      <c r="D238" s="187" t="s">
        <v>66</v>
      </c>
      <c r="E238" s="187" t="s">
        <v>392</v>
      </c>
      <c r="F238" s="187" t="s">
        <v>701</v>
      </c>
      <c r="G238" s="187" t="s">
        <v>734</v>
      </c>
      <c r="H238" s="187" t="s">
        <v>726</v>
      </c>
      <c r="I238" s="356">
        <v>100000</v>
      </c>
    </row>
    <row r="239" spans="1:9" x14ac:dyDescent="0.2">
      <c r="A239" s="181">
        <f t="shared" si="3"/>
        <v>238</v>
      </c>
      <c r="B239" s="182">
        <v>40345</v>
      </c>
      <c r="C239" s="182"/>
      <c r="D239" s="183" t="s">
        <v>66</v>
      </c>
      <c r="E239" s="183" t="s">
        <v>422</v>
      </c>
      <c r="F239" s="183" t="s">
        <v>396</v>
      </c>
      <c r="G239" s="183" t="s">
        <v>227</v>
      </c>
      <c r="H239" s="183" t="s">
        <v>179</v>
      </c>
      <c r="I239" s="230">
        <v>113400</v>
      </c>
    </row>
    <row r="240" spans="1:9" x14ac:dyDescent="0.2">
      <c r="A240" s="181">
        <f t="shared" si="3"/>
        <v>239</v>
      </c>
      <c r="B240" s="186">
        <v>40345</v>
      </c>
      <c r="C240" s="186"/>
      <c r="D240" s="187" t="s">
        <v>66</v>
      </c>
      <c r="E240" s="187" t="s">
        <v>422</v>
      </c>
      <c r="F240" s="187" t="s">
        <v>396</v>
      </c>
      <c r="G240" s="187" t="s">
        <v>180</v>
      </c>
      <c r="H240" s="187" t="s">
        <v>181</v>
      </c>
      <c r="I240" s="356">
        <v>90782</v>
      </c>
    </row>
    <row r="241" spans="1:9" x14ac:dyDescent="0.2">
      <c r="A241" s="181">
        <f t="shared" si="3"/>
        <v>240</v>
      </c>
      <c r="B241" s="186">
        <v>40346</v>
      </c>
      <c r="C241" s="186"/>
      <c r="D241" s="187" t="s">
        <v>11</v>
      </c>
      <c r="E241" s="187"/>
      <c r="F241" s="187" t="s">
        <v>701</v>
      </c>
      <c r="G241" s="187" t="s">
        <v>150</v>
      </c>
      <c r="H241" s="187" t="s">
        <v>151</v>
      </c>
      <c r="I241" s="357">
        <v>65000</v>
      </c>
    </row>
    <row r="242" spans="1:9" x14ac:dyDescent="0.2">
      <c r="A242" s="181">
        <f t="shared" si="3"/>
        <v>241</v>
      </c>
      <c r="B242" s="182">
        <v>40350</v>
      </c>
      <c r="C242" s="182"/>
      <c r="D242" s="183" t="s">
        <v>11</v>
      </c>
      <c r="E242" s="183"/>
      <c r="F242" s="183" t="s">
        <v>396</v>
      </c>
      <c r="G242" s="183" t="s">
        <v>38</v>
      </c>
      <c r="H242" s="183" t="s">
        <v>39</v>
      </c>
      <c r="I242" s="230">
        <v>61500</v>
      </c>
    </row>
    <row r="243" spans="1:9" x14ac:dyDescent="0.2">
      <c r="A243" s="181">
        <f t="shared" si="3"/>
        <v>242</v>
      </c>
      <c r="B243" s="194">
        <v>40350</v>
      </c>
      <c r="C243" s="194"/>
      <c r="D243" s="195" t="s">
        <v>11</v>
      </c>
      <c r="E243" s="195"/>
      <c r="F243" s="195" t="s">
        <v>71</v>
      </c>
      <c r="G243" s="195" t="s">
        <v>40</v>
      </c>
      <c r="H243" s="195" t="s">
        <v>610</v>
      </c>
      <c r="I243" s="358">
        <v>189469.92</v>
      </c>
    </row>
    <row r="244" spans="1:9" x14ac:dyDescent="0.2">
      <c r="A244" s="181">
        <f t="shared" si="3"/>
        <v>243</v>
      </c>
      <c r="B244" s="182">
        <v>40352</v>
      </c>
      <c r="C244" s="182"/>
      <c r="D244" s="183" t="s">
        <v>66</v>
      </c>
      <c r="E244" s="183" t="s">
        <v>392</v>
      </c>
      <c r="F244" s="183" t="s">
        <v>71</v>
      </c>
      <c r="G244" s="183" t="s">
        <v>210</v>
      </c>
      <c r="H244" s="183" t="s">
        <v>211</v>
      </c>
      <c r="I244" s="230">
        <v>396812</v>
      </c>
    </row>
    <row r="245" spans="1:9" x14ac:dyDescent="0.2">
      <c r="A245" s="181">
        <f t="shared" si="3"/>
        <v>244</v>
      </c>
      <c r="B245" s="182">
        <v>40352</v>
      </c>
      <c r="C245" s="182"/>
      <c r="D245" s="183" t="s">
        <v>66</v>
      </c>
      <c r="E245" s="183" t="s">
        <v>392</v>
      </c>
      <c r="F245" s="183" t="s">
        <v>71</v>
      </c>
      <c r="G245" s="183" t="s">
        <v>717</v>
      </c>
      <c r="H245" s="183" t="s">
        <v>718</v>
      </c>
      <c r="I245" s="353">
        <v>396812</v>
      </c>
    </row>
    <row r="246" spans="1:9" x14ac:dyDescent="0.2">
      <c r="A246" s="181">
        <f t="shared" si="3"/>
        <v>245</v>
      </c>
      <c r="B246" s="182">
        <v>40352</v>
      </c>
      <c r="C246" s="186"/>
      <c r="D246" s="187" t="s">
        <v>66</v>
      </c>
      <c r="E246" s="187" t="s">
        <v>392</v>
      </c>
      <c r="F246" s="187" t="s">
        <v>71</v>
      </c>
      <c r="G246" s="187" t="s">
        <v>719</v>
      </c>
      <c r="H246" s="187" t="s">
        <v>587</v>
      </c>
      <c r="I246" s="356">
        <v>396812</v>
      </c>
    </row>
    <row r="247" spans="1:9" x14ac:dyDescent="0.2">
      <c r="A247" s="181">
        <f t="shared" si="3"/>
        <v>246</v>
      </c>
      <c r="B247" s="184">
        <v>40352</v>
      </c>
      <c r="C247" s="184"/>
      <c r="D247" s="185" t="s">
        <v>11</v>
      </c>
      <c r="E247" s="185"/>
      <c r="F247" s="185" t="s">
        <v>701</v>
      </c>
      <c r="G247" s="185" t="s">
        <v>562</v>
      </c>
      <c r="H247" s="185" t="s">
        <v>563</v>
      </c>
      <c r="I247" s="200">
        <v>240000</v>
      </c>
    </row>
    <row r="248" spans="1:9" x14ac:dyDescent="0.2">
      <c r="A248" s="181">
        <f t="shared" si="3"/>
        <v>247</v>
      </c>
      <c r="B248" s="184">
        <v>40352</v>
      </c>
      <c r="C248" s="184"/>
      <c r="D248" s="185" t="s">
        <v>11</v>
      </c>
      <c r="E248" s="185"/>
      <c r="F248" s="185" t="s">
        <v>396</v>
      </c>
      <c r="G248" s="185" t="s">
        <v>564</v>
      </c>
      <c r="H248" s="185" t="s">
        <v>565</v>
      </c>
      <c r="I248" s="354">
        <v>480222.22</v>
      </c>
    </row>
    <row r="249" spans="1:9" x14ac:dyDescent="0.2">
      <c r="A249" s="181">
        <f t="shared" si="3"/>
        <v>248</v>
      </c>
      <c r="B249" s="182">
        <v>40352</v>
      </c>
      <c r="C249" s="182"/>
      <c r="D249" s="183" t="s">
        <v>66</v>
      </c>
      <c r="E249" s="183" t="s">
        <v>422</v>
      </c>
      <c r="F249" s="183" t="s">
        <v>701</v>
      </c>
      <c r="G249" s="183" t="s">
        <v>569</v>
      </c>
      <c r="H249" s="183" t="s">
        <v>824</v>
      </c>
      <c r="I249" s="353">
        <v>295000</v>
      </c>
    </row>
    <row r="250" spans="1:9" x14ac:dyDescent="0.2">
      <c r="A250" s="181">
        <f t="shared" si="3"/>
        <v>249</v>
      </c>
      <c r="B250" s="182">
        <v>40352</v>
      </c>
      <c r="C250" s="182"/>
      <c r="D250" s="183" t="s">
        <v>66</v>
      </c>
      <c r="E250" s="183" t="s">
        <v>392</v>
      </c>
      <c r="F250" s="183" t="s">
        <v>9</v>
      </c>
      <c r="G250" s="183" t="s">
        <v>825</v>
      </c>
      <c r="H250" s="183" t="s">
        <v>826</v>
      </c>
      <c r="I250" s="353">
        <v>378120</v>
      </c>
    </row>
    <row r="251" spans="1:9" x14ac:dyDescent="0.2">
      <c r="A251" s="181">
        <f t="shared" si="3"/>
        <v>250</v>
      </c>
      <c r="B251" s="186">
        <v>40352</v>
      </c>
      <c r="C251" s="186"/>
      <c r="D251" s="187" t="s">
        <v>66</v>
      </c>
      <c r="E251" s="187" t="s">
        <v>392</v>
      </c>
      <c r="F251" s="187" t="s">
        <v>9</v>
      </c>
      <c r="G251" s="187" t="s">
        <v>827</v>
      </c>
      <c r="H251" s="187" t="s">
        <v>547</v>
      </c>
      <c r="I251" s="356">
        <v>375744.29</v>
      </c>
    </row>
    <row r="252" spans="1:9" x14ac:dyDescent="0.2">
      <c r="A252" s="181">
        <f t="shared" si="3"/>
        <v>251</v>
      </c>
      <c r="B252" s="194">
        <v>40360</v>
      </c>
      <c r="C252" s="194"/>
      <c r="D252" s="195" t="s">
        <v>11</v>
      </c>
      <c r="E252" s="195"/>
      <c r="F252" s="195" t="s">
        <v>701</v>
      </c>
      <c r="G252" s="195" t="s">
        <v>755</v>
      </c>
      <c r="H252" s="195" t="s">
        <v>229</v>
      </c>
      <c r="I252" s="362">
        <v>177586.21</v>
      </c>
    </row>
    <row r="253" spans="1:9" x14ac:dyDescent="0.2">
      <c r="A253" s="181">
        <f t="shared" si="3"/>
        <v>252</v>
      </c>
      <c r="B253" s="182">
        <v>40378</v>
      </c>
      <c r="C253" s="182"/>
      <c r="D253" s="183" t="s">
        <v>66</v>
      </c>
      <c r="E253" s="183" t="s">
        <v>422</v>
      </c>
      <c r="F253" s="183" t="s">
        <v>396</v>
      </c>
      <c r="G253" s="183" t="s">
        <v>756</v>
      </c>
      <c r="H253" s="183" t="s">
        <v>757</v>
      </c>
      <c r="I253" s="230">
        <v>160000</v>
      </c>
    </row>
    <row r="254" spans="1:9" x14ac:dyDescent="0.2">
      <c r="A254" s="181">
        <f t="shared" si="3"/>
        <v>253</v>
      </c>
      <c r="B254" s="186">
        <v>40378</v>
      </c>
      <c r="C254" s="186"/>
      <c r="D254" s="187" t="s">
        <v>66</v>
      </c>
      <c r="E254" s="187" t="s">
        <v>392</v>
      </c>
      <c r="F254" s="187" t="s">
        <v>9</v>
      </c>
      <c r="G254" s="187" t="s">
        <v>758</v>
      </c>
      <c r="H254" s="187" t="s">
        <v>228</v>
      </c>
      <c r="I254" s="356">
        <v>58208.57</v>
      </c>
    </row>
    <row r="255" spans="1:9" x14ac:dyDescent="0.2">
      <c r="A255" s="181">
        <f t="shared" si="3"/>
        <v>254</v>
      </c>
      <c r="B255" s="182">
        <v>40379</v>
      </c>
      <c r="C255" s="182"/>
      <c r="D255" s="183" t="s">
        <v>66</v>
      </c>
      <c r="E255" s="183" t="s">
        <v>392</v>
      </c>
      <c r="F255" s="183" t="s">
        <v>9</v>
      </c>
      <c r="G255" s="183" t="s">
        <v>772</v>
      </c>
      <c r="H255" s="183" t="s">
        <v>92</v>
      </c>
      <c r="I255" s="230">
        <v>193358.57</v>
      </c>
    </row>
    <row r="256" spans="1:9" x14ac:dyDescent="0.2">
      <c r="A256" s="181">
        <f t="shared" si="3"/>
        <v>255</v>
      </c>
      <c r="B256" s="182">
        <v>40379</v>
      </c>
      <c r="C256" s="182"/>
      <c r="D256" s="183" t="s">
        <v>66</v>
      </c>
      <c r="E256" s="183" t="s">
        <v>392</v>
      </c>
      <c r="F256" s="183" t="s">
        <v>9</v>
      </c>
      <c r="G256" s="183" t="s">
        <v>93</v>
      </c>
      <c r="H256" s="183" t="s">
        <v>817</v>
      </c>
      <c r="I256" s="353">
        <v>741998.57</v>
      </c>
    </row>
    <row r="257" spans="1:9" x14ac:dyDescent="0.2">
      <c r="A257" s="181">
        <f t="shared" si="3"/>
        <v>256</v>
      </c>
      <c r="B257" s="186">
        <v>40379</v>
      </c>
      <c r="C257" s="186"/>
      <c r="D257" s="187" t="s">
        <v>66</v>
      </c>
      <c r="E257" s="187" t="s">
        <v>392</v>
      </c>
      <c r="F257" s="187" t="s">
        <v>9</v>
      </c>
      <c r="G257" s="187" t="s">
        <v>818</v>
      </c>
      <c r="H257" s="187" t="s">
        <v>165</v>
      </c>
      <c r="I257" s="356">
        <v>415814.29</v>
      </c>
    </row>
    <row r="258" spans="1:9" x14ac:dyDescent="0.2">
      <c r="A258" s="181">
        <f t="shared" si="3"/>
        <v>257</v>
      </c>
      <c r="B258" s="182">
        <v>40381</v>
      </c>
      <c r="C258" s="182"/>
      <c r="D258" s="183" t="s">
        <v>66</v>
      </c>
      <c r="E258" s="183" t="s">
        <v>392</v>
      </c>
      <c r="F258" s="183" t="s">
        <v>393</v>
      </c>
      <c r="G258" s="183" t="s">
        <v>720</v>
      </c>
      <c r="H258" s="183" t="s">
        <v>638</v>
      </c>
      <c r="I258" s="230">
        <v>188373.32</v>
      </c>
    </row>
    <row r="259" spans="1:9" x14ac:dyDescent="0.2">
      <c r="A259" s="181">
        <f t="shared" si="3"/>
        <v>258</v>
      </c>
      <c r="B259" s="182">
        <v>40381</v>
      </c>
      <c r="C259" s="182"/>
      <c r="D259" s="183" t="s">
        <v>66</v>
      </c>
      <c r="E259" s="183" t="s">
        <v>392</v>
      </c>
      <c r="F259" s="183" t="s">
        <v>393</v>
      </c>
      <c r="G259" s="183" t="s">
        <v>639</v>
      </c>
      <c r="H259" s="183" t="s">
        <v>300</v>
      </c>
      <c r="I259" s="353">
        <v>108087.78</v>
      </c>
    </row>
    <row r="260" spans="1:9" x14ac:dyDescent="0.2">
      <c r="A260" s="181">
        <f t="shared" si="3"/>
        <v>259</v>
      </c>
      <c r="B260" s="186">
        <v>40381</v>
      </c>
      <c r="C260" s="186"/>
      <c r="D260" s="187" t="s">
        <v>66</v>
      </c>
      <c r="E260" s="187" t="s">
        <v>392</v>
      </c>
      <c r="F260" s="187" t="s">
        <v>393</v>
      </c>
      <c r="G260" s="187" t="s">
        <v>301</v>
      </c>
      <c r="H260" s="187" t="s">
        <v>302</v>
      </c>
      <c r="I260" s="356">
        <v>99625.56</v>
      </c>
    </row>
    <row r="261" spans="1:9" x14ac:dyDescent="0.2">
      <c r="A261" s="181">
        <f t="shared" si="3"/>
        <v>260</v>
      </c>
      <c r="B261" s="182">
        <v>40382</v>
      </c>
      <c r="C261" s="182"/>
      <c r="D261" s="183" t="s">
        <v>66</v>
      </c>
      <c r="E261" s="183" t="s">
        <v>392</v>
      </c>
      <c r="F261" s="183" t="s">
        <v>71</v>
      </c>
      <c r="G261" s="183" t="s">
        <v>189</v>
      </c>
      <c r="H261" s="183" t="s">
        <v>657</v>
      </c>
      <c r="I261" s="230">
        <v>93836.11</v>
      </c>
    </row>
    <row r="262" spans="1:9" x14ac:dyDescent="0.2">
      <c r="A262" s="181">
        <f t="shared" si="3"/>
        <v>261</v>
      </c>
      <c r="B262" s="182">
        <v>40382</v>
      </c>
      <c r="C262" s="182"/>
      <c r="D262" s="183" t="s">
        <v>66</v>
      </c>
      <c r="E262" s="183" t="s">
        <v>392</v>
      </c>
      <c r="F262" s="183" t="s">
        <v>71</v>
      </c>
      <c r="G262" s="183" t="s">
        <v>658</v>
      </c>
      <c r="H262" s="183" t="s">
        <v>659</v>
      </c>
      <c r="I262" s="353">
        <v>103964.18</v>
      </c>
    </row>
    <row r="263" spans="1:9" x14ac:dyDescent="0.2">
      <c r="A263" s="181">
        <f t="shared" ref="A263:A326" si="4">A262+1</f>
        <v>262</v>
      </c>
      <c r="B263" s="186">
        <v>40382</v>
      </c>
      <c r="C263" s="186"/>
      <c r="D263" s="187" t="s">
        <v>66</v>
      </c>
      <c r="E263" s="187" t="s">
        <v>422</v>
      </c>
      <c r="F263" s="187" t="s">
        <v>396</v>
      </c>
      <c r="G263" s="187" t="s">
        <v>660</v>
      </c>
      <c r="H263" s="187" t="s">
        <v>661</v>
      </c>
      <c r="I263" s="356">
        <v>217000</v>
      </c>
    </row>
    <row r="264" spans="1:9" x14ac:dyDescent="0.2">
      <c r="A264" s="181">
        <f t="shared" si="4"/>
        <v>263</v>
      </c>
      <c r="B264" s="182">
        <v>40385</v>
      </c>
      <c r="C264" s="182"/>
      <c r="D264" s="183" t="s">
        <v>66</v>
      </c>
      <c r="E264" s="183" t="s">
        <v>422</v>
      </c>
      <c r="F264" s="183" t="s">
        <v>396</v>
      </c>
      <c r="G264" s="183" t="s">
        <v>403</v>
      </c>
      <c r="H264" s="183" t="s">
        <v>404</v>
      </c>
      <c r="I264" s="230">
        <v>142620</v>
      </c>
    </row>
    <row r="265" spans="1:9" x14ac:dyDescent="0.2">
      <c r="A265" s="181">
        <f t="shared" si="4"/>
        <v>264</v>
      </c>
      <c r="B265" s="186">
        <v>40385</v>
      </c>
      <c r="C265" s="186"/>
      <c r="D265" s="187" t="s">
        <v>66</v>
      </c>
      <c r="E265" s="187" t="s">
        <v>422</v>
      </c>
      <c r="F265" s="187" t="s">
        <v>701</v>
      </c>
      <c r="G265" s="187" t="s">
        <v>405</v>
      </c>
      <c r="H265" s="187" t="s">
        <v>406</v>
      </c>
      <c r="I265" s="356">
        <v>192000</v>
      </c>
    </row>
    <row r="266" spans="1:9" x14ac:dyDescent="0.2">
      <c r="A266" s="181">
        <f t="shared" si="4"/>
        <v>265</v>
      </c>
      <c r="B266" s="186">
        <v>40387</v>
      </c>
      <c r="C266" s="186"/>
      <c r="D266" s="187" t="s">
        <v>66</v>
      </c>
      <c r="E266" s="187" t="s">
        <v>233</v>
      </c>
      <c r="F266" s="187" t="s">
        <v>233</v>
      </c>
      <c r="G266" s="187" t="s">
        <v>234</v>
      </c>
      <c r="H266" s="187" t="s">
        <v>235</v>
      </c>
      <c r="I266" s="357">
        <v>149900</v>
      </c>
    </row>
    <row r="267" spans="1:9" x14ac:dyDescent="0.2">
      <c r="A267" s="181">
        <f t="shared" si="4"/>
        <v>266</v>
      </c>
      <c r="B267" s="182">
        <v>40388</v>
      </c>
      <c r="C267" s="182"/>
      <c r="D267" s="183" t="s">
        <v>11</v>
      </c>
      <c r="E267" s="183"/>
      <c r="F267" s="183" t="s">
        <v>396</v>
      </c>
      <c r="G267" s="183" t="s">
        <v>676</v>
      </c>
      <c r="H267" s="183" t="s">
        <v>614</v>
      </c>
      <c r="I267" s="230">
        <v>36000</v>
      </c>
    </row>
    <row r="268" spans="1:9" x14ac:dyDescent="0.2">
      <c r="A268" s="181">
        <f t="shared" si="4"/>
        <v>267</v>
      </c>
      <c r="B268" s="186">
        <v>40388</v>
      </c>
      <c r="C268" s="186"/>
      <c r="D268" s="187" t="s">
        <v>11</v>
      </c>
      <c r="E268" s="187"/>
      <c r="F268" s="187" t="s">
        <v>396</v>
      </c>
      <c r="G268" s="187" t="s">
        <v>615</v>
      </c>
      <c r="H268" s="187" t="s">
        <v>616</v>
      </c>
      <c r="I268" s="356">
        <v>116055.56</v>
      </c>
    </row>
    <row r="269" spans="1:9" x14ac:dyDescent="0.2">
      <c r="A269" s="181">
        <f t="shared" si="4"/>
        <v>268</v>
      </c>
      <c r="B269" s="184">
        <v>40389</v>
      </c>
      <c r="C269" s="184"/>
      <c r="D269" s="185" t="s">
        <v>11</v>
      </c>
      <c r="E269" s="185"/>
      <c r="F269" s="185" t="s">
        <v>701</v>
      </c>
      <c r="G269" s="185" t="s">
        <v>553</v>
      </c>
      <c r="H269" s="185" t="s">
        <v>554</v>
      </c>
      <c r="I269" s="200">
        <v>320000</v>
      </c>
    </row>
    <row r="270" spans="1:9" x14ac:dyDescent="0.2">
      <c r="A270" s="181">
        <f t="shared" si="4"/>
        <v>269</v>
      </c>
      <c r="B270" s="182">
        <v>40389</v>
      </c>
      <c r="C270" s="182"/>
      <c r="D270" s="183" t="s">
        <v>66</v>
      </c>
      <c r="E270" s="183" t="s">
        <v>422</v>
      </c>
      <c r="F270" s="183" t="s">
        <v>701</v>
      </c>
      <c r="G270" s="183" t="s">
        <v>555</v>
      </c>
      <c r="H270" s="183" t="s">
        <v>556</v>
      </c>
      <c r="I270" s="353">
        <v>657100</v>
      </c>
    </row>
    <row r="271" spans="1:9" x14ac:dyDescent="0.2">
      <c r="A271" s="181">
        <f t="shared" si="4"/>
        <v>270</v>
      </c>
      <c r="B271" s="184">
        <v>40389</v>
      </c>
      <c r="C271" s="184"/>
      <c r="D271" s="185" t="s">
        <v>66</v>
      </c>
      <c r="E271" s="185" t="s">
        <v>392</v>
      </c>
      <c r="F271" s="185" t="s">
        <v>9</v>
      </c>
      <c r="G271" s="185" t="s">
        <v>557</v>
      </c>
      <c r="H271" s="185" t="s">
        <v>166</v>
      </c>
      <c r="I271" s="354">
        <v>1409905.71</v>
      </c>
    </row>
    <row r="272" spans="1:9" x14ac:dyDescent="0.2">
      <c r="A272" s="181">
        <f t="shared" si="4"/>
        <v>271</v>
      </c>
      <c r="B272" s="182">
        <v>40389</v>
      </c>
      <c r="C272" s="182"/>
      <c r="D272" s="183" t="s">
        <v>66</v>
      </c>
      <c r="E272" s="183" t="s">
        <v>392</v>
      </c>
      <c r="F272" s="183" t="s">
        <v>9</v>
      </c>
      <c r="G272" s="183" t="s">
        <v>167</v>
      </c>
      <c r="H272" s="183" t="s">
        <v>566</v>
      </c>
      <c r="I272" s="353">
        <v>755134.29</v>
      </c>
    </row>
    <row r="273" spans="1:9" x14ac:dyDescent="0.2">
      <c r="A273" s="181">
        <f t="shared" si="4"/>
        <v>272</v>
      </c>
      <c r="B273" s="182">
        <v>40389</v>
      </c>
      <c r="C273" s="182"/>
      <c r="D273" s="183" t="s">
        <v>66</v>
      </c>
      <c r="E273" s="183" t="s">
        <v>392</v>
      </c>
      <c r="F273" s="183" t="s">
        <v>9</v>
      </c>
      <c r="G273" s="183" t="s">
        <v>567</v>
      </c>
      <c r="H273" s="183" t="s">
        <v>568</v>
      </c>
      <c r="I273" s="353">
        <v>413032.86</v>
      </c>
    </row>
    <row r="274" spans="1:9" x14ac:dyDescent="0.2">
      <c r="A274" s="181">
        <f t="shared" si="4"/>
        <v>273</v>
      </c>
      <c r="B274" s="182">
        <v>40389</v>
      </c>
      <c r="C274" s="186"/>
      <c r="D274" s="187" t="s">
        <v>66</v>
      </c>
      <c r="E274" s="187" t="s">
        <v>392</v>
      </c>
      <c r="F274" s="187" t="s">
        <v>9</v>
      </c>
      <c r="G274" s="187" t="s">
        <v>168</v>
      </c>
      <c r="H274" s="187" t="s">
        <v>173</v>
      </c>
      <c r="I274" s="356">
        <v>296380</v>
      </c>
    </row>
    <row r="275" spans="1:9" x14ac:dyDescent="0.2">
      <c r="A275" s="181">
        <f t="shared" si="4"/>
        <v>274</v>
      </c>
      <c r="B275" s="182">
        <v>40389</v>
      </c>
      <c r="C275" s="182"/>
      <c r="D275" s="183" t="s">
        <v>66</v>
      </c>
      <c r="E275" s="183" t="s">
        <v>422</v>
      </c>
      <c r="F275" s="183" t="s">
        <v>396</v>
      </c>
      <c r="G275" s="183" t="s">
        <v>41</v>
      </c>
      <c r="H275" s="183" t="s">
        <v>131</v>
      </c>
      <c r="I275" s="230">
        <v>110484</v>
      </c>
    </row>
    <row r="276" spans="1:9" x14ac:dyDescent="0.2">
      <c r="A276" s="181">
        <f t="shared" si="4"/>
        <v>275</v>
      </c>
      <c r="B276" s="182">
        <v>40389</v>
      </c>
      <c r="C276" s="182"/>
      <c r="D276" s="183" t="s">
        <v>66</v>
      </c>
      <c r="E276" s="183" t="s">
        <v>392</v>
      </c>
      <c r="F276" s="183" t="s">
        <v>393</v>
      </c>
      <c r="G276" s="183" t="s">
        <v>132</v>
      </c>
      <c r="H276" s="183" t="s">
        <v>133</v>
      </c>
      <c r="I276" s="353">
        <v>153251</v>
      </c>
    </row>
    <row r="277" spans="1:9" x14ac:dyDescent="0.2">
      <c r="A277" s="181">
        <f t="shared" si="4"/>
        <v>276</v>
      </c>
      <c r="B277" s="182">
        <v>40392</v>
      </c>
      <c r="C277" s="182">
        <v>40464</v>
      </c>
      <c r="D277" s="183" t="s">
        <v>66</v>
      </c>
      <c r="E277" s="183" t="s">
        <v>422</v>
      </c>
      <c r="F277" s="183" t="s">
        <v>396</v>
      </c>
      <c r="G277" s="183" t="s">
        <v>642</v>
      </c>
      <c r="H277" s="183" t="s">
        <v>113</v>
      </c>
      <c r="I277" s="353">
        <v>76170</v>
      </c>
    </row>
    <row r="278" spans="1:9" x14ac:dyDescent="0.2">
      <c r="A278" s="181">
        <f t="shared" si="4"/>
        <v>277</v>
      </c>
      <c r="B278" s="182">
        <v>40394</v>
      </c>
      <c r="C278" s="182">
        <v>40448</v>
      </c>
      <c r="D278" s="183" t="s">
        <v>66</v>
      </c>
      <c r="E278" s="183" t="s">
        <v>392</v>
      </c>
      <c r="F278" s="183" t="s">
        <v>393</v>
      </c>
      <c r="G278" s="183" t="s">
        <v>114</v>
      </c>
      <c r="H278" s="183" t="s">
        <v>115</v>
      </c>
      <c r="I278" s="353">
        <v>267921.11</v>
      </c>
    </row>
    <row r="279" spans="1:9" x14ac:dyDescent="0.2">
      <c r="A279" s="181">
        <f t="shared" si="4"/>
        <v>278</v>
      </c>
      <c r="B279" s="184">
        <v>40395</v>
      </c>
      <c r="C279" s="184">
        <v>40448</v>
      </c>
      <c r="D279" s="185" t="s">
        <v>66</v>
      </c>
      <c r="E279" s="185" t="s">
        <v>392</v>
      </c>
      <c r="F279" s="185" t="s">
        <v>10</v>
      </c>
      <c r="G279" s="185" t="s">
        <v>116</v>
      </c>
      <c r="H279" s="185" t="s">
        <v>579</v>
      </c>
      <c r="I279" s="354">
        <v>1116000</v>
      </c>
    </row>
    <row r="280" spans="1:9" x14ac:dyDescent="0.2">
      <c r="A280" s="181">
        <f t="shared" si="4"/>
        <v>279</v>
      </c>
      <c r="B280" s="184">
        <v>40395</v>
      </c>
      <c r="C280" s="184">
        <v>40448</v>
      </c>
      <c r="D280" s="185" t="s">
        <v>66</v>
      </c>
      <c r="E280" s="185" t="s">
        <v>392</v>
      </c>
      <c r="F280" s="185" t="s">
        <v>10</v>
      </c>
      <c r="G280" s="185" t="s">
        <v>580</v>
      </c>
      <c r="H280" s="185" t="s">
        <v>581</v>
      </c>
      <c r="I280" s="354">
        <v>1021500</v>
      </c>
    </row>
    <row r="281" spans="1:9" x14ac:dyDescent="0.2">
      <c r="A281" s="181">
        <f t="shared" si="4"/>
        <v>280</v>
      </c>
      <c r="B281" s="184">
        <v>40395</v>
      </c>
      <c r="C281" s="184">
        <v>40448</v>
      </c>
      <c r="D281" s="185" t="s">
        <v>66</v>
      </c>
      <c r="E281" s="185" t="s">
        <v>422</v>
      </c>
      <c r="F281" s="185" t="s">
        <v>396</v>
      </c>
      <c r="G281" s="185" t="s">
        <v>582</v>
      </c>
      <c r="H281" s="185" t="s">
        <v>583</v>
      </c>
      <c r="I281" s="354">
        <v>1227083.33</v>
      </c>
    </row>
    <row r="282" spans="1:9" x14ac:dyDescent="0.2">
      <c r="A282" s="181">
        <f t="shared" si="4"/>
        <v>281</v>
      </c>
      <c r="B282" s="182">
        <v>40396</v>
      </c>
      <c r="C282" s="182">
        <v>40441</v>
      </c>
      <c r="D282" s="183" t="s">
        <v>66</v>
      </c>
      <c r="E282" s="183" t="s">
        <v>422</v>
      </c>
      <c r="F282" s="183" t="s">
        <v>701</v>
      </c>
      <c r="G282" s="183" t="s">
        <v>584</v>
      </c>
      <c r="H282" s="183" t="s">
        <v>585</v>
      </c>
      <c r="I282" s="353">
        <v>113474.58</v>
      </c>
    </row>
    <row r="283" spans="1:9" x14ac:dyDescent="0.2">
      <c r="A283" s="181">
        <f t="shared" si="4"/>
        <v>282</v>
      </c>
      <c r="B283" s="182">
        <v>40396</v>
      </c>
      <c r="C283" s="182">
        <v>40441</v>
      </c>
      <c r="D283" s="183" t="s">
        <v>66</v>
      </c>
      <c r="E283" s="183" t="s">
        <v>422</v>
      </c>
      <c r="F283" s="183" t="s">
        <v>701</v>
      </c>
      <c r="G283" s="183" t="s">
        <v>586</v>
      </c>
      <c r="H283" s="183" t="s">
        <v>46</v>
      </c>
      <c r="I283" s="353">
        <v>97203.39</v>
      </c>
    </row>
    <row r="284" spans="1:9" x14ac:dyDescent="0.2">
      <c r="A284" s="181">
        <f t="shared" si="4"/>
        <v>283</v>
      </c>
      <c r="B284" s="182">
        <v>40400</v>
      </c>
      <c r="C284" s="182">
        <v>40448</v>
      </c>
      <c r="D284" s="183" t="s">
        <v>66</v>
      </c>
      <c r="E284" s="183" t="s">
        <v>422</v>
      </c>
      <c r="F284" s="183" t="s">
        <v>71</v>
      </c>
      <c r="G284" s="183" t="s">
        <v>47</v>
      </c>
      <c r="H284" s="183" t="s">
        <v>48</v>
      </c>
      <c r="I284" s="353">
        <v>701383.23</v>
      </c>
    </row>
    <row r="285" spans="1:9" x14ac:dyDescent="0.2">
      <c r="A285" s="181">
        <f t="shared" si="4"/>
        <v>284</v>
      </c>
      <c r="B285" s="182">
        <v>40421</v>
      </c>
      <c r="C285" s="182">
        <v>40441</v>
      </c>
      <c r="D285" s="183" t="s">
        <v>66</v>
      </c>
      <c r="E285" s="183" t="s">
        <v>392</v>
      </c>
      <c r="F285" s="183" t="s">
        <v>393</v>
      </c>
      <c r="G285" s="183" t="s">
        <v>49</v>
      </c>
      <c r="H285" s="183" t="s">
        <v>492</v>
      </c>
      <c r="I285" s="353">
        <v>59444.44</v>
      </c>
    </row>
    <row r="286" spans="1:9" x14ac:dyDescent="0.2">
      <c r="A286" s="181">
        <f t="shared" si="4"/>
        <v>285</v>
      </c>
      <c r="B286" s="182">
        <v>40421</v>
      </c>
      <c r="C286" s="182">
        <v>40441</v>
      </c>
      <c r="D286" s="183" t="s">
        <v>66</v>
      </c>
      <c r="E286" s="183" t="s">
        <v>392</v>
      </c>
      <c r="F286" s="183" t="s">
        <v>393</v>
      </c>
      <c r="G286" s="183" t="s">
        <v>493</v>
      </c>
      <c r="H286" s="183" t="s">
        <v>494</v>
      </c>
      <c r="I286" s="353">
        <v>125333.33</v>
      </c>
    </row>
    <row r="287" spans="1:9" x14ac:dyDescent="0.2">
      <c r="A287" s="181">
        <f t="shared" si="4"/>
        <v>286</v>
      </c>
      <c r="B287" s="182">
        <v>40421</v>
      </c>
      <c r="C287" s="182">
        <v>40441</v>
      </c>
      <c r="D287" s="183" t="s">
        <v>66</v>
      </c>
      <c r="E287" s="183" t="s">
        <v>392</v>
      </c>
      <c r="F287" s="183" t="s">
        <v>393</v>
      </c>
      <c r="G287" s="183" t="s">
        <v>495</v>
      </c>
      <c r="H287" s="183" t="s">
        <v>496</v>
      </c>
      <c r="I287" s="353">
        <v>97777.78</v>
      </c>
    </row>
    <row r="288" spans="1:9" x14ac:dyDescent="0.2">
      <c r="A288" s="181">
        <f t="shared" si="4"/>
        <v>287</v>
      </c>
      <c r="B288" s="186">
        <v>40421</v>
      </c>
      <c r="C288" s="186">
        <v>40441</v>
      </c>
      <c r="D288" s="187" t="s">
        <v>66</v>
      </c>
      <c r="E288" s="187" t="s">
        <v>392</v>
      </c>
      <c r="F288" s="187" t="s">
        <v>393</v>
      </c>
      <c r="G288" s="187" t="s">
        <v>497</v>
      </c>
      <c r="H288" s="187" t="s">
        <v>498</v>
      </c>
      <c r="I288" s="356">
        <v>74666.67</v>
      </c>
    </row>
    <row r="289" spans="1:9" x14ac:dyDescent="0.2">
      <c r="A289" s="181">
        <f t="shared" si="4"/>
        <v>288</v>
      </c>
      <c r="B289" s="182">
        <v>40422</v>
      </c>
      <c r="C289" s="182">
        <v>40455</v>
      </c>
      <c r="D289" s="183" t="s">
        <v>66</v>
      </c>
      <c r="E289" s="183" t="s">
        <v>392</v>
      </c>
      <c r="F289" s="183" t="s">
        <v>393</v>
      </c>
      <c r="G289" s="183" t="s">
        <v>441</v>
      </c>
      <c r="H289" s="183" t="s">
        <v>411</v>
      </c>
      <c r="I289" s="230">
        <v>110711.12</v>
      </c>
    </row>
    <row r="290" spans="1:9" x14ac:dyDescent="0.2">
      <c r="A290" s="181">
        <f t="shared" si="4"/>
        <v>289</v>
      </c>
      <c r="B290" s="182">
        <v>40422</v>
      </c>
      <c r="C290" s="182">
        <v>40455</v>
      </c>
      <c r="D290" s="183" t="s">
        <v>66</v>
      </c>
      <c r="E290" s="183" t="s">
        <v>392</v>
      </c>
      <c r="F290" s="183" t="s">
        <v>393</v>
      </c>
      <c r="G290" s="183" t="s">
        <v>412</v>
      </c>
      <c r="H290" s="183" t="s">
        <v>829</v>
      </c>
      <c r="I290" s="353">
        <v>180000</v>
      </c>
    </row>
    <row r="291" spans="1:9" x14ac:dyDescent="0.2">
      <c r="A291" s="181">
        <f t="shared" si="4"/>
        <v>290</v>
      </c>
      <c r="B291" s="186">
        <v>40422</v>
      </c>
      <c r="C291" s="186">
        <v>40455</v>
      </c>
      <c r="D291" s="187" t="s">
        <v>66</v>
      </c>
      <c r="E291" s="187" t="s">
        <v>392</v>
      </c>
      <c r="F291" s="187" t="s">
        <v>393</v>
      </c>
      <c r="G291" s="187" t="s">
        <v>830</v>
      </c>
      <c r="H291" s="187" t="s">
        <v>831</v>
      </c>
      <c r="I291" s="356">
        <v>152520</v>
      </c>
    </row>
    <row r="292" spans="1:9" x14ac:dyDescent="0.2">
      <c r="A292" s="181">
        <f t="shared" si="4"/>
        <v>291</v>
      </c>
      <c r="B292" s="182">
        <v>40427</v>
      </c>
      <c r="C292" s="182">
        <v>40457</v>
      </c>
      <c r="D292" s="183" t="s">
        <v>66</v>
      </c>
      <c r="E292" s="183" t="s">
        <v>392</v>
      </c>
      <c r="F292" s="183" t="s">
        <v>393</v>
      </c>
      <c r="G292" s="183" t="s">
        <v>447</v>
      </c>
      <c r="H292" s="183" t="s">
        <v>448</v>
      </c>
      <c r="I292" s="230">
        <v>68777.78</v>
      </c>
    </row>
    <row r="293" spans="1:9" x14ac:dyDescent="0.2">
      <c r="A293" s="181">
        <f t="shared" si="4"/>
        <v>292</v>
      </c>
      <c r="B293" s="182">
        <v>40427</v>
      </c>
      <c r="C293" s="182">
        <v>40457</v>
      </c>
      <c r="D293" s="183" t="s">
        <v>66</v>
      </c>
      <c r="E293" s="183" t="s">
        <v>392</v>
      </c>
      <c r="F293" s="183" t="s">
        <v>393</v>
      </c>
      <c r="G293" s="183" t="s">
        <v>449</v>
      </c>
      <c r="H293" s="183" t="s">
        <v>450</v>
      </c>
      <c r="I293" s="353">
        <v>137777.78</v>
      </c>
    </row>
    <row r="294" spans="1:9" x14ac:dyDescent="0.2">
      <c r="A294" s="181">
        <f t="shared" si="4"/>
        <v>293</v>
      </c>
      <c r="B294" s="182">
        <v>40427</v>
      </c>
      <c r="C294" s="182">
        <v>40457</v>
      </c>
      <c r="D294" s="183" t="s">
        <v>66</v>
      </c>
      <c r="E294" s="183" t="s">
        <v>392</v>
      </c>
      <c r="F294" s="183" t="s">
        <v>393</v>
      </c>
      <c r="G294" s="183" t="s">
        <v>451</v>
      </c>
      <c r="H294" s="183" t="s">
        <v>452</v>
      </c>
      <c r="I294" s="353">
        <v>129000</v>
      </c>
    </row>
    <row r="295" spans="1:9" x14ac:dyDescent="0.2">
      <c r="A295" s="181">
        <f t="shared" si="4"/>
        <v>294</v>
      </c>
      <c r="B295" s="182">
        <v>40427</v>
      </c>
      <c r="C295" s="182">
        <v>40457</v>
      </c>
      <c r="D295" s="183" t="s">
        <v>66</v>
      </c>
      <c r="E295" s="183" t="s">
        <v>392</v>
      </c>
      <c r="F295" s="183" t="s">
        <v>393</v>
      </c>
      <c r="G295" s="183" t="s">
        <v>453</v>
      </c>
      <c r="H295" s="183" t="s">
        <v>454</v>
      </c>
      <c r="I295" s="353">
        <v>122000</v>
      </c>
    </row>
    <row r="296" spans="1:9" x14ac:dyDescent="0.2">
      <c r="A296" s="181">
        <f t="shared" si="4"/>
        <v>295</v>
      </c>
      <c r="B296" s="186">
        <v>40427</v>
      </c>
      <c r="C296" s="186">
        <v>40457</v>
      </c>
      <c r="D296" s="187" t="s">
        <v>66</v>
      </c>
      <c r="E296" s="187" t="s">
        <v>392</v>
      </c>
      <c r="F296" s="187" t="s">
        <v>393</v>
      </c>
      <c r="G296" s="187" t="s">
        <v>455</v>
      </c>
      <c r="H296" s="187" t="s">
        <v>630</v>
      </c>
      <c r="I296" s="356">
        <v>122000</v>
      </c>
    </row>
    <row r="297" spans="1:9" x14ac:dyDescent="0.2">
      <c r="A297" s="181">
        <f t="shared" si="4"/>
        <v>296</v>
      </c>
      <c r="B297" s="182">
        <v>40428</v>
      </c>
      <c r="C297" s="182">
        <v>40448</v>
      </c>
      <c r="D297" s="183" t="s">
        <v>11</v>
      </c>
      <c r="E297" s="183"/>
      <c r="F297" s="183" t="s">
        <v>701</v>
      </c>
      <c r="G297" s="183" t="s">
        <v>721</v>
      </c>
      <c r="H297" s="183" t="s">
        <v>367</v>
      </c>
      <c r="I297" s="230">
        <v>35000</v>
      </c>
    </row>
    <row r="298" spans="1:9" x14ac:dyDescent="0.2">
      <c r="A298" s="181">
        <f t="shared" si="4"/>
        <v>297</v>
      </c>
      <c r="B298" s="182">
        <v>40428</v>
      </c>
      <c r="C298" s="182">
        <v>40478</v>
      </c>
      <c r="D298" s="183" t="s">
        <v>66</v>
      </c>
      <c r="E298" s="183" t="s">
        <v>422</v>
      </c>
      <c r="F298" s="183" t="s">
        <v>396</v>
      </c>
      <c r="G298" s="183" t="s">
        <v>368</v>
      </c>
      <c r="H298" s="183" t="s">
        <v>384</v>
      </c>
      <c r="I298" s="353">
        <v>558000</v>
      </c>
    </row>
    <row r="299" spans="1:9" x14ac:dyDescent="0.2">
      <c r="A299" s="181">
        <f t="shared" si="4"/>
        <v>298</v>
      </c>
      <c r="B299" s="182">
        <v>40428</v>
      </c>
      <c r="C299" s="182">
        <v>40448</v>
      </c>
      <c r="D299" s="183" t="s">
        <v>66</v>
      </c>
      <c r="E299" s="183" t="s">
        <v>422</v>
      </c>
      <c r="F299" s="183" t="s">
        <v>396</v>
      </c>
      <c r="G299" s="183" t="s">
        <v>385</v>
      </c>
      <c r="H299" s="183" t="s">
        <v>354</v>
      </c>
      <c r="I299" s="353">
        <v>171828</v>
      </c>
    </row>
    <row r="300" spans="1:9" x14ac:dyDescent="0.2">
      <c r="A300" s="181">
        <f t="shared" si="4"/>
        <v>299</v>
      </c>
      <c r="B300" s="186">
        <v>40428</v>
      </c>
      <c r="C300" s="186">
        <v>40478</v>
      </c>
      <c r="D300" s="187" t="s">
        <v>66</v>
      </c>
      <c r="E300" s="187" t="s">
        <v>422</v>
      </c>
      <c r="F300" s="187" t="s">
        <v>396</v>
      </c>
      <c r="G300" s="187" t="s">
        <v>799</v>
      </c>
      <c r="H300" s="187" t="s">
        <v>506</v>
      </c>
      <c r="I300" s="356">
        <v>496777.78</v>
      </c>
    </row>
    <row r="301" spans="1:9" x14ac:dyDescent="0.2">
      <c r="A301" s="181">
        <f t="shared" si="4"/>
        <v>300</v>
      </c>
      <c r="B301" s="182">
        <v>40428</v>
      </c>
      <c r="C301" s="182">
        <v>40448</v>
      </c>
      <c r="D301" s="183" t="s">
        <v>66</v>
      </c>
      <c r="E301" s="183" t="s">
        <v>233</v>
      </c>
      <c r="F301" s="183" t="s">
        <v>233</v>
      </c>
      <c r="G301" s="183" t="s">
        <v>333</v>
      </c>
      <c r="H301" s="183" t="s">
        <v>334</v>
      </c>
      <c r="I301" s="230">
        <v>118000</v>
      </c>
    </row>
    <row r="302" spans="1:9" x14ac:dyDescent="0.2">
      <c r="A302" s="181">
        <f t="shared" si="4"/>
        <v>301</v>
      </c>
      <c r="B302" s="186">
        <v>40428</v>
      </c>
      <c r="C302" s="186">
        <v>40448</v>
      </c>
      <c r="D302" s="187" t="s">
        <v>66</v>
      </c>
      <c r="E302" s="187" t="s">
        <v>233</v>
      </c>
      <c r="F302" s="187" t="s">
        <v>233</v>
      </c>
      <c r="G302" s="187" t="s">
        <v>335</v>
      </c>
      <c r="H302" s="187" t="s">
        <v>174</v>
      </c>
      <c r="I302" s="356">
        <v>90900</v>
      </c>
    </row>
    <row r="303" spans="1:9" x14ac:dyDescent="0.2">
      <c r="A303" s="181">
        <f t="shared" si="4"/>
        <v>302</v>
      </c>
      <c r="B303" s="184">
        <v>40429</v>
      </c>
      <c r="C303" s="184">
        <v>40477</v>
      </c>
      <c r="D303" s="185" t="s">
        <v>66</v>
      </c>
      <c r="E303" s="185" t="s">
        <v>422</v>
      </c>
      <c r="F303" s="185" t="s">
        <v>701</v>
      </c>
      <c r="G303" s="185" t="s">
        <v>120</v>
      </c>
      <c r="H303" s="185" t="s">
        <v>121</v>
      </c>
      <c r="I303" s="200">
        <v>10429465.859999999</v>
      </c>
    </row>
    <row r="304" spans="1:9" x14ac:dyDescent="0.2">
      <c r="A304" s="181">
        <f t="shared" si="4"/>
        <v>303</v>
      </c>
      <c r="B304" s="182">
        <v>40429</v>
      </c>
      <c r="C304" s="182">
        <v>40478</v>
      </c>
      <c r="D304" s="183" t="s">
        <v>66</v>
      </c>
      <c r="E304" s="183" t="s">
        <v>422</v>
      </c>
      <c r="F304" s="183" t="s">
        <v>701</v>
      </c>
      <c r="G304" s="183" t="s">
        <v>122</v>
      </c>
      <c r="H304" s="183" t="s">
        <v>123</v>
      </c>
      <c r="I304" s="353">
        <v>915313.61</v>
      </c>
    </row>
    <row r="305" spans="1:9" x14ac:dyDescent="0.2">
      <c r="A305" s="181">
        <f t="shared" si="4"/>
        <v>304</v>
      </c>
      <c r="B305" s="186">
        <v>40429</v>
      </c>
      <c r="C305" s="186">
        <v>40478</v>
      </c>
      <c r="D305" s="187" t="s">
        <v>66</v>
      </c>
      <c r="E305" s="187" t="s">
        <v>422</v>
      </c>
      <c r="F305" s="187" t="s">
        <v>701</v>
      </c>
      <c r="G305" s="187" t="s">
        <v>124</v>
      </c>
      <c r="H305" s="187" t="s">
        <v>164</v>
      </c>
      <c r="I305" s="356">
        <v>236714.81</v>
      </c>
    </row>
    <row r="306" spans="1:9" x14ac:dyDescent="0.2">
      <c r="A306" s="181">
        <f t="shared" si="4"/>
        <v>305</v>
      </c>
      <c r="B306" s="184">
        <v>40430</v>
      </c>
      <c r="C306" s="184">
        <v>40485</v>
      </c>
      <c r="D306" s="185" t="s">
        <v>11</v>
      </c>
      <c r="E306" s="185"/>
      <c r="F306" s="185" t="s">
        <v>396</v>
      </c>
      <c r="G306" s="185" t="s">
        <v>135</v>
      </c>
      <c r="H306" s="185" t="s">
        <v>136</v>
      </c>
      <c r="I306" s="200">
        <v>296699</v>
      </c>
    </row>
    <row r="307" spans="1:9" x14ac:dyDescent="0.2">
      <c r="A307" s="181">
        <f t="shared" si="4"/>
        <v>306</v>
      </c>
      <c r="B307" s="182">
        <v>40430</v>
      </c>
      <c r="C307" s="182">
        <v>40448</v>
      </c>
      <c r="D307" s="183" t="s">
        <v>66</v>
      </c>
      <c r="E307" s="183" t="s">
        <v>422</v>
      </c>
      <c r="F307" s="183" t="s">
        <v>71</v>
      </c>
      <c r="G307" s="183" t="s">
        <v>137</v>
      </c>
      <c r="H307" s="183" t="s">
        <v>138</v>
      </c>
      <c r="I307" s="353">
        <v>192500</v>
      </c>
    </row>
    <row r="308" spans="1:9" x14ac:dyDescent="0.2">
      <c r="A308" s="181">
        <f t="shared" si="4"/>
        <v>307</v>
      </c>
      <c r="B308" s="186">
        <v>40430</v>
      </c>
      <c r="C308" s="186">
        <v>40448</v>
      </c>
      <c r="D308" s="187" t="s">
        <v>66</v>
      </c>
      <c r="E308" s="187" t="s">
        <v>233</v>
      </c>
      <c r="F308" s="187" t="s">
        <v>233</v>
      </c>
      <c r="G308" s="187" t="s">
        <v>139</v>
      </c>
      <c r="H308" s="187" t="s">
        <v>140</v>
      </c>
      <c r="I308" s="356">
        <v>95908</v>
      </c>
    </row>
    <row r="309" spans="1:9" x14ac:dyDescent="0.2">
      <c r="A309" s="181">
        <f t="shared" si="4"/>
        <v>308</v>
      </c>
      <c r="B309" s="182">
        <v>40431</v>
      </c>
      <c r="C309" s="182">
        <v>40457</v>
      </c>
      <c r="D309" s="183" t="s">
        <v>66</v>
      </c>
      <c r="E309" s="183" t="s">
        <v>392</v>
      </c>
      <c r="F309" s="183" t="s">
        <v>396</v>
      </c>
      <c r="G309" s="183" t="s">
        <v>737</v>
      </c>
      <c r="H309" s="183" t="s">
        <v>738</v>
      </c>
      <c r="I309" s="230">
        <v>109620</v>
      </c>
    </row>
    <row r="310" spans="1:9" x14ac:dyDescent="0.2">
      <c r="A310" s="181">
        <f t="shared" si="4"/>
        <v>309</v>
      </c>
      <c r="B310" s="186">
        <v>40431</v>
      </c>
      <c r="C310" s="186">
        <v>40457</v>
      </c>
      <c r="D310" s="187" t="s">
        <v>11</v>
      </c>
      <c r="E310" s="187"/>
      <c r="F310" s="187" t="s">
        <v>396</v>
      </c>
      <c r="G310" s="187" t="s">
        <v>739</v>
      </c>
      <c r="H310" s="187" t="s">
        <v>740</v>
      </c>
      <c r="I310" s="356">
        <v>42000</v>
      </c>
    </row>
    <row r="311" spans="1:9" x14ac:dyDescent="0.2">
      <c r="A311" s="181">
        <f t="shared" si="4"/>
        <v>310</v>
      </c>
      <c r="B311" s="182">
        <v>40435</v>
      </c>
      <c r="C311" s="182">
        <v>40455</v>
      </c>
      <c r="D311" s="183" t="s">
        <v>66</v>
      </c>
      <c r="E311" s="183" t="s">
        <v>392</v>
      </c>
      <c r="F311" s="183" t="s">
        <v>71</v>
      </c>
      <c r="G311" s="183" t="s">
        <v>42</v>
      </c>
      <c r="H311" s="183" t="s">
        <v>800</v>
      </c>
      <c r="I311" s="230">
        <v>106261.7</v>
      </c>
    </row>
    <row r="312" spans="1:9" x14ac:dyDescent="0.2">
      <c r="A312" s="181">
        <f t="shared" si="4"/>
        <v>311</v>
      </c>
      <c r="B312" s="182">
        <v>40435</v>
      </c>
      <c r="C312" s="182">
        <v>40455</v>
      </c>
      <c r="D312" s="183" t="s">
        <v>66</v>
      </c>
      <c r="E312" s="183" t="s">
        <v>392</v>
      </c>
      <c r="F312" s="183" t="s">
        <v>71</v>
      </c>
      <c r="G312" s="183" t="s">
        <v>801</v>
      </c>
      <c r="H312" s="183" t="s">
        <v>355</v>
      </c>
      <c r="I312" s="353">
        <v>54310.07</v>
      </c>
    </row>
    <row r="313" spans="1:9" x14ac:dyDescent="0.2">
      <c r="A313" s="181">
        <f t="shared" si="4"/>
        <v>312</v>
      </c>
      <c r="B313" s="182">
        <v>40435</v>
      </c>
      <c r="C313" s="182">
        <v>40455</v>
      </c>
      <c r="D313" s="183" t="s">
        <v>66</v>
      </c>
      <c r="E313" s="183" t="s">
        <v>392</v>
      </c>
      <c r="F313" s="183" t="s">
        <v>71</v>
      </c>
      <c r="G313" s="183" t="s">
        <v>356</v>
      </c>
      <c r="H313" s="183" t="s">
        <v>73</v>
      </c>
      <c r="I313" s="353">
        <v>75317.31</v>
      </c>
    </row>
    <row r="314" spans="1:9" x14ac:dyDescent="0.2">
      <c r="A314" s="181">
        <f t="shared" si="4"/>
        <v>313</v>
      </c>
      <c r="B314" s="182">
        <v>40435</v>
      </c>
      <c r="C314" s="182">
        <v>40455</v>
      </c>
      <c r="D314" s="183" t="s">
        <v>66</v>
      </c>
      <c r="E314" s="183" t="s">
        <v>392</v>
      </c>
      <c r="F314" s="183" t="s">
        <v>71</v>
      </c>
      <c r="G314" s="183" t="s">
        <v>74</v>
      </c>
      <c r="H314" s="183" t="s">
        <v>75</v>
      </c>
      <c r="I314" s="353">
        <v>89565.02</v>
      </c>
    </row>
    <row r="315" spans="1:9" x14ac:dyDescent="0.2">
      <c r="A315" s="181">
        <f t="shared" si="4"/>
        <v>314</v>
      </c>
      <c r="B315" s="186">
        <v>40435</v>
      </c>
      <c r="C315" s="186">
        <v>40455</v>
      </c>
      <c r="D315" s="187" t="s">
        <v>66</v>
      </c>
      <c r="E315" s="187" t="s">
        <v>422</v>
      </c>
      <c r="F315" s="187" t="s">
        <v>71</v>
      </c>
      <c r="G315" s="187" t="s">
        <v>76</v>
      </c>
      <c r="H315" s="187" t="s">
        <v>32</v>
      </c>
      <c r="I315" s="356">
        <v>80039.789999999994</v>
      </c>
    </row>
    <row r="316" spans="1:9" x14ac:dyDescent="0.2">
      <c r="A316" s="181">
        <f t="shared" si="4"/>
        <v>315</v>
      </c>
      <c r="B316" s="182">
        <v>40436</v>
      </c>
      <c r="C316" s="182">
        <v>40464</v>
      </c>
      <c r="D316" s="183" t="s">
        <v>66</v>
      </c>
      <c r="E316" s="183" t="s">
        <v>392</v>
      </c>
      <c r="F316" s="183" t="s">
        <v>71</v>
      </c>
      <c r="G316" s="183" t="s">
        <v>611</v>
      </c>
      <c r="H316" s="183" t="s">
        <v>280</v>
      </c>
      <c r="I316" s="230">
        <v>142529.32</v>
      </c>
    </row>
    <row r="317" spans="1:9" x14ac:dyDescent="0.2">
      <c r="A317" s="181">
        <f t="shared" si="4"/>
        <v>316</v>
      </c>
      <c r="B317" s="182">
        <v>40436</v>
      </c>
      <c r="C317" s="182">
        <v>40464</v>
      </c>
      <c r="D317" s="183" t="s">
        <v>66</v>
      </c>
      <c r="E317" s="183" t="s">
        <v>392</v>
      </c>
      <c r="F317" s="183" t="s">
        <v>71</v>
      </c>
      <c r="G317" s="183" t="s">
        <v>281</v>
      </c>
      <c r="H317" s="183" t="s">
        <v>282</v>
      </c>
      <c r="I317" s="353">
        <v>90189.28</v>
      </c>
    </row>
    <row r="318" spans="1:9" x14ac:dyDescent="0.2">
      <c r="A318" s="181">
        <f t="shared" si="4"/>
        <v>317</v>
      </c>
      <c r="B318" s="182">
        <v>40436</v>
      </c>
      <c r="C318" s="182">
        <v>40457</v>
      </c>
      <c r="D318" s="183" t="s">
        <v>66</v>
      </c>
      <c r="E318" s="183" t="s">
        <v>392</v>
      </c>
      <c r="F318" s="183" t="s">
        <v>71</v>
      </c>
      <c r="G318" s="183" t="s">
        <v>283</v>
      </c>
      <c r="H318" s="183" t="s">
        <v>284</v>
      </c>
      <c r="I318" s="353">
        <v>79485.119999999995</v>
      </c>
    </row>
    <row r="319" spans="1:9" x14ac:dyDescent="0.2">
      <c r="A319" s="181">
        <f t="shared" si="4"/>
        <v>318</v>
      </c>
      <c r="B319" s="186">
        <v>40436</v>
      </c>
      <c r="C319" s="186">
        <v>40457</v>
      </c>
      <c r="D319" s="187" t="s">
        <v>66</v>
      </c>
      <c r="E319" s="187" t="s">
        <v>392</v>
      </c>
      <c r="F319" s="187" t="s">
        <v>71</v>
      </c>
      <c r="G319" s="187" t="s">
        <v>285</v>
      </c>
      <c r="H319" s="187" t="s">
        <v>286</v>
      </c>
      <c r="I319" s="356">
        <v>60471.9</v>
      </c>
    </row>
    <row r="320" spans="1:9" x14ac:dyDescent="0.2">
      <c r="A320" s="181">
        <f t="shared" si="4"/>
        <v>319</v>
      </c>
      <c r="B320" s="182">
        <v>40438</v>
      </c>
      <c r="C320" s="182">
        <v>40455</v>
      </c>
      <c r="D320" s="183" t="s">
        <v>66</v>
      </c>
      <c r="E320" s="183" t="s">
        <v>422</v>
      </c>
      <c r="F320" s="183" t="s">
        <v>71</v>
      </c>
      <c r="G320" s="183" t="s">
        <v>259</v>
      </c>
      <c r="H320" s="183" t="s">
        <v>260</v>
      </c>
      <c r="I320" s="230">
        <v>61299.82</v>
      </c>
    </row>
    <row r="321" spans="1:9" x14ac:dyDescent="0.2">
      <c r="A321" s="181">
        <f t="shared" si="4"/>
        <v>320</v>
      </c>
      <c r="B321" s="182">
        <v>40438</v>
      </c>
      <c r="C321" s="182">
        <v>40464</v>
      </c>
      <c r="D321" s="183" t="s">
        <v>66</v>
      </c>
      <c r="E321" s="183" t="s">
        <v>422</v>
      </c>
      <c r="F321" s="183" t="s">
        <v>701</v>
      </c>
      <c r="G321" s="183" t="s">
        <v>261</v>
      </c>
      <c r="H321" s="183" t="s">
        <v>262</v>
      </c>
      <c r="I321" s="353">
        <v>177000</v>
      </c>
    </row>
    <row r="322" spans="1:9" x14ac:dyDescent="0.2">
      <c r="A322" s="181">
        <f t="shared" si="4"/>
        <v>321</v>
      </c>
      <c r="B322" s="182">
        <v>40438</v>
      </c>
      <c r="C322" s="182">
        <v>40464</v>
      </c>
      <c r="D322" s="183" t="s">
        <v>66</v>
      </c>
      <c r="E322" s="183" t="s">
        <v>422</v>
      </c>
      <c r="F322" s="183" t="s">
        <v>701</v>
      </c>
      <c r="G322" s="183" t="s">
        <v>263</v>
      </c>
      <c r="H322" s="183" t="s">
        <v>264</v>
      </c>
      <c r="I322" s="353">
        <v>54700</v>
      </c>
    </row>
    <row r="323" spans="1:9" x14ac:dyDescent="0.2">
      <c r="A323" s="188">
        <f t="shared" si="4"/>
        <v>322</v>
      </c>
      <c r="B323" s="186">
        <v>40438</v>
      </c>
      <c r="C323" s="186">
        <v>40464</v>
      </c>
      <c r="D323" s="187" t="s">
        <v>66</v>
      </c>
      <c r="E323" s="187" t="s">
        <v>422</v>
      </c>
      <c r="F323" s="187" t="s">
        <v>701</v>
      </c>
      <c r="G323" s="187" t="s">
        <v>265</v>
      </c>
      <c r="H323" s="187" t="s">
        <v>266</v>
      </c>
      <c r="I323" s="356">
        <v>124200</v>
      </c>
    </row>
    <row r="324" spans="1:9" x14ac:dyDescent="0.2">
      <c r="A324" s="181">
        <f t="shared" si="4"/>
        <v>323</v>
      </c>
      <c r="B324" s="186">
        <v>40441</v>
      </c>
      <c r="C324" s="186">
        <v>40464</v>
      </c>
      <c r="D324" s="187" t="s">
        <v>66</v>
      </c>
      <c r="E324" s="187" t="s">
        <v>422</v>
      </c>
      <c r="F324" s="187" t="s">
        <v>701</v>
      </c>
      <c r="G324" s="187" t="s">
        <v>640</v>
      </c>
      <c r="H324" s="187" t="s">
        <v>125</v>
      </c>
      <c r="I324" s="357">
        <v>78300</v>
      </c>
    </row>
    <row r="325" spans="1:9" x14ac:dyDescent="0.2">
      <c r="A325" s="181">
        <f t="shared" si="4"/>
        <v>324</v>
      </c>
      <c r="B325" s="190">
        <v>40442</v>
      </c>
      <c r="C325" s="190">
        <v>40471</v>
      </c>
      <c r="D325" s="191" t="s">
        <v>66</v>
      </c>
      <c r="E325" s="191" t="s">
        <v>422</v>
      </c>
      <c r="F325" s="191" t="s">
        <v>396</v>
      </c>
      <c r="G325" s="191" t="s">
        <v>35</v>
      </c>
      <c r="H325" s="191" t="s">
        <v>787</v>
      </c>
      <c r="I325" s="359">
        <v>140000</v>
      </c>
    </row>
    <row r="326" spans="1:9" x14ac:dyDescent="0.2">
      <c r="A326" s="181">
        <f t="shared" si="4"/>
        <v>325</v>
      </c>
      <c r="B326" s="182">
        <v>40442</v>
      </c>
      <c r="C326" s="182">
        <v>40471</v>
      </c>
      <c r="D326" s="183" t="s">
        <v>66</v>
      </c>
      <c r="E326" s="183" t="s">
        <v>422</v>
      </c>
      <c r="F326" s="183" t="s">
        <v>396</v>
      </c>
      <c r="G326" s="183" t="s">
        <v>788</v>
      </c>
      <c r="H326" s="183" t="s">
        <v>789</v>
      </c>
      <c r="I326" s="353">
        <v>71280</v>
      </c>
    </row>
    <row r="327" spans="1:9" x14ac:dyDescent="0.2">
      <c r="A327" s="181">
        <f t="shared" ref="A327:A391" si="5">A326+1</f>
        <v>326</v>
      </c>
      <c r="B327" s="186">
        <v>40442</v>
      </c>
      <c r="C327" s="186">
        <v>40471</v>
      </c>
      <c r="D327" s="187" t="s">
        <v>66</v>
      </c>
      <c r="E327" s="187" t="s">
        <v>422</v>
      </c>
      <c r="F327" s="187" t="s">
        <v>396</v>
      </c>
      <c r="G327" s="187" t="s">
        <v>790</v>
      </c>
      <c r="H327" s="187" t="s">
        <v>804</v>
      </c>
      <c r="I327" s="356">
        <v>114048</v>
      </c>
    </row>
    <row r="328" spans="1:9" x14ac:dyDescent="0.2">
      <c r="A328" s="181">
        <f t="shared" si="5"/>
        <v>327</v>
      </c>
      <c r="B328" s="182">
        <v>40448</v>
      </c>
      <c r="C328" s="182">
        <v>40471</v>
      </c>
      <c r="D328" s="183" t="s">
        <v>66</v>
      </c>
      <c r="E328" s="183" t="s">
        <v>392</v>
      </c>
      <c r="F328" s="183" t="s">
        <v>393</v>
      </c>
      <c r="G328" s="183" t="s">
        <v>191</v>
      </c>
      <c r="H328" s="183" t="s">
        <v>192</v>
      </c>
      <c r="I328" s="230">
        <v>190000</v>
      </c>
    </row>
    <row r="329" spans="1:9" x14ac:dyDescent="0.2">
      <c r="A329" s="181">
        <f t="shared" si="5"/>
        <v>328</v>
      </c>
      <c r="B329" s="182">
        <v>40448</v>
      </c>
      <c r="C329" s="182">
        <v>40471</v>
      </c>
      <c r="D329" s="183" t="s">
        <v>66</v>
      </c>
      <c r="E329" s="183" t="s">
        <v>392</v>
      </c>
      <c r="F329" s="183" t="s">
        <v>393</v>
      </c>
      <c r="G329" s="183" t="s">
        <v>609</v>
      </c>
      <c r="H329" s="183" t="s">
        <v>631</v>
      </c>
      <c r="I329" s="353">
        <v>59732.83</v>
      </c>
    </row>
    <row r="330" spans="1:9" x14ac:dyDescent="0.2">
      <c r="A330" s="181">
        <f t="shared" si="5"/>
        <v>329</v>
      </c>
      <c r="B330" s="182">
        <v>40448</v>
      </c>
      <c r="C330" s="182">
        <v>40490</v>
      </c>
      <c r="D330" s="183" t="s">
        <v>66</v>
      </c>
      <c r="E330" s="183" t="s">
        <v>392</v>
      </c>
      <c r="F330" s="183" t="s">
        <v>71</v>
      </c>
      <c r="G330" s="183" t="s">
        <v>212</v>
      </c>
      <c r="H330" s="183" t="s">
        <v>214</v>
      </c>
      <c r="I330" s="353">
        <v>48258.9</v>
      </c>
    </row>
    <row r="331" spans="1:9" x14ac:dyDescent="0.2">
      <c r="A331" s="181">
        <f t="shared" si="5"/>
        <v>330</v>
      </c>
      <c r="B331" s="182">
        <v>40448</v>
      </c>
      <c r="C331" s="182">
        <v>40476</v>
      </c>
      <c r="D331" s="183" t="s">
        <v>66</v>
      </c>
      <c r="E331" s="183" t="s">
        <v>392</v>
      </c>
      <c r="F331" s="183" t="s">
        <v>393</v>
      </c>
      <c r="G331" s="183" t="s">
        <v>215</v>
      </c>
      <c r="H331" s="183" t="s">
        <v>216</v>
      </c>
      <c r="I331" s="353">
        <v>138055</v>
      </c>
    </row>
    <row r="332" spans="1:9" x14ac:dyDescent="0.2">
      <c r="A332" s="181">
        <f t="shared" si="5"/>
        <v>331</v>
      </c>
      <c r="B332" s="182">
        <v>40448</v>
      </c>
      <c r="C332" s="182">
        <v>40476</v>
      </c>
      <c r="D332" s="183" t="s">
        <v>11</v>
      </c>
      <c r="E332" s="183"/>
      <c r="F332" s="183" t="s">
        <v>71</v>
      </c>
      <c r="G332" s="183" t="s">
        <v>217</v>
      </c>
      <c r="H332" s="183" t="s">
        <v>218</v>
      </c>
      <c r="I332" s="353">
        <v>135102.06</v>
      </c>
    </row>
    <row r="333" spans="1:9" x14ac:dyDescent="0.2">
      <c r="A333" s="181">
        <f t="shared" si="5"/>
        <v>332</v>
      </c>
      <c r="B333" s="182">
        <v>40449</v>
      </c>
      <c r="C333" s="182">
        <v>40476</v>
      </c>
      <c r="D333" s="183" t="s">
        <v>66</v>
      </c>
      <c r="E333" s="183" t="s">
        <v>392</v>
      </c>
      <c r="F333" s="183" t="s">
        <v>71</v>
      </c>
      <c r="G333" s="183" t="s">
        <v>774</v>
      </c>
      <c r="H333" s="183" t="s">
        <v>303</v>
      </c>
      <c r="I333" s="230">
        <v>90109.36</v>
      </c>
    </row>
    <row r="334" spans="1:9" x14ac:dyDescent="0.2">
      <c r="A334" s="181">
        <f t="shared" si="5"/>
        <v>333</v>
      </c>
      <c r="B334" s="182">
        <v>40449</v>
      </c>
      <c r="C334" s="182">
        <v>40476</v>
      </c>
      <c r="D334" s="183" t="s">
        <v>66</v>
      </c>
      <c r="E334" s="183" t="s">
        <v>392</v>
      </c>
      <c r="F334" s="183" t="s">
        <v>393</v>
      </c>
      <c r="G334" s="183" t="s">
        <v>304</v>
      </c>
      <c r="H334" s="183" t="s">
        <v>425</v>
      </c>
      <c r="I334" s="353">
        <v>180002</v>
      </c>
    </row>
    <row r="335" spans="1:9" x14ac:dyDescent="0.2">
      <c r="A335" s="181">
        <f t="shared" si="5"/>
        <v>334</v>
      </c>
      <c r="B335" s="182">
        <v>40449</v>
      </c>
      <c r="C335" s="182">
        <v>40476</v>
      </c>
      <c r="D335" s="183" t="s">
        <v>66</v>
      </c>
      <c r="E335" s="183" t="s">
        <v>392</v>
      </c>
      <c r="F335" s="183" t="s">
        <v>393</v>
      </c>
      <c r="G335" s="183" t="s">
        <v>426</v>
      </c>
      <c r="H335" s="183" t="s">
        <v>427</v>
      </c>
      <c r="I335" s="353">
        <v>152526</v>
      </c>
    </row>
    <row r="336" spans="1:9" x14ac:dyDescent="0.2">
      <c r="A336" s="181">
        <f t="shared" si="5"/>
        <v>335</v>
      </c>
      <c r="B336" s="182">
        <v>40449</v>
      </c>
      <c r="C336" s="182">
        <v>40471</v>
      </c>
      <c r="D336" s="183" t="s">
        <v>66</v>
      </c>
      <c r="E336" s="183" t="s">
        <v>392</v>
      </c>
      <c r="F336" s="183" t="s">
        <v>393</v>
      </c>
      <c r="G336" s="183" t="s">
        <v>428</v>
      </c>
      <c r="H336" s="183" t="s">
        <v>432</v>
      </c>
      <c r="I336" s="353">
        <v>76263</v>
      </c>
    </row>
    <row r="337" spans="1:9" x14ac:dyDescent="0.2">
      <c r="A337" s="181">
        <f t="shared" si="5"/>
        <v>336</v>
      </c>
      <c r="B337" s="182">
        <v>40449</v>
      </c>
      <c r="C337" s="182">
        <v>40485</v>
      </c>
      <c r="D337" s="183" t="s">
        <v>66</v>
      </c>
      <c r="E337" s="183" t="s">
        <v>392</v>
      </c>
      <c r="F337" s="183" t="s">
        <v>393</v>
      </c>
      <c r="G337" s="183" t="s">
        <v>433</v>
      </c>
      <c r="H337" s="183" t="s">
        <v>2</v>
      </c>
      <c r="I337" s="353">
        <v>68777.78</v>
      </c>
    </row>
    <row r="338" spans="1:9" x14ac:dyDescent="0.2">
      <c r="A338" s="181">
        <f t="shared" si="5"/>
        <v>337</v>
      </c>
      <c r="B338" s="182">
        <v>40449</v>
      </c>
      <c r="C338" s="182">
        <v>40476</v>
      </c>
      <c r="D338" s="183" t="s">
        <v>66</v>
      </c>
      <c r="E338" s="183" t="s">
        <v>392</v>
      </c>
      <c r="F338" s="183" t="s">
        <v>71</v>
      </c>
      <c r="G338" s="183" t="s">
        <v>3</v>
      </c>
      <c r="H338" s="183" t="s">
        <v>4</v>
      </c>
      <c r="I338" s="353">
        <v>77205.23</v>
      </c>
    </row>
    <row r="339" spans="1:9" x14ac:dyDescent="0.2">
      <c r="A339" s="181">
        <f t="shared" si="5"/>
        <v>338</v>
      </c>
      <c r="B339" s="182">
        <v>40449</v>
      </c>
      <c r="C339" s="182">
        <v>40476</v>
      </c>
      <c r="D339" s="183" t="s">
        <v>66</v>
      </c>
      <c r="E339" s="183" t="s">
        <v>392</v>
      </c>
      <c r="F339" s="183" t="s">
        <v>71</v>
      </c>
      <c r="G339" s="183" t="s">
        <v>5</v>
      </c>
      <c r="H339" s="183" t="s">
        <v>6</v>
      </c>
      <c r="I339" s="353">
        <v>90981.04</v>
      </c>
    </row>
    <row r="340" spans="1:9" x14ac:dyDescent="0.2">
      <c r="A340" s="181">
        <f t="shared" si="5"/>
        <v>339</v>
      </c>
      <c r="B340" s="186">
        <v>40449</v>
      </c>
      <c r="C340" s="186">
        <v>40476</v>
      </c>
      <c r="D340" s="187" t="s">
        <v>66</v>
      </c>
      <c r="E340" s="187" t="s">
        <v>392</v>
      </c>
      <c r="F340" s="187" t="s">
        <v>71</v>
      </c>
      <c r="G340" s="187" t="s">
        <v>819</v>
      </c>
      <c r="H340" s="187" t="s">
        <v>820</v>
      </c>
      <c r="I340" s="356">
        <v>64912.28</v>
      </c>
    </row>
    <row r="341" spans="1:9" x14ac:dyDescent="0.2">
      <c r="A341" s="181">
        <f t="shared" si="5"/>
        <v>340</v>
      </c>
      <c r="B341" s="186">
        <v>40450</v>
      </c>
      <c r="C341" s="186">
        <v>40471</v>
      </c>
      <c r="D341" s="187" t="s">
        <v>66</v>
      </c>
      <c r="E341" s="187" t="s">
        <v>422</v>
      </c>
      <c r="F341" s="187" t="s">
        <v>71</v>
      </c>
      <c r="G341" s="187" t="s">
        <v>219</v>
      </c>
      <c r="H341" s="187" t="s">
        <v>220</v>
      </c>
      <c r="I341" s="357">
        <v>110579.84</v>
      </c>
    </row>
    <row r="342" spans="1:9" x14ac:dyDescent="0.2">
      <c r="A342" s="181">
        <f t="shared" si="5"/>
        <v>341</v>
      </c>
      <c r="B342" s="186">
        <v>40451</v>
      </c>
      <c r="C342" s="186">
        <v>40476</v>
      </c>
      <c r="D342" s="187" t="s">
        <v>11</v>
      </c>
      <c r="E342" s="196"/>
      <c r="F342" s="187" t="s">
        <v>71</v>
      </c>
      <c r="G342" s="187" t="s">
        <v>87</v>
      </c>
      <c r="H342" s="187" t="s">
        <v>88</v>
      </c>
      <c r="I342" s="357">
        <v>179191.81</v>
      </c>
    </row>
    <row r="343" spans="1:9" x14ac:dyDescent="0.2">
      <c r="A343" s="181">
        <f t="shared" si="5"/>
        <v>342</v>
      </c>
      <c r="B343" s="182">
        <v>40452</v>
      </c>
      <c r="C343" s="182">
        <v>40504</v>
      </c>
      <c r="D343" s="183" t="s">
        <v>66</v>
      </c>
      <c r="E343" s="183" t="s">
        <v>422</v>
      </c>
      <c r="F343" s="183" t="s">
        <v>396</v>
      </c>
      <c r="G343" s="183" t="s">
        <v>598</v>
      </c>
      <c r="H343" s="183" t="s">
        <v>599</v>
      </c>
      <c r="I343" s="230">
        <v>554000</v>
      </c>
    </row>
    <row r="344" spans="1:9" x14ac:dyDescent="0.2">
      <c r="A344" s="181">
        <f t="shared" si="5"/>
        <v>343</v>
      </c>
      <c r="B344" s="182">
        <v>40452</v>
      </c>
      <c r="C344" s="182">
        <v>40471</v>
      </c>
      <c r="D344" s="183" t="s">
        <v>66</v>
      </c>
      <c r="E344" s="183" t="s">
        <v>422</v>
      </c>
      <c r="F344" s="183" t="s">
        <v>396</v>
      </c>
      <c r="G344" s="183" t="s">
        <v>600</v>
      </c>
      <c r="H344" s="183" t="s">
        <v>601</v>
      </c>
      <c r="I344" s="353">
        <v>72058</v>
      </c>
    </row>
    <row r="345" spans="1:9" x14ac:dyDescent="0.2">
      <c r="A345" s="181">
        <f t="shared" si="5"/>
        <v>344</v>
      </c>
      <c r="B345" s="186">
        <v>40452</v>
      </c>
      <c r="C345" s="186">
        <v>40492</v>
      </c>
      <c r="D345" s="187" t="s">
        <v>11</v>
      </c>
      <c r="E345" s="196"/>
      <c r="F345" s="187" t="s">
        <v>396</v>
      </c>
      <c r="G345" s="187" t="s">
        <v>602</v>
      </c>
      <c r="H345" s="187" t="s">
        <v>603</v>
      </c>
      <c r="I345" s="356">
        <v>72900</v>
      </c>
    </row>
    <row r="346" spans="1:9" x14ac:dyDescent="0.2">
      <c r="A346" s="181">
        <f t="shared" si="5"/>
        <v>345</v>
      </c>
      <c r="B346" s="186">
        <v>40455</v>
      </c>
      <c r="C346" s="186">
        <v>40478</v>
      </c>
      <c r="D346" s="187" t="s">
        <v>66</v>
      </c>
      <c r="E346" s="187" t="s">
        <v>233</v>
      </c>
      <c r="F346" s="187" t="s">
        <v>233</v>
      </c>
      <c r="G346" s="187" t="s">
        <v>724</v>
      </c>
      <c r="H346" s="187" t="s">
        <v>725</v>
      </c>
      <c r="I346" s="357">
        <v>91800</v>
      </c>
    </row>
    <row r="347" spans="1:9" x14ac:dyDescent="0.2">
      <c r="A347" s="181">
        <f t="shared" si="5"/>
        <v>346</v>
      </c>
      <c r="B347" s="194">
        <v>40456</v>
      </c>
      <c r="C347" s="194">
        <v>40532</v>
      </c>
      <c r="D347" s="195" t="s">
        <v>11</v>
      </c>
      <c r="E347" s="205"/>
      <c r="F347" s="195" t="s">
        <v>396</v>
      </c>
      <c r="G347" s="195" t="s">
        <v>117</v>
      </c>
      <c r="H347" s="195" t="s">
        <v>118</v>
      </c>
      <c r="I347" s="362">
        <v>470144</v>
      </c>
    </row>
    <row r="348" spans="1:9" x14ac:dyDescent="0.2">
      <c r="A348" s="181">
        <f t="shared" si="5"/>
        <v>347</v>
      </c>
      <c r="B348" s="182">
        <v>40457</v>
      </c>
      <c r="C348" s="182">
        <v>40476</v>
      </c>
      <c r="D348" s="183" t="s">
        <v>66</v>
      </c>
      <c r="E348" s="183" t="s">
        <v>422</v>
      </c>
      <c r="F348" s="183" t="s">
        <v>701</v>
      </c>
      <c r="G348" s="183" t="s">
        <v>77</v>
      </c>
      <c r="H348" s="183" t="s">
        <v>78</v>
      </c>
      <c r="I348" s="230">
        <v>150000</v>
      </c>
    </row>
    <row r="349" spans="1:9" x14ac:dyDescent="0.2">
      <c r="A349" s="181">
        <f t="shared" si="5"/>
        <v>348</v>
      </c>
      <c r="B349" s="186">
        <v>40457</v>
      </c>
      <c r="C349" s="186">
        <v>40478</v>
      </c>
      <c r="D349" s="187" t="s">
        <v>66</v>
      </c>
      <c r="E349" s="187" t="s">
        <v>422</v>
      </c>
      <c r="F349" s="187" t="s">
        <v>71</v>
      </c>
      <c r="G349" s="187" t="s">
        <v>79</v>
      </c>
      <c r="H349" s="187" t="s">
        <v>80</v>
      </c>
      <c r="I349" s="357">
        <v>192500</v>
      </c>
    </row>
    <row r="350" spans="1:9" x14ac:dyDescent="0.2">
      <c r="A350" s="181">
        <f t="shared" si="5"/>
        <v>349</v>
      </c>
      <c r="B350" s="186">
        <v>40458</v>
      </c>
      <c r="C350" s="186">
        <v>40485</v>
      </c>
      <c r="D350" s="187" t="s">
        <v>66</v>
      </c>
      <c r="E350" s="187" t="s">
        <v>392</v>
      </c>
      <c r="F350" s="187" t="s">
        <v>71</v>
      </c>
      <c r="G350" s="187" t="s">
        <v>424</v>
      </c>
      <c r="H350" s="187" t="s">
        <v>91</v>
      </c>
      <c r="I350" s="357">
        <v>56270.78</v>
      </c>
    </row>
    <row r="351" spans="1:9" x14ac:dyDescent="0.2">
      <c r="A351" s="181">
        <f t="shared" si="5"/>
        <v>350</v>
      </c>
      <c r="B351" s="182">
        <v>40459</v>
      </c>
      <c r="C351" s="182">
        <v>40490</v>
      </c>
      <c r="D351" s="183" t="s">
        <v>66</v>
      </c>
      <c r="E351" s="183" t="s">
        <v>392</v>
      </c>
      <c r="F351" s="183" t="s">
        <v>393</v>
      </c>
      <c r="G351" s="183" t="s">
        <v>163</v>
      </c>
      <c r="H351" s="183" t="s">
        <v>374</v>
      </c>
      <c r="I351" s="230">
        <v>82162.22</v>
      </c>
    </row>
    <row r="352" spans="1:9" x14ac:dyDescent="0.2">
      <c r="A352" s="181">
        <f t="shared" si="5"/>
        <v>351</v>
      </c>
      <c r="B352" s="182">
        <v>40459</v>
      </c>
      <c r="C352" s="182">
        <v>40490</v>
      </c>
      <c r="D352" s="183" t="s">
        <v>66</v>
      </c>
      <c r="E352" s="183" t="s">
        <v>392</v>
      </c>
      <c r="F352" s="183" t="s">
        <v>71</v>
      </c>
      <c r="G352" s="183" t="s">
        <v>375</v>
      </c>
      <c r="H352" s="183" t="s">
        <v>376</v>
      </c>
      <c r="I352" s="353">
        <v>55508.88</v>
      </c>
    </row>
    <row r="353" spans="1:9" x14ac:dyDescent="0.2">
      <c r="A353" s="181">
        <f t="shared" si="5"/>
        <v>352</v>
      </c>
      <c r="B353" s="182">
        <v>40459</v>
      </c>
      <c r="C353" s="182">
        <v>40511</v>
      </c>
      <c r="D353" s="183" t="s">
        <v>66</v>
      </c>
      <c r="E353" s="183" t="s">
        <v>392</v>
      </c>
      <c r="F353" s="183" t="s">
        <v>9</v>
      </c>
      <c r="G353" s="183" t="s">
        <v>377</v>
      </c>
      <c r="H353" s="183" t="s">
        <v>378</v>
      </c>
      <c r="I353" s="353">
        <v>247721.43</v>
      </c>
    </row>
    <row r="354" spans="1:9" x14ac:dyDescent="0.2">
      <c r="A354" s="181">
        <f t="shared" si="5"/>
        <v>353</v>
      </c>
      <c r="B354" s="182">
        <v>40459</v>
      </c>
      <c r="C354" s="182">
        <v>40532</v>
      </c>
      <c r="D354" s="183" t="s">
        <v>66</v>
      </c>
      <c r="E354" s="183" t="s">
        <v>422</v>
      </c>
      <c r="F354" s="183" t="s">
        <v>396</v>
      </c>
      <c r="G354" s="183" t="s">
        <v>379</v>
      </c>
      <c r="H354" s="183" t="s">
        <v>380</v>
      </c>
      <c r="I354" s="353">
        <v>525506.73</v>
      </c>
    </row>
    <row r="355" spans="1:9" x14ac:dyDescent="0.2">
      <c r="A355" s="181">
        <f t="shared" si="5"/>
        <v>354</v>
      </c>
      <c r="B355" s="182">
        <v>40459</v>
      </c>
      <c r="C355" s="182">
        <v>40532</v>
      </c>
      <c r="D355" s="183" t="s">
        <v>66</v>
      </c>
      <c r="E355" s="183" t="s">
        <v>422</v>
      </c>
      <c r="F355" s="183" t="s">
        <v>396</v>
      </c>
      <c r="G355" s="183" t="s">
        <v>381</v>
      </c>
      <c r="H355" s="183" t="s">
        <v>382</v>
      </c>
      <c r="I355" s="353">
        <v>339614.22</v>
      </c>
    </row>
    <row r="356" spans="1:9" x14ac:dyDescent="0.2">
      <c r="A356" s="181">
        <f t="shared" si="5"/>
        <v>355</v>
      </c>
      <c r="B356" s="182">
        <v>40459</v>
      </c>
      <c r="C356" s="182">
        <v>40478</v>
      </c>
      <c r="D356" s="183" t="s">
        <v>66</v>
      </c>
      <c r="E356" s="183" t="s">
        <v>422</v>
      </c>
      <c r="F356" s="183" t="s">
        <v>701</v>
      </c>
      <c r="G356" s="183" t="s">
        <v>383</v>
      </c>
      <c r="H356" s="183" t="s">
        <v>387</v>
      </c>
      <c r="I356" s="353">
        <v>192000</v>
      </c>
    </row>
    <row r="357" spans="1:9" x14ac:dyDescent="0.2">
      <c r="A357" s="181">
        <f t="shared" si="5"/>
        <v>356</v>
      </c>
      <c r="B357" s="182">
        <v>40459</v>
      </c>
      <c r="C357" s="182">
        <v>40490</v>
      </c>
      <c r="D357" s="183" t="s">
        <v>66</v>
      </c>
      <c r="E357" s="183" t="s">
        <v>392</v>
      </c>
      <c r="F357" s="183" t="s">
        <v>393</v>
      </c>
      <c r="G357" s="183" t="s">
        <v>388</v>
      </c>
      <c r="H357" s="183" t="s">
        <v>389</v>
      </c>
      <c r="I357" s="353">
        <v>101989</v>
      </c>
    </row>
    <row r="358" spans="1:9" x14ac:dyDescent="0.2">
      <c r="A358" s="181">
        <f t="shared" si="5"/>
        <v>357</v>
      </c>
      <c r="B358" s="182">
        <v>40459</v>
      </c>
      <c r="C358" s="182">
        <v>40490</v>
      </c>
      <c r="D358" s="183" t="s">
        <v>66</v>
      </c>
      <c r="E358" s="183" t="s">
        <v>392</v>
      </c>
      <c r="F358" s="183" t="s">
        <v>393</v>
      </c>
      <c r="G358" s="183" t="s">
        <v>390</v>
      </c>
      <c r="H358" s="183" t="s">
        <v>98</v>
      </c>
      <c r="I358" s="353">
        <v>148691</v>
      </c>
    </row>
    <row r="359" spans="1:9" x14ac:dyDescent="0.2">
      <c r="A359" s="181">
        <f t="shared" si="5"/>
        <v>358</v>
      </c>
      <c r="B359" s="182">
        <v>40459</v>
      </c>
      <c r="C359" s="182">
        <v>40478</v>
      </c>
      <c r="D359" s="183" t="s">
        <v>11</v>
      </c>
      <c r="E359" s="206"/>
      <c r="F359" s="183" t="s">
        <v>701</v>
      </c>
      <c r="G359" s="183" t="s">
        <v>99</v>
      </c>
      <c r="H359" s="183" t="s">
        <v>100</v>
      </c>
      <c r="I359" s="353">
        <v>50862.07</v>
      </c>
    </row>
    <row r="360" spans="1:9" x14ac:dyDescent="0.2">
      <c r="A360" s="181">
        <f t="shared" si="5"/>
        <v>359</v>
      </c>
      <c r="B360" s="182">
        <v>40459</v>
      </c>
      <c r="C360" s="182">
        <v>40478</v>
      </c>
      <c r="D360" s="183" t="s">
        <v>11</v>
      </c>
      <c r="E360" s="206"/>
      <c r="F360" s="183" t="s">
        <v>701</v>
      </c>
      <c r="G360" s="183" t="s">
        <v>101</v>
      </c>
      <c r="H360" s="183" t="s">
        <v>102</v>
      </c>
      <c r="I360" s="353">
        <v>59000</v>
      </c>
    </row>
    <row r="361" spans="1:9" x14ac:dyDescent="0.2">
      <c r="A361" s="181">
        <f t="shared" si="5"/>
        <v>360</v>
      </c>
      <c r="B361" s="182">
        <v>40459</v>
      </c>
      <c r="C361" s="182">
        <v>40478</v>
      </c>
      <c r="D361" s="183" t="s">
        <v>11</v>
      </c>
      <c r="E361" s="206"/>
      <c r="F361" s="183" t="s">
        <v>701</v>
      </c>
      <c r="G361" s="183" t="s">
        <v>103</v>
      </c>
      <c r="H361" s="183" t="s">
        <v>104</v>
      </c>
      <c r="I361" s="353">
        <v>48000</v>
      </c>
    </row>
    <row r="362" spans="1:9" x14ac:dyDescent="0.2">
      <c r="A362" s="181">
        <f t="shared" si="5"/>
        <v>361</v>
      </c>
      <c r="B362" s="186">
        <v>40462</v>
      </c>
      <c r="C362" s="186">
        <v>40511</v>
      </c>
      <c r="D362" s="187" t="s">
        <v>66</v>
      </c>
      <c r="E362" s="196" t="s">
        <v>233</v>
      </c>
      <c r="F362" s="187" t="s">
        <v>233</v>
      </c>
      <c r="G362" s="187" t="s">
        <v>105</v>
      </c>
      <c r="H362" s="187" t="s">
        <v>543</v>
      </c>
      <c r="I362" s="356">
        <v>437500</v>
      </c>
    </row>
    <row r="363" spans="1:9" x14ac:dyDescent="0.2">
      <c r="A363" s="181">
        <f t="shared" si="5"/>
        <v>362</v>
      </c>
      <c r="B363" s="194">
        <v>40470</v>
      </c>
      <c r="C363" s="194">
        <v>40521</v>
      </c>
      <c r="D363" s="195" t="s">
        <v>66</v>
      </c>
      <c r="E363" s="205" t="s">
        <v>422</v>
      </c>
      <c r="F363" s="195" t="s">
        <v>396</v>
      </c>
      <c r="G363" s="195" t="s">
        <v>305</v>
      </c>
      <c r="H363" s="195" t="s">
        <v>306</v>
      </c>
      <c r="I363" s="362">
        <v>3293250</v>
      </c>
    </row>
    <row r="364" spans="1:9" x14ac:dyDescent="0.2">
      <c r="A364" s="181">
        <f t="shared" si="5"/>
        <v>363</v>
      </c>
      <c r="B364" s="186">
        <v>40472</v>
      </c>
      <c r="C364" s="186">
        <v>40490</v>
      </c>
      <c r="D364" s="187" t="s">
        <v>66</v>
      </c>
      <c r="E364" s="196" t="s">
        <v>392</v>
      </c>
      <c r="F364" s="187" t="s">
        <v>396</v>
      </c>
      <c r="G364" s="187" t="s">
        <v>399</v>
      </c>
      <c r="H364" s="187" t="s">
        <v>400</v>
      </c>
      <c r="I364" s="357">
        <v>120150</v>
      </c>
    </row>
    <row r="365" spans="1:9" x14ac:dyDescent="0.2">
      <c r="A365" s="181">
        <f t="shared" si="5"/>
        <v>364</v>
      </c>
      <c r="B365" s="186">
        <v>40473</v>
      </c>
      <c r="C365" s="186">
        <v>40490</v>
      </c>
      <c r="D365" s="187" t="s">
        <v>66</v>
      </c>
      <c r="E365" s="196" t="s">
        <v>422</v>
      </c>
      <c r="F365" s="187" t="s">
        <v>396</v>
      </c>
      <c r="G365" s="187" t="s">
        <v>643</v>
      </c>
      <c r="H365" s="187" t="s">
        <v>644</v>
      </c>
      <c r="I365" s="357">
        <v>54054</v>
      </c>
    </row>
    <row r="366" spans="1:9" x14ac:dyDescent="0.2">
      <c r="A366" s="181">
        <f t="shared" si="5"/>
        <v>365</v>
      </c>
      <c r="B366" s="186">
        <v>40476</v>
      </c>
      <c r="C366" s="186">
        <v>40492</v>
      </c>
      <c r="D366" s="187" t="s">
        <v>66</v>
      </c>
      <c r="E366" s="196" t="s">
        <v>422</v>
      </c>
      <c r="F366" s="187" t="s">
        <v>396</v>
      </c>
      <c r="G366" s="187" t="s">
        <v>112</v>
      </c>
      <c r="H366" s="187" t="s">
        <v>578</v>
      </c>
      <c r="I366" s="357">
        <v>56695</v>
      </c>
    </row>
    <row r="367" spans="1:9" x14ac:dyDescent="0.2">
      <c r="A367" s="181">
        <f t="shared" si="5"/>
        <v>366</v>
      </c>
      <c r="B367" s="182">
        <v>40477</v>
      </c>
      <c r="C367" s="182">
        <v>40499</v>
      </c>
      <c r="D367" s="183" t="s">
        <v>66</v>
      </c>
      <c r="E367" s="206" t="s">
        <v>392</v>
      </c>
      <c r="F367" s="183" t="s">
        <v>9</v>
      </c>
      <c r="G367" s="183" t="s">
        <v>23</v>
      </c>
      <c r="H367" s="183" t="s">
        <v>24</v>
      </c>
      <c r="I367" s="230">
        <v>153447.5</v>
      </c>
    </row>
    <row r="368" spans="1:9" x14ac:dyDescent="0.2">
      <c r="A368" s="181">
        <f t="shared" si="5"/>
        <v>367</v>
      </c>
      <c r="B368" s="182">
        <v>40477</v>
      </c>
      <c r="C368" s="182">
        <v>40497</v>
      </c>
      <c r="D368" s="183" t="s">
        <v>66</v>
      </c>
      <c r="E368" s="206" t="s">
        <v>392</v>
      </c>
      <c r="F368" s="183" t="s">
        <v>393</v>
      </c>
      <c r="G368" s="183" t="s">
        <v>25</v>
      </c>
      <c r="H368" s="183" t="s">
        <v>760</v>
      </c>
      <c r="I368" s="353">
        <v>51408</v>
      </c>
    </row>
    <row r="369" spans="1:9" x14ac:dyDescent="0.2">
      <c r="A369" s="181">
        <f t="shared" si="5"/>
        <v>368</v>
      </c>
      <c r="B369" s="182">
        <v>40477</v>
      </c>
      <c r="C369" s="182">
        <v>40525</v>
      </c>
      <c r="D369" s="183" t="s">
        <v>66</v>
      </c>
      <c r="E369" s="206" t="s">
        <v>422</v>
      </c>
      <c r="F369" s="183" t="s">
        <v>396</v>
      </c>
      <c r="G369" s="183" t="s">
        <v>761</v>
      </c>
      <c r="H369" s="183" t="s">
        <v>762</v>
      </c>
      <c r="I369" s="353">
        <v>483683.33</v>
      </c>
    </row>
    <row r="370" spans="1:9" x14ac:dyDescent="0.2">
      <c r="A370" s="181">
        <f t="shared" si="5"/>
        <v>369</v>
      </c>
      <c r="B370" s="182">
        <v>40477</v>
      </c>
      <c r="C370" s="182">
        <v>40525</v>
      </c>
      <c r="D370" s="183" t="s">
        <v>66</v>
      </c>
      <c r="E370" s="206" t="s">
        <v>422</v>
      </c>
      <c r="F370" s="183" t="s">
        <v>396</v>
      </c>
      <c r="G370" s="183" t="s">
        <v>763</v>
      </c>
      <c r="H370" s="183" t="s">
        <v>764</v>
      </c>
      <c r="I370" s="353">
        <v>312461.11</v>
      </c>
    </row>
    <row r="371" spans="1:9" x14ac:dyDescent="0.2">
      <c r="A371" s="181">
        <f t="shared" si="5"/>
        <v>370</v>
      </c>
      <c r="B371" s="182">
        <v>40477</v>
      </c>
      <c r="C371" s="182">
        <v>40497</v>
      </c>
      <c r="D371" s="183" t="s">
        <v>66</v>
      </c>
      <c r="E371" s="206" t="s">
        <v>422</v>
      </c>
      <c r="F371" s="183" t="s">
        <v>71</v>
      </c>
      <c r="G371" s="183" t="s">
        <v>765</v>
      </c>
      <c r="H371" s="183" t="s">
        <v>766</v>
      </c>
      <c r="I371" s="353">
        <v>192550.16</v>
      </c>
    </row>
    <row r="372" spans="1:9" x14ac:dyDescent="0.2">
      <c r="A372" s="181">
        <f t="shared" si="5"/>
        <v>371</v>
      </c>
      <c r="B372" s="182">
        <v>40477</v>
      </c>
      <c r="C372" s="182">
        <v>40497</v>
      </c>
      <c r="D372" s="183" t="s">
        <v>66</v>
      </c>
      <c r="E372" s="206" t="s">
        <v>422</v>
      </c>
      <c r="F372" s="183" t="s">
        <v>71</v>
      </c>
      <c r="G372" s="183" t="s">
        <v>767</v>
      </c>
      <c r="H372" s="183" t="s">
        <v>768</v>
      </c>
      <c r="I372" s="353">
        <v>177500.06</v>
      </c>
    </row>
    <row r="373" spans="1:9" x14ac:dyDescent="0.2">
      <c r="A373" s="181">
        <f t="shared" si="5"/>
        <v>372</v>
      </c>
      <c r="B373" s="186">
        <v>40478</v>
      </c>
      <c r="C373" s="186">
        <v>40497</v>
      </c>
      <c r="D373" s="187" t="s">
        <v>66</v>
      </c>
      <c r="E373" s="196" t="s">
        <v>392</v>
      </c>
      <c r="F373" s="187" t="s">
        <v>393</v>
      </c>
      <c r="G373" s="187" t="s">
        <v>828</v>
      </c>
      <c r="H373" s="187" t="s">
        <v>195</v>
      </c>
      <c r="I373" s="357">
        <v>68400</v>
      </c>
    </row>
    <row r="374" spans="1:9" x14ac:dyDescent="0.2">
      <c r="A374" s="181">
        <f t="shared" si="5"/>
        <v>373</v>
      </c>
      <c r="B374" s="182">
        <v>40479</v>
      </c>
      <c r="C374" s="182">
        <v>40499</v>
      </c>
      <c r="D374" s="183" t="s">
        <v>66</v>
      </c>
      <c r="E374" s="206" t="s">
        <v>392</v>
      </c>
      <c r="F374" s="183" t="s">
        <v>393</v>
      </c>
      <c r="G374" s="183" t="s">
        <v>832</v>
      </c>
      <c r="H374" s="183" t="s">
        <v>456</v>
      </c>
      <c r="I374" s="230">
        <v>159468</v>
      </c>
    </row>
    <row r="375" spans="1:9" x14ac:dyDescent="0.2">
      <c r="A375" s="181">
        <f t="shared" si="5"/>
        <v>374</v>
      </c>
      <c r="B375" s="186">
        <v>40479</v>
      </c>
      <c r="C375" s="186">
        <v>40499</v>
      </c>
      <c r="D375" s="187" t="s">
        <v>66</v>
      </c>
      <c r="E375" s="196" t="s">
        <v>392</v>
      </c>
      <c r="F375" s="187" t="s">
        <v>396</v>
      </c>
      <c r="G375" s="187" t="s">
        <v>457</v>
      </c>
      <c r="H375" s="187" t="s">
        <v>479</v>
      </c>
      <c r="I375" s="356">
        <v>143521</v>
      </c>
    </row>
    <row r="376" spans="1:9" x14ac:dyDescent="0.2">
      <c r="A376" s="181">
        <f t="shared" si="5"/>
        <v>375</v>
      </c>
      <c r="B376" s="186">
        <v>40485</v>
      </c>
      <c r="C376" s="186">
        <v>40532</v>
      </c>
      <c r="D376" s="187" t="s">
        <v>66</v>
      </c>
      <c r="E376" s="196" t="s">
        <v>233</v>
      </c>
      <c r="F376" s="187" t="s">
        <v>233</v>
      </c>
      <c r="G376" s="187" t="s">
        <v>593</v>
      </c>
      <c r="H376" s="187" t="s">
        <v>594</v>
      </c>
      <c r="I376" s="357">
        <v>285000</v>
      </c>
    </row>
    <row r="377" spans="1:9" x14ac:dyDescent="0.2">
      <c r="A377" s="181">
        <f t="shared" si="5"/>
        <v>376</v>
      </c>
      <c r="B377" s="186">
        <v>40491</v>
      </c>
      <c r="C377" s="186">
        <v>40553</v>
      </c>
      <c r="D377" s="187" t="s">
        <v>66</v>
      </c>
      <c r="E377" s="196" t="s">
        <v>422</v>
      </c>
      <c r="F377" s="187" t="s">
        <v>396</v>
      </c>
      <c r="G377" s="187" t="s">
        <v>171</v>
      </c>
      <c r="H377" s="187" t="s">
        <v>172</v>
      </c>
      <c r="I377" s="357">
        <v>690100</v>
      </c>
    </row>
    <row r="378" spans="1:9" x14ac:dyDescent="0.2">
      <c r="A378" s="181">
        <f t="shared" si="5"/>
        <v>377</v>
      </c>
      <c r="B378" s="182">
        <v>40492</v>
      </c>
      <c r="C378" s="182">
        <v>40188</v>
      </c>
      <c r="D378" s="183" t="s">
        <v>66</v>
      </c>
      <c r="E378" s="206" t="s">
        <v>392</v>
      </c>
      <c r="F378" s="183" t="s">
        <v>9</v>
      </c>
      <c r="G378" s="183" t="s">
        <v>821</v>
      </c>
      <c r="H378" s="183" t="s">
        <v>822</v>
      </c>
      <c r="I378" s="230">
        <v>364594.29</v>
      </c>
    </row>
    <row r="379" spans="1:9" x14ac:dyDescent="0.2">
      <c r="A379" s="181">
        <f t="shared" si="5"/>
        <v>378</v>
      </c>
      <c r="B379" s="182">
        <v>40492</v>
      </c>
      <c r="C379" s="182">
        <v>40188</v>
      </c>
      <c r="D379" s="183" t="s">
        <v>66</v>
      </c>
      <c r="E379" s="206" t="s">
        <v>392</v>
      </c>
      <c r="F379" s="183" t="s">
        <v>9</v>
      </c>
      <c r="G379" s="183" t="s">
        <v>823</v>
      </c>
      <c r="H379" s="183" t="s">
        <v>436</v>
      </c>
      <c r="I379" s="353">
        <v>532797.14</v>
      </c>
    </row>
    <row r="380" spans="1:9" x14ac:dyDescent="0.2">
      <c r="A380" s="181">
        <f t="shared" si="5"/>
        <v>379</v>
      </c>
      <c r="B380" s="186">
        <v>40492</v>
      </c>
      <c r="C380" s="186">
        <v>40511</v>
      </c>
      <c r="D380" s="187" t="s">
        <v>66</v>
      </c>
      <c r="E380" s="196" t="s">
        <v>422</v>
      </c>
      <c r="F380" s="187" t="s">
        <v>396</v>
      </c>
      <c r="G380" s="187" t="s">
        <v>434</v>
      </c>
      <c r="H380" s="187" t="s">
        <v>438</v>
      </c>
      <c r="I380" s="356">
        <v>85111.11</v>
      </c>
    </row>
    <row r="381" spans="1:9" x14ac:dyDescent="0.2">
      <c r="A381" s="181">
        <f t="shared" si="5"/>
        <v>380</v>
      </c>
      <c r="B381" s="186">
        <v>40492</v>
      </c>
      <c r="C381" s="186">
        <v>40511</v>
      </c>
      <c r="D381" s="187" t="s">
        <v>66</v>
      </c>
      <c r="E381" s="196" t="s">
        <v>422</v>
      </c>
      <c r="F381" s="187" t="s">
        <v>701</v>
      </c>
      <c r="G381" s="187" t="s">
        <v>221</v>
      </c>
      <c r="H381" s="187" t="s">
        <v>222</v>
      </c>
      <c r="I381" s="356">
        <v>190000</v>
      </c>
    </row>
    <row r="382" spans="1:9" x14ac:dyDescent="0.2">
      <c r="A382" s="181">
        <f t="shared" si="5"/>
        <v>381</v>
      </c>
      <c r="B382" s="182">
        <v>40493</v>
      </c>
      <c r="C382" s="182">
        <v>40511</v>
      </c>
      <c r="D382" s="183" t="s">
        <v>66</v>
      </c>
      <c r="E382" s="206" t="s">
        <v>392</v>
      </c>
      <c r="F382" s="183" t="s">
        <v>393</v>
      </c>
      <c r="G382" s="183" t="s">
        <v>759</v>
      </c>
      <c r="H382" s="183" t="s">
        <v>314</v>
      </c>
      <c r="I382" s="230">
        <v>98010</v>
      </c>
    </row>
    <row r="383" spans="1:9" x14ac:dyDescent="0.2">
      <c r="A383" s="181">
        <f t="shared" si="5"/>
        <v>382</v>
      </c>
      <c r="B383" s="182">
        <v>40493</v>
      </c>
      <c r="C383" s="182">
        <v>40511</v>
      </c>
      <c r="D383" s="183" t="s">
        <v>66</v>
      </c>
      <c r="E383" s="206" t="s">
        <v>392</v>
      </c>
      <c r="F383" s="183" t="s">
        <v>393</v>
      </c>
      <c r="G383" s="183" t="s">
        <v>315</v>
      </c>
      <c r="H383" s="183" t="s">
        <v>316</v>
      </c>
      <c r="I383" s="353">
        <v>78705</v>
      </c>
    </row>
    <row r="384" spans="1:9" x14ac:dyDescent="0.2">
      <c r="A384" s="181">
        <f t="shared" si="5"/>
        <v>383</v>
      </c>
      <c r="B384" s="182">
        <v>40493</v>
      </c>
      <c r="C384" s="182">
        <v>40511</v>
      </c>
      <c r="D384" s="183" t="s">
        <v>66</v>
      </c>
      <c r="E384" s="206" t="s">
        <v>392</v>
      </c>
      <c r="F384" s="183" t="s">
        <v>393</v>
      </c>
      <c r="G384" s="183" t="s">
        <v>317</v>
      </c>
      <c r="H384" s="183" t="s">
        <v>318</v>
      </c>
      <c r="I384" s="353">
        <v>98010</v>
      </c>
    </row>
    <row r="385" spans="1:9" x14ac:dyDescent="0.2">
      <c r="A385" s="181">
        <f t="shared" si="5"/>
        <v>384</v>
      </c>
      <c r="B385" s="186">
        <v>40493</v>
      </c>
      <c r="C385" s="186">
        <v>40511</v>
      </c>
      <c r="D385" s="187" t="s">
        <v>66</v>
      </c>
      <c r="E385" s="196" t="s">
        <v>392</v>
      </c>
      <c r="F385" s="187" t="s">
        <v>393</v>
      </c>
      <c r="G385" s="187" t="s">
        <v>319</v>
      </c>
      <c r="H385" s="187" t="s">
        <v>320</v>
      </c>
      <c r="I385" s="356">
        <v>75735</v>
      </c>
    </row>
    <row r="386" spans="1:9" x14ac:dyDescent="0.2">
      <c r="A386" s="181">
        <f t="shared" si="5"/>
        <v>385</v>
      </c>
      <c r="B386" s="182">
        <v>40494</v>
      </c>
      <c r="C386" s="182">
        <v>40525</v>
      </c>
      <c r="D386" s="183" t="s">
        <v>66</v>
      </c>
      <c r="E386" s="206" t="s">
        <v>392</v>
      </c>
      <c r="F386" s="183" t="s">
        <v>393</v>
      </c>
      <c r="G386" s="183" t="s">
        <v>152</v>
      </c>
      <c r="H386" s="183" t="s">
        <v>538</v>
      </c>
      <c r="I386" s="230">
        <v>191334</v>
      </c>
    </row>
    <row r="387" spans="1:9" x14ac:dyDescent="0.2">
      <c r="A387" s="181">
        <f t="shared" si="5"/>
        <v>386</v>
      </c>
      <c r="B387" s="182">
        <v>40494</v>
      </c>
      <c r="C387" s="182">
        <v>40525</v>
      </c>
      <c r="D387" s="183" t="s">
        <v>66</v>
      </c>
      <c r="E387" s="206" t="s">
        <v>392</v>
      </c>
      <c r="F387" s="183" t="s">
        <v>393</v>
      </c>
      <c r="G387" s="183" t="s">
        <v>539</v>
      </c>
      <c r="H387" s="183" t="s">
        <v>540</v>
      </c>
      <c r="I387" s="353">
        <v>139152</v>
      </c>
    </row>
    <row r="388" spans="1:9" x14ac:dyDescent="0.2">
      <c r="A388" s="181">
        <f t="shared" si="5"/>
        <v>387</v>
      </c>
      <c r="B388" s="186">
        <v>40494</v>
      </c>
      <c r="C388" s="186">
        <v>40525</v>
      </c>
      <c r="D388" s="187" t="s">
        <v>66</v>
      </c>
      <c r="E388" s="196" t="s">
        <v>392</v>
      </c>
      <c r="F388" s="187" t="s">
        <v>393</v>
      </c>
      <c r="G388" s="187" t="s">
        <v>541</v>
      </c>
      <c r="H388" s="187" t="s">
        <v>542</v>
      </c>
      <c r="I388" s="356">
        <v>128137</v>
      </c>
    </row>
    <row r="389" spans="1:9" x14ac:dyDescent="0.2">
      <c r="A389" s="181">
        <f t="shared" si="5"/>
        <v>388</v>
      </c>
      <c r="B389" s="186">
        <v>40498</v>
      </c>
      <c r="C389" s="186">
        <v>40513</v>
      </c>
      <c r="D389" s="187" t="s">
        <v>66</v>
      </c>
      <c r="E389" s="196" t="s">
        <v>392</v>
      </c>
      <c r="F389" s="187" t="s">
        <v>393</v>
      </c>
      <c r="G389" s="187" t="s">
        <v>504</v>
      </c>
      <c r="H389" s="187" t="s">
        <v>505</v>
      </c>
      <c r="I389" s="357">
        <v>187100</v>
      </c>
    </row>
    <row r="390" spans="1:9" x14ac:dyDescent="0.2">
      <c r="A390" s="181">
        <f t="shared" si="5"/>
        <v>389</v>
      </c>
      <c r="B390" s="186">
        <v>40499</v>
      </c>
      <c r="C390" s="186">
        <v>40521</v>
      </c>
      <c r="D390" s="187" t="s">
        <v>66</v>
      </c>
      <c r="E390" s="196" t="s">
        <v>392</v>
      </c>
      <c r="F390" s="187" t="s">
        <v>393</v>
      </c>
      <c r="G390" s="187" t="s">
        <v>336</v>
      </c>
      <c r="H390" s="187" t="s">
        <v>337</v>
      </c>
      <c r="I390" s="357">
        <v>93732</v>
      </c>
    </row>
    <row r="391" spans="1:9" x14ac:dyDescent="0.2">
      <c r="A391" s="181">
        <f t="shared" si="5"/>
        <v>390</v>
      </c>
      <c r="B391" s="182">
        <v>40500</v>
      </c>
      <c r="C391" s="182">
        <v>40521</v>
      </c>
      <c r="D391" s="183" t="s">
        <v>66</v>
      </c>
      <c r="E391" s="206" t="s">
        <v>422</v>
      </c>
      <c r="F391" s="183" t="s">
        <v>396</v>
      </c>
      <c r="G391" s="183" t="s">
        <v>570</v>
      </c>
      <c r="H391" s="183" t="s">
        <v>571</v>
      </c>
      <c r="I391" s="230">
        <v>95375</v>
      </c>
    </row>
    <row r="392" spans="1:9" x14ac:dyDescent="0.2">
      <c r="A392" s="181">
        <f t="shared" ref="A392:A412" si="6">A391+1</f>
        <v>391</v>
      </c>
      <c r="B392" s="190">
        <v>40500</v>
      </c>
      <c r="C392" s="190">
        <v>40525</v>
      </c>
      <c r="D392" s="191" t="s">
        <v>66</v>
      </c>
      <c r="E392" s="207" t="s">
        <v>392</v>
      </c>
      <c r="F392" s="191" t="s">
        <v>71</v>
      </c>
      <c r="G392" s="191" t="s">
        <v>572</v>
      </c>
      <c r="H392" s="191" t="s">
        <v>573</v>
      </c>
      <c r="I392" s="360">
        <v>72725.13</v>
      </c>
    </row>
    <row r="393" spans="1:9" x14ac:dyDescent="0.2">
      <c r="A393" s="181">
        <f t="shared" si="6"/>
        <v>392</v>
      </c>
      <c r="B393" s="190">
        <v>40500</v>
      </c>
      <c r="C393" s="190">
        <v>40532</v>
      </c>
      <c r="D393" s="191" t="s">
        <v>66</v>
      </c>
      <c r="E393" s="207" t="s">
        <v>392</v>
      </c>
      <c r="F393" s="191" t="s">
        <v>71</v>
      </c>
      <c r="G393" s="191" t="s">
        <v>574</v>
      </c>
      <c r="H393" s="191" t="s">
        <v>575</v>
      </c>
      <c r="I393" s="360">
        <v>102537.33</v>
      </c>
    </row>
    <row r="394" spans="1:9" x14ac:dyDescent="0.2">
      <c r="A394" s="181">
        <f t="shared" si="6"/>
        <v>393</v>
      </c>
      <c r="B394" s="186">
        <v>40500</v>
      </c>
      <c r="C394" s="186">
        <v>40532</v>
      </c>
      <c r="D394" s="187" t="s">
        <v>66</v>
      </c>
      <c r="E394" s="196" t="s">
        <v>392</v>
      </c>
      <c r="F394" s="187" t="s">
        <v>71</v>
      </c>
      <c r="G394" s="187" t="s">
        <v>576</v>
      </c>
      <c r="H394" s="187" t="s">
        <v>577</v>
      </c>
      <c r="I394" s="356">
        <v>99355.93</v>
      </c>
    </row>
    <row r="395" spans="1:9" x14ac:dyDescent="0.2">
      <c r="A395" s="181">
        <f t="shared" si="6"/>
        <v>394</v>
      </c>
      <c r="B395" s="186">
        <v>40501</v>
      </c>
      <c r="C395" s="186">
        <v>40553</v>
      </c>
      <c r="D395" s="187" t="s">
        <v>66</v>
      </c>
      <c r="E395" s="196" t="s">
        <v>422</v>
      </c>
      <c r="F395" s="187" t="s">
        <v>71</v>
      </c>
      <c r="G395" s="187" t="s">
        <v>417</v>
      </c>
      <c r="H395" s="187" t="s">
        <v>418</v>
      </c>
      <c r="I395" s="357">
        <v>767845.64</v>
      </c>
    </row>
    <row r="396" spans="1:9" x14ac:dyDescent="0.2">
      <c r="A396" s="181">
        <f t="shared" si="6"/>
        <v>395</v>
      </c>
      <c r="B396" s="182">
        <v>40504</v>
      </c>
      <c r="C396" s="182">
        <v>40553</v>
      </c>
      <c r="D396" s="183" t="s">
        <v>66</v>
      </c>
      <c r="E396" s="206" t="s">
        <v>392</v>
      </c>
      <c r="F396" s="183" t="s">
        <v>393</v>
      </c>
      <c r="G396" s="183" t="s">
        <v>26</v>
      </c>
      <c r="H396" s="183" t="s">
        <v>27</v>
      </c>
      <c r="I396" s="230">
        <v>261529</v>
      </c>
    </row>
    <row r="397" spans="1:9" x14ac:dyDescent="0.2">
      <c r="A397" s="181">
        <f t="shared" si="6"/>
        <v>396</v>
      </c>
      <c r="B397" s="186">
        <v>40504</v>
      </c>
      <c r="C397" s="186">
        <v>40553</v>
      </c>
      <c r="D397" s="187" t="s">
        <v>66</v>
      </c>
      <c r="E397" s="196" t="s">
        <v>392</v>
      </c>
      <c r="F397" s="187" t="s">
        <v>396</v>
      </c>
      <c r="G397" s="187" t="s">
        <v>28</v>
      </c>
      <c r="H397" s="187" t="s">
        <v>29</v>
      </c>
      <c r="I397" s="356">
        <v>235400</v>
      </c>
    </row>
    <row r="398" spans="1:9" x14ac:dyDescent="0.2">
      <c r="A398" s="181">
        <f t="shared" si="6"/>
        <v>397</v>
      </c>
      <c r="B398" s="186">
        <v>40506</v>
      </c>
      <c r="C398" s="186">
        <v>40532</v>
      </c>
      <c r="D398" s="187" t="s">
        <v>66</v>
      </c>
      <c r="E398" s="196" t="s">
        <v>422</v>
      </c>
      <c r="F398" s="187" t="s">
        <v>71</v>
      </c>
      <c r="G398" s="187" t="s">
        <v>662</v>
      </c>
      <c r="H398" s="187" t="s">
        <v>663</v>
      </c>
      <c r="I398" s="357">
        <v>56733.57</v>
      </c>
    </row>
    <row r="399" spans="1:9" x14ac:dyDescent="0.2">
      <c r="A399" s="181">
        <f t="shared" si="6"/>
        <v>398</v>
      </c>
      <c r="B399" s="182">
        <v>40508</v>
      </c>
      <c r="C399" s="182">
        <v>40525</v>
      </c>
      <c r="D399" s="183" t="s">
        <v>66</v>
      </c>
      <c r="E399" s="206" t="s">
        <v>233</v>
      </c>
      <c r="F399" s="183" t="s">
        <v>233</v>
      </c>
      <c r="G399" s="183" t="s">
        <v>690</v>
      </c>
      <c r="H399" s="183" t="s">
        <v>691</v>
      </c>
      <c r="I399" s="230">
        <v>145000</v>
      </c>
    </row>
    <row r="400" spans="1:9" x14ac:dyDescent="0.2">
      <c r="A400" s="181">
        <f t="shared" si="6"/>
        <v>399</v>
      </c>
      <c r="B400" s="190">
        <v>40508</v>
      </c>
      <c r="C400" s="190">
        <v>40525</v>
      </c>
      <c r="D400" s="191" t="s">
        <v>66</v>
      </c>
      <c r="E400" s="207" t="s">
        <v>392</v>
      </c>
      <c r="F400" s="191" t="s">
        <v>71</v>
      </c>
      <c r="G400" s="191" t="s">
        <v>692</v>
      </c>
      <c r="H400" s="191" t="s">
        <v>693</v>
      </c>
      <c r="I400" s="360">
        <v>101081.95</v>
      </c>
    </row>
    <row r="401" spans="1:9" x14ac:dyDescent="0.2">
      <c r="A401" s="181">
        <f t="shared" si="6"/>
        <v>400</v>
      </c>
      <c r="B401" s="182">
        <v>40508</v>
      </c>
      <c r="C401" s="182">
        <v>40555</v>
      </c>
      <c r="D401" s="183" t="s">
        <v>66</v>
      </c>
      <c r="E401" s="206" t="s">
        <v>392</v>
      </c>
      <c r="F401" s="183" t="s">
        <v>393</v>
      </c>
      <c r="G401" s="183" t="s">
        <v>694</v>
      </c>
      <c r="H401" s="183" t="s">
        <v>695</v>
      </c>
      <c r="I401" s="353">
        <v>78408</v>
      </c>
    </row>
    <row r="402" spans="1:9" x14ac:dyDescent="0.2">
      <c r="A402" s="181">
        <f t="shared" si="6"/>
        <v>401</v>
      </c>
      <c r="B402" s="190">
        <v>40508</v>
      </c>
      <c r="C402" s="190">
        <v>40555</v>
      </c>
      <c r="D402" s="191" t="s">
        <v>66</v>
      </c>
      <c r="E402" s="207" t="s">
        <v>392</v>
      </c>
      <c r="F402" s="191" t="s">
        <v>71</v>
      </c>
      <c r="G402" s="191" t="s">
        <v>696</v>
      </c>
      <c r="H402" s="191" t="s">
        <v>697</v>
      </c>
      <c r="I402" s="360">
        <v>82040.28</v>
      </c>
    </row>
    <row r="403" spans="1:9" x14ac:dyDescent="0.2">
      <c r="A403" s="181">
        <f t="shared" si="6"/>
        <v>402</v>
      </c>
      <c r="B403" s="186">
        <v>40508</v>
      </c>
      <c r="C403" s="186">
        <v>40546</v>
      </c>
      <c r="D403" s="187" t="s">
        <v>66</v>
      </c>
      <c r="E403" s="196" t="s">
        <v>392</v>
      </c>
      <c r="F403" s="187" t="s">
        <v>9</v>
      </c>
      <c r="G403" s="187" t="s">
        <v>698</v>
      </c>
      <c r="H403" s="187" t="s">
        <v>699</v>
      </c>
      <c r="I403" s="356">
        <v>360632.86</v>
      </c>
    </row>
    <row r="404" spans="1:9" x14ac:dyDescent="0.2">
      <c r="A404" s="181">
        <f t="shared" si="6"/>
        <v>403</v>
      </c>
      <c r="B404" s="182">
        <v>40522</v>
      </c>
      <c r="C404" s="182">
        <v>40539</v>
      </c>
      <c r="D404" s="183" t="s">
        <v>66</v>
      </c>
      <c r="E404" s="206" t="s">
        <v>422</v>
      </c>
      <c r="F404" s="183" t="s">
        <v>71</v>
      </c>
      <c r="G404" s="183" t="s">
        <v>767</v>
      </c>
      <c r="H404" s="183" t="s">
        <v>768</v>
      </c>
      <c r="I404" s="230">
        <v>177500.06</v>
      </c>
    </row>
    <row r="405" spans="1:9" x14ac:dyDescent="0.2">
      <c r="A405" s="181">
        <f t="shared" si="6"/>
        <v>404</v>
      </c>
      <c r="B405" s="186">
        <v>40522</v>
      </c>
      <c r="C405" s="186">
        <v>40539</v>
      </c>
      <c r="D405" s="187" t="s">
        <v>66</v>
      </c>
      <c r="E405" s="196" t="s">
        <v>422</v>
      </c>
      <c r="F405" s="187" t="s">
        <v>71</v>
      </c>
      <c r="G405" s="187" t="s">
        <v>134</v>
      </c>
      <c r="H405" s="187" t="s">
        <v>766</v>
      </c>
      <c r="I405" s="356">
        <v>192550.16</v>
      </c>
    </row>
    <row r="406" spans="1:9" x14ac:dyDescent="0.2">
      <c r="A406" s="181">
        <f t="shared" si="6"/>
        <v>405</v>
      </c>
      <c r="B406" s="186">
        <v>40526</v>
      </c>
      <c r="C406" s="186">
        <v>40546</v>
      </c>
      <c r="D406" s="187" t="s">
        <v>66</v>
      </c>
      <c r="E406" s="196" t="s">
        <v>392</v>
      </c>
      <c r="F406" s="187" t="s">
        <v>393</v>
      </c>
      <c r="G406" s="187" t="s">
        <v>775</v>
      </c>
      <c r="H406" s="187" t="s">
        <v>776</v>
      </c>
      <c r="I406" s="357">
        <v>138100</v>
      </c>
    </row>
    <row r="407" spans="1:9" x14ac:dyDescent="0.2">
      <c r="A407" s="181">
        <f t="shared" si="6"/>
        <v>406</v>
      </c>
      <c r="B407" s="182">
        <v>40533</v>
      </c>
      <c r="C407" s="182">
        <v>40562</v>
      </c>
      <c r="D407" s="183" t="s">
        <v>11</v>
      </c>
      <c r="E407" s="206"/>
      <c r="F407" s="183" t="s">
        <v>701</v>
      </c>
      <c r="G407" s="183" t="s">
        <v>802</v>
      </c>
      <c r="H407" s="183" t="s">
        <v>803</v>
      </c>
      <c r="I407" s="230">
        <v>75000</v>
      </c>
    </row>
    <row r="408" spans="1:9" x14ac:dyDescent="0.2">
      <c r="A408" s="181">
        <f t="shared" si="6"/>
        <v>407</v>
      </c>
      <c r="B408" s="208">
        <v>40539</v>
      </c>
      <c r="C408" s="208">
        <v>40555</v>
      </c>
      <c r="D408" s="209" t="s">
        <v>66</v>
      </c>
      <c r="E408" s="210" t="s">
        <v>392</v>
      </c>
      <c r="F408" s="209" t="s">
        <v>71</v>
      </c>
      <c r="G408" s="209" t="s">
        <v>572</v>
      </c>
      <c r="H408" s="209" t="s">
        <v>573</v>
      </c>
      <c r="I408" s="364">
        <v>72725.13</v>
      </c>
    </row>
    <row r="409" spans="1:9" x14ac:dyDescent="0.2">
      <c r="A409" s="181">
        <f t="shared" si="6"/>
        <v>408</v>
      </c>
      <c r="B409" s="182">
        <v>40539</v>
      </c>
      <c r="C409" s="182">
        <v>40555</v>
      </c>
      <c r="D409" s="183" t="s">
        <v>66</v>
      </c>
      <c r="E409" s="206" t="s">
        <v>392</v>
      </c>
      <c r="F409" s="183" t="s">
        <v>71</v>
      </c>
      <c r="G409" s="183" t="s">
        <v>574</v>
      </c>
      <c r="H409" s="183" t="s">
        <v>575</v>
      </c>
      <c r="I409" s="353">
        <v>102537.33</v>
      </c>
    </row>
    <row r="410" spans="1:9" x14ac:dyDescent="0.2">
      <c r="A410" s="181">
        <f t="shared" si="6"/>
        <v>409</v>
      </c>
      <c r="B410" s="182">
        <v>40539</v>
      </c>
      <c r="C410" s="182">
        <v>40555</v>
      </c>
      <c r="D410" s="183" t="s">
        <v>66</v>
      </c>
      <c r="E410" s="206" t="s">
        <v>392</v>
      </c>
      <c r="F410" s="183" t="s">
        <v>71</v>
      </c>
      <c r="G410" s="183" t="s">
        <v>692</v>
      </c>
      <c r="H410" s="183" t="s">
        <v>693</v>
      </c>
      <c r="I410" s="353">
        <v>101081.95</v>
      </c>
    </row>
    <row r="411" spans="1:9" x14ac:dyDescent="0.2">
      <c r="A411" s="181">
        <f t="shared" si="6"/>
        <v>410</v>
      </c>
      <c r="B411" s="186">
        <v>40539</v>
      </c>
      <c r="C411" s="186">
        <v>40555</v>
      </c>
      <c r="D411" s="187" t="s">
        <v>66</v>
      </c>
      <c r="E411" s="196" t="s">
        <v>392</v>
      </c>
      <c r="F411" s="187" t="s">
        <v>393</v>
      </c>
      <c r="G411" s="187" t="s">
        <v>182</v>
      </c>
      <c r="H411" s="187" t="s">
        <v>183</v>
      </c>
      <c r="I411" s="356">
        <v>73312.5</v>
      </c>
    </row>
    <row r="412" spans="1:9" x14ac:dyDescent="0.2">
      <c r="A412" s="181">
        <f t="shared" si="6"/>
        <v>411</v>
      </c>
      <c r="B412" s="186">
        <v>40541</v>
      </c>
      <c r="C412" s="186">
        <v>40590</v>
      </c>
      <c r="D412" s="187" t="s">
        <v>66</v>
      </c>
      <c r="E412" s="196" t="s">
        <v>422</v>
      </c>
      <c r="F412" s="187" t="s">
        <v>396</v>
      </c>
      <c r="G412" s="187" t="s">
        <v>193</v>
      </c>
      <c r="H412" s="187" t="s">
        <v>194</v>
      </c>
      <c r="I412" s="357">
        <v>538232.35</v>
      </c>
    </row>
    <row r="413" spans="1:9" x14ac:dyDescent="0.2">
      <c r="A413" s="181">
        <f t="shared" ref="A413:A477" si="7">A412+1</f>
        <v>412</v>
      </c>
      <c r="B413" s="186">
        <v>40541</v>
      </c>
      <c r="C413" s="186">
        <v>40595</v>
      </c>
      <c r="D413" s="187" t="s">
        <v>66</v>
      </c>
      <c r="E413" s="196" t="s">
        <v>422</v>
      </c>
      <c r="F413" s="187" t="s">
        <v>396</v>
      </c>
      <c r="G413" s="187" t="s">
        <v>849</v>
      </c>
      <c r="H413" s="187" t="s">
        <v>435</v>
      </c>
      <c r="I413" s="357">
        <v>740555.56</v>
      </c>
    </row>
    <row r="414" spans="1:9" x14ac:dyDescent="0.2">
      <c r="A414" s="181">
        <f t="shared" si="7"/>
        <v>413</v>
      </c>
      <c r="B414" s="182">
        <v>40557</v>
      </c>
      <c r="C414" s="182">
        <v>40574</v>
      </c>
      <c r="D414" s="183" t="s">
        <v>66</v>
      </c>
      <c r="E414" s="206" t="s">
        <v>392</v>
      </c>
      <c r="F414" s="183" t="s">
        <v>393</v>
      </c>
      <c r="G414" s="183" t="s">
        <v>437</v>
      </c>
      <c r="H414" s="183" t="s">
        <v>625</v>
      </c>
      <c r="I414" s="230">
        <v>65002.5</v>
      </c>
    </row>
    <row r="415" spans="1:9" x14ac:dyDescent="0.2">
      <c r="A415" s="181">
        <f t="shared" si="7"/>
        <v>414</v>
      </c>
      <c r="B415" s="186">
        <v>40560</v>
      </c>
      <c r="C415" s="186">
        <v>40576</v>
      </c>
      <c r="D415" s="187" t="s">
        <v>66</v>
      </c>
      <c r="E415" s="196" t="s">
        <v>422</v>
      </c>
      <c r="F415" s="187" t="s">
        <v>396</v>
      </c>
      <c r="G415" s="187" t="s">
        <v>205</v>
      </c>
      <c r="H415" s="187" t="s">
        <v>1</v>
      </c>
      <c r="I415" s="357">
        <v>151470</v>
      </c>
    </row>
    <row r="416" spans="1:9" x14ac:dyDescent="0.2">
      <c r="A416" s="181">
        <f t="shared" si="7"/>
        <v>415</v>
      </c>
      <c r="B416" s="211">
        <v>40564</v>
      </c>
      <c r="C416" s="211">
        <v>40616</v>
      </c>
      <c r="D416" s="212" t="s">
        <v>66</v>
      </c>
      <c r="E416" s="213" t="s">
        <v>422</v>
      </c>
      <c r="F416" s="212" t="s">
        <v>206</v>
      </c>
      <c r="G416" s="212" t="s">
        <v>207</v>
      </c>
      <c r="H416" s="212" t="s">
        <v>208</v>
      </c>
      <c r="I416" s="365">
        <v>579000</v>
      </c>
    </row>
    <row r="417" spans="1:9" x14ac:dyDescent="0.2">
      <c r="A417" s="181">
        <f t="shared" si="7"/>
        <v>416</v>
      </c>
      <c r="B417" s="186">
        <v>40569</v>
      </c>
      <c r="C417" s="186">
        <v>40595</v>
      </c>
      <c r="D417" s="187" t="s">
        <v>66</v>
      </c>
      <c r="E417" s="196" t="s">
        <v>392</v>
      </c>
      <c r="F417" s="187" t="s">
        <v>71</v>
      </c>
      <c r="G417" s="187" t="s">
        <v>696</v>
      </c>
      <c r="H417" s="187" t="s">
        <v>850</v>
      </c>
      <c r="I417" s="357">
        <v>82040.28</v>
      </c>
    </row>
    <row r="418" spans="1:9" x14ac:dyDescent="0.2">
      <c r="A418" s="181">
        <f t="shared" si="7"/>
        <v>417</v>
      </c>
      <c r="B418" s="186">
        <v>40581</v>
      </c>
      <c r="C418" s="186">
        <v>40597</v>
      </c>
      <c r="D418" s="187" t="s">
        <v>66</v>
      </c>
      <c r="E418" s="196" t="s">
        <v>392</v>
      </c>
      <c r="F418" s="187" t="s">
        <v>393</v>
      </c>
      <c r="G418" s="187" t="s">
        <v>213</v>
      </c>
      <c r="H418" s="187" t="s">
        <v>0</v>
      </c>
      <c r="I418" s="357">
        <v>121500</v>
      </c>
    </row>
    <row r="419" spans="1:9" x14ac:dyDescent="0.2">
      <c r="A419" s="181">
        <f t="shared" si="7"/>
        <v>418</v>
      </c>
      <c r="B419" s="182">
        <v>40612</v>
      </c>
      <c r="C419" s="182">
        <v>40659</v>
      </c>
      <c r="D419" s="183" t="s">
        <v>66</v>
      </c>
      <c r="E419" s="206" t="s">
        <v>233</v>
      </c>
      <c r="F419" s="183" t="s">
        <v>233</v>
      </c>
      <c r="G419" s="183" t="s">
        <v>854</v>
      </c>
      <c r="H419" s="183" t="s">
        <v>855</v>
      </c>
      <c r="I419" s="230">
        <v>699990</v>
      </c>
    </row>
    <row r="420" spans="1:9" x14ac:dyDescent="0.2">
      <c r="A420" s="181">
        <f t="shared" si="7"/>
        <v>419</v>
      </c>
      <c r="B420" s="186">
        <v>40612</v>
      </c>
      <c r="C420" s="186">
        <v>40659</v>
      </c>
      <c r="D420" s="187" t="s">
        <v>66</v>
      </c>
      <c r="E420" s="196" t="s">
        <v>233</v>
      </c>
      <c r="F420" s="187" t="s">
        <v>233</v>
      </c>
      <c r="G420" s="187" t="s">
        <v>856</v>
      </c>
      <c r="H420" s="187" t="s">
        <v>857</v>
      </c>
      <c r="I420" s="356">
        <v>458622</v>
      </c>
    </row>
    <row r="421" spans="1:9" x14ac:dyDescent="0.2">
      <c r="A421" s="181">
        <f t="shared" si="7"/>
        <v>420</v>
      </c>
      <c r="B421" s="186">
        <v>40630</v>
      </c>
      <c r="C421" s="186">
        <v>40646</v>
      </c>
      <c r="D421" s="187" t="s">
        <v>66</v>
      </c>
      <c r="E421" s="196" t="s">
        <v>422</v>
      </c>
      <c r="F421" s="187" t="s">
        <v>396</v>
      </c>
      <c r="G421" s="187" t="s">
        <v>858</v>
      </c>
      <c r="H421" s="187" t="s">
        <v>859</v>
      </c>
      <c r="I421" s="357">
        <v>192627</v>
      </c>
    </row>
    <row r="422" spans="1:9" x14ac:dyDescent="0.2">
      <c r="A422" s="181">
        <f t="shared" si="7"/>
        <v>421</v>
      </c>
      <c r="B422" s="182">
        <v>40660</v>
      </c>
      <c r="C422" s="182">
        <v>40679</v>
      </c>
      <c r="D422" s="183" t="s">
        <v>66</v>
      </c>
      <c r="E422" s="206" t="s">
        <v>422</v>
      </c>
      <c r="F422" s="183" t="s">
        <v>396</v>
      </c>
      <c r="G422" s="183" t="s">
        <v>861</v>
      </c>
      <c r="H422" s="183" t="s">
        <v>862</v>
      </c>
      <c r="I422" s="357">
        <v>102200</v>
      </c>
    </row>
    <row r="423" spans="1:9" x14ac:dyDescent="0.2">
      <c r="A423" s="181">
        <f t="shared" si="7"/>
        <v>422</v>
      </c>
      <c r="B423" s="182">
        <v>40669</v>
      </c>
      <c r="C423" s="182">
        <v>40686</v>
      </c>
      <c r="D423" s="183" t="s">
        <v>66</v>
      </c>
      <c r="E423" s="206" t="s">
        <v>233</v>
      </c>
      <c r="F423" s="183" t="s">
        <v>233</v>
      </c>
      <c r="G423" s="183" t="s">
        <v>864</v>
      </c>
      <c r="H423" s="183" t="s">
        <v>865</v>
      </c>
      <c r="I423" s="357">
        <v>159000</v>
      </c>
    </row>
    <row r="424" spans="1:9" x14ac:dyDescent="0.2">
      <c r="A424" s="181">
        <f t="shared" si="7"/>
        <v>423</v>
      </c>
      <c r="B424" s="182">
        <v>40676</v>
      </c>
      <c r="C424" s="182">
        <v>40693</v>
      </c>
      <c r="D424" s="183" t="s">
        <v>66</v>
      </c>
      <c r="E424" s="206" t="s">
        <v>422</v>
      </c>
      <c r="F424" s="183" t="s">
        <v>701</v>
      </c>
      <c r="G424" s="183" t="s">
        <v>866</v>
      </c>
      <c r="H424" s="183" t="s">
        <v>867</v>
      </c>
      <c r="I424" s="357">
        <v>120000</v>
      </c>
    </row>
    <row r="425" spans="1:9" x14ac:dyDescent="0.2">
      <c r="A425" s="181">
        <f t="shared" si="7"/>
        <v>424</v>
      </c>
      <c r="B425" s="182">
        <v>40683</v>
      </c>
      <c r="C425" s="182">
        <v>40735</v>
      </c>
      <c r="D425" s="183" t="s">
        <v>66</v>
      </c>
      <c r="E425" s="206" t="s">
        <v>422</v>
      </c>
      <c r="F425" s="183" t="s">
        <v>701</v>
      </c>
      <c r="G425" s="214" t="s">
        <v>868</v>
      </c>
      <c r="H425" s="183" t="s">
        <v>871</v>
      </c>
      <c r="I425" s="357">
        <v>541100</v>
      </c>
    </row>
    <row r="426" spans="1:9" x14ac:dyDescent="0.2">
      <c r="A426" s="181">
        <f t="shared" si="7"/>
        <v>425</v>
      </c>
      <c r="B426" s="182">
        <v>40683</v>
      </c>
      <c r="C426" s="182">
        <v>40700</v>
      </c>
      <c r="D426" s="183" t="s">
        <v>66</v>
      </c>
      <c r="E426" s="206" t="s">
        <v>422</v>
      </c>
      <c r="F426" s="183" t="s">
        <v>701</v>
      </c>
      <c r="G426" s="183" t="s">
        <v>869</v>
      </c>
      <c r="H426" s="183" t="s">
        <v>870</v>
      </c>
      <c r="I426" s="357">
        <v>76600</v>
      </c>
    </row>
    <row r="427" spans="1:9" x14ac:dyDescent="0.2">
      <c r="A427" s="181">
        <f t="shared" si="7"/>
        <v>426</v>
      </c>
      <c r="B427" s="186">
        <v>40683</v>
      </c>
      <c r="C427" s="186">
        <v>40700</v>
      </c>
      <c r="D427" s="187" t="s">
        <v>66</v>
      </c>
      <c r="E427" s="196" t="s">
        <v>422</v>
      </c>
      <c r="F427" s="187" t="s">
        <v>701</v>
      </c>
      <c r="G427" s="187" t="s">
        <v>872</v>
      </c>
      <c r="H427" s="187" t="s">
        <v>873</v>
      </c>
      <c r="I427" s="357">
        <v>192000</v>
      </c>
    </row>
    <row r="428" spans="1:9" x14ac:dyDescent="0.2">
      <c r="A428" s="181">
        <f t="shared" si="7"/>
        <v>427</v>
      </c>
      <c r="B428" s="182">
        <v>40690</v>
      </c>
      <c r="C428" s="182">
        <v>40735</v>
      </c>
      <c r="D428" s="183" t="s">
        <v>66</v>
      </c>
      <c r="E428" s="206" t="s">
        <v>422</v>
      </c>
      <c r="F428" s="183" t="s">
        <v>701</v>
      </c>
      <c r="G428" s="183" t="s">
        <v>874</v>
      </c>
      <c r="H428" s="183" t="s">
        <v>875</v>
      </c>
      <c r="I428" s="230">
        <v>394500</v>
      </c>
    </row>
    <row r="429" spans="1:9" x14ac:dyDescent="0.2">
      <c r="A429" s="181">
        <f t="shared" si="7"/>
        <v>428</v>
      </c>
      <c r="B429" s="182">
        <v>40690</v>
      </c>
      <c r="C429" s="182">
        <v>40735</v>
      </c>
      <c r="D429" s="183" t="s">
        <v>66</v>
      </c>
      <c r="E429" s="206" t="s">
        <v>422</v>
      </c>
      <c r="F429" s="183" t="s">
        <v>701</v>
      </c>
      <c r="G429" s="183" t="s">
        <v>876</v>
      </c>
      <c r="H429" s="183" t="s">
        <v>877</v>
      </c>
      <c r="I429" s="353">
        <v>300700</v>
      </c>
    </row>
    <row r="430" spans="1:9" x14ac:dyDescent="0.2">
      <c r="A430" s="181">
        <f t="shared" si="7"/>
        <v>429</v>
      </c>
      <c r="B430" s="186">
        <v>40690</v>
      </c>
      <c r="C430" s="186">
        <v>40708</v>
      </c>
      <c r="D430" s="187" t="s">
        <v>66</v>
      </c>
      <c r="E430" s="196" t="s">
        <v>422</v>
      </c>
      <c r="F430" s="187" t="s">
        <v>701</v>
      </c>
      <c r="G430" s="187" t="s">
        <v>878</v>
      </c>
      <c r="H430" s="187" t="s">
        <v>879</v>
      </c>
      <c r="I430" s="356">
        <v>160700</v>
      </c>
    </row>
    <row r="431" spans="1:9" x14ac:dyDescent="0.2">
      <c r="A431" s="181">
        <f t="shared" si="7"/>
        <v>430</v>
      </c>
      <c r="B431" s="186">
        <v>40696</v>
      </c>
      <c r="C431" s="186">
        <v>40714</v>
      </c>
      <c r="D431" s="187" t="s">
        <v>66</v>
      </c>
      <c r="E431" s="196" t="s">
        <v>392</v>
      </c>
      <c r="F431" s="187" t="s">
        <v>71</v>
      </c>
      <c r="G431" s="187" t="s">
        <v>572</v>
      </c>
      <c r="H431" s="187" t="s">
        <v>881</v>
      </c>
      <c r="I431" s="357">
        <v>72725.13</v>
      </c>
    </row>
    <row r="432" spans="1:9" x14ac:dyDescent="0.2">
      <c r="A432" s="181">
        <f t="shared" si="7"/>
        <v>431</v>
      </c>
      <c r="B432" s="182">
        <v>40697</v>
      </c>
      <c r="C432" s="182">
        <v>40714</v>
      </c>
      <c r="D432" s="206" t="s">
        <v>66</v>
      </c>
      <c r="E432" s="206" t="s">
        <v>392</v>
      </c>
      <c r="F432" s="206" t="s">
        <v>9</v>
      </c>
      <c r="G432" s="206" t="s">
        <v>882</v>
      </c>
      <c r="H432" s="206" t="s">
        <v>883</v>
      </c>
      <c r="I432" s="230">
        <v>108345.86</v>
      </c>
    </row>
    <row r="433" spans="1:11" x14ac:dyDescent="0.2">
      <c r="A433" s="181">
        <f t="shared" si="7"/>
        <v>432</v>
      </c>
      <c r="B433" s="182">
        <v>40697</v>
      </c>
      <c r="C433" s="182">
        <v>40735</v>
      </c>
      <c r="D433" s="206" t="s">
        <v>66</v>
      </c>
      <c r="E433" s="206" t="s">
        <v>422</v>
      </c>
      <c r="F433" s="206" t="s">
        <v>701</v>
      </c>
      <c r="G433" s="206" t="s">
        <v>884</v>
      </c>
      <c r="H433" s="206" t="s">
        <v>885</v>
      </c>
      <c r="I433" s="353">
        <v>281000</v>
      </c>
    </row>
    <row r="434" spans="1:11" x14ac:dyDescent="0.2">
      <c r="A434" s="181">
        <f t="shared" si="7"/>
        <v>433</v>
      </c>
      <c r="B434" s="182">
        <v>40697</v>
      </c>
      <c r="C434" s="182">
        <v>40735</v>
      </c>
      <c r="D434" s="206" t="s">
        <v>66</v>
      </c>
      <c r="E434" s="206" t="s">
        <v>422</v>
      </c>
      <c r="F434" s="206" t="s">
        <v>701</v>
      </c>
      <c r="G434" s="206" t="s">
        <v>886</v>
      </c>
      <c r="H434" s="206" t="s">
        <v>887</v>
      </c>
      <c r="I434" s="353">
        <v>420000</v>
      </c>
    </row>
    <row r="435" spans="1:11" x14ac:dyDescent="0.2">
      <c r="A435" s="181">
        <f t="shared" si="7"/>
        <v>434</v>
      </c>
      <c r="B435" s="182">
        <v>40697</v>
      </c>
      <c r="C435" s="182">
        <v>40735</v>
      </c>
      <c r="D435" s="206" t="s">
        <v>66</v>
      </c>
      <c r="E435" s="206" t="s">
        <v>422</v>
      </c>
      <c r="F435" s="206" t="s">
        <v>701</v>
      </c>
      <c r="G435" s="206" t="s">
        <v>888</v>
      </c>
      <c r="H435" s="206" t="s">
        <v>889</v>
      </c>
      <c r="I435" s="353">
        <v>925000</v>
      </c>
    </row>
    <row r="436" spans="1:11" x14ac:dyDescent="0.2">
      <c r="A436" s="181">
        <f t="shared" si="7"/>
        <v>435</v>
      </c>
      <c r="B436" s="182">
        <v>40697</v>
      </c>
      <c r="C436" s="182">
        <v>40735</v>
      </c>
      <c r="D436" s="206" t="s">
        <v>66</v>
      </c>
      <c r="E436" s="206" t="s">
        <v>422</v>
      </c>
      <c r="F436" s="206" t="s">
        <v>701</v>
      </c>
      <c r="G436" s="206" t="s">
        <v>890</v>
      </c>
      <c r="H436" s="206" t="s">
        <v>891</v>
      </c>
      <c r="I436" s="353">
        <v>669000</v>
      </c>
    </row>
    <row r="437" spans="1:11" x14ac:dyDescent="0.2">
      <c r="A437" s="181">
        <f t="shared" si="7"/>
        <v>436</v>
      </c>
      <c r="B437" s="182">
        <v>40697</v>
      </c>
      <c r="C437" s="182">
        <v>40735</v>
      </c>
      <c r="D437" s="206" t="s">
        <v>66</v>
      </c>
      <c r="E437" s="206" t="s">
        <v>422</v>
      </c>
      <c r="F437" s="206" t="s">
        <v>701</v>
      </c>
      <c r="G437" s="206" t="s">
        <v>892</v>
      </c>
      <c r="H437" s="206" t="s">
        <v>893</v>
      </c>
      <c r="I437" s="353">
        <v>216100</v>
      </c>
    </row>
    <row r="438" spans="1:11" x14ac:dyDescent="0.2">
      <c r="A438" s="181">
        <f t="shared" si="7"/>
        <v>437</v>
      </c>
      <c r="B438" s="186">
        <v>40700</v>
      </c>
      <c r="C438" s="186">
        <v>40716</v>
      </c>
      <c r="D438" s="196" t="s">
        <v>66</v>
      </c>
      <c r="E438" s="196" t="s">
        <v>422</v>
      </c>
      <c r="F438" s="196" t="s">
        <v>396</v>
      </c>
      <c r="G438" s="215" t="s">
        <v>894</v>
      </c>
      <c r="H438" s="196" t="s">
        <v>895</v>
      </c>
      <c r="I438" s="357">
        <v>192000</v>
      </c>
    </row>
    <row r="439" spans="1:11" x14ac:dyDescent="0.2">
      <c r="A439" s="181">
        <f t="shared" si="7"/>
        <v>438</v>
      </c>
      <c r="B439" s="186">
        <v>40704</v>
      </c>
      <c r="C439" s="186">
        <v>40721</v>
      </c>
      <c r="D439" s="196" t="s">
        <v>66</v>
      </c>
      <c r="E439" s="196" t="s">
        <v>422</v>
      </c>
      <c r="F439" s="196" t="s">
        <v>701</v>
      </c>
      <c r="G439" s="196" t="s">
        <v>896</v>
      </c>
      <c r="H439" s="196" t="s">
        <v>897</v>
      </c>
      <c r="I439" s="357">
        <v>75000</v>
      </c>
    </row>
    <row r="440" spans="1:11" x14ac:dyDescent="0.2">
      <c r="A440" s="181">
        <f t="shared" si="7"/>
        <v>439</v>
      </c>
      <c r="B440" s="216">
        <v>40714</v>
      </c>
      <c r="C440" s="216">
        <v>40749</v>
      </c>
      <c r="D440" s="217" t="s">
        <v>66</v>
      </c>
      <c r="E440" s="217" t="s">
        <v>422</v>
      </c>
      <c r="F440" s="217" t="s">
        <v>701</v>
      </c>
      <c r="G440" s="217" t="s">
        <v>178</v>
      </c>
      <c r="H440" s="217" t="s">
        <v>899</v>
      </c>
      <c r="I440" s="204">
        <v>255689.65</v>
      </c>
      <c r="K440" s="218" t="s">
        <v>900</v>
      </c>
    </row>
    <row r="441" spans="1:11" x14ac:dyDescent="0.2">
      <c r="A441" s="181">
        <f t="shared" si="7"/>
        <v>440</v>
      </c>
      <c r="B441" s="182">
        <v>40724</v>
      </c>
      <c r="C441" s="182">
        <v>40742</v>
      </c>
      <c r="D441" s="206" t="s">
        <v>66</v>
      </c>
      <c r="E441" s="206" t="s">
        <v>422</v>
      </c>
      <c r="F441" s="206" t="s">
        <v>701</v>
      </c>
      <c r="G441" s="206" t="s">
        <v>901</v>
      </c>
      <c r="H441" s="206" t="s">
        <v>902</v>
      </c>
      <c r="I441" s="230">
        <v>72000</v>
      </c>
    </row>
    <row r="442" spans="1:11" x14ac:dyDescent="0.2">
      <c r="A442" s="181">
        <f t="shared" si="7"/>
        <v>441</v>
      </c>
      <c r="B442" s="186">
        <v>40724</v>
      </c>
      <c r="C442" s="186">
        <v>40742</v>
      </c>
      <c r="D442" s="196" t="s">
        <v>66</v>
      </c>
      <c r="E442" s="196" t="s">
        <v>422</v>
      </c>
      <c r="F442" s="196" t="s">
        <v>701</v>
      </c>
      <c r="G442" s="196" t="s">
        <v>903</v>
      </c>
      <c r="H442" s="196" t="s">
        <v>904</v>
      </c>
      <c r="I442" s="356">
        <v>72000</v>
      </c>
    </row>
    <row r="443" spans="1:11" x14ac:dyDescent="0.2">
      <c r="A443" s="181">
        <f t="shared" si="7"/>
        <v>442</v>
      </c>
      <c r="B443" s="182">
        <v>40725</v>
      </c>
      <c r="C443" s="182">
        <v>40763</v>
      </c>
      <c r="D443" s="206" t="s">
        <v>66</v>
      </c>
      <c r="E443" s="206" t="s">
        <v>422</v>
      </c>
      <c r="F443" s="206" t="s">
        <v>701</v>
      </c>
      <c r="G443" s="206" t="s">
        <v>905</v>
      </c>
      <c r="H443" s="206" t="s">
        <v>906</v>
      </c>
      <c r="I443" s="230">
        <v>535200</v>
      </c>
    </row>
    <row r="444" spans="1:11" x14ac:dyDescent="0.2">
      <c r="A444" s="181">
        <f t="shared" si="7"/>
        <v>443</v>
      </c>
      <c r="B444" s="182">
        <v>40725</v>
      </c>
      <c r="C444" s="182">
        <v>40763</v>
      </c>
      <c r="D444" s="206" t="s">
        <v>66</v>
      </c>
      <c r="E444" s="206" t="s">
        <v>422</v>
      </c>
      <c r="F444" s="206" t="s">
        <v>701</v>
      </c>
      <c r="G444" s="206" t="s">
        <v>907</v>
      </c>
      <c r="H444" s="206" t="s">
        <v>908</v>
      </c>
      <c r="I444" s="353">
        <v>535200</v>
      </c>
    </row>
    <row r="445" spans="1:11" x14ac:dyDescent="0.2">
      <c r="A445" s="181">
        <f t="shared" si="7"/>
        <v>444</v>
      </c>
      <c r="B445" s="182">
        <v>40725</v>
      </c>
      <c r="C445" s="182">
        <v>40763</v>
      </c>
      <c r="D445" s="206" t="s">
        <v>66</v>
      </c>
      <c r="E445" s="206" t="s">
        <v>422</v>
      </c>
      <c r="F445" s="206" t="s">
        <v>701</v>
      </c>
      <c r="G445" s="206" t="s">
        <v>909</v>
      </c>
      <c r="H445" s="206" t="s">
        <v>910</v>
      </c>
      <c r="I445" s="353">
        <v>310500</v>
      </c>
    </row>
    <row r="446" spans="1:11" x14ac:dyDescent="0.2">
      <c r="A446" s="181">
        <f t="shared" si="7"/>
        <v>445</v>
      </c>
      <c r="B446" s="186">
        <v>40725</v>
      </c>
      <c r="C446" s="186">
        <v>40763</v>
      </c>
      <c r="D446" s="196" t="s">
        <v>66</v>
      </c>
      <c r="E446" s="196" t="s">
        <v>422</v>
      </c>
      <c r="F446" s="196" t="s">
        <v>701</v>
      </c>
      <c r="G446" s="196" t="s">
        <v>911</v>
      </c>
      <c r="H446" s="196" t="s">
        <v>912</v>
      </c>
      <c r="I446" s="356">
        <v>392800</v>
      </c>
    </row>
    <row r="447" spans="1:11" x14ac:dyDescent="0.2">
      <c r="A447" s="181">
        <f t="shared" si="7"/>
        <v>446</v>
      </c>
      <c r="B447" s="182">
        <v>40739</v>
      </c>
      <c r="C447" s="182">
        <v>40787</v>
      </c>
      <c r="D447" s="183" t="s">
        <v>66</v>
      </c>
      <c r="E447" s="206" t="s">
        <v>422</v>
      </c>
      <c r="F447" s="206" t="s">
        <v>701</v>
      </c>
      <c r="G447" s="206" t="s">
        <v>914</v>
      </c>
      <c r="H447" s="206" t="s">
        <v>915</v>
      </c>
      <c r="I447" s="230">
        <v>90181.38</v>
      </c>
    </row>
    <row r="448" spans="1:11" x14ac:dyDescent="0.2">
      <c r="A448" s="181">
        <f t="shared" si="7"/>
        <v>447</v>
      </c>
      <c r="B448" s="211">
        <v>40739</v>
      </c>
      <c r="C448" s="211">
        <v>40787</v>
      </c>
      <c r="D448" s="212" t="s">
        <v>66</v>
      </c>
      <c r="E448" s="213" t="s">
        <v>422</v>
      </c>
      <c r="F448" s="213" t="s">
        <v>701</v>
      </c>
      <c r="G448" s="213" t="s">
        <v>916</v>
      </c>
      <c r="H448" s="213" t="s">
        <v>917</v>
      </c>
      <c r="I448" s="366">
        <v>185000</v>
      </c>
    </row>
    <row r="449" spans="1:9" x14ac:dyDescent="0.2">
      <c r="A449" s="181">
        <f t="shared" si="7"/>
        <v>448</v>
      </c>
      <c r="B449" s="186">
        <v>40745</v>
      </c>
      <c r="C449" s="186">
        <v>40787</v>
      </c>
      <c r="D449" s="196" t="s">
        <v>66</v>
      </c>
      <c r="E449" s="196" t="s">
        <v>422</v>
      </c>
      <c r="F449" s="196" t="s">
        <v>701</v>
      </c>
      <c r="G449" s="196" t="s">
        <v>918</v>
      </c>
      <c r="H449" s="196" t="s">
        <v>919</v>
      </c>
      <c r="I449" s="357">
        <v>70700</v>
      </c>
    </row>
    <row r="450" spans="1:9" x14ac:dyDescent="0.2">
      <c r="A450" s="181">
        <f t="shared" si="7"/>
        <v>449</v>
      </c>
      <c r="B450" s="186">
        <v>40746</v>
      </c>
      <c r="C450" s="186">
        <v>40798</v>
      </c>
      <c r="D450" s="196" t="s">
        <v>66</v>
      </c>
      <c r="E450" s="196" t="s">
        <v>422</v>
      </c>
      <c r="F450" s="196" t="s">
        <v>701</v>
      </c>
      <c r="G450" s="196" t="s">
        <v>920</v>
      </c>
      <c r="H450" s="196" t="s">
        <v>921</v>
      </c>
      <c r="I450" s="357">
        <v>817400</v>
      </c>
    </row>
    <row r="451" spans="1:9" x14ac:dyDescent="0.2">
      <c r="A451" s="181">
        <f t="shared" si="7"/>
        <v>450</v>
      </c>
      <c r="B451" s="182">
        <v>40746</v>
      </c>
      <c r="C451" s="182">
        <v>40787</v>
      </c>
      <c r="D451" s="206" t="s">
        <v>66</v>
      </c>
      <c r="E451" s="206" t="s">
        <v>422</v>
      </c>
      <c r="F451" s="206" t="s">
        <v>701</v>
      </c>
      <c r="G451" s="206" t="s">
        <v>922</v>
      </c>
      <c r="H451" s="206" t="s">
        <v>923</v>
      </c>
      <c r="I451" s="230">
        <v>192000</v>
      </c>
    </row>
    <row r="452" spans="1:9" x14ac:dyDescent="0.2">
      <c r="A452" s="181">
        <f t="shared" si="7"/>
        <v>451</v>
      </c>
      <c r="B452" s="219">
        <v>40746</v>
      </c>
      <c r="C452" s="219">
        <v>40798</v>
      </c>
      <c r="D452" s="210" t="s">
        <v>66</v>
      </c>
      <c r="E452" s="210" t="s">
        <v>422</v>
      </c>
      <c r="F452" s="210" t="s">
        <v>701</v>
      </c>
      <c r="G452" s="210" t="s">
        <v>924</v>
      </c>
      <c r="H452" s="210" t="s">
        <v>925</v>
      </c>
      <c r="I452" s="367">
        <v>1200000</v>
      </c>
    </row>
    <row r="453" spans="1:9" x14ac:dyDescent="0.2">
      <c r="A453" s="181">
        <f t="shared" si="7"/>
        <v>452</v>
      </c>
      <c r="B453" s="182">
        <v>40746</v>
      </c>
      <c r="C453" s="182">
        <v>40798</v>
      </c>
      <c r="D453" s="206" t="s">
        <v>66</v>
      </c>
      <c r="E453" s="206" t="s">
        <v>422</v>
      </c>
      <c r="F453" s="206" t="s">
        <v>701</v>
      </c>
      <c r="G453" s="206" t="s">
        <v>926</v>
      </c>
      <c r="H453" s="206" t="s">
        <v>927</v>
      </c>
      <c r="I453" s="353">
        <v>375000</v>
      </c>
    </row>
    <row r="454" spans="1:9" x14ac:dyDescent="0.2">
      <c r="A454" s="181">
        <f t="shared" si="7"/>
        <v>453</v>
      </c>
      <c r="B454" s="182">
        <v>40746</v>
      </c>
      <c r="C454" s="182">
        <v>40798</v>
      </c>
      <c r="D454" s="206" t="s">
        <v>66</v>
      </c>
      <c r="E454" s="206" t="s">
        <v>422</v>
      </c>
      <c r="F454" s="206" t="s">
        <v>701</v>
      </c>
      <c r="G454" s="206" t="s">
        <v>928</v>
      </c>
      <c r="H454" s="206" t="s">
        <v>929</v>
      </c>
      <c r="I454" s="353">
        <v>375000</v>
      </c>
    </row>
    <row r="455" spans="1:9" x14ac:dyDescent="0.2">
      <c r="A455" s="181">
        <f t="shared" si="7"/>
        <v>454</v>
      </c>
      <c r="B455" s="186">
        <v>40746</v>
      </c>
      <c r="C455" s="186">
        <v>40798</v>
      </c>
      <c r="D455" s="196" t="s">
        <v>66</v>
      </c>
      <c r="E455" s="196" t="s">
        <v>422</v>
      </c>
      <c r="F455" s="196" t="s">
        <v>701</v>
      </c>
      <c r="G455" s="196" t="s">
        <v>930</v>
      </c>
      <c r="H455" s="196" t="s">
        <v>931</v>
      </c>
      <c r="I455" s="356">
        <v>319400</v>
      </c>
    </row>
    <row r="456" spans="1:9" x14ac:dyDescent="0.2">
      <c r="A456" s="181">
        <f t="shared" si="7"/>
        <v>455</v>
      </c>
      <c r="B456" s="182">
        <v>40752</v>
      </c>
      <c r="C456" s="182">
        <v>40791</v>
      </c>
      <c r="D456" s="206" t="s">
        <v>66</v>
      </c>
      <c r="E456" s="206" t="s">
        <v>422</v>
      </c>
      <c r="F456" s="206" t="s">
        <v>701</v>
      </c>
      <c r="G456" s="206" t="s">
        <v>932</v>
      </c>
      <c r="H456" s="206" t="s">
        <v>933</v>
      </c>
      <c r="I456" s="230">
        <v>171280</v>
      </c>
    </row>
    <row r="457" spans="1:9" x14ac:dyDescent="0.2">
      <c r="A457" s="181">
        <f t="shared" si="7"/>
        <v>456</v>
      </c>
      <c r="B457" s="182">
        <v>40752</v>
      </c>
      <c r="C457" s="182">
        <v>40791</v>
      </c>
      <c r="D457" s="206" t="s">
        <v>66</v>
      </c>
      <c r="E457" s="206" t="s">
        <v>422</v>
      </c>
      <c r="F457" s="206" t="s">
        <v>701</v>
      </c>
      <c r="G457" s="206" t="s">
        <v>934</v>
      </c>
      <c r="H457" s="206" t="s">
        <v>935</v>
      </c>
      <c r="I457" s="353">
        <v>189200</v>
      </c>
    </row>
    <row r="458" spans="1:9" x14ac:dyDescent="0.2">
      <c r="A458" s="181">
        <f t="shared" si="7"/>
        <v>457</v>
      </c>
      <c r="B458" s="182">
        <v>40753</v>
      </c>
      <c r="C458" s="182">
        <v>40791</v>
      </c>
      <c r="D458" s="206" t="s">
        <v>66</v>
      </c>
      <c r="E458" s="206" t="s">
        <v>422</v>
      </c>
      <c r="F458" s="206" t="s">
        <v>701</v>
      </c>
      <c r="G458" s="206" t="s">
        <v>936</v>
      </c>
      <c r="H458" s="206" t="s">
        <v>937</v>
      </c>
      <c r="I458" s="230">
        <v>157500</v>
      </c>
    </row>
    <row r="459" spans="1:9" x14ac:dyDescent="0.2">
      <c r="A459" s="181">
        <f t="shared" si="7"/>
        <v>458</v>
      </c>
      <c r="B459" s="182">
        <v>40753</v>
      </c>
      <c r="C459" s="182">
        <v>40791</v>
      </c>
      <c r="D459" s="206" t="s">
        <v>66</v>
      </c>
      <c r="E459" s="206" t="s">
        <v>422</v>
      </c>
      <c r="F459" s="206" t="s">
        <v>701</v>
      </c>
      <c r="G459" s="206" t="s">
        <v>938</v>
      </c>
      <c r="H459" s="206" t="s">
        <v>939</v>
      </c>
      <c r="I459" s="353">
        <v>157500</v>
      </c>
    </row>
    <row r="460" spans="1:9" x14ac:dyDescent="0.2">
      <c r="A460" s="181">
        <f t="shared" si="7"/>
        <v>459</v>
      </c>
      <c r="B460" s="182">
        <v>40753</v>
      </c>
      <c r="C460" s="182">
        <v>40791</v>
      </c>
      <c r="D460" s="206" t="s">
        <v>66</v>
      </c>
      <c r="E460" s="206" t="s">
        <v>422</v>
      </c>
      <c r="F460" s="206" t="s">
        <v>701</v>
      </c>
      <c r="G460" s="206" t="s">
        <v>940</v>
      </c>
      <c r="H460" s="206" t="s">
        <v>941</v>
      </c>
      <c r="I460" s="353">
        <v>157500</v>
      </c>
    </row>
    <row r="461" spans="1:9" x14ac:dyDescent="0.2">
      <c r="A461" s="181">
        <f t="shared" si="7"/>
        <v>460</v>
      </c>
      <c r="B461" s="182">
        <v>40753</v>
      </c>
      <c r="C461" s="182">
        <v>40791</v>
      </c>
      <c r="D461" s="206" t="s">
        <v>11</v>
      </c>
      <c r="E461" s="206"/>
      <c r="F461" s="206" t="s">
        <v>701</v>
      </c>
      <c r="G461" s="206" t="s">
        <v>942</v>
      </c>
      <c r="H461" s="206" t="s">
        <v>943</v>
      </c>
      <c r="I461" s="353">
        <v>86000</v>
      </c>
    </row>
    <row r="462" spans="1:9" x14ac:dyDescent="0.2">
      <c r="A462" s="181">
        <f t="shared" si="7"/>
        <v>461</v>
      </c>
      <c r="B462" s="182">
        <v>40753</v>
      </c>
      <c r="C462" s="182">
        <v>40791</v>
      </c>
      <c r="D462" s="206" t="s">
        <v>11</v>
      </c>
      <c r="E462" s="206"/>
      <c r="F462" s="206" t="s">
        <v>701</v>
      </c>
      <c r="G462" s="206" t="s">
        <v>944</v>
      </c>
      <c r="H462" s="206" t="s">
        <v>945</v>
      </c>
      <c r="I462" s="353">
        <v>130000</v>
      </c>
    </row>
    <row r="463" spans="1:9" x14ac:dyDescent="0.2">
      <c r="A463" s="181">
        <f t="shared" si="7"/>
        <v>462</v>
      </c>
      <c r="B463" s="182">
        <v>40753</v>
      </c>
      <c r="C463" s="182">
        <v>40791</v>
      </c>
      <c r="D463" s="206" t="s">
        <v>66</v>
      </c>
      <c r="E463" s="206" t="s">
        <v>422</v>
      </c>
      <c r="F463" s="206" t="s">
        <v>701</v>
      </c>
      <c r="G463" s="206" t="s">
        <v>946</v>
      </c>
      <c r="H463" s="206" t="s">
        <v>947</v>
      </c>
      <c r="I463" s="230">
        <v>192920</v>
      </c>
    </row>
    <row r="464" spans="1:9" x14ac:dyDescent="0.2">
      <c r="A464" s="181">
        <f t="shared" si="7"/>
        <v>463</v>
      </c>
      <c r="B464" s="182">
        <v>40753</v>
      </c>
      <c r="C464" s="182">
        <v>40787</v>
      </c>
      <c r="D464" s="206" t="s">
        <v>66</v>
      </c>
      <c r="E464" s="206" t="s">
        <v>233</v>
      </c>
      <c r="F464" s="206" t="s">
        <v>233</v>
      </c>
      <c r="G464" s="206" t="s">
        <v>950</v>
      </c>
      <c r="H464" s="206" t="s">
        <v>951</v>
      </c>
      <c r="I464" s="357">
        <v>148646.98000000001</v>
      </c>
    </row>
    <row r="465" spans="1:9" x14ac:dyDescent="0.2">
      <c r="A465" s="181">
        <f t="shared" si="7"/>
        <v>464</v>
      </c>
      <c r="B465" s="182">
        <v>40759</v>
      </c>
      <c r="C465" s="182">
        <v>40809</v>
      </c>
      <c r="D465" s="206" t="s">
        <v>66</v>
      </c>
      <c r="E465" s="206" t="s">
        <v>233</v>
      </c>
      <c r="F465" s="206" t="s">
        <v>233</v>
      </c>
      <c r="G465" s="206" t="s">
        <v>854</v>
      </c>
      <c r="H465" s="206" t="s">
        <v>952</v>
      </c>
      <c r="I465" s="357">
        <v>800000</v>
      </c>
    </row>
    <row r="466" spans="1:9" x14ac:dyDescent="0.2">
      <c r="A466" s="181">
        <f t="shared" si="7"/>
        <v>465</v>
      </c>
      <c r="B466" s="186">
        <v>40771</v>
      </c>
      <c r="C466" s="186">
        <v>40819</v>
      </c>
      <c r="D466" s="196" t="s">
        <v>66</v>
      </c>
      <c r="E466" s="196" t="s">
        <v>392</v>
      </c>
      <c r="F466" s="196" t="s">
        <v>9</v>
      </c>
      <c r="G466" s="196" t="s">
        <v>948</v>
      </c>
      <c r="H466" s="196" t="s">
        <v>949</v>
      </c>
      <c r="I466" s="357">
        <v>279800</v>
      </c>
    </row>
    <row r="467" spans="1:9" x14ac:dyDescent="0.2">
      <c r="A467" s="181">
        <f t="shared" si="7"/>
        <v>466</v>
      </c>
      <c r="B467" s="186">
        <v>40784</v>
      </c>
      <c r="C467" s="186">
        <v>40799</v>
      </c>
      <c r="D467" s="196" t="s">
        <v>66</v>
      </c>
      <c r="E467" s="196" t="s">
        <v>422</v>
      </c>
      <c r="F467" s="196" t="s">
        <v>396</v>
      </c>
      <c r="G467" s="196" t="s">
        <v>381</v>
      </c>
      <c r="H467" s="196" t="s">
        <v>954</v>
      </c>
      <c r="I467" s="357">
        <v>140619.09</v>
      </c>
    </row>
    <row r="468" spans="1:9" x14ac:dyDescent="0.2">
      <c r="A468" s="181">
        <f t="shared" si="7"/>
        <v>467</v>
      </c>
      <c r="B468" s="182">
        <v>40792</v>
      </c>
      <c r="C468" s="182">
        <v>40807</v>
      </c>
      <c r="D468" s="206" t="s">
        <v>66</v>
      </c>
      <c r="E468" s="206" t="s">
        <v>422</v>
      </c>
      <c r="F468" s="206" t="s">
        <v>701</v>
      </c>
      <c r="G468" s="206" t="s">
        <v>956</v>
      </c>
      <c r="H468" s="206" t="s">
        <v>957</v>
      </c>
      <c r="I468" s="230">
        <v>84945.52</v>
      </c>
    </row>
    <row r="469" spans="1:9" x14ac:dyDescent="0.2">
      <c r="A469" s="181">
        <f t="shared" si="7"/>
        <v>468</v>
      </c>
      <c r="B469" s="182">
        <v>40792</v>
      </c>
      <c r="C469" s="182">
        <v>40807</v>
      </c>
      <c r="D469" s="206" t="s">
        <v>66</v>
      </c>
      <c r="E469" s="206" t="s">
        <v>422</v>
      </c>
      <c r="F469" s="206" t="s">
        <v>701</v>
      </c>
      <c r="G469" s="206" t="s">
        <v>958</v>
      </c>
      <c r="H469" s="206" t="s">
        <v>959</v>
      </c>
      <c r="I469" s="353">
        <v>75500</v>
      </c>
    </row>
    <row r="470" spans="1:9" x14ac:dyDescent="0.2">
      <c r="A470" s="181">
        <f t="shared" si="7"/>
        <v>469</v>
      </c>
      <c r="B470" s="186">
        <v>40792</v>
      </c>
      <c r="C470" s="186">
        <v>40807</v>
      </c>
      <c r="D470" s="196" t="s">
        <v>66</v>
      </c>
      <c r="E470" s="196" t="s">
        <v>422</v>
      </c>
      <c r="F470" s="196" t="s">
        <v>701</v>
      </c>
      <c r="G470" s="196" t="s">
        <v>960</v>
      </c>
      <c r="H470" s="196" t="s">
        <v>961</v>
      </c>
      <c r="I470" s="356">
        <v>79400</v>
      </c>
    </row>
    <row r="471" spans="1:9" x14ac:dyDescent="0.2">
      <c r="A471" s="181">
        <f t="shared" si="7"/>
        <v>470</v>
      </c>
      <c r="B471" s="182">
        <v>40800</v>
      </c>
      <c r="C471" s="182">
        <v>40835</v>
      </c>
      <c r="D471" s="206" t="s">
        <v>66</v>
      </c>
      <c r="E471" s="206" t="s">
        <v>422</v>
      </c>
      <c r="F471" s="206" t="s">
        <v>701</v>
      </c>
      <c r="G471" s="206" t="s">
        <v>962</v>
      </c>
      <c r="H471" s="206" t="s">
        <v>965</v>
      </c>
      <c r="I471" s="230">
        <v>383600</v>
      </c>
    </row>
    <row r="472" spans="1:9" x14ac:dyDescent="0.2">
      <c r="A472" s="181">
        <f t="shared" si="7"/>
        <v>471</v>
      </c>
      <c r="B472" s="182">
        <v>40800</v>
      </c>
      <c r="C472" s="182">
        <v>40835</v>
      </c>
      <c r="D472" s="206" t="s">
        <v>66</v>
      </c>
      <c r="E472" s="206" t="s">
        <v>422</v>
      </c>
      <c r="F472" s="206" t="s">
        <v>701</v>
      </c>
      <c r="G472" s="206" t="s">
        <v>963</v>
      </c>
      <c r="H472" s="206" t="s">
        <v>966</v>
      </c>
      <c r="I472" s="353">
        <v>353000</v>
      </c>
    </row>
    <row r="473" spans="1:9" x14ac:dyDescent="0.2">
      <c r="A473" s="181">
        <f t="shared" si="7"/>
        <v>472</v>
      </c>
      <c r="B473" s="186">
        <v>40800</v>
      </c>
      <c r="C473" s="186">
        <v>40835</v>
      </c>
      <c r="D473" s="196" t="s">
        <v>66</v>
      </c>
      <c r="E473" s="196" t="s">
        <v>422</v>
      </c>
      <c r="F473" s="196" t="s">
        <v>701</v>
      </c>
      <c r="G473" s="196" t="s">
        <v>964</v>
      </c>
      <c r="H473" s="196" t="s">
        <v>967</v>
      </c>
      <c r="I473" s="357">
        <v>314000</v>
      </c>
    </row>
    <row r="474" spans="1:9" x14ac:dyDescent="0.2">
      <c r="A474" s="181">
        <f t="shared" si="7"/>
        <v>473</v>
      </c>
      <c r="B474" s="211">
        <v>40815</v>
      </c>
      <c r="C474" s="211">
        <v>40868</v>
      </c>
      <c r="D474" s="213" t="s">
        <v>66</v>
      </c>
      <c r="E474" s="213" t="s">
        <v>422</v>
      </c>
      <c r="F474" s="213" t="s">
        <v>396</v>
      </c>
      <c r="G474" s="213" t="s">
        <v>968</v>
      </c>
      <c r="H474" s="213" t="s">
        <v>969</v>
      </c>
      <c r="I474" s="365">
        <v>294141.56</v>
      </c>
    </row>
    <row r="475" spans="1:9" x14ac:dyDescent="0.2">
      <c r="A475" s="181">
        <f t="shared" si="7"/>
        <v>474</v>
      </c>
      <c r="B475" s="182">
        <v>40820</v>
      </c>
      <c r="C475" s="182">
        <v>40854</v>
      </c>
      <c r="D475" s="206" t="s">
        <v>66</v>
      </c>
      <c r="E475" s="206" t="s">
        <v>392</v>
      </c>
      <c r="F475" s="206" t="s">
        <v>71</v>
      </c>
      <c r="G475" s="206" t="s">
        <v>971</v>
      </c>
      <c r="H475" s="206" t="s">
        <v>972</v>
      </c>
      <c r="I475" s="230">
        <v>30474.959999999999</v>
      </c>
    </row>
    <row r="476" spans="1:9" x14ac:dyDescent="0.2">
      <c r="A476" s="181">
        <f t="shared" si="7"/>
        <v>475</v>
      </c>
      <c r="B476" s="182">
        <v>40820</v>
      </c>
      <c r="C476" s="182">
        <v>40840</v>
      </c>
      <c r="D476" s="206" t="s">
        <v>66</v>
      </c>
      <c r="E476" s="206" t="s">
        <v>392</v>
      </c>
      <c r="F476" s="206" t="s">
        <v>393</v>
      </c>
      <c r="G476" s="206" t="s">
        <v>973</v>
      </c>
      <c r="H476" s="206" t="s">
        <v>974</v>
      </c>
      <c r="I476" s="353">
        <v>52000</v>
      </c>
    </row>
    <row r="477" spans="1:9" x14ac:dyDescent="0.2">
      <c r="A477" s="181">
        <f t="shared" si="7"/>
        <v>476</v>
      </c>
      <c r="B477" s="182">
        <v>40829</v>
      </c>
      <c r="C477" s="182">
        <v>40849</v>
      </c>
      <c r="D477" s="206" t="s">
        <v>66</v>
      </c>
      <c r="E477" s="206" t="s">
        <v>392</v>
      </c>
      <c r="F477" s="206" t="s">
        <v>71</v>
      </c>
      <c r="G477" s="206" t="s">
        <v>975</v>
      </c>
      <c r="H477" s="206" t="s">
        <v>978</v>
      </c>
      <c r="I477" s="230">
        <v>78967.520000000004</v>
      </c>
    </row>
    <row r="478" spans="1:9" x14ac:dyDescent="0.2">
      <c r="A478" s="181">
        <f t="shared" ref="A478:A544" si="8">A477+1</f>
        <v>477</v>
      </c>
      <c r="B478" s="186">
        <v>40829</v>
      </c>
      <c r="C478" s="186">
        <v>40849</v>
      </c>
      <c r="D478" s="196" t="s">
        <v>66</v>
      </c>
      <c r="E478" s="196" t="s">
        <v>392</v>
      </c>
      <c r="F478" s="196" t="s">
        <v>393</v>
      </c>
      <c r="G478" s="196" t="s">
        <v>976</v>
      </c>
      <c r="H478" s="196" t="s">
        <v>977</v>
      </c>
      <c r="I478" s="356">
        <v>132000</v>
      </c>
    </row>
    <row r="479" spans="1:9" x14ac:dyDescent="0.2">
      <c r="A479" s="181">
        <f t="shared" si="8"/>
        <v>478</v>
      </c>
      <c r="B479" s="182">
        <v>40830</v>
      </c>
      <c r="C479" s="182">
        <v>40889</v>
      </c>
      <c r="D479" s="206" t="s">
        <v>66</v>
      </c>
      <c r="E479" s="206" t="s">
        <v>392</v>
      </c>
      <c r="F479" s="206" t="s">
        <v>393</v>
      </c>
      <c r="G479" s="206" t="s">
        <v>979</v>
      </c>
      <c r="H479" s="206" t="s">
        <v>980</v>
      </c>
      <c r="I479" s="230">
        <v>206000</v>
      </c>
    </row>
    <row r="480" spans="1:9" x14ac:dyDescent="0.2">
      <c r="A480" s="181">
        <f t="shared" si="8"/>
        <v>479</v>
      </c>
      <c r="B480" s="182">
        <v>40830</v>
      </c>
      <c r="C480" s="182">
        <v>40849</v>
      </c>
      <c r="D480" s="206" t="s">
        <v>66</v>
      </c>
      <c r="E480" s="206" t="s">
        <v>392</v>
      </c>
      <c r="F480" s="206" t="s">
        <v>71</v>
      </c>
      <c r="G480" s="206" t="s">
        <v>981</v>
      </c>
      <c r="H480" s="206" t="s">
        <v>982</v>
      </c>
      <c r="I480" s="353">
        <v>48872.99</v>
      </c>
    </row>
    <row r="481" spans="1:9" x14ac:dyDescent="0.2">
      <c r="A481" s="181">
        <f t="shared" si="8"/>
        <v>480</v>
      </c>
      <c r="B481" s="182">
        <v>40830</v>
      </c>
      <c r="C481" s="182">
        <v>40889</v>
      </c>
      <c r="D481" s="206" t="s">
        <v>66</v>
      </c>
      <c r="E481" s="206" t="s">
        <v>422</v>
      </c>
      <c r="F481" s="206" t="s">
        <v>701</v>
      </c>
      <c r="G481" s="206" t="s">
        <v>983</v>
      </c>
      <c r="H481" s="206" t="s">
        <v>984</v>
      </c>
      <c r="I481" s="353">
        <v>608206</v>
      </c>
    </row>
    <row r="482" spans="1:9" x14ac:dyDescent="0.2">
      <c r="A482" s="181">
        <f t="shared" si="8"/>
        <v>481</v>
      </c>
      <c r="B482" s="186">
        <v>40830</v>
      </c>
      <c r="C482" s="186">
        <v>40854</v>
      </c>
      <c r="D482" s="196" t="s">
        <v>66</v>
      </c>
      <c r="E482" s="196" t="s">
        <v>422</v>
      </c>
      <c r="F482" s="196" t="s">
        <v>701</v>
      </c>
      <c r="G482" s="196" t="s">
        <v>985</v>
      </c>
      <c r="H482" s="196" t="s">
        <v>986</v>
      </c>
      <c r="I482" s="356">
        <v>101367</v>
      </c>
    </row>
    <row r="483" spans="1:9" x14ac:dyDescent="0.2">
      <c r="A483" s="181">
        <f t="shared" si="8"/>
        <v>482</v>
      </c>
      <c r="B483" s="186">
        <v>40836</v>
      </c>
      <c r="C483" s="186">
        <v>40889</v>
      </c>
      <c r="D483" s="196" t="s">
        <v>66</v>
      </c>
      <c r="E483" s="196" t="s">
        <v>422</v>
      </c>
      <c r="F483" s="196" t="s">
        <v>701</v>
      </c>
      <c r="G483" s="196" t="s">
        <v>987</v>
      </c>
      <c r="H483" s="196" t="s">
        <v>988</v>
      </c>
      <c r="I483" s="357">
        <v>515680</v>
      </c>
    </row>
    <row r="484" spans="1:9" x14ac:dyDescent="0.2">
      <c r="A484" s="181">
        <f t="shared" si="8"/>
        <v>483</v>
      </c>
      <c r="B484" s="182">
        <v>40851</v>
      </c>
      <c r="C484" s="182">
        <v>40868</v>
      </c>
      <c r="D484" s="206" t="s">
        <v>11</v>
      </c>
      <c r="E484" s="206"/>
      <c r="F484" s="206" t="s">
        <v>701</v>
      </c>
      <c r="G484" s="206" t="s">
        <v>990</v>
      </c>
      <c r="H484" s="206" t="s">
        <v>991</v>
      </c>
      <c r="I484" s="357">
        <v>128000</v>
      </c>
    </row>
    <row r="485" spans="1:9" x14ac:dyDescent="0.2">
      <c r="A485" s="181">
        <f t="shared" si="8"/>
        <v>484</v>
      </c>
      <c r="B485" s="220">
        <v>40855</v>
      </c>
      <c r="C485" s="220">
        <v>40905</v>
      </c>
      <c r="D485" s="221" t="s">
        <v>11</v>
      </c>
      <c r="E485" s="221"/>
      <c r="F485" s="221" t="s">
        <v>701</v>
      </c>
      <c r="G485" s="221" t="s">
        <v>992</v>
      </c>
      <c r="H485" s="221" t="s">
        <v>993</v>
      </c>
      <c r="I485" s="368">
        <v>305000</v>
      </c>
    </row>
    <row r="486" spans="1:9" x14ac:dyDescent="0.2">
      <c r="A486" s="181">
        <f t="shared" si="8"/>
        <v>485</v>
      </c>
      <c r="B486" s="182">
        <v>40856</v>
      </c>
      <c r="C486" s="182">
        <v>40905</v>
      </c>
      <c r="D486" s="206" t="s">
        <v>66</v>
      </c>
      <c r="E486" s="206" t="s">
        <v>422</v>
      </c>
      <c r="F486" s="206" t="s">
        <v>701</v>
      </c>
      <c r="G486" s="206" t="s">
        <v>994</v>
      </c>
      <c r="H486" s="206" t="s">
        <v>995</v>
      </c>
      <c r="I486" s="357">
        <v>349100</v>
      </c>
    </row>
    <row r="487" spans="1:9" x14ac:dyDescent="0.2">
      <c r="A487" s="181">
        <f t="shared" si="8"/>
        <v>486</v>
      </c>
      <c r="B487" s="220">
        <v>40858</v>
      </c>
      <c r="C487" s="220">
        <v>40917</v>
      </c>
      <c r="D487" s="221" t="s">
        <v>66</v>
      </c>
      <c r="E487" s="221" t="s">
        <v>422</v>
      </c>
      <c r="F487" s="221" t="s">
        <v>701</v>
      </c>
      <c r="G487" s="221" t="s">
        <v>996</v>
      </c>
      <c r="H487" s="221" t="s">
        <v>997</v>
      </c>
      <c r="I487" s="368">
        <v>1132000</v>
      </c>
    </row>
    <row r="488" spans="1:9" x14ac:dyDescent="0.2">
      <c r="A488" s="181">
        <f t="shared" si="8"/>
        <v>487</v>
      </c>
      <c r="B488" s="186">
        <v>40858</v>
      </c>
      <c r="C488" s="186">
        <v>40875</v>
      </c>
      <c r="D488" s="196" t="s">
        <v>66</v>
      </c>
      <c r="E488" s="196" t="s">
        <v>422</v>
      </c>
      <c r="F488" s="196" t="s">
        <v>701</v>
      </c>
      <c r="G488" s="196" t="s">
        <v>998</v>
      </c>
      <c r="H488" s="196" t="s">
        <v>999</v>
      </c>
      <c r="I488" s="357">
        <v>120000</v>
      </c>
    </row>
    <row r="489" spans="1:9" x14ac:dyDescent="0.2">
      <c r="A489" s="181">
        <f t="shared" si="8"/>
        <v>488</v>
      </c>
      <c r="B489" s="182">
        <v>40877</v>
      </c>
      <c r="C489" s="182">
        <v>40896</v>
      </c>
      <c r="D489" s="206" t="s">
        <v>66</v>
      </c>
      <c r="E489" s="206" t="s">
        <v>422</v>
      </c>
      <c r="F489" s="206" t="s">
        <v>701</v>
      </c>
      <c r="G489" s="206" t="s">
        <v>1000</v>
      </c>
      <c r="H489" s="206" t="s">
        <v>1001</v>
      </c>
      <c r="I489" s="357">
        <v>175613</v>
      </c>
    </row>
    <row r="490" spans="1:9" x14ac:dyDescent="0.2">
      <c r="A490" s="181">
        <f t="shared" si="8"/>
        <v>489</v>
      </c>
      <c r="B490" s="182">
        <v>40878</v>
      </c>
      <c r="C490" s="182">
        <v>40931</v>
      </c>
      <c r="D490" s="206" t="s">
        <v>66</v>
      </c>
      <c r="E490" s="206" t="s">
        <v>422</v>
      </c>
      <c r="F490" s="206" t="s">
        <v>701</v>
      </c>
      <c r="G490" s="206" t="s">
        <v>1002</v>
      </c>
      <c r="H490" s="206" t="s">
        <v>1003</v>
      </c>
      <c r="I490" s="357">
        <v>220961</v>
      </c>
    </row>
    <row r="491" spans="1:9" x14ac:dyDescent="0.2">
      <c r="A491" s="181">
        <f t="shared" si="8"/>
        <v>490</v>
      </c>
      <c r="B491" s="182">
        <v>40891</v>
      </c>
      <c r="C491" s="182">
        <v>40938</v>
      </c>
      <c r="D491" s="206" t="s">
        <v>66</v>
      </c>
      <c r="E491" s="206" t="s">
        <v>422</v>
      </c>
      <c r="F491" s="206" t="s">
        <v>701</v>
      </c>
      <c r="G491" s="206" t="s">
        <v>1005</v>
      </c>
      <c r="H491" s="206" t="s">
        <v>1006</v>
      </c>
      <c r="I491" s="357">
        <v>211700</v>
      </c>
    </row>
    <row r="492" spans="1:9" x14ac:dyDescent="0.2">
      <c r="A492" s="181">
        <f t="shared" si="8"/>
        <v>491</v>
      </c>
      <c r="B492" s="182">
        <v>40891</v>
      </c>
      <c r="C492" s="182">
        <v>40938</v>
      </c>
      <c r="D492" s="206" t="s">
        <v>66</v>
      </c>
      <c r="E492" s="206" t="s">
        <v>422</v>
      </c>
      <c r="F492" s="206" t="s">
        <v>701</v>
      </c>
      <c r="G492" s="206" t="s">
        <v>1007</v>
      </c>
      <c r="H492" s="206" t="s">
        <v>1008</v>
      </c>
      <c r="I492" s="357">
        <v>714000</v>
      </c>
    </row>
    <row r="493" spans="1:9" x14ac:dyDescent="0.2">
      <c r="A493" s="181">
        <f t="shared" si="8"/>
        <v>492</v>
      </c>
      <c r="B493" s="186">
        <v>40891</v>
      </c>
      <c r="C493" s="186">
        <v>40938</v>
      </c>
      <c r="D493" s="196" t="s">
        <v>66</v>
      </c>
      <c r="E493" s="196" t="s">
        <v>422</v>
      </c>
      <c r="F493" s="196" t="s">
        <v>701</v>
      </c>
      <c r="G493" s="196" t="s">
        <v>1009</v>
      </c>
      <c r="H493" s="196" t="s">
        <v>1010</v>
      </c>
      <c r="I493" s="357">
        <v>341600</v>
      </c>
    </row>
    <row r="494" spans="1:9" x14ac:dyDescent="0.2">
      <c r="A494" s="181">
        <f t="shared" si="8"/>
        <v>493</v>
      </c>
      <c r="B494" s="182">
        <v>40893</v>
      </c>
      <c r="C494" s="182">
        <v>40910</v>
      </c>
      <c r="D494" s="206" t="s">
        <v>66</v>
      </c>
      <c r="E494" s="206" t="s">
        <v>422</v>
      </c>
      <c r="F494" s="206" t="s">
        <v>701</v>
      </c>
      <c r="G494" s="206" t="s">
        <v>1011</v>
      </c>
      <c r="H494" s="206" t="s">
        <v>1012</v>
      </c>
      <c r="I494" s="357">
        <v>94000</v>
      </c>
    </row>
    <row r="495" spans="1:9" x14ac:dyDescent="0.2">
      <c r="A495" s="181">
        <f t="shared" si="8"/>
        <v>494</v>
      </c>
      <c r="B495" s="182">
        <v>40897</v>
      </c>
      <c r="C495" s="182">
        <v>40945</v>
      </c>
      <c r="D495" s="206" t="s">
        <v>66</v>
      </c>
      <c r="E495" s="206" t="s">
        <v>422</v>
      </c>
      <c r="F495" s="206" t="s">
        <v>701</v>
      </c>
      <c r="G495" s="206" t="s">
        <v>1013</v>
      </c>
      <c r="H495" s="206" t="s">
        <v>1014</v>
      </c>
      <c r="I495" s="357">
        <v>690000</v>
      </c>
    </row>
    <row r="496" spans="1:9" x14ac:dyDescent="0.2">
      <c r="A496" s="181">
        <f t="shared" si="8"/>
        <v>495</v>
      </c>
      <c r="B496" s="182">
        <v>40900</v>
      </c>
      <c r="C496" s="182">
        <v>40919</v>
      </c>
      <c r="D496" s="206" t="s">
        <v>66</v>
      </c>
      <c r="E496" s="206" t="s">
        <v>422</v>
      </c>
      <c r="F496" s="206" t="s">
        <v>701</v>
      </c>
      <c r="G496" s="206" t="s">
        <v>1015</v>
      </c>
      <c r="H496" s="206" t="s">
        <v>1016</v>
      </c>
      <c r="I496" s="357">
        <v>120000</v>
      </c>
    </row>
    <row r="497" spans="1:9" x14ac:dyDescent="0.2">
      <c r="A497" s="181">
        <f t="shared" si="8"/>
        <v>496</v>
      </c>
      <c r="B497" s="182">
        <v>40904</v>
      </c>
      <c r="C497" s="182">
        <v>40952</v>
      </c>
      <c r="D497" s="206" t="s">
        <v>66</v>
      </c>
      <c r="E497" s="206" t="s">
        <v>422</v>
      </c>
      <c r="F497" s="206" t="s">
        <v>701</v>
      </c>
      <c r="G497" s="206" t="s">
        <v>1017</v>
      </c>
      <c r="H497" s="206" t="s">
        <v>1018</v>
      </c>
      <c r="I497" s="357">
        <v>440300</v>
      </c>
    </row>
    <row r="498" spans="1:9" x14ac:dyDescent="0.2">
      <c r="A498" s="181">
        <f t="shared" si="8"/>
        <v>497</v>
      </c>
      <c r="B498" s="182">
        <v>40904</v>
      </c>
      <c r="C498" s="182">
        <v>40952</v>
      </c>
      <c r="D498" s="206" t="s">
        <v>66</v>
      </c>
      <c r="E498" s="206" t="s">
        <v>422</v>
      </c>
      <c r="F498" s="206" t="s">
        <v>701</v>
      </c>
      <c r="G498" s="206" t="s">
        <v>1019</v>
      </c>
      <c r="H498" s="206" t="s">
        <v>1020</v>
      </c>
      <c r="I498" s="357">
        <v>294650</v>
      </c>
    </row>
    <row r="499" spans="1:9" x14ac:dyDescent="0.2">
      <c r="A499" s="181">
        <f t="shared" si="8"/>
        <v>498</v>
      </c>
      <c r="B499" s="182">
        <v>40905</v>
      </c>
      <c r="C499" s="182">
        <v>40959</v>
      </c>
      <c r="D499" s="206" t="s">
        <v>66</v>
      </c>
      <c r="E499" s="206" t="s">
        <v>422</v>
      </c>
      <c r="F499" s="206" t="s">
        <v>701</v>
      </c>
      <c r="G499" s="206" t="s">
        <v>1021</v>
      </c>
      <c r="H499" s="206" t="s">
        <v>1022</v>
      </c>
      <c r="I499" s="357">
        <v>294650</v>
      </c>
    </row>
    <row r="500" spans="1:9" x14ac:dyDescent="0.2">
      <c r="A500" s="181">
        <f t="shared" si="8"/>
        <v>499</v>
      </c>
      <c r="B500" s="182">
        <v>40905</v>
      </c>
      <c r="C500" s="182">
        <v>40952</v>
      </c>
      <c r="D500" s="206" t="s">
        <v>66</v>
      </c>
      <c r="E500" s="206" t="s">
        <v>422</v>
      </c>
      <c r="F500" s="206" t="s">
        <v>701</v>
      </c>
      <c r="G500" s="206" t="s">
        <v>1023</v>
      </c>
      <c r="H500" s="206" t="s">
        <v>1024</v>
      </c>
      <c r="I500" s="357">
        <v>427400</v>
      </c>
    </row>
    <row r="501" spans="1:9" x14ac:dyDescent="0.2">
      <c r="A501" s="181">
        <f t="shared" si="8"/>
        <v>500</v>
      </c>
      <c r="B501" s="182">
        <v>40905</v>
      </c>
      <c r="C501" s="182">
        <v>40952</v>
      </c>
      <c r="D501" s="206" t="s">
        <v>66</v>
      </c>
      <c r="E501" s="206" t="s">
        <v>422</v>
      </c>
      <c r="F501" s="206" t="s">
        <v>701</v>
      </c>
      <c r="G501" s="206" t="s">
        <v>1025</v>
      </c>
      <c r="H501" s="206" t="s">
        <v>1026</v>
      </c>
      <c r="I501" s="357">
        <v>205800</v>
      </c>
    </row>
    <row r="502" spans="1:9" x14ac:dyDescent="0.2">
      <c r="A502" s="181">
        <f t="shared" si="8"/>
        <v>501</v>
      </c>
      <c r="B502" s="182">
        <v>40906</v>
      </c>
      <c r="C502" s="182">
        <v>40924</v>
      </c>
      <c r="D502" s="206" t="s">
        <v>66</v>
      </c>
      <c r="E502" s="206" t="s">
        <v>422</v>
      </c>
      <c r="F502" s="206" t="s">
        <v>701</v>
      </c>
      <c r="G502" s="206" t="s">
        <v>1027</v>
      </c>
      <c r="H502" s="206" t="s">
        <v>1028</v>
      </c>
      <c r="I502" s="357">
        <v>141100</v>
      </c>
    </row>
    <row r="503" spans="1:9" x14ac:dyDescent="0.2">
      <c r="A503" s="181">
        <f t="shared" si="8"/>
        <v>502</v>
      </c>
      <c r="B503" s="186">
        <v>40906</v>
      </c>
      <c r="C503" s="186">
        <v>40924</v>
      </c>
      <c r="D503" s="196" t="s">
        <v>66</v>
      </c>
      <c r="E503" s="196" t="s">
        <v>422</v>
      </c>
      <c r="F503" s="196" t="s">
        <v>701</v>
      </c>
      <c r="G503" s="196" t="s">
        <v>1029</v>
      </c>
      <c r="H503" s="196" t="s">
        <v>1030</v>
      </c>
      <c r="I503" s="357">
        <v>137100</v>
      </c>
    </row>
    <row r="504" spans="1:9" x14ac:dyDescent="0.2">
      <c r="A504" s="181">
        <f t="shared" si="8"/>
        <v>503</v>
      </c>
      <c r="B504" s="182">
        <v>40926</v>
      </c>
      <c r="C504" s="182">
        <v>40975</v>
      </c>
      <c r="D504" s="206" t="s">
        <v>66</v>
      </c>
      <c r="E504" s="206" t="s">
        <v>392</v>
      </c>
      <c r="F504" s="206" t="s">
        <v>393</v>
      </c>
      <c r="G504" s="206" t="s">
        <v>1034</v>
      </c>
      <c r="H504" s="206" t="s">
        <v>1035</v>
      </c>
      <c r="I504" s="357">
        <v>208738</v>
      </c>
    </row>
    <row r="505" spans="1:9" x14ac:dyDescent="0.2">
      <c r="A505" s="181">
        <f t="shared" si="8"/>
        <v>504</v>
      </c>
      <c r="B505" s="182">
        <v>40932</v>
      </c>
      <c r="C505" s="182">
        <v>40954</v>
      </c>
      <c r="D505" s="206" t="s">
        <v>66</v>
      </c>
      <c r="E505" s="206" t="s">
        <v>392</v>
      </c>
      <c r="F505" s="206" t="s">
        <v>71</v>
      </c>
      <c r="G505" s="206" t="s">
        <v>1036</v>
      </c>
      <c r="H505" s="206" t="s">
        <v>1037</v>
      </c>
      <c r="I505" s="357">
        <v>57094.66</v>
      </c>
    </row>
    <row r="506" spans="1:9" x14ac:dyDescent="0.2">
      <c r="A506" s="181">
        <f t="shared" si="8"/>
        <v>505</v>
      </c>
      <c r="B506" s="182">
        <v>40932</v>
      </c>
      <c r="C506" s="182">
        <v>40954</v>
      </c>
      <c r="D506" s="206" t="s">
        <v>66</v>
      </c>
      <c r="E506" s="206" t="s">
        <v>392</v>
      </c>
      <c r="F506" s="206" t="s">
        <v>71</v>
      </c>
      <c r="G506" s="206" t="s">
        <v>1038</v>
      </c>
      <c r="H506" s="206" t="s">
        <v>1039</v>
      </c>
      <c r="I506" s="357">
        <v>72694.53</v>
      </c>
    </row>
    <row r="507" spans="1:9" x14ac:dyDescent="0.2">
      <c r="A507" s="181">
        <f t="shared" si="8"/>
        <v>506</v>
      </c>
      <c r="B507" s="182">
        <v>40932</v>
      </c>
      <c r="C507" s="182">
        <v>40954</v>
      </c>
      <c r="D507" s="206" t="s">
        <v>66</v>
      </c>
      <c r="E507" s="206" t="s">
        <v>392</v>
      </c>
      <c r="F507" s="206" t="s">
        <v>71</v>
      </c>
      <c r="G507" s="206" t="s">
        <v>1040</v>
      </c>
      <c r="H507" s="206" t="s">
        <v>1041</v>
      </c>
      <c r="I507" s="357">
        <v>55010.97</v>
      </c>
    </row>
    <row r="508" spans="1:9" x14ac:dyDescent="0.2">
      <c r="A508" s="181">
        <f t="shared" si="8"/>
        <v>507</v>
      </c>
      <c r="B508" s="182">
        <v>40940</v>
      </c>
      <c r="C508" s="182">
        <v>40961</v>
      </c>
      <c r="D508" s="206" t="s">
        <v>66</v>
      </c>
      <c r="E508" s="206" t="s">
        <v>392</v>
      </c>
      <c r="F508" s="206" t="s">
        <v>393</v>
      </c>
      <c r="G508" s="206" t="s">
        <v>1042</v>
      </c>
      <c r="H508" s="206" t="s">
        <v>1043</v>
      </c>
      <c r="I508" s="357">
        <v>135460</v>
      </c>
    </row>
    <row r="509" spans="1:9" x14ac:dyDescent="0.2">
      <c r="A509" s="181">
        <f t="shared" si="8"/>
        <v>508</v>
      </c>
      <c r="B509" s="182">
        <v>40940</v>
      </c>
      <c r="C509" s="182">
        <v>40961</v>
      </c>
      <c r="D509" s="206" t="s">
        <v>66</v>
      </c>
      <c r="E509" s="206" t="s">
        <v>392</v>
      </c>
      <c r="F509" s="206" t="s">
        <v>393</v>
      </c>
      <c r="G509" s="206" t="s">
        <v>1044</v>
      </c>
      <c r="H509" s="206" t="s">
        <v>1045</v>
      </c>
      <c r="I509" s="357">
        <v>176536</v>
      </c>
    </row>
    <row r="510" spans="1:9" x14ac:dyDescent="0.2">
      <c r="A510" s="181">
        <f t="shared" si="8"/>
        <v>509</v>
      </c>
      <c r="B510" s="182">
        <v>40941</v>
      </c>
      <c r="C510" s="182">
        <v>40961</v>
      </c>
      <c r="D510" s="206" t="s">
        <v>66</v>
      </c>
      <c r="E510" s="206" t="s">
        <v>392</v>
      </c>
      <c r="F510" s="206" t="s">
        <v>393</v>
      </c>
      <c r="G510" s="206" t="s">
        <v>1050</v>
      </c>
      <c r="H510" s="206" t="s">
        <v>1051</v>
      </c>
      <c r="I510" s="357">
        <v>62370</v>
      </c>
    </row>
    <row r="511" spans="1:9" x14ac:dyDescent="0.2">
      <c r="A511" s="181">
        <f t="shared" si="8"/>
        <v>510</v>
      </c>
      <c r="B511" s="182">
        <v>40941</v>
      </c>
      <c r="C511" s="182">
        <v>40961</v>
      </c>
      <c r="D511" s="206" t="s">
        <v>66</v>
      </c>
      <c r="E511" s="206" t="s">
        <v>392</v>
      </c>
      <c r="F511" s="206" t="s">
        <v>393</v>
      </c>
      <c r="G511" s="206" t="s">
        <v>1053</v>
      </c>
      <c r="H511" s="206" t="s">
        <v>1052</v>
      </c>
      <c r="I511" s="357">
        <v>65000</v>
      </c>
    </row>
    <row r="512" spans="1:9" x14ac:dyDescent="0.2">
      <c r="A512" s="181">
        <f t="shared" si="8"/>
        <v>511</v>
      </c>
      <c r="B512" s="182">
        <v>40959</v>
      </c>
      <c r="C512" s="182">
        <v>41010</v>
      </c>
      <c r="D512" s="206" t="s">
        <v>66</v>
      </c>
      <c r="E512" s="206" t="s">
        <v>422</v>
      </c>
      <c r="F512" s="206" t="s">
        <v>701</v>
      </c>
      <c r="G512" s="206" t="s">
        <v>1054</v>
      </c>
      <c r="H512" s="206" t="s">
        <v>1055</v>
      </c>
      <c r="I512" s="357">
        <v>921386</v>
      </c>
    </row>
    <row r="513" spans="1:9" x14ac:dyDescent="0.2">
      <c r="A513" s="181">
        <f t="shared" si="8"/>
        <v>512</v>
      </c>
      <c r="B513" s="182">
        <v>40963</v>
      </c>
      <c r="C513" s="182">
        <v>40977</v>
      </c>
      <c r="D513" s="206" t="s">
        <v>66</v>
      </c>
      <c r="E513" s="206" t="s">
        <v>233</v>
      </c>
      <c r="F513" s="206" t="s">
        <v>233</v>
      </c>
      <c r="G513" s="206" t="s">
        <v>1056</v>
      </c>
      <c r="H513" s="206" t="s">
        <v>1057</v>
      </c>
      <c r="I513" s="357">
        <v>180000</v>
      </c>
    </row>
    <row r="514" spans="1:9" x14ac:dyDescent="0.2">
      <c r="A514" s="181">
        <f t="shared" si="8"/>
        <v>513</v>
      </c>
      <c r="B514" s="182">
        <v>40969</v>
      </c>
      <c r="C514" s="182">
        <v>40987</v>
      </c>
      <c r="D514" s="206" t="s">
        <v>66</v>
      </c>
      <c r="E514" s="206" t="s">
        <v>422</v>
      </c>
      <c r="F514" s="206" t="s">
        <v>701</v>
      </c>
      <c r="G514" s="206" t="s">
        <v>1058</v>
      </c>
      <c r="H514" s="206" t="s">
        <v>1059</v>
      </c>
      <c r="I514" s="357">
        <v>199000</v>
      </c>
    </row>
    <row r="515" spans="1:9" x14ac:dyDescent="0.2">
      <c r="A515" s="181">
        <f t="shared" si="8"/>
        <v>514</v>
      </c>
      <c r="B515" s="182">
        <v>40975</v>
      </c>
      <c r="C515" s="182">
        <v>40994</v>
      </c>
      <c r="D515" s="206" t="s">
        <v>66</v>
      </c>
      <c r="E515" s="206" t="s">
        <v>392</v>
      </c>
      <c r="F515" s="206" t="s">
        <v>393</v>
      </c>
      <c r="G515" s="206" t="s">
        <v>1060</v>
      </c>
      <c r="H515" s="206" t="s">
        <v>1061</v>
      </c>
      <c r="I515" s="357">
        <v>109347</v>
      </c>
    </row>
    <row r="516" spans="1:9" x14ac:dyDescent="0.2">
      <c r="A516" s="181">
        <f t="shared" si="8"/>
        <v>515</v>
      </c>
      <c r="B516" s="182">
        <v>40976</v>
      </c>
      <c r="C516" s="182">
        <v>40994</v>
      </c>
      <c r="D516" s="206" t="s">
        <v>66</v>
      </c>
      <c r="E516" s="206" t="s">
        <v>392</v>
      </c>
      <c r="F516" s="206" t="s">
        <v>71</v>
      </c>
      <c r="G516" s="206" t="s">
        <v>1062</v>
      </c>
      <c r="H516" s="206" t="s">
        <v>1063</v>
      </c>
      <c r="I516" s="357">
        <v>44019.87</v>
      </c>
    </row>
    <row r="517" spans="1:9" x14ac:dyDescent="0.2">
      <c r="A517" s="181">
        <f t="shared" si="8"/>
        <v>516</v>
      </c>
      <c r="B517" s="182">
        <v>40983</v>
      </c>
      <c r="C517" s="182">
        <v>40998</v>
      </c>
      <c r="D517" s="206" t="s">
        <v>66</v>
      </c>
      <c r="E517" s="206" t="s">
        <v>392</v>
      </c>
      <c r="F517" s="206" t="s">
        <v>9</v>
      </c>
      <c r="G517" s="206" t="s">
        <v>1064</v>
      </c>
      <c r="H517" s="206" t="s">
        <v>1065</v>
      </c>
      <c r="I517" s="357">
        <v>198618</v>
      </c>
    </row>
    <row r="518" spans="1:9" x14ac:dyDescent="0.2">
      <c r="A518" s="181">
        <f t="shared" si="8"/>
        <v>517</v>
      </c>
      <c r="B518" s="182">
        <v>40995</v>
      </c>
      <c r="C518" s="182">
        <v>41015</v>
      </c>
      <c r="D518" s="206" t="s">
        <v>66</v>
      </c>
      <c r="E518" s="206" t="s">
        <v>392</v>
      </c>
      <c r="F518" s="206" t="s">
        <v>71</v>
      </c>
      <c r="G518" s="206" t="s">
        <v>1066</v>
      </c>
      <c r="H518" s="206" t="s">
        <v>1067</v>
      </c>
      <c r="I518" s="357">
        <v>41231</v>
      </c>
    </row>
    <row r="519" spans="1:9" x14ac:dyDescent="0.2">
      <c r="A519" s="181">
        <f t="shared" si="8"/>
        <v>518</v>
      </c>
      <c r="B519" s="182">
        <v>40995</v>
      </c>
      <c r="C519" s="182">
        <v>41015</v>
      </c>
      <c r="D519" s="206" t="s">
        <v>66</v>
      </c>
      <c r="E519" s="206" t="s">
        <v>392</v>
      </c>
      <c r="F519" s="206" t="s">
        <v>393</v>
      </c>
      <c r="G519" s="206" t="s">
        <v>1068</v>
      </c>
      <c r="H519" s="206" t="s">
        <v>1069</v>
      </c>
      <c r="I519" s="357">
        <v>84952</v>
      </c>
    </row>
    <row r="520" spans="1:9" x14ac:dyDescent="0.2">
      <c r="A520" s="181">
        <f t="shared" si="8"/>
        <v>519</v>
      </c>
      <c r="B520" s="182">
        <v>40997</v>
      </c>
      <c r="C520" s="182">
        <v>41015</v>
      </c>
      <c r="D520" s="206" t="s">
        <v>66</v>
      </c>
      <c r="E520" s="206" t="s">
        <v>392</v>
      </c>
      <c r="F520" s="206" t="s">
        <v>9</v>
      </c>
      <c r="G520" s="206" t="s">
        <v>1070</v>
      </c>
      <c r="H520" s="206" t="s">
        <v>1071</v>
      </c>
      <c r="I520" s="357">
        <v>179215.71</v>
      </c>
    </row>
    <row r="521" spans="1:9" x14ac:dyDescent="0.2">
      <c r="A521" s="181">
        <f t="shared" si="8"/>
        <v>520</v>
      </c>
      <c r="B521" s="182">
        <v>41004</v>
      </c>
      <c r="C521" s="182">
        <v>41022</v>
      </c>
      <c r="D521" s="206" t="s">
        <v>66</v>
      </c>
      <c r="E521" s="206" t="s">
        <v>422</v>
      </c>
      <c r="F521" s="206" t="s">
        <v>396</v>
      </c>
      <c r="G521" s="206" t="s">
        <v>1072</v>
      </c>
      <c r="H521" s="206" t="s">
        <v>1073</v>
      </c>
      <c r="I521" s="357">
        <v>51200</v>
      </c>
    </row>
    <row r="522" spans="1:9" x14ac:dyDescent="0.2">
      <c r="A522" s="181">
        <f t="shared" si="8"/>
        <v>521</v>
      </c>
      <c r="B522" s="182">
        <v>41009</v>
      </c>
      <c r="C522" s="182">
        <v>41058</v>
      </c>
      <c r="D522" s="206" t="s">
        <v>66</v>
      </c>
      <c r="E522" s="206" t="s">
        <v>392</v>
      </c>
      <c r="F522" s="206" t="s">
        <v>9</v>
      </c>
      <c r="G522" s="206" t="s">
        <v>1074</v>
      </c>
      <c r="H522" s="206" t="s">
        <v>1075</v>
      </c>
      <c r="I522" s="357">
        <v>359693.1</v>
      </c>
    </row>
    <row r="523" spans="1:9" x14ac:dyDescent="0.2">
      <c r="A523" s="181">
        <f t="shared" si="8"/>
        <v>522</v>
      </c>
      <c r="B523" s="182">
        <v>41009</v>
      </c>
      <c r="C523" s="182">
        <v>41025</v>
      </c>
      <c r="D523" s="206" t="s">
        <v>66</v>
      </c>
      <c r="E523" s="206" t="s">
        <v>392</v>
      </c>
      <c r="F523" s="206" t="s">
        <v>9</v>
      </c>
      <c r="G523" s="206" t="s">
        <v>1076</v>
      </c>
      <c r="H523" s="206" t="s">
        <v>1077</v>
      </c>
      <c r="I523" s="357">
        <v>188534.29</v>
      </c>
    </row>
    <row r="524" spans="1:9" x14ac:dyDescent="0.2">
      <c r="A524" s="181">
        <f t="shared" si="8"/>
        <v>523</v>
      </c>
      <c r="B524" s="182">
        <v>41011</v>
      </c>
      <c r="C524" s="182">
        <v>41031</v>
      </c>
      <c r="D524" s="206" t="s">
        <v>66</v>
      </c>
      <c r="E524" s="206" t="s">
        <v>392</v>
      </c>
      <c r="F524" s="206" t="s">
        <v>393</v>
      </c>
      <c r="G524" s="206" t="s">
        <v>1078</v>
      </c>
      <c r="H524" s="206" t="s">
        <v>1079</v>
      </c>
      <c r="I524" s="357">
        <v>44000</v>
      </c>
    </row>
    <row r="525" spans="1:9" x14ac:dyDescent="0.2">
      <c r="A525" s="181">
        <f t="shared" si="8"/>
        <v>524</v>
      </c>
      <c r="B525" s="182">
        <v>41023</v>
      </c>
      <c r="C525" s="182">
        <v>41071</v>
      </c>
      <c r="D525" s="206" t="s">
        <v>66</v>
      </c>
      <c r="E525" s="206" t="s">
        <v>422</v>
      </c>
      <c r="F525" s="206" t="s">
        <v>396</v>
      </c>
      <c r="G525" s="206" t="s">
        <v>1082</v>
      </c>
      <c r="H525" s="206" t="s">
        <v>1083</v>
      </c>
      <c r="I525" s="357">
        <v>249222.22</v>
      </c>
    </row>
    <row r="526" spans="1:9" x14ac:dyDescent="0.2">
      <c r="A526" s="181">
        <f t="shared" si="8"/>
        <v>525</v>
      </c>
      <c r="B526" s="182">
        <v>41025</v>
      </c>
      <c r="C526" s="182">
        <v>41043</v>
      </c>
      <c r="D526" s="206" t="s">
        <v>66</v>
      </c>
      <c r="E526" s="206" t="s">
        <v>422</v>
      </c>
      <c r="F526" s="206" t="s">
        <v>701</v>
      </c>
      <c r="G526" s="206" t="s">
        <v>1080</v>
      </c>
      <c r="H526" s="206" t="s">
        <v>1081</v>
      </c>
      <c r="I526" s="357">
        <v>175000</v>
      </c>
    </row>
    <row r="527" spans="1:9" x14ac:dyDescent="0.2">
      <c r="A527" s="181">
        <f t="shared" si="8"/>
        <v>526</v>
      </c>
      <c r="B527" s="182">
        <v>41026</v>
      </c>
      <c r="C527" s="182">
        <v>41036</v>
      </c>
      <c r="D527" s="206" t="s">
        <v>66</v>
      </c>
      <c r="E527" s="206" t="s">
        <v>422</v>
      </c>
      <c r="F527" s="206" t="s">
        <v>396</v>
      </c>
      <c r="G527" s="206" t="s">
        <v>1084</v>
      </c>
      <c r="H527" s="206" t="s">
        <v>1085</v>
      </c>
      <c r="I527" s="357">
        <v>111831</v>
      </c>
    </row>
    <row r="528" spans="1:9" x14ac:dyDescent="0.2">
      <c r="A528" s="181">
        <f t="shared" si="8"/>
        <v>527</v>
      </c>
      <c r="B528" s="182">
        <v>41036</v>
      </c>
      <c r="C528" s="182">
        <v>41052</v>
      </c>
      <c r="D528" s="206" t="s">
        <v>66</v>
      </c>
      <c r="E528" s="206" t="s">
        <v>233</v>
      </c>
      <c r="F528" s="206" t="s">
        <v>233</v>
      </c>
      <c r="G528" s="206" t="s">
        <v>1086</v>
      </c>
      <c r="H528" s="206" t="s">
        <v>1087</v>
      </c>
      <c r="I528" s="357">
        <v>140000</v>
      </c>
    </row>
    <row r="529" spans="1:9" x14ac:dyDescent="0.2">
      <c r="A529" s="181">
        <f t="shared" si="8"/>
        <v>528</v>
      </c>
      <c r="B529" s="182">
        <v>41036</v>
      </c>
      <c r="C529" s="182">
        <v>41052</v>
      </c>
      <c r="D529" s="206" t="s">
        <v>66</v>
      </c>
      <c r="E529" s="206" t="s">
        <v>392</v>
      </c>
      <c r="F529" s="206" t="s">
        <v>393</v>
      </c>
      <c r="G529" s="206" t="s">
        <v>1088</v>
      </c>
      <c r="H529" s="206" t="s">
        <v>1089</v>
      </c>
      <c r="I529" s="357">
        <v>72527</v>
      </c>
    </row>
    <row r="530" spans="1:9" x14ac:dyDescent="0.2">
      <c r="A530" s="181">
        <f t="shared" si="8"/>
        <v>529</v>
      </c>
      <c r="B530" s="182">
        <v>41058</v>
      </c>
      <c r="C530" s="182">
        <v>41073</v>
      </c>
      <c r="D530" s="206" t="s">
        <v>1092</v>
      </c>
      <c r="E530" s="206" t="s">
        <v>392</v>
      </c>
      <c r="F530" s="206" t="s">
        <v>393</v>
      </c>
      <c r="G530" s="206" t="s">
        <v>1090</v>
      </c>
      <c r="H530" s="206" t="s">
        <v>1091</v>
      </c>
      <c r="I530" s="357">
        <v>78396</v>
      </c>
    </row>
    <row r="531" spans="1:9" x14ac:dyDescent="0.2">
      <c r="A531" s="181">
        <f t="shared" si="8"/>
        <v>530</v>
      </c>
      <c r="B531" s="182">
        <v>41058</v>
      </c>
      <c r="C531" s="182">
        <v>41073</v>
      </c>
      <c r="D531" s="206" t="s">
        <v>1092</v>
      </c>
      <c r="E531" s="206" t="s">
        <v>233</v>
      </c>
      <c r="F531" s="206" t="s">
        <v>233</v>
      </c>
      <c r="G531" s="206" t="s">
        <v>1093</v>
      </c>
      <c r="H531" s="206" t="s">
        <v>1094</v>
      </c>
      <c r="I531" s="357">
        <v>88804</v>
      </c>
    </row>
    <row r="532" spans="1:9" x14ac:dyDescent="0.2">
      <c r="A532" s="181">
        <f t="shared" si="8"/>
        <v>531</v>
      </c>
      <c r="B532" s="182">
        <v>41059</v>
      </c>
      <c r="C532" s="182">
        <v>41078</v>
      </c>
      <c r="D532" s="206" t="s">
        <v>1092</v>
      </c>
      <c r="E532" s="206" t="s">
        <v>422</v>
      </c>
      <c r="F532" s="206" t="s">
        <v>701</v>
      </c>
      <c r="G532" s="206" t="s">
        <v>1095</v>
      </c>
      <c r="H532" s="206" t="s">
        <v>1096</v>
      </c>
      <c r="I532" s="357">
        <v>198000</v>
      </c>
    </row>
    <row r="533" spans="1:9" x14ac:dyDescent="0.2">
      <c r="A533" s="181">
        <f t="shared" si="8"/>
        <v>532</v>
      </c>
      <c r="B533" s="182">
        <v>41059</v>
      </c>
      <c r="C533" s="182">
        <v>41078</v>
      </c>
      <c r="D533" s="206" t="s">
        <v>1092</v>
      </c>
      <c r="E533" s="206" t="s">
        <v>422</v>
      </c>
      <c r="F533" s="206" t="s">
        <v>71</v>
      </c>
      <c r="G533" s="206" t="s">
        <v>1097</v>
      </c>
      <c r="H533" s="206" t="s">
        <v>1098</v>
      </c>
      <c r="I533" s="357">
        <v>106802.69</v>
      </c>
    </row>
    <row r="534" spans="1:9" x14ac:dyDescent="0.2">
      <c r="A534" s="181">
        <f t="shared" si="8"/>
        <v>533</v>
      </c>
      <c r="B534" s="182">
        <v>41067</v>
      </c>
      <c r="C534" s="182">
        <v>41092</v>
      </c>
      <c r="D534" s="206" t="s">
        <v>1092</v>
      </c>
      <c r="E534" s="206" t="s">
        <v>392</v>
      </c>
      <c r="F534" s="206" t="s">
        <v>1101</v>
      </c>
      <c r="G534" s="206" t="s">
        <v>1102</v>
      </c>
      <c r="H534" s="206" t="s">
        <v>1103</v>
      </c>
      <c r="I534" s="357">
        <v>198500</v>
      </c>
    </row>
    <row r="535" spans="1:9" x14ac:dyDescent="0.2">
      <c r="A535" s="181">
        <f t="shared" si="8"/>
        <v>534</v>
      </c>
      <c r="B535" s="182">
        <v>41067</v>
      </c>
      <c r="C535" s="182">
        <v>41092</v>
      </c>
      <c r="D535" s="206" t="s">
        <v>1092</v>
      </c>
      <c r="E535" s="206" t="s">
        <v>392</v>
      </c>
      <c r="F535" s="206" t="s">
        <v>71</v>
      </c>
      <c r="G535" s="206" t="s">
        <v>1104</v>
      </c>
      <c r="H535" s="206" t="s">
        <v>1105</v>
      </c>
      <c r="I535" s="357">
        <v>69936.259999999995</v>
      </c>
    </row>
    <row r="536" spans="1:9" x14ac:dyDescent="0.2">
      <c r="A536" s="181">
        <f t="shared" si="8"/>
        <v>535</v>
      </c>
      <c r="B536" s="182">
        <v>41071</v>
      </c>
      <c r="C536" s="182">
        <v>41087</v>
      </c>
      <c r="D536" s="206" t="s">
        <v>1092</v>
      </c>
      <c r="E536" s="206" t="s">
        <v>422</v>
      </c>
      <c r="F536" s="206" t="s">
        <v>701</v>
      </c>
      <c r="G536" s="206" t="s">
        <v>1106</v>
      </c>
      <c r="H536" s="206" t="s">
        <v>1107</v>
      </c>
      <c r="I536" s="357">
        <v>62500</v>
      </c>
    </row>
    <row r="537" spans="1:9" x14ac:dyDescent="0.2">
      <c r="A537" s="181">
        <f t="shared" si="8"/>
        <v>536</v>
      </c>
      <c r="B537" s="182">
        <v>41073</v>
      </c>
      <c r="C537" s="182">
        <v>41094</v>
      </c>
      <c r="D537" s="206" t="s">
        <v>1092</v>
      </c>
      <c r="E537" s="206" t="s">
        <v>392</v>
      </c>
      <c r="F537" s="206" t="s">
        <v>393</v>
      </c>
      <c r="G537" s="206" t="s">
        <v>1108</v>
      </c>
      <c r="H537" s="206" t="s">
        <v>1109</v>
      </c>
      <c r="I537" s="357">
        <v>102239</v>
      </c>
    </row>
    <row r="538" spans="1:9" x14ac:dyDescent="0.2">
      <c r="A538" s="181">
        <f t="shared" si="8"/>
        <v>537</v>
      </c>
      <c r="B538" s="182">
        <v>41096</v>
      </c>
      <c r="C538" s="182">
        <v>41113</v>
      </c>
      <c r="D538" s="206" t="s">
        <v>1092</v>
      </c>
      <c r="E538" s="206" t="s">
        <v>422</v>
      </c>
      <c r="F538" s="206" t="s">
        <v>701</v>
      </c>
      <c r="G538" s="206" t="s">
        <v>1110</v>
      </c>
      <c r="H538" s="206" t="s">
        <v>1111</v>
      </c>
      <c r="I538" s="357">
        <v>150000</v>
      </c>
    </row>
    <row r="539" spans="1:9" x14ac:dyDescent="0.2">
      <c r="A539" s="181">
        <f t="shared" si="8"/>
        <v>538</v>
      </c>
      <c r="B539" s="182">
        <v>41100</v>
      </c>
      <c r="C539" s="182">
        <v>41157</v>
      </c>
      <c r="D539" s="206" t="s">
        <v>1092</v>
      </c>
      <c r="E539" s="206" t="s">
        <v>422</v>
      </c>
      <c r="F539" s="206" t="s">
        <v>701</v>
      </c>
      <c r="G539" s="206" t="s">
        <v>1112</v>
      </c>
      <c r="H539" s="206" t="s">
        <v>1113</v>
      </c>
      <c r="I539" s="357">
        <v>223600</v>
      </c>
    </row>
    <row r="540" spans="1:9" x14ac:dyDescent="0.2">
      <c r="A540" s="181">
        <f t="shared" si="8"/>
        <v>539</v>
      </c>
      <c r="B540" s="182">
        <v>41100</v>
      </c>
      <c r="C540" s="182">
        <v>41157</v>
      </c>
      <c r="D540" s="206" t="s">
        <v>1092</v>
      </c>
      <c r="E540" s="206" t="s">
        <v>422</v>
      </c>
      <c r="F540" s="206" t="s">
        <v>701</v>
      </c>
      <c r="G540" s="206" t="s">
        <v>1114</v>
      </c>
      <c r="H540" s="206" t="s">
        <v>1115</v>
      </c>
      <c r="I540" s="357">
        <v>491500</v>
      </c>
    </row>
    <row r="541" spans="1:9" x14ac:dyDescent="0.2">
      <c r="A541" s="181">
        <f t="shared" si="8"/>
        <v>540</v>
      </c>
      <c r="B541" s="182">
        <v>41109</v>
      </c>
      <c r="C541" s="182">
        <v>41164</v>
      </c>
      <c r="D541" s="206" t="s">
        <v>1092</v>
      </c>
      <c r="E541" s="206" t="s">
        <v>422</v>
      </c>
      <c r="F541" s="206" t="s">
        <v>701</v>
      </c>
      <c r="G541" s="206" t="s">
        <v>1116</v>
      </c>
      <c r="H541" s="206" t="s">
        <v>1117</v>
      </c>
      <c r="I541" s="357">
        <v>343729</v>
      </c>
    </row>
    <row r="542" spans="1:9" x14ac:dyDescent="0.2">
      <c r="A542" s="181">
        <f t="shared" si="8"/>
        <v>541</v>
      </c>
      <c r="B542" s="182">
        <v>41117</v>
      </c>
      <c r="C542" s="182">
        <v>41169</v>
      </c>
      <c r="D542" s="206" t="s">
        <v>1092</v>
      </c>
      <c r="E542" s="206" t="s">
        <v>392</v>
      </c>
      <c r="F542" s="206" t="s">
        <v>9</v>
      </c>
      <c r="G542" s="206" t="s">
        <v>1118</v>
      </c>
      <c r="H542" s="206" t="s">
        <v>1119</v>
      </c>
      <c r="I542" s="357">
        <v>196260</v>
      </c>
    </row>
    <row r="543" spans="1:9" x14ac:dyDescent="0.2">
      <c r="A543" s="181">
        <f t="shared" si="8"/>
        <v>542</v>
      </c>
      <c r="B543" s="182">
        <v>41117</v>
      </c>
      <c r="C543" s="182">
        <v>41171</v>
      </c>
      <c r="D543" s="206" t="s">
        <v>1092</v>
      </c>
      <c r="E543" s="206" t="s">
        <v>392</v>
      </c>
      <c r="F543" s="206" t="s">
        <v>9</v>
      </c>
      <c r="G543" s="206" t="s">
        <v>1120</v>
      </c>
      <c r="H543" s="206" t="s">
        <v>1121</v>
      </c>
      <c r="I543" s="357">
        <v>321475</v>
      </c>
    </row>
    <row r="544" spans="1:9" x14ac:dyDescent="0.2">
      <c r="A544" s="181">
        <f t="shared" si="8"/>
        <v>543</v>
      </c>
      <c r="B544" s="182">
        <v>41148</v>
      </c>
      <c r="C544" s="182">
        <v>41164</v>
      </c>
      <c r="D544" s="206" t="s">
        <v>1092</v>
      </c>
      <c r="E544" s="206" t="s">
        <v>422</v>
      </c>
      <c r="F544" s="206" t="s">
        <v>701</v>
      </c>
      <c r="G544" s="206" t="s">
        <v>1122</v>
      </c>
      <c r="H544" s="206" t="s">
        <v>1123</v>
      </c>
      <c r="I544" s="357">
        <v>60400</v>
      </c>
    </row>
    <row r="545" spans="1:9" x14ac:dyDescent="0.2">
      <c r="A545" s="181">
        <f t="shared" ref="A545:A597" si="9">A544+1</f>
        <v>544</v>
      </c>
      <c r="B545" s="182">
        <v>41150</v>
      </c>
      <c r="C545" s="182">
        <v>41178</v>
      </c>
      <c r="D545" s="206" t="s">
        <v>1092</v>
      </c>
      <c r="E545" s="206" t="s">
        <v>422</v>
      </c>
      <c r="F545" s="206" t="s">
        <v>701</v>
      </c>
      <c r="G545" s="206" t="s">
        <v>1124</v>
      </c>
      <c r="H545" s="206" t="s">
        <v>1125</v>
      </c>
      <c r="I545" s="357">
        <v>158000</v>
      </c>
    </row>
    <row r="546" spans="1:9" x14ac:dyDescent="0.2">
      <c r="A546" s="181">
        <f t="shared" si="9"/>
        <v>545</v>
      </c>
      <c r="B546" s="182">
        <v>41158</v>
      </c>
      <c r="C546" s="182">
        <v>41185</v>
      </c>
      <c r="D546" s="206" t="s">
        <v>1092</v>
      </c>
      <c r="E546" s="206" t="s">
        <v>392</v>
      </c>
      <c r="F546" s="206" t="s">
        <v>701</v>
      </c>
      <c r="G546" s="206" t="s">
        <v>1126</v>
      </c>
      <c r="H546" s="206" t="s">
        <v>1127</v>
      </c>
      <c r="I546" s="357">
        <v>52800</v>
      </c>
    </row>
    <row r="547" spans="1:9" x14ac:dyDescent="0.2">
      <c r="A547" s="181">
        <f t="shared" si="9"/>
        <v>546</v>
      </c>
      <c r="B547" s="182">
        <v>41159</v>
      </c>
      <c r="C547" s="182">
        <v>41211</v>
      </c>
      <c r="D547" s="206" t="s">
        <v>1092</v>
      </c>
      <c r="E547" s="206" t="s">
        <v>422</v>
      </c>
      <c r="F547" s="206" t="s">
        <v>701</v>
      </c>
      <c r="G547" s="206" t="s">
        <v>1128</v>
      </c>
      <c r="H547" s="206" t="s">
        <v>1129</v>
      </c>
      <c r="I547" s="357">
        <v>432482</v>
      </c>
    </row>
    <row r="548" spans="1:9" x14ac:dyDescent="0.2">
      <c r="A548" s="181">
        <f t="shared" si="9"/>
        <v>547</v>
      </c>
      <c r="B548" s="182">
        <v>41159</v>
      </c>
      <c r="C548" s="182">
        <v>41211</v>
      </c>
      <c r="D548" s="206" t="s">
        <v>1092</v>
      </c>
      <c r="E548" s="206" t="s">
        <v>422</v>
      </c>
      <c r="F548" s="206" t="s">
        <v>701</v>
      </c>
      <c r="G548" s="206" t="s">
        <v>1130</v>
      </c>
      <c r="H548" s="206" t="s">
        <v>1131</v>
      </c>
      <c r="I548" s="357">
        <v>357300</v>
      </c>
    </row>
    <row r="549" spans="1:9" x14ac:dyDescent="0.2">
      <c r="A549" s="181">
        <f t="shared" si="9"/>
        <v>548</v>
      </c>
      <c r="B549" s="182">
        <v>41190</v>
      </c>
      <c r="C549" s="182">
        <v>41206</v>
      </c>
      <c r="D549" s="206" t="s">
        <v>1092</v>
      </c>
      <c r="E549" s="206" t="s">
        <v>392</v>
      </c>
      <c r="F549" s="206" t="s">
        <v>71</v>
      </c>
      <c r="G549" s="206" t="s">
        <v>1132</v>
      </c>
      <c r="H549" s="206" t="s">
        <v>1133</v>
      </c>
      <c r="I549" s="357">
        <v>46794.76</v>
      </c>
    </row>
    <row r="550" spans="1:9" x14ac:dyDescent="0.2">
      <c r="A550" s="181">
        <f t="shared" si="9"/>
        <v>549</v>
      </c>
      <c r="B550" s="182">
        <v>41192</v>
      </c>
      <c r="C550" s="182">
        <v>41213</v>
      </c>
      <c r="D550" s="206" t="s">
        <v>1092</v>
      </c>
      <c r="E550" s="206" t="s">
        <v>422</v>
      </c>
      <c r="F550" s="206" t="s">
        <v>701</v>
      </c>
      <c r="G550" s="206" t="s">
        <v>1134</v>
      </c>
      <c r="H550" s="206" t="s">
        <v>1135</v>
      </c>
      <c r="I550" s="357">
        <v>102200</v>
      </c>
    </row>
    <row r="551" spans="1:9" x14ac:dyDescent="0.2">
      <c r="A551" s="181">
        <f t="shared" si="9"/>
        <v>550</v>
      </c>
      <c r="B551" s="182">
        <v>41192</v>
      </c>
      <c r="C551" s="182">
        <v>41213</v>
      </c>
      <c r="D551" s="206" t="s">
        <v>1092</v>
      </c>
      <c r="E551" s="206" t="s">
        <v>422</v>
      </c>
      <c r="F551" s="206" t="s">
        <v>701</v>
      </c>
      <c r="G551" s="206" t="s">
        <v>1136</v>
      </c>
      <c r="H551" s="206" t="s">
        <v>1137</v>
      </c>
      <c r="I551" s="357">
        <v>70200</v>
      </c>
    </row>
    <row r="552" spans="1:9" x14ac:dyDescent="0.2">
      <c r="A552" s="181">
        <f t="shared" si="9"/>
        <v>551</v>
      </c>
      <c r="B552" s="182">
        <v>41197</v>
      </c>
      <c r="C552" s="182">
        <v>41213</v>
      </c>
      <c r="D552" s="206" t="s">
        <v>1092</v>
      </c>
      <c r="E552" s="206" t="s">
        <v>422</v>
      </c>
      <c r="F552" s="206" t="s">
        <v>701</v>
      </c>
      <c r="G552" s="206" t="s">
        <v>1138</v>
      </c>
      <c r="H552" s="206" t="s">
        <v>1139</v>
      </c>
      <c r="I552" s="357">
        <v>174500</v>
      </c>
    </row>
    <row r="553" spans="1:9" x14ac:dyDescent="0.2">
      <c r="A553" s="181">
        <f t="shared" si="9"/>
        <v>552</v>
      </c>
      <c r="B553" s="182">
        <v>41199</v>
      </c>
      <c r="C553" s="182">
        <v>41218</v>
      </c>
      <c r="D553" s="206" t="s">
        <v>1092</v>
      </c>
      <c r="E553" s="206" t="s">
        <v>422</v>
      </c>
      <c r="F553" s="206" t="s">
        <v>701</v>
      </c>
      <c r="G553" s="206" t="s">
        <v>1140</v>
      </c>
      <c r="H553" s="206" t="s">
        <v>1141</v>
      </c>
      <c r="I553" s="357">
        <v>83800</v>
      </c>
    </row>
    <row r="554" spans="1:9" x14ac:dyDescent="0.2">
      <c r="A554" s="181">
        <f t="shared" si="9"/>
        <v>553</v>
      </c>
      <c r="B554" s="182">
        <v>41199</v>
      </c>
      <c r="C554" s="182">
        <v>41218</v>
      </c>
      <c r="D554" s="206" t="s">
        <v>1092</v>
      </c>
      <c r="E554" s="206" t="s">
        <v>422</v>
      </c>
      <c r="F554" s="206" t="s">
        <v>701</v>
      </c>
      <c r="G554" s="206" t="s">
        <v>1142</v>
      </c>
      <c r="H554" s="206" t="s">
        <v>1143</v>
      </c>
      <c r="I554" s="357">
        <v>85900</v>
      </c>
    </row>
    <row r="555" spans="1:9" x14ac:dyDescent="0.2">
      <c r="A555" s="181">
        <f t="shared" si="9"/>
        <v>554</v>
      </c>
      <c r="B555" s="182">
        <v>41211</v>
      </c>
      <c r="C555" s="182">
        <v>41227</v>
      </c>
      <c r="D555" s="206" t="s">
        <v>1092</v>
      </c>
      <c r="E555" s="206" t="s">
        <v>392</v>
      </c>
      <c r="F555" s="206" t="s">
        <v>393</v>
      </c>
      <c r="G555" s="206" t="s">
        <v>1144</v>
      </c>
      <c r="H555" s="206" t="s">
        <v>1145</v>
      </c>
      <c r="I555" s="357">
        <v>55000</v>
      </c>
    </row>
    <row r="556" spans="1:9" x14ac:dyDescent="0.2">
      <c r="A556" s="181">
        <f t="shared" si="9"/>
        <v>555</v>
      </c>
      <c r="B556" s="182">
        <v>41211</v>
      </c>
      <c r="C556" s="182">
        <v>41260</v>
      </c>
      <c r="D556" s="206" t="s">
        <v>1092</v>
      </c>
      <c r="E556" s="206" t="s">
        <v>422</v>
      </c>
      <c r="F556" s="206" t="s">
        <v>701</v>
      </c>
      <c r="G556" s="206" t="s">
        <v>1146</v>
      </c>
      <c r="H556" s="206" t="s">
        <v>1147</v>
      </c>
      <c r="I556" s="357">
        <v>702300</v>
      </c>
    </row>
    <row r="557" spans="1:9" x14ac:dyDescent="0.2">
      <c r="A557" s="181">
        <f t="shared" si="9"/>
        <v>556</v>
      </c>
      <c r="B557" s="182">
        <v>41211</v>
      </c>
      <c r="C557" s="182">
        <v>41260</v>
      </c>
      <c r="D557" s="206" t="s">
        <v>1092</v>
      </c>
      <c r="E557" s="206" t="s">
        <v>422</v>
      </c>
      <c r="F557" s="206" t="s">
        <v>701</v>
      </c>
      <c r="G557" s="206" t="s">
        <v>1148</v>
      </c>
      <c r="H557" s="206" t="s">
        <v>1149</v>
      </c>
      <c r="I557" s="357">
        <v>253700</v>
      </c>
    </row>
    <row r="558" spans="1:9" x14ac:dyDescent="0.2">
      <c r="A558" s="181">
        <f t="shared" si="9"/>
        <v>557</v>
      </c>
      <c r="B558" s="182">
        <v>41211</v>
      </c>
      <c r="C558" s="182">
        <v>41232</v>
      </c>
      <c r="D558" s="206" t="s">
        <v>1092</v>
      </c>
      <c r="E558" s="206" t="s">
        <v>392</v>
      </c>
      <c r="F558" s="206" t="s">
        <v>393</v>
      </c>
      <c r="G558" s="206" t="s">
        <v>1150</v>
      </c>
      <c r="H558" s="206" t="s">
        <v>1151</v>
      </c>
      <c r="I558" s="357">
        <v>91808</v>
      </c>
    </row>
    <row r="559" spans="1:9" x14ac:dyDescent="0.2">
      <c r="A559" s="181">
        <f t="shared" si="9"/>
        <v>558</v>
      </c>
      <c r="B559" s="182">
        <v>41212</v>
      </c>
      <c r="C559" s="182">
        <v>41232</v>
      </c>
      <c r="D559" s="206" t="s">
        <v>1092</v>
      </c>
      <c r="E559" s="206" t="s">
        <v>422</v>
      </c>
      <c r="F559" s="206" t="s">
        <v>701</v>
      </c>
      <c r="G559" s="206" t="s">
        <v>1152</v>
      </c>
      <c r="H559" s="206" t="s">
        <v>1153</v>
      </c>
      <c r="I559" s="357">
        <v>78100</v>
      </c>
    </row>
    <row r="560" spans="1:9" x14ac:dyDescent="0.2">
      <c r="A560" s="181">
        <f t="shared" si="9"/>
        <v>559</v>
      </c>
      <c r="B560" s="182">
        <v>41212</v>
      </c>
      <c r="C560" s="182">
        <v>41232</v>
      </c>
      <c r="D560" s="206" t="s">
        <v>1092</v>
      </c>
      <c r="E560" s="206" t="s">
        <v>392</v>
      </c>
      <c r="F560" s="206" t="s">
        <v>71</v>
      </c>
      <c r="G560" s="206" t="s">
        <v>1154</v>
      </c>
      <c r="H560" s="206" t="s">
        <v>1155</v>
      </c>
      <c r="I560" s="357">
        <v>80476.95</v>
      </c>
    </row>
    <row r="561" spans="1:9" x14ac:dyDescent="0.2">
      <c r="A561" s="181">
        <f t="shared" si="9"/>
        <v>560</v>
      </c>
      <c r="B561" s="182">
        <v>41212</v>
      </c>
      <c r="C561" s="182">
        <v>41232</v>
      </c>
      <c r="D561" s="206" t="s">
        <v>1092</v>
      </c>
      <c r="E561" s="206" t="s">
        <v>392</v>
      </c>
      <c r="F561" s="206" t="s">
        <v>393</v>
      </c>
      <c r="G561" s="206" t="s">
        <v>1156</v>
      </c>
      <c r="H561" s="206" t="s">
        <v>1157</v>
      </c>
      <c r="I561" s="357">
        <v>197337</v>
      </c>
    </row>
    <row r="562" spans="1:9" x14ac:dyDescent="0.2">
      <c r="A562" s="181">
        <f t="shared" si="9"/>
        <v>561</v>
      </c>
      <c r="B562" s="182">
        <v>41219</v>
      </c>
      <c r="C562" s="182">
        <v>41239</v>
      </c>
      <c r="D562" s="206" t="s">
        <v>1092</v>
      </c>
      <c r="E562" s="206" t="s">
        <v>392</v>
      </c>
      <c r="F562" s="206" t="s">
        <v>71</v>
      </c>
      <c r="G562" s="206" t="s">
        <v>1160</v>
      </c>
      <c r="H562" s="206" t="s">
        <v>1161</v>
      </c>
      <c r="I562" s="357">
        <v>40818.53</v>
      </c>
    </row>
    <row r="563" spans="1:9" x14ac:dyDescent="0.2">
      <c r="A563" s="181">
        <f t="shared" si="9"/>
        <v>562</v>
      </c>
      <c r="B563" s="182">
        <v>41222</v>
      </c>
      <c r="C563" s="182">
        <v>41274</v>
      </c>
      <c r="D563" s="206" t="s">
        <v>1092</v>
      </c>
      <c r="E563" s="206" t="s">
        <v>422</v>
      </c>
      <c r="F563" s="206" t="s">
        <v>701</v>
      </c>
      <c r="G563" s="206" t="s">
        <v>1162</v>
      </c>
      <c r="H563" s="206" t="s">
        <v>1163</v>
      </c>
      <c r="I563" s="357">
        <v>216950</v>
      </c>
    </row>
    <row r="564" spans="1:9" x14ac:dyDescent="0.2">
      <c r="A564" s="181">
        <f t="shared" si="9"/>
        <v>563</v>
      </c>
      <c r="B564" s="182">
        <v>41222</v>
      </c>
      <c r="C564" s="182">
        <v>41274</v>
      </c>
      <c r="D564" s="206" t="s">
        <v>1092</v>
      </c>
      <c r="E564" s="206" t="s">
        <v>422</v>
      </c>
      <c r="F564" s="206" t="s">
        <v>701</v>
      </c>
      <c r="G564" s="206" t="s">
        <v>1164</v>
      </c>
      <c r="H564" s="206" t="s">
        <v>1165</v>
      </c>
      <c r="I564" s="357">
        <v>243200</v>
      </c>
    </row>
    <row r="565" spans="1:9" x14ac:dyDescent="0.2">
      <c r="A565" s="181">
        <f t="shared" si="9"/>
        <v>564</v>
      </c>
      <c r="B565" s="182">
        <v>41222</v>
      </c>
      <c r="C565" s="182">
        <v>41274</v>
      </c>
      <c r="D565" s="206" t="s">
        <v>1092</v>
      </c>
      <c r="E565" s="206" t="s">
        <v>422</v>
      </c>
      <c r="F565" s="206" t="s">
        <v>701</v>
      </c>
      <c r="G565" s="206" t="s">
        <v>1166</v>
      </c>
      <c r="H565" s="206" t="s">
        <v>1167</v>
      </c>
      <c r="I565" s="357">
        <v>260800</v>
      </c>
    </row>
    <row r="566" spans="1:9" x14ac:dyDescent="0.2">
      <c r="A566" s="181">
        <f t="shared" si="9"/>
        <v>565</v>
      </c>
      <c r="B566" s="182">
        <v>41226</v>
      </c>
      <c r="C566" s="182">
        <v>41242</v>
      </c>
      <c r="D566" s="206" t="s">
        <v>1092</v>
      </c>
      <c r="E566" s="206" t="s">
        <v>392</v>
      </c>
      <c r="F566" s="206" t="s">
        <v>1168</v>
      </c>
      <c r="G566" s="206" t="s">
        <v>1158</v>
      </c>
      <c r="H566" s="206" t="s">
        <v>1159</v>
      </c>
      <c r="I566" s="357">
        <v>75772</v>
      </c>
    </row>
    <row r="567" spans="1:9" x14ac:dyDescent="0.2">
      <c r="A567" s="181">
        <f t="shared" si="9"/>
        <v>566</v>
      </c>
      <c r="B567" s="182">
        <v>41260</v>
      </c>
      <c r="C567" s="182">
        <v>41281</v>
      </c>
      <c r="D567" s="206" t="s">
        <v>1092</v>
      </c>
      <c r="E567" s="206" t="s">
        <v>422</v>
      </c>
      <c r="F567" s="206" t="s">
        <v>701</v>
      </c>
      <c r="G567" s="206" t="s">
        <v>1169</v>
      </c>
      <c r="H567" s="206" t="s">
        <v>1170</v>
      </c>
      <c r="I567" s="357">
        <v>75400</v>
      </c>
    </row>
    <row r="568" spans="1:9" x14ac:dyDescent="0.2">
      <c r="A568" s="181">
        <f t="shared" si="9"/>
        <v>567</v>
      </c>
      <c r="B568" s="182">
        <v>41260</v>
      </c>
      <c r="C568" s="182">
        <v>41281</v>
      </c>
      <c r="D568" s="206" t="s">
        <v>1092</v>
      </c>
      <c r="E568" s="206" t="s">
        <v>422</v>
      </c>
      <c r="F568" s="206" t="s">
        <v>701</v>
      </c>
      <c r="G568" s="206" t="s">
        <v>1171</v>
      </c>
      <c r="H568" s="206" t="s">
        <v>1172</v>
      </c>
      <c r="I568" s="357">
        <v>106000</v>
      </c>
    </row>
    <row r="569" spans="1:9" x14ac:dyDescent="0.2">
      <c r="A569" s="181">
        <f t="shared" si="9"/>
        <v>568</v>
      </c>
      <c r="B569" s="182">
        <v>41260</v>
      </c>
      <c r="C569" s="182">
        <v>41281</v>
      </c>
      <c r="D569" s="206" t="s">
        <v>1092</v>
      </c>
      <c r="E569" s="206" t="s">
        <v>422</v>
      </c>
      <c r="F569" s="206" t="s">
        <v>701</v>
      </c>
      <c r="G569" s="206" t="s">
        <v>1173</v>
      </c>
      <c r="H569" s="206" t="s">
        <v>1174</v>
      </c>
      <c r="I569" s="357">
        <v>92293</v>
      </c>
    </row>
    <row r="570" spans="1:9" x14ac:dyDescent="0.2">
      <c r="A570" s="181">
        <f t="shared" si="9"/>
        <v>569</v>
      </c>
      <c r="B570" s="220">
        <v>41261</v>
      </c>
      <c r="C570" s="220">
        <v>41309</v>
      </c>
      <c r="D570" s="221" t="s">
        <v>1092</v>
      </c>
      <c r="E570" s="221" t="s">
        <v>422</v>
      </c>
      <c r="F570" s="221" t="s">
        <v>396</v>
      </c>
      <c r="G570" s="221" t="s">
        <v>1175</v>
      </c>
      <c r="H570" s="221" t="s">
        <v>1176</v>
      </c>
      <c r="I570" s="368">
        <v>2353400</v>
      </c>
    </row>
    <row r="571" spans="1:9" x14ac:dyDescent="0.2">
      <c r="A571" s="181">
        <f t="shared" si="9"/>
        <v>570</v>
      </c>
      <c r="B571" s="182">
        <v>41271</v>
      </c>
      <c r="C571" s="182">
        <v>41318</v>
      </c>
      <c r="D571" s="206" t="s">
        <v>1092</v>
      </c>
      <c r="E571" s="206" t="s">
        <v>422</v>
      </c>
      <c r="F571" s="206" t="s">
        <v>701</v>
      </c>
      <c r="G571" s="206" t="s">
        <v>1177</v>
      </c>
      <c r="H571" s="206" t="s">
        <v>1178</v>
      </c>
      <c r="I571" s="357">
        <v>450848</v>
      </c>
    </row>
    <row r="572" spans="1:9" x14ac:dyDescent="0.2">
      <c r="A572" s="181">
        <f t="shared" si="9"/>
        <v>571</v>
      </c>
      <c r="B572" s="182">
        <v>41281</v>
      </c>
      <c r="C572" s="182">
        <v>41302</v>
      </c>
      <c r="D572" s="206" t="s">
        <v>1092</v>
      </c>
      <c r="E572" s="206" t="s">
        <v>422</v>
      </c>
      <c r="F572" s="206" t="s">
        <v>701</v>
      </c>
      <c r="G572" s="206" t="s">
        <v>1179</v>
      </c>
      <c r="H572" s="206" t="s">
        <v>1180</v>
      </c>
      <c r="I572" s="357">
        <v>111420</v>
      </c>
    </row>
    <row r="573" spans="1:9" x14ac:dyDescent="0.2">
      <c r="A573" s="181">
        <f t="shared" si="9"/>
        <v>572</v>
      </c>
      <c r="B573" s="182">
        <v>41281</v>
      </c>
      <c r="C573" s="182">
        <v>41302</v>
      </c>
      <c r="D573" s="206" t="s">
        <v>1092</v>
      </c>
      <c r="E573" s="206" t="s">
        <v>422</v>
      </c>
      <c r="F573" s="206" t="s">
        <v>701</v>
      </c>
      <c r="G573" s="206" t="s">
        <v>1181</v>
      </c>
      <c r="H573" s="206" t="s">
        <v>1182</v>
      </c>
      <c r="I573" s="357">
        <v>95760</v>
      </c>
    </row>
    <row r="574" spans="1:9" x14ac:dyDescent="0.2">
      <c r="A574" s="181">
        <f t="shared" si="9"/>
        <v>573</v>
      </c>
      <c r="B574" s="182">
        <v>41310</v>
      </c>
      <c r="C574" s="182">
        <v>41330</v>
      </c>
      <c r="D574" s="206" t="s">
        <v>1092</v>
      </c>
      <c r="E574" s="206" t="s">
        <v>392</v>
      </c>
      <c r="F574" s="206" t="s">
        <v>9</v>
      </c>
      <c r="G574" s="206" t="s">
        <v>1188</v>
      </c>
      <c r="H574" s="206" t="s">
        <v>1189</v>
      </c>
      <c r="I574" s="357">
        <v>166933</v>
      </c>
    </row>
    <row r="575" spans="1:9" x14ac:dyDescent="0.2">
      <c r="A575" s="181">
        <f t="shared" si="9"/>
        <v>574</v>
      </c>
      <c r="B575" s="182">
        <v>41310</v>
      </c>
      <c r="C575" s="182">
        <v>41330</v>
      </c>
      <c r="D575" s="206" t="s">
        <v>1092</v>
      </c>
      <c r="E575" s="206" t="s">
        <v>392</v>
      </c>
      <c r="F575" s="206" t="s">
        <v>9</v>
      </c>
      <c r="G575" s="206" t="s">
        <v>1190</v>
      </c>
      <c r="H575" s="206" t="s">
        <v>1191</v>
      </c>
      <c r="I575" s="357">
        <v>158078.57</v>
      </c>
    </row>
    <row r="576" spans="1:9" x14ac:dyDescent="0.2">
      <c r="A576" s="181">
        <f t="shared" si="9"/>
        <v>575</v>
      </c>
      <c r="B576" s="182">
        <v>41324</v>
      </c>
      <c r="C576" s="182">
        <v>41344</v>
      </c>
      <c r="D576" s="206" t="s">
        <v>1092</v>
      </c>
      <c r="E576" s="206" t="s">
        <v>422</v>
      </c>
      <c r="F576" s="206" t="s">
        <v>701</v>
      </c>
      <c r="G576" s="206" t="s">
        <v>1192</v>
      </c>
      <c r="H576" s="206" t="s">
        <v>1193</v>
      </c>
      <c r="I576" s="357">
        <v>75300</v>
      </c>
    </row>
    <row r="577" spans="1:9" x14ac:dyDescent="0.2">
      <c r="A577" s="181">
        <f t="shared" si="9"/>
        <v>576</v>
      </c>
      <c r="B577" s="182">
        <v>41324</v>
      </c>
      <c r="C577" s="182">
        <v>41340</v>
      </c>
      <c r="D577" s="206" t="s">
        <v>1092</v>
      </c>
      <c r="E577" s="206" t="s">
        <v>392</v>
      </c>
      <c r="F577" s="206" t="s">
        <v>701</v>
      </c>
      <c r="G577" s="206" t="s">
        <v>1194</v>
      </c>
      <c r="H577" s="206" t="s">
        <v>1195</v>
      </c>
      <c r="I577" s="357">
        <v>198000</v>
      </c>
    </row>
    <row r="578" spans="1:9" x14ac:dyDescent="0.2">
      <c r="A578" s="181">
        <f t="shared" si="9"/>
        <v>577</v>
      </c>
      <c r="B578" s="182">
        <v>41326</v>
      </c>
      <c r="C578" s="182">
        <v>41344</v>
      </c>
      <c r="D578" s="206" t="s">
        <v>1092</v>
      </c>
      <c r="E578" s="206" t="s">
        <v>422</v>
      </c>
      <c r="F578" s="206" t="s">
        <v>701</v>
      </c>
      <c r="G578" s="206" t="s">
        <v>1196</v>
      </c>
      <c r="H578" s="206" t="s">
        <v>1197</v>
      </c>
      <c r="I578" s="357">
        <v>123714</v>
      </c>
    </row>
    <row r="579" spans="1:9" x14ac:dyDescent="0.2">
      <c r="A579" s="181">
        <f t="shared" si="9"/>
        <v>578</v>
      </c>
      <c r="B579" s="182">
        <v>41330</v>
      </c>
      <c r="C579" s="182">
        <v>41379</v>
      </c>
      <c r="D579" s="206" t="s">
        <v>1092</v>
      </c>
      <c r="E579" s="206" t="s">
        <v>422</v>
      </c>
      <c r="F579" s="206" t="s">
        <v>701</v>
      </c>
      <c r="G579" s="206" t="s">
        <v>1198</v>
      </c>
      <c r="H579" s="206" t="s">
        <v>1199</v>
      </c>
      <c r="I579" s="357">
        <v>227700</v>
      </c>
    </row>
    <row r="580" spans="1:9" x14ac:dyDescent="0.2">
      <c r="A580" s="181">
        <f t="shared" si="9"/>
        <v>579</v>
      </c>
      <c r="B580" s="182">
        <v>41368</v>
      </c>
      <c r="C580" s="182">
        <v>41386</v>
      </c>
      <c r="D580" s="206" t="s">
        <v>1092</v>
      </c>
      <c r="E580" s="206" t="s">
        <v>392</v>
      </c>
      <c r="F580" s="206" t="s">
        <v>393</v>
      </c>
      <c r="G580" s="206" t="s">
        <v>1200</v>
      </c>
      <c r="H580" s="206" t="s">
        <v>1201</v>
      </c>
      <c r="I580" s="357">
        <v>115730.99</v>
      </c>
    </row>
    <row r="581" spans="1:9" x14ac:dyDescent="0.2">
      <c r="A581" s="181">
        <f t="shared" si="9"/>
        <v>580</v>
      </c>
      <c r="B581" s="182">
        <v>41368</v>
      </c>
      <c r="C581" s="182">
        <v>41386</v>
      </c>
      <c r="D581" s="206" t="s">
        <v>1092</v>
      </c>
      <c r="E581" s="206" t="s">
        <v>392</v>
      </c>
      <c r="F581" s="206" t="s">
        <v>393</v>
      </c>
      <c r="G581" s="206" t="s">
        <v>1202</v>
      </c>
      <c r="H581" s="206" t="s">
        <v>1203</v>
      </c>
      <c r="I581" s="357">
        <v>79099</v>
      </c>
    </row>
    <row r="582" spans="1:9" x14ac:dyDescent="0.2">
      <c r="A582" s="181">
        <f t="shared" si="9"/>
        <v>581</v>
      </c>
      <c r="B582" s="182">
        <v>41379</v>
      </c>
      <c r="C582" s="182">
        <v>41407</v>
      </c>
      <c r="D582" s="201" t="s">
        <v>1092</v>
      </c>
      <c r="E582" s="201" t="s">
        <v>392</v>
      </c>
      <c r="F582" s="201" t="s">
        <v>393</v>
      </c>
      <c r="G582" s="201" t="s">
        <v>1204</v>
      </c>
      <c r="H582" s="201" t="s">
        <v>1205</v>
      </c>
      <c r="I582" s="353">
        <v>95065</v>
      </c>
    </row>
    <row r="583" spans="1:9" x14ac:dyDescent="0.2">
      <c r="A583" s="181">
        <f t="shared" si="9"/>
        <v>582</v>
      </c>
      <c r="B583" s="182">
        <v>41389</v>
      </c>
      <c r="C583" s="182">
        <v>41407</v>
      </c>
      <c r="D583" s="201" t="s">
        <v>1092</v>
      </c>
      <c r="E583" s="201" t="s">
        <v>392</v>
      </c>
      <c r="F583" s="201" t="s">
        <v>393</v>
      </c>
      <c r="G583" s="201" t="s">
        <v>1206</v>
      </c>
      <c r="H583" s="201" t="s">
        <v>1207</v>
      </c>
      <c r="I583" s="353">
        <v>77095</v>
      </c>
    </row>
    <row r="584" spans="1:9" x14ac:dyDescent="0.2">
      <c r="A584" s="181">
        <f t="shared" si="9"/>
        <v>583</v>
      </c>
      <c r="B584" s="182">
        <v>41390</v>
      </c>
      <c r="C584" s="182">
        <v>41442</v>
      </c>
      <c r="D584" s="201" t="s">
        <v>1092</v>
      </c>
      <c r="E584" s="201" t="s">
        <v>422</v>
      </c>
      <c r="F584" s="201" t="s">
        <v>701</v>
      </c>
      <c r="G584" s="201" t="s">
        <v>1208</v>
      </c>
      <c r="H584" s="201" t="s">
        <v>1209</v>
      </c>
      <c r="I584" s="353">
        <v>249100</v>
      </c>
    </row>
    <row r="585" spans="1:9" x14ac:dyDescent="0.2">
      <c r="A585" s="181">
        <f t="shared" si="9"/>
        <v>584</v>
      </c>
      <c r="B585" s="182">
        <v>41408</v>
      </c>
      <c r="C585" s="182">
        <v>41428</v>
      </c>
      <c r="D585" s="201" t="s">
        <v>1092</v>
      </c>
      <c r="E585" s="201" t="s">
        <v>392</v>
      </c>
      <c r="F585" s="201" t="s">
        <v>71</v>
      </c>
      <c r="G585" s="201" t="s">
        <v>1210</v>
      </c>
      <c r="H585" s="201" t="s">
        <v>1211</v>
      </c>
      <c r="I585" s="353">
        <v>54904.14</v>
      </c>
    </row>
    <row r="586" spans="1:9" x14ac:dyDescent="0.2">
      <c r="A586" s="181">
        <f t="shared" si="9"/>
        <v>585</v>
      </c>
      <c r="B586" s="182">
        <v>41408</v>
      </c>
      <c r="C586" s="182">
        <v>41428</v>
      </c>
      <c r="D586" s="201" t="s">
        <v>1092</v>
      </c>
      <c r="E586" s="201" t="s">
        <v>392</v>
      </c>
      <c r="F586" s="201" t="s">
        <v>393</v>
      </c>
      <c r="G586" s="201" t="s">
        <v>1212</v>
      </c>
      <c r="H586" s="201" t="s">
        <v>1213</v>
      </c>
      <c r="I586" s="353">
        <v>121601</v>
      </c>
    </row>
    <row r="587" spans="1:9" x14ac:dyDescent="0.2">
      <c r="A587" s="181">
        <f t="shared" si="9"/>
        <v>586</v>
      </c>
      <c r="B587" s="182">
        <v>41409</v>
      </c>
      <c r="C587" s="182">
        <v>41428</v>
      </c>
      <c r="D587" s="201" t="s">
        <v>1092</v>
      </c>
      <c r="E587" s="201" t="s">
        <v>392</v>
      </c>
      <c r="F587" s="201" t="s">
        <v>396</v>
      </c>
      <c r="G587" s="201" t="s">
        <v>1214</v>
      </c>
      <c r="H587" s="201" t="s">
        <v>1215</v>
      </c>
      <c r="I587" s="353">
        <v>86893</v>
      </c>
    </row>
    <row r="588" spans="1:9" x14ac:dyDescent="0.2">
      <c r="A588" s="181">
        <f t="shared" si="9"/>
        <v>587</v>
      </c>
      <c r="B588" s="182">
        <v>41425</v>
      </c>
      <c r="C588" s="182">
        <v>41444</v>
      </c>
      <c r="D588" s="201" t="s">
        <v>1092</v>
      </c>
      <c r="E588" s="201" t="s">
        <v>392</v>
      </c>
      <c r="F588" s="201" t="s">
        <v>9</v>
      </c>
      <c r="G588" s="201" t="s">
        <v>1216</v>
      </c>
      <c r="H588" s="201" t="s">
        <v>1217</v>
      </c>
      <c r="I588" s="353">
        <v>199427</v>
      </c>
    </row>
    <row r="589" spans="1:9" x14ac:dyDescent="0.2">
      <c r="A589" s="181">
        <f t="shared" si="9"/>
        <v>588</v>
      </c>
      <c r="B589" s="182">
        <v>41425</v>
      </c>
      <c r="C589" s="182">
        <v>41442</v>
      </c>
      <c r="D589" s="201" t="s">
        <v>1092</v>
      </c>
      <c r="E589" s="201" t="s">
        <v>392</v>
      </c>
      <c r="F589" s="201" t="s">
        <v>393</v>
      </c>
      <c r="G589" s="201" t="s">
        <v>1218</v>
      </c>
      <c r="H589" s="201" t="s">
        <v>1219</v>
      </c>
      <c r="I589" s="353">
        <v>65733</v>
      </c>
    </row>
    <row r="590" spans="1:9" x14ac:dyDescent="0.2">
      <c r="A590" s="181">
        <f t="shared" si="9"/>
        <v>589</v>
      </c>
      <c r="B590" s="182">
        <v>41428</v>
      </c>
      <c r="C590" s="182">
        <v>41444</v>
      </c>
      <c r="D590" s="201" t="s">
        <v>1092</v>
      </c>
      <c r="E590" s="201" t="s">
        <v>392</v>
      </c>
      <c r="F590" s="201" t="s">
        <v>9</v>
      </c>
      <c r="G590" s="201" t="s">
        <v>1221</v>
      </c>
      <c r="H590" s="201" t="s">
        <v>1222</v>
      </c>
      <c r="I590" s="353">
        <v>112517</v>
      </c>
    </row>
    <row r="591" spans="1:9" x14ac:dyDescent="0.2">
      <c r="A591" s="181">
        <f t="shared" si="9"/>
        <v>590</v>
      </c>
      <c r="B591" s="182">
        <v>41453</v>
      </c>
      <c r="C591" s="182">
        <v>41470</v>
      </c>
      <c r="D591" s="201" t="s">
        <v>1092</v>
      </c>
      <c r="E591" s="201" t="s">
        <v>422</v>
      </c>
      <c r="F591" s="201" t="s">
        <v>396</v>
      </c>
      <c r="G591" s="201" t="s">
        <v>1223</v>
      </c>
      <c r="H591" s="201" t="s">
        <v>1224</v>
      </c>
      <c r="I591" s="353">
        <v>120000</v>
      </c>
    </row>
    <row r="592" spans="1:9" x14ac:dyDescent="0.2">
      <c r="A592" s="181">
        <f t="shared" si="9"/>
        <v>591</v>
      </c>
      <c r="B592" s="182">
        <v>41453</v>
      </c>
      <c r="C592" s="182">
        <v>41470</v>
      </c>
      <c r="D592" s="201" t="s">
        <v>1092</v>
      </c>
      <c r="E592" s="201" t="s">
        <v>422</v>
      </c>
      <c r="F592" s="201" t="s">
        <v>701</v>
      </c>
      <c r="G592" s="201" t="s">
        <v>1225</v>
      </c>
      <c r="H592" s="201" t="s">
        <v>1226</v>
      </c>
      <c r="I592" s="353">
        <v>199000</v>
      </c>
    </row>
    <row r="593" spans="1:16384" x14ac:dyDescent="0.2">
      <c r="A593" s="181">
        <f t="shared" si="9"/>
        <v>592</v>
      </c>
      <c r="B593" s="182">
        <v>41460</v>
      </c>
      <c r="C593" s="182">
        <v>41519</v>
      </c>
      <c r="D593" s="201" t="s">
        <v>1092</v>
      </c>
      <c r="E593" s="201" t="s">
        <v>392</v>
      </c>
      <c r="F593" s="201" t="s">
        <v>9</v>
      </c>
      <c r="G593" s="201" t="s">
        <v>1227</v>
      </c>
      <c r="H593" s="201" t="s">
        <v>1228</v>
      </c>
      <c r="I593" s="353">
        <v>415154</v>
      </c>
    </row>
    <row r="594" spans="1:16384" x14ac:dyDescent="0.2">
      <c r="A594" s="181">
        <f t="shared" si="9"/>
        <v>593</v>
      </c>
      <c r="B594" s="182">
        <v>41473</v>
      </c>
      <c r="C594" s="182">
        <v>41533</v>
      </c>
      <c r="D594" s="201" t="s">
        <v>1092</v>
      </c>
      <c r="E594" s="201" t="s">
        <v>392</v>
      </c>
      <c r="F594" s="201" t="s">
        <v>393</v>
      </c>
      <c r="G594" s="201" t="s">
        <v>1229</v>
      </c>
      <c r="H594" s="201" t="s">
        <v>1230</v>
      </c>
      <c r="I594" s="353">
        <v>139724</v>
      </c>
    </row>
    <row r="595" spans="1:16384" x14ac:dyDescent="0.2">
      <c r="A595" s="181">
        <f t="shared" si="9"/>
        <v>594</v>
      </c>
      <c r="B595" s="182">
        <v>41473</v>
      </c>
      <c r="C595" s="182">
        <v>41533</v>
      </c>
      <c r="D595" s="201" t="s">
        <v>1092</v>
      </c>
      <c r="E595" s="201" t="s">
        <v>392</v>
      </c>
      <c r="F595" s="201" t="s">
        <v>71</v>
      </c>
      <c r="G595" s="201" t="s">
        <v>1231</v>
      </c>
      <c r="H595" s="183" t="s">
        <v>1232</v>
      </c>
      <c r="I595" s="353">
        <v>67494.2</v>
      </c>
    </row>
    <row r="596" spans="1:16384" x14ac:dyDescent="0.2">
      <c r="A596" s="181">
        <v>595</v>
      </c>
      <c r="B596" s="182">
        <v>41494</v>
      </c>
      <c r="C596" s="182">
        <v>41536</v>
      </c>
      <c r="D596" s="201" t="s">
        <v>1092</v>
      </c>
      <c r="E596" s="201" t="s">
        <v>392</v>
      </c>
      <c r="F596" s="201" t="s">
        <v>393</v>
      </c>
      <c r="G596" s="201" t="s">
        <v>1233</v>
      </c>
      <c r="H596" s="183" t="s">
        <v>1234</v>
      </c>
      <c r="I596" s="353">
        <v>590467</v>
      </c>
    </row>
    <row r="597" spans="1:16384" x14ac:dyDescent="0.2">
      <c r="A597" s="181">
        <f t="shared" si="9"/>
        <v>596</v>
      </c>
      <c r="B597" s="182">
        <v>41494</v>
      </c>
      <c r="C597" s="182">
        <v>41536</v>
      </c>
      <c r="D597" s="201" t="s">
        <v>1092</v>
      </c>
      <c r="E597" s="201" t="s">
        <v>392</v>
      </c>
      <c r="F597" s="201" t="s">
        <v>393</v>
      </c>
      <c r="G597" s="201" t="s">
        <v>1235</v>
      </c>
      <c r="H597" s="201" t="s">
        <v>1236</v>
      </c>
      <c r="I597" s="353">
        <v>498503.32</v>
      </c>
    </row>
    <row r="598" spans="1:16384" x14ac:dyDescent="0.2">
      <c r="A598" s="181">
        <v>597</v>
      </c>
      <c r="B598" s="182">
        <v>41519</v>
      </c>
      <c r="C598" s="182">
        <v>41542</v>
      </c>
      <c r="D598" s="201" t="s">
        <v>1092</v>
      </c>
      <c r="E598" s="201" t="s">
        <v>422</v>
      </c>
      <c r="F598" s="201" t="s">
        <v>701</v>
      </c>
      <c r="G598" s="201" t="s">
        <v>1238</v>
      </c>
      <c r="H598" s="201" t="s">
        <v>1237</v>
      </c>
      <c r="I598" s="353">
        <v>60000</v>
      </c>
    </row>
    <row r="599" spans="1:16384" x14ac:dyDescent="0.2">
      <c r="A599" s="181">
        <v>598</v>
      </c>
      <c r="B599" s="182">
        <v>41523</v>
      </c>
      <c r="C599" s="182">
        <v>41547</v>
      </c>
      <c r="D599" s="201" t="s">
        <v>1092</v>
      </c>
      <c r="E599" s="201" t="s">
        <v>422</v>
      </c>
      <c r="F599" s="201" t="s">
        <v>701</v>
      </c>
      <c r="G599" s="201" t="s">
        <v>1240</v>
      </c>
      <c r="H599" s="201" t="s">
        <v>1239</v>
      </c>
      <c r="I599" s="353">
        <v>123900</v>
      </c>
    </row>
    <row r="600" spans="1:16384" x14ac:dyDescent="0.2">
      <c r="A600" s="181">
        <f t="shared" ref="A600:A667" si="10">A599+1</f>
        <v>599</v>
      </c>
      <c r="B600" s="182">
        <v>41523</v>
      </c>
      <c r="C600" s="182">
        <v>41547</v>
      </c>
      <c r="D600" s="201" t="s">
        <v>1092</v>
      </c>
      <c r="E600" s="201" t="s">
        <v>422</v>
      </c>
      <c r="F600" s="201" t="s">
        <v>701</v>
      </c>
      <c r="G600" s="201" t="s">
        <v>1242</v>
      </c>
      <c r="H600" s="201" t="s">
        <v>1241</v>
      </c>
      <c r="I600" s="353">
        <v>110700</v>
      </c>
    </row>
    <row r="601" spans="1:16384" x14ac:dyDescent="0.2">
      <c r="A601" s="181">
        <f t="shared" si="10"/>
        <v>600</v>
      </c>
      <c r="B601" s="182">
        <v>41523</v>
      </c>
      <c r="C601" s="182">
        <v>41547</v>
      </c>
      <c r="D601" s="201" t="s">
        <v>1092</v>
      </c>
      <c r="E601" s="201" t="s">
        <v>422</v>
      </c>
      <c r="F601" s="201" t="s">
        <v>701</v>
      </c>
      <c r="G601" s="201" t="s">
        <v>1244</v>
      </c>
      <c r="H601" s="201" t="s">
        <v>1243</v>
      </c>
      <c r="I601" s="353">
        <v>65300</v>
      </c>
    </row>
    <row r="602" spans="1:16384" x14ac:dyDescent="0.2">
      <c r="A602" s="181">
        <f t="shared" si="10"/>
        <v>601</v>
      </c>
      <c r="B602" s="182">
        <v>41523</v>
      </c>
      <c r="C602" s="182">
        <v>41547</v>
      </c>
      <c r="D602" s="201" t="s">
        <v>1092</v>
      </c>
      <c r="E602" s="201" t="s">
        <v>422</v>
      </c>
      <c r="F602" s="201" t="s">
        <v>701</v>
      </c>
      <c r="G602" s="201" t="s">
        <v>1246</v>
      </c>
      <c r="H602" s="201" t="s">
        <v>1245</v>
      </c>
      <c r="I602" s="353">
        <v>97450</v>
      </c>
    </row>
    <row r="603" spans="1:16384" x14ac:dyDescent="0.2">
      <c r="A603" s="181">
        <f t="shared" si="10"/>
        <v>602</v>
      </c>
      <c r="B603" s="182">
        <v>41527</v>
      </c>
      <c r="C603" s="182">
        <v>41547</v>
      </c>
      <c r="D603" s="201" t="s">
        <v>1092</v>
      </c>
      <c r="E603" s="201" t="s">
        <v>392</v>
      </c>
      <c r="F603" s="201" t="s">
        <v>396</v>
      </c>
      <c r="G603" s="201" t="s">
        <v>1248</v>
      </c>
      <c r="H603" s="201" t="s">
        <v>1247</v>
      </c>
      <c r="I603" s="353">
        <v>96203</v>
      </c>
    </row>
    <row r="604" spans="1:16384" x14ac:dyDescent="0.2">
      <c r="A604" s="181">
        <f t="shared" si="10"/>
        <v>603</v>
      </c>
      <c r="B604" s="182">
        <v>41529</v>
      </c>
      <c r="C604" s="182">
        <v>41547</v>
      </c>
      <c r="D604" s="201" t="s">
        <v>1092</v>
      </c>
      <c r="E604" s="201" t="s">
        <v>392</v>
      </c>
      <c r="F604" s="201" t="s">
        <v>71</v>
      </c>
      <c r="G604" s="201" t="s">
        <v>1250</v>
      </c>
      <c r="H604" s="201" t="s">
        <v>1249</v>
      </c>
      <c r="I604" s="353">
        <v>101107.96</v>
      </c>
      <c r="J604" s="222"/>
      <c r="K604" s="222"/>
      <c r="L604" s="222"/>
      <c r="M604" s="222"/>
      <c r="N604" s="222"/>
      <c r="O604" s="223"/>
      <c r="P604" s="224"/>
      <c r="Q604" s="222"/>
      <c r="R604" s="222"/>
      <c r="S604" s="222"/>
      <c r="T604" s="222"/>
      <c r="U604" s="222"/>
      <c r="V604" s="222"/>
      <c r="W604" s="223"/>
      <c r="X604" s="224"/>
      <c r="Y604" s="222"/>
      <c r="Z604" s="222"/>
      <c r="AA604" s="222"/>
      <c r="AB604" s="222"/>
      <c r="AC604" s="222"/>
      <c r="AD604" s="222"/>
      <c r="AE604" s="223"/>
      <c r="AF604" s="224"/>
      <c r="AG604" s="222"/>
      <c r="AH604" s="222"/>
      <c r="AI604" s="222"/>
      <c r="AJ604" s="222"/>
      <c r="AK604" s="222"/>
      <c r="AL604" s="222"/>
      <c r="AM604" s="223"/>
      <c r="AN604" s="224"/>
      <c r="AO604" s="222"/>
      <c r="AP604" s="222"/>
      <c r="AQ604" s="222"/>
      <c r="AR604" s="222"/>
      <c r="AS604" s="222"/>
      <c r="AT604" s="222"/>
      <c r="AU604" s="223"/>
      <c r="AV604" s="224"/>
      <c r="AW604" s="222"/>
      <c r="AX604" s="222"/>
      <c r="AY604" s="222"/>
      <c r="AZ604" s="222"/>
      <c r="BA604" s="222"/>
      <c r="BB604" s="222"/>
      <c r="BC604" s="223"/>
      <c r="BD604" s="224"/>
      <c r="BE604" s="222"/>
      <c r="BF604" s="222"/>
      <c r="BG604" s="222"/>
      <c r="BH604" s="222"/>
      <c r="BI604" s="222"/>
      <c r="BJ604" s="222"/>
      <c r="BK604" s="223"/>
      <c r="BL604" s="224"/>
      <c r="BM604" s="222"/>
      <c r="BN604" s="222"/>
      <c r="BO604" s="222"/>
      <c r="BP604" s="222"/>
      <c r="BQ604" s="222"/>
      <c r="BR604" s="222"/>
      <c r="BS604" s="223"/>
      <c r="BT604" s="224"/>
      <c r="BU604" s="222"/>
      <c r="BV604" s="222"/>
      <c r="BW604" s="222"/>
      <c r="BX604" s="222"/>
      <c r="BY604" s="222"/>
      <c r="BZ604" s="222"/>
      <c r="CA604" s="223"/>
      <c r="CB604" s="224"/>
      <c r="CC604" s="222"/>
      <c r="CD604" s="222"/>
      <c r="CE604" s="222"/>
      <c r="CF604" s="222"/>
      <c r="CG604" s="222"/>
      <c r="CH604" s="222"/>
      <c r="CI604" s="223"/>
      <c r="CJ604" s="224"/>
      <c r="CK604" s="222"/>
      <c r="CL604" s="222"/>
      <c r="CM604" s="222"/>
      <c r="CN604" s="222"/>
      <c r="CO604" s="222"/>
      <c r="CP604" s="222"/>
      <c r="CQ604" s="223"/>
      <c r="CR604" s="224"/>
      <c r="CS604" s="222"/>
      <c r="CT604" s="222"/>
      <c r="CU604" s="222"/>
      <c r="CV604" s="222"/>
      <c r="CW604" s="222"/>
      <c r="CX604" s="222"/>
      <c r="CY604" s="223"/>
      <c r="CZ604" s="224"/>
      <c r="DA604" s="222"/>
      <c r="DB604" s="222"/>
      <c r="DC604" s="222"/>
      <c r="DD604" s="222"/>
      <c r="DE604" s="222"/>
      <c r="DF604" s="222"/>
      <c r="DG604" s="223"/>
      <c r="DH604" s="224"/>
      <c r="DI604" s="222"/>
      <c r="DJ604" s="222"/>
      <c r="DK604" s="222"/>
      <c r="DL604" s="222"/>
      <c r="DM604" s="222"/>
      <c r="DN604" s="222"/>
      <c r="DO604" s="223"/>
      <c r="DP604" s="224"/>
      <c r="DQ604" s="222"/>
      <c r="DR604" s="222"/>
      <c r="DS604" s="222"/>
      <c r="DT604" s="222"/>
      <c r="DU604" s="222"/>
      <c r="DV604" s="222"/>
      <c r="DW604" s="223"/>
      <c r="DX604" s="224"/>
      <c r="DY604" s="222"/>
      <c r="DZ604" s="222"/>
      <c r="EA604" s="222"/>
      <c r="EB604" s="222"/>
      <c r="EC604" s="222"/>
      <c r="ED604" s="222"/>
      <c r="EE604" s="223"/>
      <c r="EF604" s="224"/>
      <c r="EG604" s="222"/>
      <c r="EH604" s="222"/>
      <c r="EI604" s="222"/>
      <c r="EJ604" s="222"/>
      <c r="EK604" s="222"/>
      <c r="EL604" s="222"/>
      <c r="EM604" s="223"/>
      <c r="EN604" s="224"/>
      <c r="EO604" s="222"/>
      <c r="EP604" s="222"/>
      <c r="EQ604" s="222"/>
      <c r="ER604" s="222"/>
      <c r="ES604" s="222"/>
      <c r="ET604" s="222"/>
      <c r="EU604" s="223"/>
      <c r="EV604" s="224"/>
      <c r="EW604" s="222"/>
      <c r="EX604" s="222"/>
      <c r="EY604" s="222"/>
      <c r="EZ604" s="222"/>
      <c r="FA604" s="222"/>
      <c r="FB604" s="222"/>
      <c r="FC604" s="223"/>
      <c r="FD604" s="224"/>
      <c r="FE604" s="222"/>
      <c r="FF604" s="222"/>
      <c r="FG604" s="222"/>
      <c r="FH604" s="222"/>
      <c r="FI604" s="222"/>
      <c r="FJ604" s="222"/>
      <c r="FK604" s="223"/>
      <c r="FL604" s="224"/>
      <c r="FM604" s="222"/>
      <c r="FN604" s="222"/>
      <c r="FO604" s="222"/>
      <c r="FP604" s="222"/>
      <c r="FQ604" s="222"/>
      <c r="FR604" s="222"/>
      <c r="FS604" s="223"/>
      <c r="FT604" s="224"/>
      <c r="FU604" s="222"/>
      <c r="FV604" s="222"/>
      <c r="FW604" s="222"/>
      <c r="FX604" s="222"/>
      <c r="FY604" s="222"/>
      <c r="FZ604" s="222"/>
      <c r="GA604" s="223"/>
      <c r="GB604" s="224"/>
      <c r="GC604" s="222"/>
      <c r="GD604" s="222"/>
      <c r="GE604" s="222"/>
      <c r="GF604" s="222"/>
      <c r="GG604" s="222"/>
      <c r="GH604" s="222"/>
      <c r="GI604" s="223"/>
      <c r="GJ604" s="224"/>
      <c r="GK604" s="222"/>
      <c r="GL604" s="222"/>
      <c r="GM604" s="222"/>
      <c r="GN604" s="222"/>
      <c r="GO604" s="222"/>
      <c r="GP604" s="222"/>
      <c r="GQ604" s="223"/>
      <c r="GR604" s="224"/>
      <c r="GS604" s="222"/>
      <c r="GT604" s="222"/>
      <c r="GU604" s="222"/>
      <c r="GV604" s="222"/>
      <c r="GW604" s="222"/>
      <c r="GX604" s="222"/>
      <c r="GY604" s="223"/>
      <c r="GZ604" s="224"/>
      <c r="HA604" s="222"/>
      <c r="HB604" s="222"/>
      <c r="HC604" s="222"/>
      <c r="HD604" s="222"/>
      <c r="HE604" s="222"/>
      <c r="HF604" s="222"/>
      <c r="HG604" s="223"/>
      <c r="HH604" s="224"/>
      <c r="HI604" s="222"/>
      <c r="HJ604" s="222"/>
      <c r="HK604" s="222"/>
      <c r="HL604" s="222"/>
      <c r="HM604" s="222"/>
      <c r="HN604" s="222"/>
      <c r="HO604" s="223"/>
      <c r="HP604" s="224"/>
      <c r="HQ604" s="222"/>
      <c r="HR604" s="222"/>
      <c r="HS604" s="222"/>
      <c r="HT604" s="222"/>
      <c r="HU604" s="222"/>
      <c r="HV604" s="222"/>
      <c r="HW604" s="223"/>
      <c r="HX604" s="224"/>
      <c r="HY604" s="222"/>
      <c r="HZ604" s="222"/>
      <c r="IA604" s="222"/>
      <c r="IB604" s="222"/>
      <c r="IC604" s="222"/>
      <c r="ID604" s="222"/>
      <c r="IE604" s="223"/>
      <c r="IF604" s="224"/>
      <c r="IG604" s="222"/>
      <c r="IH604" s="222"/>
      <c r="II604" s="222"/>
      <c r="IJ604" s="222"/>
      <c r="IK604" s="222"/>
      <c r="IL604" s="222"/>
      <c r="IM604" s="223"/>
      <c r="IN604" s="224"/>
      <c r="IO604" s="222"/>
      <c r="IP604" s="222"/>
      <c r="IQ604" s="222"/>
      <c r="IR604" s="222"/>
      <c r="IS604" s="222"/>
      <c r="IT604" s="222"/>
      <c r="IU604" s="223"/>
      <c r="IV604" s="224"/>
      <c r="IW604" s="222"/>
      <c r="IX604" s="222"/>
      <c r="IY604" s="222"/>
      <c r="IZ604" s="222"/>
      <c r="JA604" s="222"/>
      <c r="JB604" s="222"/>
      <c r="JC604" s="223"/>
      <c r="JD604" s="224"/>
      <c r="JE604" s="222"/>
      <c r="JF604" s="222"/>
      <c r="JG604" s="222"/>
      <c r="JH604" s="222"/>
      <c r="JI604" s="222"/>
      <c r="JJ604" s="222"/>
      <c r="JK604" s="223"/>
      <c r="JL604" s="224"/>
      <c r="JM604" s="222"/>
      <c r="JN604" s="222"/>
      <c r="JO604" s="222"/>
      <c r="JP604" s="222"/>
      <c r="JQ604" s="222"/>
      <c r="JR604" s="222"/>
      <c r="JS604" s="223"/>
      <c r="JT604" s="224"/>
      <c r="JU604" s="222"/>
      <c r="JV604" s="222"/>
      <c r="JW604" s="222"/>
      <c r="JX604" s="222"/>
      <c r="JY604" s="222"/>
      <c r="JZ604" s="222"/>
      <c r="KA604" s="223"/>
      <c r="KB604" s="224"/>
      <c r="KC604" s="222"/>
      <c r="KD604" s="222"/>
      <c r="KE604" s="222"/>
      <c r="KF604" s="222"/>
      <c r="KG604" s="222"/>
      <c r="KH604" s="222"/>
      <c r="KI604" s="223"/>
      <c r="KJ604" s="224"/>
      <c r="KK604" s="222"/>
      <c r="KL604" s="222"/>
      <c r="KM604" s="222"/>
      <c r="KN604" s="222"/>
      <c r="KO604" s="222"/>
      <c r="KP604" s="222"/>
      <c r="KQ604" s="223"/>
      <c r="KR604" s="224"/>
      <c r="KS604" s="222"/>
      <c r="KT604" s="222"/>
      <c r="KU604" s="222"/>
      <c r="KV604" s="222"/>
      <c r="KW604" s="222"/>
      <c r="KX604" s="222"/>
      <c r="KY604" s="223"/>
      <c r="KZ604" s="224"/>
      <c r="LA604" s="222"/>
      <c r="LB604" s="222"/>
      <c r="LC604" s="222"/>
      <c r="LD604" s="222"/>
      <c r="LE604" s="222"/>
      <c r="LF604" s="222"/>
      <c r="LG604" s="223"/>
      <c r="LH604" s="224"/>
      <c r="LI604" s="222"/>
      <c r="LJ604" s="222"/>
      <c r="LK604" s="222"/>
      <c r="LL604" s="222"/>
      <c r="LM604" s="222"/>
      <c r="LN604" s="222"/>
      <c r="LO604" s="223"/>
      <c r="LP604" s="224"/>
      <c r="LQ604" s="222"/>
      <c r="LR604" s="222"/>
      <c r="LS604" s="222"/>
      <c r="LT604" s="222"/>
      <c r="LU604" s="222"/>
      <c r="LV604" s="222"/>
      <c r="LW604" s="223"/>
      <c r="LX604" s="224"/>
      <c r="LY604" s="222"/>
      <c r="LZ604" s="222"/>
      <c r="MA604" s="222"/>
      <c r="MB604" s="222"/>
      <c r="MC604" s="222"/>
      <c r="MD604" s="222"/>
      <c r="ME604" s="223"/>
      <c r="MF604" s="224"/>
      <c r="MG604" s="222"/>
      <c r="MH604" s="222"/>
      <c r="MI604" s="222"/>
      <c r="MJ604" s="222"/>
      <c r="MK604" s="222"/>
      <c r="ML604" s="222"/>
      <c r="MM604" s="223"/>
      <c r="MN604" s="224"/>
      <c r="MO604" s="222"/>
      <c r="MP604" s="222"/>
      <c r="MQ604" s="222"/>
      <c r="MR604" s="222"/>
      <c r="MS604" s="222"/>
      <c r="MT604" s="222"/>
      <c r="MU604" s="223"/>
      <c r="MV604" s="224"/>
      <c r="MW604" s="222"/>
      <c r="MX604" s="222"/>
      <c r="MY604" s="222"/>
      <c r="MZ604" s="222"/>
      <c r="NA604" s="222"/>
      <c r="NB604" s="222"/>
      <c r="NC604" s="223"/>
      <c r="ND604" s="224"/>
      <c r="NE604" s="222"/>
      <c r="NF604" s="222"/>
      <c r="NG604" s="222"/>
      <c r="NH604" s="222"/>
      <c r="NI604" s="222"/>
      <c r="NJ604" s="222"/>
      <c r="NK604" s="223"/>
      <c r="NL604" s="224"/>
      <c r="NM604" s="222"/>
      <c r="NN604" s="222"/>
      <c r="NO604" s="222"/>
      <c r="NP604" s="222"/>
      <c r="NQ604" s="222"/>
      <c r="NR604" s="222"/>
      <c r="NS604" s="223"/>
      <c r="NT604" s="224"/>
      <c r="NU604" s="222"/>
      <c r="NV604" s="222"/>
      <c r="NW604" s="222"/>
      <c r="NX604" s="222"/>
      <c r="NY604" s="222"/>
      <c r="NZ604" s="222"/>
      <c r="OA604" s="223"/>
      <c r="OB604" s="224"/>
      <c r="OC604" s="222"/>
      <c r="OD604" s="222"/>
      <c r="OE604" s="222"/>
      <c r="OF604" s="222"/>
      <c r="OG604" s="222"/>
      <c r="OH604" s="222"/>
      <c r="OI604" s="223"/>
      <c r="OJ604" s="224"/>
      <c r="OK604" s="222"/>
      <c r="OL604" s="222"/>
      <c r="OM604" s="222"/>
      <c r="ON604" s="222"/>
      <c r="OO604" s="222"/>
      <c r="OP604" s="222"/>
      <c r="OQ604" s="223"/>
      <c r="OR604" s="224"/>
      <c r="OS604" s="222"/>
      <c r="OT604" s="222"/>
      <c r="OU604" s="222"/>
      <c r="OV604" s="222"/>
      <c r="OW604" s="222"/>
      <c r="OX604" s="222"/>
      <c r="OY604" s="223"/>
      <c r="OZ604" s="224"/>
      <c r="PA604" s="222"/>
      <c r="PB604" s="222"/>
      <c r="PC604" s="222"/>
      <c r="PD604" s="222"/>
      <c r="PE604" s="222"/>
      <c r="PF604" s="222"/>
      <c r="PG604" s="223"/>
      <c r="PH604" s="224"/>
      <c r="PI604" s="222"/>
      <c r="PJ604" s="222"/>
      <c r="PK604" s="222"/>
      <c r="PL604" s="222"/>
      <c r="PM604" s="222"/>
      <c r="PN604" s="222"/>
      <c r="PO604" s="223"/>
      <c r="PP604" s="224"/>
      <c r="PQ604" s="222"/>
      <c r="PR604" s="222"/>
      <c r="PS604" s="222"/>
      <c r="PT604" s="222"/>
      <c r="PU604" s="222"/>
      <c r="PV604" s="222"/>
      <c r="PW604" s="223"/>
      <c r="PX604" s="224"/>
      <c r="PY604" s="222"/>
      <c r="PZ604" s="222"/>
      <c r="QA604" s="222"/>
      <c r="QB604" s="222"/>
      <c r="QC604" s="222"/>
      <c r="QD604" s="222"/>
      <c r="QE604" s="223"/>
      <c r="QF604" s="224"/>
      <c r="QG604" s="222"/>
      <c r="QH604" s="222"/>
      <c r="QI604" s="222"/>
      <c r="QJ604" s="222"/>
      <c r="QK604" s="222"/>
      <c r="QL604" s="222"/>
      <c r="QM604" s="223"/>
      <c r="QN604" s="224"/>
      <c r="QO604" s="222"/>
      <c r="QP604" s="222"/>
      <c r="QQ604" s="222"/>
      <c r="QR604" s="222"/>
      <c r="QS604" s="222"/>
      <c r="QT604" s="222"/>
      <c r="QU604" s="223"/>
      <c r="QV604" s="224"/>
      <c r="QW604" s="222"/>
      <c r="QX604" s="222"/>
      <c r="QY604" s="222"/>
      <c r="QZ604" s="222"/>
      <c r="RA604" s="222"/>
      <c r="RB604" s="222"/>
      <c r="RC604" s="223"/>
      <c r="RD604" s="224"/>
      <c r="RE604" s="222"/>
      <c r="RF604" s="222"/>
      <c r="RG604" s="222"/>
      <c r="RH604" s="222"/>
      <c r="RI604" s="222"/>
      <c r="RJ604" s="222"/>
      <c r="RK604" s="223"/>
      <c r="RL604" s="224"/>
      <c r="RM604" s="222"/>
      <c r="RN604" s="222"/>
      <c r="RO604" s="222"/>
      <c r="RP604" s="222"/>
      <c r="RQ604" s="222"/>
      <c r="RR604" s="222"/>
      <c r="RS604" s="223"/>
      <c r="RT604" s="224"/>
      <c r="RU604" s="222"/>
      <c r="RV604" s="222"/>
      <c r="RW604" s="222"/>
      <c r="RX604" s="222"/>
      <c r="RY604" s="222"/>
      <c r="RZ604" s="222"/>
      <c r="SA604" s="223"/>
      <c r="SB604" s="224"/>
      <c r="SC604" s="222"/>
      <c r="SD604" s="222"/>
      <c r="SE604" s="222"/>
      <c r="SF604" s="222"/>
      <c r="SG604" s="222"/>
      <c r="SH604" s="222"/>
      <c r="SI604" s="223"/>
      <c r="SJ604" s="224"/>
      <c r="SK604" s="222"/>
      <c r="SL604" s="222"/>
      <c r="SM604" s="222"/>
      <c r="SN604" s="222"/>
      <c r="SO604" s="222"/>
      <c r="SP604" s="222"/>
      <c r="SQ604" s="223"/>
      <c r="SR604" s="224"/>
      <c r="SS604" s="222"/>
      <c r="ST604" s="222"/>
      <c r="SU604" s="222"/>
      <c r="SV604" s="222"/>
      <c r="SW604" s="222"/>
      <c r="SX604" s="222"/>
      <c r="SY604" s="223"/>
      <c r="SZ604" s="224"/>
      <c r="TA604" s="222"/>
      <c r="TB604" s="222"/>
      <c r="TC604" s="222"/>
      <c r="TD604" s="222"/>
      <c r="TE604" s="222"/>
      <c r="TF604" s="222"/>
      <c r="TG604" s="223"/>
      <c r="TH604" s="224"/>
      <c r="TI604" s="222"/>
      <c r="TJ604" s="222"/>
      <c r="TK604" s="222"/>
      <c r="TL604" s="222"/>
      <c r="TM604" s="222"/>
      <c r="TN604" s="222"/>
      <c r="TO604" s="223"/>
      <c r="TP604" s="224"/>
      <c r="TQ604" s="222"/>
      <c r="TR604" s="222"/>
      <c r="TS604" s="222"/>
      <c r="TT604" s="222"/>
      <c r="TU604" s="222"/>
      <c r="TV604" s="222"/>
      <c r="TW604" s="223"/>
      <c r="TX604" s="224"/>
      <c r="TY604" s="222"/>
      <c r="TZ604" s="222"/>
      <c r="UA604" s="222"/>
      <c r="UB604" s="222"/>
      <c r="UC604" s="222"/>
      <c r="UD604" s="222"/>
      <c r="UE604" s="223"/>
      <c r="UF604" s="224"/>
      <c r="UG604" s="222"/>
      <c r="UH604" s="222"/>
      <c r="UI604" s="222"/>
      <c r="UJ604" s="222"/>
      <c r="UK604" s="222"/>
      <c r="UL604" s="222"/>
      <c r="UM604" s="223"/>
      <c r="UN604" s="224"/>
      <c r="UO604" s="222"/>
      <c r="UP604" s="222"/>
      <c r="UQ604" s="222"/>
      <c r="UR604" s="222"/>
      <c r="US604" s="222"/>
      <c r="UT604" s="222"/>
      <c r="UU604" s="223"/>
      <c r="UV604" s="224"/>
      <c r="UW604" s="222"/>
      <c r="UX604" s="222"/>
      <c r="UY604" s="222"/>
      <c r="UZ604" s="222"/>
      <c r="VA604" s="222"/>
      <c r="VB604" s="222"/>
      <c r="VC604" s="223"/>
      <c r="VD604" s="224"/>
      <c r="VE604" s="222"/>
      <c r="VF604" s="222"/>
      <c r="VG604" s="222"/>
      <c r="VH604" s="222"/>
      <c r="VI604" s="222"/>
      <c r="VJ604" s="222"/>
      <c r="VK604" s="223"/>
      <c r="VL604" s="224"/>
      <c r="VM604" s="222"/>
      <c r="VN604" s="222"/>
      <c r="VO604" s="222"/>
      <c r="VP604" s="222"/>
      <c r="VQ604" s="222"/>
      <c r="VR604" s="222"/>
      <c r="VS604" s="223"/>
      <c r="VT604" s="224"/>
      <c r="VU604" s="222"/>
      <c r="VV604" s="222"/>
      <c r="VW604" s="222"/>
      <c r="VX604" s="222"/>
      <c r="VY604" s="222"/>
      <c r="VZ604" s="222"/>
      <c r="WA604" s="223"/>
      <c r="WB604" s="224"/>
      <c r="WC604" s="222"/>
      <c r="WD604" s="222"/>
      <c r="WE604" s="222"/>
      <c r="WF604" s="222"/>
      <c r="WG604" s="222"/>
      <c r="WH604" s="222"/>
      <c r="WI604" s="223"/>
      <c r="WJ604" s="224"/>
      <c r="WK604" s="222"/>
      <c r="WL604" s="222"/>
      <c r="WM604" s="222"/>
      <c r="WN604" s="222"/>
      <c r="WO604" s="222"/>
      <c r="WP604" s="222"/>
      <c r="WQ604" s="223"/>
      <c r="WR604" s="224"/>
      <c r="WS604" s="222"/>
      <c r="WT604" s="222"/>
      <c r="WU604" s="222"/>
      <c r="WV604" s="222"/>
      <c r="WW604" s="222"/>
      <c r="WX604" s="222"/>
      <c r="WY604" s="223"/>
      <c r="WZ604" s="224"/>
      <c r="XA604" s="222"/>
      <c r="XB604" s="222"/>
      <c r="XC604" s="222"/>
      <c r="XD604" s="222"/>
      <c r="XE604" s="222"/>
      <c r="XF604" s="222"/>
      <c r="XG604" s="223"/>
      <c r="XH604" s="224"/>
      <c r="XI604" s="222"/>
      <c r="XJ604" s="222"/>
      <c r="XK604" s="222"/>
      <c r="XL604" s="222"/>
      <c r="XM604" s="222"/>
      <c r="XN604" s="222"/>
      <c r="XO604" s="223"/>
      <c r="XP604" s="224"/>
      <c r="XQ604" s="222"/>
      <c r="XR604" s="222"/>
      <c r="XS604" s="222"/>
      <c r="XT604" s="222"/>
      <c r="XU604" s="222"/>
      <c r="XV604" s="222"/>
      <c r="XW604" s="223"/>
      <c r="XX604" s="224"/>
      <c r="XY604" s="222"/>
      <c r="XZ604" s="222"/>
      <c r="YA604" s="222"/>
      <c r="YB604" s="222"/>
      <c r="YC604" s="222"/>
      <c r="YD604" s="222"/>
      <c r="YE604" s="223"/>
      <c r="YF604" s="224"/>
      <c r="YG604" s="222"/>
      <c r="YH604" s="222"/>
      <c r="YI604" s="222"/>
      <c r="YJ604" s="222"/>
      <c r="YK604" s="222"/>
      <c r="YL604" s="222"/>
      <c r="YM604" s="223"/>
      <c r="YN604" s="224"/>
      <c r="YO604" s="222"/>
      <c r="YP604" s="222"/>
      <c r="YQ604" s="222"/>
      <c r="YR604" s="222"/>
      <c r="YS604" s="222"/>
      <c r="YT604" s="222"/>
      <c r="YU604" s="223"/>
      <c r="YV604" s="224"/>
      <c r="YW604" s="222"/>
      <c r="YX604" s="222"/>
      <c r="YY604" s="222"/>
      <c r="YZ604" s="222"/>
      <c r="ZA604" s="222"/>
      <c r="ZB604" s="222"/>
      <c r="ZC604" s="223"/>
      <c r="ZD604" s="224"/>
      <c r="ZE604" s="222"/>
      <c r="ZF604" s="222"/>
      <c r="ZG604" s="222"/>
      <c r="ZH604" s="222"/>
      <c r="ZI604" s="222"/>
      <c r="ZJ604" s="222"/>
      <c r="ZK604" s="223"/>
      <c r="ZL604" s="224"/>
      <c r="ZM604" s="222"/>
      <c r="ZN604" s="222"/>
      <c r="ZO604" s="222"/>
      <c r="ZP604" s="222"/>
      <c r="ZQ604" s="222"/>
      <c r="ZR604" s="222"/>
      <c r="ZS604" s="223"/>
      <c r="ZT604" s="224"/>
      <c r="ZU604" s="222"/>
      <c r="ZV604" s="222"/>
      <c r="ZW604" s="222"/>
      <c r="ZX604" s="222"/>
      <c r="ZY604" s="222"/>
      <c r="ZZ604" s="222"/>
      <c r="AAA604" s="223"/>
      <c r="AAB604" s="224"/>
      <c r="AAC604" s="222"/>
      <c r="AAD604" s="222"/>
      <c r="AAE604" s="222"/>
      <c r="AAF604" s="222"/>
      <c r="AAG604" s="222"/>
      <c r="AAH604" s="222"/>
      <c r="AAI604" s="223"/>
      <c r="AAJ604" s="224"/>
      <c r="AAK604" s="222"/>
      <c r="AAL604" s="222"/>
      <c r="AAM604" s="222"/>
      <c r="AAN604" s="222"/>
      <c r="AAO604" s="222"/>
      <c r="AAP604" s="222"/>
      <c r="AAQ604" s="223"/>
      <c r="AAR604" s="224"/>
      <c r="AAS604" s="222"/>
      <c r="AAT604" s="222"/>
      <c r="AAU604" s="222"/>
      <c r="AAV604" s="222"/>
      <c r="AAW604" s="222"/>
      <c r="AAX604" s="222"/>
      <c r="AAY604" s="223"/>
      <c r="AAZ604" s="224"/>
      <c r="ABA604" s="222"/>
      <c r="ABB604" s="222"/>
      <c r="ABC604" s="222"/>
      <c r="ABD604" s="222"/>
      <c r="ABE604" s="222"/>
      <c r="ABF604" s="222"/>
      <c r="ABG604" s="223"/>
      <c r="ABH604" s="224"/>
      <c r="ABI604" s="222"/>
      <c r="ABJ604" s="222"/>
      <c r="ABK604" s="222"/>
      <c r="ABL604" s="222"/>
      <c r="ABM604" s="222"/>
      <c r="ABN604" s="222"/>
      <c r="ABO604" s="223"/>
      <c r="ABP604" s="224"/>
      <c r="ABQ604" s="222"/>
      <c r="ABR604" s="222"/>
      <c r="ABS604" s="222"/>
      <c r="ABT604" s="222"/>
      <c r="ABU604" s="222"/>
      <c r="ABV604" s="222"/>
      <c r="ABW604" s="223"/>
      <c r="ABX604" s="224"/>
      <c r="ABY604" s="222"/>
      <c r="ABZ604" s="222"/>
      <c r="ACA604" s="222"/>
      <c r="ACB604" s="222"/>
      <c r="ACC604" s="222"/>
      <c r="ACD604" s="222"/>
      <c r="ACE604" s="223"/>
      <c r="ACF604" s="224"/>
      <c r="ACG604" s="222"/>
      <c r="ACH604" s="222"/>
      <c r="ACI604" s="222"/>
      <c r="ACJ604" s="222"/>
      <c r="ACK604" s="222"/>
      <c r="ACL604" s="222"/>
      <c r="ACM604" s="223"/>
      <c r="ACN604" s="224"/>
      <c r="ACO604" s="222"/>
      <c r="ACP604" s="222"/>
      <c r="ACQ604" s="222"/>
      <c r="ACR604" s="222"/>
      <c r="ACS604" s="222"/>
      <c r="ACT604" s="222"/>
      <c r="ACU604" s="223"/>
      <c r="ACV604" s="224"/>
      <c r="ACW604" s="222"/>
      <c r="ACX604" s="222"/>
      <c r="ACY604" s="222"/>
      <c r="ACZ604" s="222"/>
      <c r="ADA604" s="222"/>
      <c r="ADB604" s="222"/>
      <c r="ADC604" s="223"/>
      <c r="ADD604" s="224"/>
      <c r="ADE604" s="222"/>
      <c r="ADF604" s="222"/>
      <c r="ADG604" s="222"/>
      <c r="ADH604" s="222"/>
      <c r="ADI604" s="222"/>
      <c r="ADJ604" s="222"/>
      <c r="ADK604" s="223"/>
      <c r="ADL604" s="224"/>
      <c r="ADM604" s="222"/>
      <c r="ADN604" s="222"/>
      <c r="ADO604" s="222"/>
      <c r="ADP604" s="222"/>
      <c r="ADQ604" s="222"/>
      <c r="ADR604" s="222"/>
      <c r="ADS604" s="223"/>
      <c r="ADT604" s="224"/>
      <c r="ADU604" s="222"/>
      <c r="ADV604" s="222"/>
      <c r="ADW604" s="222"/>
      <c r="ADX604" s="222"/>
      <c r="ADY604" s="222"/>
      <c r="ADZ604" s="222"/>
      <c r="AEA604" s="223"/>
      <c r="AEB604" s="224"/>
      <c r="AEC604" s="222"/>
      <c r="AED604" s="222"/>
      <c r="AEE604" s="222"/>
      <c r="AEF604" s="222"/>
      <c r="AEG604" s="222"/>
      <c r="AEH604" s="222"/>
      <c r="AEI604" s="223"/>
      <c r="AEJ604" s="224"/>
      <c r="AEK604" s="222"/>
      <c r="AEL604" s="222"/>
      <c r="AEM604" s="222"/>
      <c r="AEN604" s="222"/>
      <c r="AEO604" s="222"/>
      <c r="AEP604" s="222"/>
      <c r="AEQ604" s="223"/>
      <c r="AER604" s="224"/>
      <c r="AES604" s="222"/>
      <c r="AET604" s="222"/>
      <c r="AEU604" s="222"/>
      <c r="AEV604" s="222"/>
      <c r="AEW604" s="222"/>
      <c r="AEX604" s="222"/>
      <c r="AEY604" s="223"/>
      <c r="AEZ604" s="224"/>
      <c r="AFA604" s="222"/>
      <c r="AFB604" s="222"/>
      <c r="AFC604" s="222"/>
      <c r="AFD604" s="222"/>
      <c r="AFE604" s="222"/>
      <c r="AFF604" s="222"/>
      <c r="AFG604" s="223"/>
      <c r="AFH604" s="224"/>
      <c r="AFI604" s="222"/>
      <c r="AFJ604" s="222"/>
      <c r="AFK604" s="222"/>
      <c r="AFL604" s="222"/>
      <c r="AFM604" s="222"/>
      <c r="AFN604" s="222"/>
      <c r="AFO604" s="223"/>
      <c r="AFP604" s="224"/>
      <c r="AFQ604" s="222"/>
      <c r="AFR604" s="222"/>
      <c r="AFS604" s="222"/>
      <c r="AFT604" s="222"/>
      <c r="AFU604" s="222"/>
      <c r="AFV604" s="222"/>
      <c r="AFW604" s="223"/>
      <c r="AFX604" s="224"/>
      <c r="AFY604" s="222"/>
      <c r="AFZ604" s="222"/>
      <c r="AGA604" s="222"/>
      <c r="AGB604" s="222"/>
      <c r="AGC604" s="222"/>
      <c r="AGD604" s="222"/>
      <c r="AGE604" s="223"/>
      <c r="AGF604" s="224"/>
      <c r="AGG604" s="222"/>
      <c r="AGH604" s="222"/>
      <c r="AGI604" s="222"/>
      <c r="AGJ604" s="222"/>
      <c r="AGK604" s="222"/>
      <c r="AGL604" s="222"/>
      <c r="AGM604" s="223"/>
      <c r="AGN604" s="224"/>
      <c r="AGO604" s="222"/>
      <c r="AGP604" s="222"/>
      <c r="AGQ604" s="222"/>
      <c r="AGR604" s="222"/>
      <c r="AGS604" s="222"/>
      <c r="AGT604" s="222"/>
      <c r="AGU604" s="223"/>
      <c r="AGV604" s="224"/>
      <c r="AGW604" s="222"/>
      <c r="AGX604" s="222"/>
      <c r="AGY604" s="222"/>
      <c r="AGZ604" s="222"/>
      <c r="AHA604" s="222"/>
      <c r="AHB604" s="222"/>
      <c r="AHC604" s="223"/>
      <c r="AHD604" s="224"/>
      <c r="AHE604" s="222"/>
      <c r="AHF604" s="222"/>
      <c r="AHG604" s="222"/>
      <c r="AHH604" s="222"/>
      <c r="AHI604" s="222"/>
      <c r="AHJ604" s="222"/>
      <c r="AHK604" s="223"/>
      <c r="AHL604" s="224"/>
      <c r="AHM604" s="222"/>
      <c r="AHN604" s="222"/>
      <c r="AHO604" s="222"/>
      <c r="AHP604" s="222"/>
      <c r="AHQ604" s="222"/>
      <c r="AHR604" s="222"/>
      <c r="AHS604" s="223"/>
      <c r="AHT604" s="224"/>
      <c r="AHU604" s="222"/>
      <c r="AHV604" s="222"/>
      <c r="AHW604" s="222"/>
      <c r="AHX604" s="222"/>
      <c r="AHY604" s="222"/>
      <c r="AHZ604" s="222"/>
      <c r="AIA604" s="223"/>
      <c r="AIB604" s="224"/>
      <c r="AIC604" s="222"/>
      <c r="AID604" s="222"/>
      <c r="AIE604" s="222"/>
      <c r="AIF604" s="222"/>
      <c r="AIG604" s="222"/>
      <c r="AIH604" s="222"/>
      <c r="AII604" s="223"/>
      <c r="AIJ604" s="224"/>
      <c r="AIK604" s="222"/>
      <c r="AIL604" s="222"/>
      <c r="AIM604" s="222"/>
      <c r="AIN604" s="222"/>
      <c r="AIO604" s="222"/>
      <c r="AIP604" s="222"/>
      <c r="AIQ604" s="223"/>
      <c r="AIR604" s="224"/>
      <c r="AIS604" s="222"/>
      <c r="AIT604" s="222"/>
      <c r="AIU604" s="222"/>
      <c r="AIV604" s="222"/>
      <c r="AIW604" s="222"/>
      <c r="AIX604" s="222"/>
      <c r="AIY604" s="223"/>
      <c r="AIZ604" s="224"/>
      <c r="AJA604" s="222"/>
      <c r="AJB604" s="222"/>
      <c r="AJC604" s="222"/>
      <c r="AJD604" s="222"/>
      <c r="AJE604" s="222"/>
      <c r="AJF604" s="222"/>
      <c r="AJG604" s="223"/>
      <c r="AJH604" s="224"/>
      <c r="AJI604" s="222"/>
      <c r="AJJ604" s="222"/>
      <c r="AJK604" s="222"/>
      <c r="AJL604" s="222"/>
      <c r="AJM604" s="222"/>
      <c r="AJN604" s="222"/>
      <c r="AJO604" s="223"/>
      <c r="AJP604" s="224"/>
      <c r="AJQ604" s="222"/>
      <c r="AJR604" s="222"/>
      <c r="AJS604" s="222"/>
      <c r="AJT604" s="222"/>
      <c r="AJU604" s="222"/>
      <c r="AJV604" s="222"/>
      <c r="AJW604" s="223"/>
      <c r="AJX604" s="224"/>
      <c r="AJY604" s="222"/>
      <c r="AJZ604" s="222"/>
      <c r="AKA604" s="222"/>
      <c r="AKB604" s="222"/>
      <c r="AKC604" s="222"/>
      <c r="AKD604" s="222"/>
      <c r="AKE604" s="223"/>
      <c r="AKF604" s="224"/>
      <c r="AKG604" s="222"/>
      <c r="AKH604" s="222"/>
      <c r="AKI604" s="222"/>
      <c r="AKJ604" s="222"/>
      <c r="AKK604" s="222"/>
      <c r="AKL604" s="222"/>
      <c r="AKM604" s="223"/>
      <c r="AKN604" s="224"/>
      <c r="AKO604" s="222"/>
      <c r="AKP604" s="222"/>
      <c r="AKQ604" s="222"/>
      <c r="AKR604" s="222"/>
      <c r="AKS604" s="222"/>
      <c r="AKT604" s="222"/>
      <c r="AKU604" s="223"/>
      <c r="AKV604" s="224"/>
      <c r="AKW604" s="222"/>
      <c r="AKX604" s="222"/>
      <c r="AKY604" s="222"/>
      <c r="AKZ604" s="222"/>
      <c r="ALA604" s="222"/>
      <c r="ALB604" s="222"/>
      <c r="ALC604" s="223"/>
      <c r="ALD604" s="224"/>
      <c r="ALE604" s="222"/>
      <c r="ALF604" s="222"/>
      <c r="ALG604" s="222"/>
      <c r="ALH604" s="222"/>
      <c r="ALI604" s="222"/>
      <c r="ALJ604" s="222"/>
      <c r="ALK604" s="223"/>
      <c r="ALL604" s="224"/>
      <c r="ALM604" s="222"/>
      <c r="ALN604" s="222"/>
      <c r="ALO604" s="222"/>
      <c r="ALP604" s="222"/>
      <c r="ALQ604" s="222"/>
      <c r="ALR604" s="222"/>
      <c r="ALS604" s="223"/>
      <c r="ALT604" s="224"/>
      <c r="ALU604" s="222"/>
      <c r="ALV604" s="222"/>
      <c r="ALW604" s="222"/>
      <c r="ALX604" s="222"/>
      <c r="ALY604" s="222"/>
      <c r="ALZ604" s="222"/>
      <c r="AMA604" s="223"/>
      <c r="AMB604" s="224"/>
      <c r="AMC604" s="222"/>
      <c r="AMD604" s="222"/>
      <c r="AME604" s="222"/>
      <c r="AMF604" s="222"/>
      <c r="AMG604" s="222"/>
      <c r="AMH604" s="222"/>
      <c r="AMI604" s="223"/>
      <c r="AMJ604" s="224"/>
      <c r="AMK604" s="222"/>
      <c r="AML604" s="222"/>
      <c r="AMM604" s="222"/>
      <c r="AMN604" s="222"/>
      <c r="AMO604" s="222"/>
      <c r="AMP604" s="222"/>
      <c r="AMQ604" s="223"/>
      <c r="AMR604" s="224"/>
      <c r="AMS604" s="222"/>
      <c r="AMT604" s="222"/>
      <c r="AMU604" s="222"/>
      <c r="AMV604" s="222"/>
      <c r="AMW604" s="222"/>
      <c r="AMX604" s="222"/>
      <c r="AMY604" s="223"/>
      <c r="AMZ604" s="224"/>
      <c r="ANA604" s="222"/>
      <c r="ANB604" s="222"/>
      <c r="ANC604" s="222"/>
      <c r="AND604" s="222"/>
      <c r="ANE604" s="222"/>
      <c r="ANF604" s="222"/>
      <c r="ANG604" s="223"/>
      <c r="ANH604" s="224"/>
      <c r="ANI604" s="222"/>
      <c r="ANJ604" s="222"/>
      <c r="ANK604" s="222"/>
      <c r="ANL604" s="222"/>
      <c r="ANM604" s="222"/>
      <c r="ANN604" s="222"/>
      <c r="ANO604" s="223"/>
      <c r="ANP604" s="224"/>
      <c r="ANQ604" s="222"/>
      <c r="ANR604" s="222"/>
      <c r="ANS604" s="222"/>
      <c r="ANT604" s="222"/>
      <c r="ANU604" s="222"/>
      <c r="ANV604" s="222"/>
      <c r="ANW604" s="223"/>
      <c r="ANX604" s="224"/>
      <c r="ANY604" s="222"/>
      <c r="ANZ604" s="222"/>
      <c r="AOA604" s="222"/>
      <c r="AOB604" s="222"/>
      <c r="AOC604" s="222"/>
      <c r="AOD604" s="222"/>
      <c r="AOE604" s="223"/>
      <c r="AOF604" s="224"/>
      <c r="AOG604" s="222"/>
      <c r="AOH604" s="222"/>
      <c r="AOI604" s="222"/>
      <c r="AOJ604" s="222"/>
      <c r="AOK604" s="222"/>
      <c r="AOL604" s="222"/>
      <c r="AOM604" s="223"/>
      <c r="AON604" s="224"/>
      <c r="AOO604" s="222"/>
      <c r="AOP604" s="222"/>
      <c r="AOQ604" s="222"/>
      <c r="AOR604" s="222"/>
      <c r="AOS604" s="222"/>
      <c r="AOT604" s="222"/>
      <c r="AOU604" s="223"/>
      <c r="AOV604" s="224"/>
      <c r="AOW604" s="222"/>
      <c r="AOX604" s="222"/>
      <c r="AOY604" s="222"/>
      <c r="AOZ604" s="222"/>
      <c r="APA604" s="222"/>
      <c r="APB604" s="222"/>
      <c r="APC604" s="223"/>
      <c r="APD604" s="224"/>
      <c r="APE604" s="222"/>
      <c r="APF604" s="222"/>
      <c r="APG604" s="222"/>
      <c r="APH604" s="222"/>
      <c r="API604" s="222"/>
      <c r="APJ604" s="222"/>
      <c r="APK604" s="223"/>
      <c r="APL604" s="224"/>
      <c r="APM604" s="222"/>
      <c r="APN604" s="222"/>
      <c r="APO604" s="222"/>
      <c r="APP604" s="222"/>
      <c r="APQ604" s="222"/>
      <c r="APR604" s="222"/>
      <c r="APS604" s="223"/>
      <c r="APT604" s="224"/>
      <c r="APU604" s="222"/>
      <c r="APV604" s="222"/>
      <c r="APW604" s="222"/>
      <c r="APX604" s="222"/>
      <c r="APY604" s="222"/>
      <c r="APZ604" s="222"/>
      <c r="AQA604" s="223"/>
      <c r="AQB604" s="224"/>
      <c r="AQC604" s="222"/>
      <c r="AQD604" s="222"/>
      <c r="AQE604" s="222"/>
      <c r="AQF604" s="222"/>
      <c r="AQG604" s="222"/>
      <c r="AQH604" s="222"/>
      <c r="AQI604" s="223"/>
      <c r="AQJ604" s="224"/>
      <c r="AQK604" s="222"/>
      <c r="AQL604" s="222"/>
      <c r="AQM604" s="222"/>
      <c r="AQN604" s="222"/>
      <c r="AQO604" s="222"/>
      <c r="AQP604" s="222"/>
      <c r="AQQ604" s="223"/>
      <c r="AQR604" s="224"/>
      <c r="AQS604" s="222"/>
      <c r="AQT604" s="222"/>
      <c r="AQU604" s="222"/>
      <c r="AQV604" s="222"/>
      <c r="AQW604" s="222"/>
      <c r="AQX604" s="222"/>
      <c r="AQY604" s="223"/>
      <c r="AQZ604" s="224"/>
      <c r="ARA604" s="222"/>
      <c r="ARB604" s="222"/>
      <c r="ARC604" s="222"/>
      <c r="ARD604" s="222"/>
      <c r="ARE604" s="222"/>
      <c r="ARF604" s="222"/>
      <c r="ARG604" s="223"/>
      <c r="ARH604" s="224"/>
      <c r="ARI604" s="222"/>
      <c r="ARJ604" s="222"/>
      <c r="ARK604" s="222"/>
      <c r="ARL604" s="222"/>
      <c r="ARM604" s="222"/>
      <c r="ARN604" s="222"/>
      <c r="ARO604" s="223"/>
      <c r="ARP604" s="224"/>
      <c r="ARQ604" s="222"/>
      <c r="ARR604" s="222"/>
      <c r="ARS604" s="222"/>
      <c r="ART604" s="222"/>
      <c r="ARU604" s="222"/>
      <c r="ARV604" s="222"/>
      <c r="ARW604" s="223"/>
      <c r="ARX604" s="224"/>
      <c r="ARY604" s="222"/>
      <c r="ARZ604" s="222"/>
      <c r="ASA604" s="222"/>
      <c r="ASB604" s="222"/>
      <c r="ASC604" s="222"/>
      <c r="ASD604" s="222"/>
      <c r="ASE604" s="223"/>
      <c r="ASF604" s="224"/>
      <c r="ASG604" s="222"/>
      <c r="ASH604" s="222"/>
      <c r="ASI604" s="222"/>
      <c r="ASJ604" s="222"/>
      <c r="ASK604" s="222"/>
      <c r="ASL604" s="222"/>
      <c r="ASM604" s="223"/>
      <c r="ASN604" s="224"/>
      <c r="ASO604" s="222"/>
      <c r="ASP604" s="222"/>
      <c r="ASQ604" s="222"/>
      <c r="ASR604" s="222"/>
      <c r="ASS604" s="222"/>
      <c r="AST604" s="222"/>
      <c r="ASU604" s="223"/>
      <c r="ASV604" s="224"/>
      <c r="ASW604" s="222"/>
      <c r="ASX604" s="222"/>
      <c r="ASY604" s="222"/>
      <c r="ASZ604" s="222"/>
      <c r="ATA604" s="222"/>
      <c r="ATB604" s="222"/>
      <c r="ATC604" s="223"/>
      <c r="ATD604" s="224"/>
      <c r="ATE604" s="222"/>
      <c r="ATF604" s="222"/>
      <c r="ATG604" s="222"/>
      <c r="ATH604" s="222"/>
      <c r="ATI604" s="222"/>
      <c r="ATJ604" s="222"/>
      <c r="ATK604" s="223"/>
      <c r="ATL604" s="224"/>
      <c r="ATM604" s="222"/>
      <c r="ATN604" s="222"/>
      <c r="ATO604" s="222"/>
      <c r="ATP604" s="222"/>
      <c r="ATQ604" s="222"/>
      <c r="ATR604" s="222"/>
      <c r="ATS604" s="223"/>
      <c r="ATT604" s="224"/>
      <c r="ATU604" s="222"/>
      <c r="ATV604" s="222"/>
      <c r="ATW604" s="222"/>
      <c r="ATX604" s="222"/>
      <c r="ATY604" s="222"/>
      <c r="ATZ604" s="222"/>
      <c r="AUA604" s="223"/>
      <c r="AUB604" s="224"/>
      <c r="AUC604" s="222"/>
      <c r="AUD604" s="222"/>
      <c r="AUE604" s="222"/>
      <c r="AUF604" s="222"/>
      <c r="AUG604" s="222"/>
      <c r="AUH604" s="222"/>
      <c r="AUI604" s="223"/>
      <c r="AUJ604" s="224"/>
      <c r="AUK604" s="222"/>
      <c r="AUL604" s="222"/>
      <c r="AUM604" s="222"/>
      <c r="AUN604" s="222"/>
      <c r="AUO604" s="222"/>
      <c r="AUP604" s="222"/>
      <c r="AUQ604" s="223"/>
      <c r="AUR604" s="224"/>
      <c r="AUS604" s="222"/>
      <c r="AUT604" s="222"/>
      <c r="AUU604" s="222"/>
      <c r="AUV604" s="222"/>
      <c r="AUW604" s="222"/>
      <c r="AUX604" s="222"/>
      <c r="AUY604" s="223"/>
      <c r="AUZ604" s="224"/>
      <c r="AVA604" s="222"/>
      <c r="AVB604" s="222"/>
      <c r="AVC604" s="222"/>
      <c r="AVD604" s="222"/>
      <c r="AVE604" s="222"/>
      <c r="AVF604" s="222"/>
      <c r="AVG604" s="223"/>
      <c r="AVH604" s="224"/>
      <c r="AVI604" s="222"/>
      <c r="AVJ604" s="222"/>
      <c r="AVK604" s="222"/>
      <c r="AVL604" s="222"/>
      <c r="AVM604" s="222"/>
      <c r="AVN604" s="222"/>
      <c r="AVO604" s="223"/>
      <c r="AVP604" s="224"/>
      <c r="AVQ604" s="222"/>
      <c r="AVR604" s="222"/>
      <c r="AVS604" s="222"/>
      <c r="AVT604" s="222"/>
      <c r="AVU604" s="222"/>
      <c r="AVV604" s="222"/>
      <c r="AVW604" s="223"/>
      <c r="AVX604" s="224"/>
      <c r="AVY604" s="222"/>
      <c r="AVZ604" s="222"/>
      <c r="AWA604" s="222"/>
      <c r="AWB604" s="222"/>
      <c r="AWC604" s="222"/>
      <c r="AWD604" s="222"/>
      <c r="AWE604" s="223"/>
      <c r="AWF604" s="224"/>
      <c r="AWG604" s="222"/>
      <c r="AWH604" s="222"/>
      <c r="AWI604" s="222"/>
      <c r="AWJ604" s="222"/>
      <c r="AWK604" s="222"/>
      <c r="AWL604" s="222"/>
      <c r="AWM604" s="223"/>
      <c r="AWN604" s="224"/>
      <c r="AWO604" s="222"/>
      <c r="AWP604" s="222"/>
      <c r="AWQ604" s="222"/>
      <c r="AWR604" s="222"/>
      <c r="AWS604" s="222"/>
      <c r="AWT604" s="222"/>
      <c r="AWU604" s="223"/>
      <c r="AWV604" s="224"/>
      <c r="AWW604" s="222"/>
      <c r="AWX604" s="222"/>
      <c r="AWY604" s="222"/>
      <c r="AWZ604" s="222"/>
      <c r="AXA604" s="222"/>
      <c r="AXB604" s="222"/>
      <c r="AXC604" s="223"/>
      <c r="AXD604" s="224"/>
      <c r="AXE604" s="222"/>
      <c r="AXF604" s="222"/>
      <c r="AXG604" s="222"/>
      <c r="AXH604" s="222"/>
      <c r="AXI604" s="222"/>
      <c r="AXJ604" s="222"/>
      <c r="AXK604" s="223"/>
      <c r="AXL604" s="224"/>
      <c r="AXM604" s="222"/>
      <c r="AXN604" s="222"/>
      <c r="AXO604" s="222"/>
      <c r="AXP604" s="222"/>
      <c r="AXQ604" s="222"/>
      <c r="AXR604" s="222"/>
      <c r="AXS604" s="223"/>
      <c r="AXT604" s="224"/>
      <c r="AXU604" s="222"/>
      <c r="AXV604" s="222"/>
      <c r="AXW604" s="222"/>
      <c r="AXX604" s="222"/>
      <c r="AXY604" s="222"/>
      <c r="AXZ604" s="222"/>
      <c r="AYA604" s="223"/>
      <c r="AYB604" s="224"/>
      <c r="AYC604" s="222"/>
      <c r="AYD604" s="222"/>
      <c r="AYE604" s="222"/>
      <c r="AYF604" s="222"/>
      <c r="AYG604" s="222"/>
      <c r="AYH604" s="222"/>
      <c r="AYI604" s="223"/>
      <c r="AYJ604" s="224"/>
      <c r="AYK604" s="222"/>
      <c r="AYL604" s="222"/>
      <c r="AYM604" s="222"/>
      <c r="AYN604" s="222"/>
      <c r="AYO604" s="222"/>
      <c r="AYP604" s="222"/>
      <c r="AYQ604" s="223"/>
      <c r="AYR604" s="224"/>
      <c r="AYS604" s="222"/>
      <c r="AYT604" s="222"/>
      <c r="AYU604" s="222"/>
      <c r="AYV604" s="222"/>
      <c r="AYW604" s="222"/>
      <c r="AYX604" s="222"/>
      <c r="AYY604" s="223"/>
      <c r="AYZ604" s="224"/>
      <c r="AZA604" s="222"/>
      <c r="AZB604" s="222"/>
      <c r="AZC604" s="222"/>
      <c r="AZD604" s="222"/>
      <c r="AZE604" s="222"/>
      <c r="AZF604" s="222"/>
      <c r="AZG604" s="223"/>
      <c r="AZH604" s="224"/>
      <c r="AZI604" s="222"/>
      <c r="AZJ604" s="222"/>
      <c r="AZK604" s="222"/>
      <c r="AZL604" s="222"/>
      <c r="AZM604" s="222"/>
      <c r="AZN604" s="222"/>
      <c r="AZO604" s="223"/>
      <c r="AZP604" s="224"/>
      <c r="AZQ604" s="222"/>
      <c r="AZR604" s="222"/>
      <c r="AZS604" s="222"/>
      <c r="AZT604" s="222"/>
      <c r="AZU604" s="222"/>
      <c r="AZV604" s="222"/>
      <c r="AZW604" s="223"/>
      <c r="AZX604" s="224"/>
      <c r="AZY604" s="222"/>
      <c r="AZZ604" s="222"/>
      <c r="BAA604" s="222"/>
      <c r="BAB604" s="222"/>
      <c r="BAC604" s="222"/>
      <c r="BAD604" s="222"/>
      <c r="BAE604" s="223"/>
      <c r="BAF604" s="224"/>
      <c r="BAG604" s="222"/>
      <c r="BAH604" s="222"/>
      <c r="BAI604" s="222"/>
      <c r="BAJ604" s="222"/>
      <c r="BAK604" s="222"/>
      <c r="BAL604" s="222"/>
      <c r="BAM604" s="223"/>
      <c r="BAN604" s="224"/>
      <c r="BAO604" s="222"/>
      <c r="BAP604" s="222"/>
      <c r="BAQ604" s="222"/>
      <c r="BAR604" s="222"/>
      <c r="BAS604" s="222"/>
      <c r="BAT604" s="222"/>
      <c r="BAU604" s="223"/>
      <c r="BAV604" s="224"/>
      <c r="BAW604" s="222"/>
      <c r="BAX604" s="222"/>
      <c r="BAY604" s="222"/>
      <c r="BAZ604" s="222"/>
      <c r="BBA604" s="222"/>
      <c r="BBB604" s="222"/>
      <c r="BBC604" s="223"/>
      <c r="BBD604" s="224"/>
      <c r="BBE604" s="222"/>
      <c r="BBF604" s="222"/>
      <c r="BBG604" s="222"/>
      <c r="BBH604" s="222"/>
      <c r="BBI604" s="222"/>
      <c r="BBJ604" s="222"/>
      <c r="BBK604" s="223"/>
      <c r="BBL604" s="224"/>
      <c r="BBM604" s="222"/>
      <c r="BBN604" s="222"/>
      <c r="BBO604" s="222"/>
      <c r="BBP604" s="222"/>
      <c r="BBQ604" s="222"/>
      <c r="BBR604" s="222"/>
      <c r="BBS604" s="223"/>
      <c r="BBT604" s="224"/>
      <c r="BBU604" s="222"/>
      <c r="BBV604" s="222"/>
      <c r="BBW604" s="222"/>
      <c r="BBX604" s="222"/>
      <c r="BBY604" s="222"/>
      <c r="BBZ604" s="222"/>
      <c r="BCA604" s="223"/>
      <c r="BCB604" s="224"/>
      <c r="BCC604" s="222"/>
      <c r="BCD604" s="222"/>
      <c r="BCE604" s="222"/>
      <c r="BCF604" s="222"/>
      <c r="BCG604" s="222"/>
      <c r="BCH604" s="222"/>
      <c r="BCI604" s="223"/>
      <c r="BCJ604" s="224"/>
      <c r="BCK604" s="222"/>
      <c r="BCL604" s="222"/>
      <c r="BCM604" s="222"/>
      <c r="BCN604" s="222"/>
      <c r="BCO604" s="222"/>
      <c r="BCP604" s="222"/>
      <c r="BCQ604" s="223"/>
      <c r="BCR604" s="224"/>
      <c r="BCS604" s="222"/>
      <c r="BCT604" s="222"/>
      <c r="BCU604" s="222"/>
      <c r="BCV604" s="222"/>
      <c r="BCW604" s="222"/>
      <c r="BCX604" s="222"/>
      <c r="BCY604" s="223"/>
      <c r="BCZ604" s="224"/>
      <c r="BDA604" s="222"/>
      <c r="BDB604" s="222"/>
      <c r="BDC604" s="222"/>
      <c r="BDD604" s="222"/>
      <c r="BDE604" s="222"/>
      <c r="BDF604" s="222"/>
      <c r="BDG604" s="223"/>
      <c r="BDH604" s="224"/>
      <c r="BDI604" s="222"/>
      <c r="BDJ604" s="222"/>
      <c r="BDK604" s="222"/>
      <c r="BDL604" s="222"/>
      <c r="BDM604" s="222"/>
      <c r="BDN604" s="222"/>
      <c r="BDO604" s="223"/>
      <c r="BDP604" s="224"/>
      <c r="BDQ604" s="222"/>
      <c r="BDR604" s="222"/>
      <c r="BDS604" s="222"/>
      <c r="BDT604" s="222"/>
      <c r="BDU604" s="222"/>
      <c r="BDV604" s="222"/>
      <c r="BDW604" s="223"/>
      <c r="BDX604" s="224"/>
      <c r="BDY604" s="222"/>
      <c r="BDZ604" s="222"/>
      <c r="BEA604" s="222"/>
      <c r="BEB604" s="222"/>
      <c r="BEC604" s="222"/>
      <c r="BED604" s="222"/>
      <c r="BEE604" s="223"/>
      <c r="BEF604" s="224"/>
      <c r="BEG604" s="222"/>
      <c r="BEH604" s="222"/>
      <c r="BEI604" s="222"/>
      <c r="BEJ604" s="222"/>
      <c r="BEK604" s="222"/>
      <c r="BEL604" s="222"/>
      <c r="BEM604" s="223"/>
      <c r="BEN604" s="224"/>
      <c r="BEO604" s="222"/>
      <c r="BEP604" s="222"/>
      <c r="BEQ604" s="222"/>
      <c r="BER604" s="222"/>
      <c r="BES604" s="222"/>
      <c r="BET604" s="222"/>
      <c r="BEU604" s="223"/>
      <c r="BEV604" s="224"/>
      <c r="BEW604" s="222"/>
      <c r="BEX604" s="222"/>
      <c r="BEY604" s="222"/>
      <c r="BEZ604" s="222"/>
      <c r="BFA604" s="222"/>
      <c r="BFB604" s="222"/>
      <c r="BFC604" s="223"/>
      <c r="BFD604" s="224"/>
      <c r="BFE604" s="222"/>
      <c r="BFF604" s="222"/>
      <c r="BFG604" s="222"/>
      <c r="BFH604" s="222"/>
      <c r="BFI604" s="222"/>
      <c r="BFJ604" s="222"/>
      <c r="BFK604" s="223"/>
      <c r="BFL604" s="224"/>
      <c r="BFM604" s="222"/>
      <c r="BFN604" s="222"/>
      <c r="BFO604" s="222"/>
      <c r="BFP604" s="222"/>
      <c r="BFQ604" s="222"/>
      <c r="BFR604" s="222"/>
      <c r="BFS604" s="223"/>
      <c r="BFT604" s="224"/>
      <c r="BFU604" s="222"/>
      <c r="BFV604" s="222"/>
      <c r="BFW604" s="222"/>
      <c r="BFX604" s="222"/>
      <c r="BFY604" s="222"/>
      <c r="BFZ604" s="222"/>
      <c r="BGA604" s="223"/>
      <c r="BGB604" s="224"/>
      <c r="BGC604" s="222"/>
      <c r="BGD604" s="222"/>
      <c r="BGE604" s="222"/>
      <c r="BGF604" s="222"/>
      <c r="BGG604" s="222"/>
      <c r="BGH604" s="222"/>
      <c r="BGI604" s="223"/>
      <c r="BGJ604" s="224"/>
      <c r="BGK604" s="222"/>
      <c r="BGL604" s="222"/>
      <c r="BGM604" s="222"/>
      <c r="BGN604" s="222"/>
      <c r="BGO604" s="222"/>
      <c r="BGP604" s="222"/>
      <c r="BGQ604" s="223"/>
      <c r="BGR604" s="224"/>
      <c r="BGS604" s="222"/>
      <c r="BGT604" s="222"/>
      <c r="BGU604" s="222"/>
      <c r="BGV604" s="222"/>
      <c r="BGW604" s="222"/>
      <c r="BGX604" s="222"/>
      <c r="BGY604" s="223"/>
      <c r="BGZ604" s="224"/>
      <c r="BHA604" s="222"/>
      <c r="BHB604" s="222"/>
      <c r="BHC604" s="222"/>
      <c r="BHD604" s="222"/>
      <c r="BHE604" s="222"/>
      <c r="BHF604" s="222"/>
      <c r="BHG604" s="223"/>
      <c r="BHH604" s="224"/>
      <c r="BHI604" s="222"/>
      <c r="BHJ604" s="222"/>
      <c r="BHK604" s="222"/>
      <c r="BHL604" s="222"/>
      <c r="BHM604" s="222"/>
      <c r="BHN604" s="222"/>
      <c r="BHO604" s="223"/>
      <c r="BHP604" s="224"/>
      <c r="BHQ604" s="222"/>
      <c r="BHR604" s="222"/>
      <c r="BHS604" s="222"/>
      <c r="BHT604" s="222"/>
      <c r="BHU604" s="222"/>
      <c r="BHV604" s="222"/>
      <c r="BHW604" s="223"/>
      <c r="BHX604" s="224"/>
      <c r="BHY604" s="222"/>
      <c r="BHZ604" s="222"/>
      <c r="BIA604" s="222"/>
      <c r="BIB604" s="222"/>
      <c r="BIC604" s="222"/>
      <c r="BID604" s="222"/>
      <c r="BIE604" s="223"/>
      <c r="BIF604" s="224"/>
      <c r="BIG604" s="222"/>
      <c r="BIH604" s="222"/>
      <c r="BII604" s="222"/>
      <c r="BIJ604" s="222"/>
      <c r="BIK604" s="222"/>
      <c r="BIL604" s="222"/>
      <c r="BIM604" s="223"/>
      <c r="BIN604" s="224"/>
      <c r="BIO604" s="222"/>
      <c r="BIP604" s="222"/>
      <c r="BIQ604" s="222"/>
      <c r="BIR604" s="222"/>
      <c r="BIS604" s="222"/>
      <c r="BIT604" s="222"/>
      <c r="BIU604" s="223"/>
      <c r="BIV604" s="224"/>
      <c r="BIW604" s="222"/>
      <c r="BIX604" s="222"/>
      <c r="BIY604" s="222"/>
      <c r="BIZ604" s="222"/>
      <c r="BJA604" s="222"/>
      <c r="BJB604" s="222"/>
      <c r="BJC604" s="223"/>
      <c r="BJD604" s="224"/>
      <c r="BJE604" s="222"/>
      <c r="BJF604" s="222"/>
      <c r="BJG604" s="222"/>
      <c r="BJH604" s="222"/>
      <c r="BJI604" s="222"/>
      <c r="BJJ604" s="222"/>
      <c r="BJK604" s="223"/>
      <c r="BJL604" s="224"/>
      <c r="BJM604" s="222"/>
      <c r="BJN604" s="222"/>
      <c r="BJO604" s="222"/>
      <c r="BJP604" s="222"/>
      <c r="BJQ604" s="222"/>
      <c r="BJR604" s="222"/>
      <c r="BJS604" s="223"/>
      <c r="BJT604" s="224"/>
      <c r="BJU604" s="222"/>
      <c r="BJV604" s="222"/>
      <c r="BJW604" s="222"/>
      <c r="BJX604" s="222"/>
      <c r="BJY604" s="222"/>
      <c r="BJZ604" s="222"/>
      <c r="BKA604" s="223"/>
      <c r="BKB604" s="224"/>
      <c r="BKC604" s="222"/>
      <c r="BKD604" s="222"/>
      <c r="BKE604" s="222"/>
      <c r="BKF604" s="222"/>
      <c r="BKG604" s="222"/>
      <c r="BKH604" s="222"/>
      <c r="BKI604" s="223"/>
      <c r="BKJ604" s="224"/>
      <c r="BKK604" s="222"/>
      <c r="BKL604" s="222"/>
      <c r="BKM604" s="222"/>
      <c r="BKN604" s="222"/>
      <c r="BKO604" s="222"/>
      <c r="BKP604" s="222"/>
      <c r="BKQ604" s="223"/>
      <c r="BKR604" s="224"/>
      <c r="BKS604" s="222"/>
      <c r="BKT604" s="222"/>
      <c r="BKU604" s="222"/>
      <c r="BKV604" s="222"/>
      <c r="BKW604" s="222"/>
      <c r="BKX604" s="222"/>
      <c r="BKY604" s="223"/>
      <c r="BKZ604" s="224"/>
      <c r="BLA604" s="222"/>
      <c r="BLB604" s="222"/>
      <c r="BLC604" s="222"/>
      <c r="BLD604" s="222"/>
      <c r="BLE604" s="222"/>
      <c r="BLF604" s="222"/>
      <c r="BLG604" s="223"/>
      <c r="BLH604" s="224"/>
      <c r="BLI604" s="222"/>
      <c r="BLJ604" s="222"/>
      <c r="BLK604" s="222"/>
      <c r="BLL604" s="222"/>
      <c r="BLM604" s="222"/>
      <c r="BLN604" s="222"/>
      <c r="BLO604" s="223"/>
      <c r="BLP604" s="224"/>
      <c r="BLQ604" s="222"/>
      <c r="BLR604" s="222"/>
      <c r="BLS604" s="222"/>
      <c r="BLT604" s="222"/>
      <c r="BLU604" s="222"/>
      <c r="BLV604" s="222"/>
      <c r="BLW604" s="223"/>
      <c r="BLX604" s="224"/>
      <c r="BLY604" s="222"/>
      <c r="BLZ604" s="222"/>
      <c r="BMA604" s="222"/>
      <c r="BMB604" s="222"/>
      <c r="BMC604" s="222"/>
      <c r="BMD604" s="222"/>
      <c r="BME604" s="223"/>
      <c r="BMF604" s="224"/>
      <c r="BMG604" s="222"/>
      <c r="BMH604" s="222"/>
      <c r="BMI604" s="222"/>
      <c r="BMJ604" s="222"/>
      <c r="BMK604" s="222"/>
      <c r="BML604" s="222"/>
      <c r="BMM604" s="223"/>
      <c r="BMN604" s="224"/>
      <c r="BMO604" s="222"/>
      <c r="BMP604" s="222"/>
      <c r="BMQ604" s="222"/>
      <c r="BMR604" s="222"/>
      <c r="BMS604" s="222"/>
      <c r="BMT604" s="222"/>
      <c r="BMU604" s="223"/>
      <c r="BMV604" s="224"/>
      <c r="BMW604" s="222"/>
      <c r="BMX604" s="222"/>
      <c r="BMY604" s="222"/>
      <c r="BMZ604" s="222"/>
      <c r="BNA604" s="222"/>
      <c r="BNB604" s="222"/>
      <c r="BNC604" s="223"/>
      <c r="BND604" s="224"/>
      <c r="BNE604" s="222"/>
      <c r="BNF604" s="222"/>
      <c r="BNG604" s="222"/>
      <c r="BNH604" s="222"/>
      <c r="BNI604" s="222"/>
      <c r="BNJ604" s="222"/>
      <c r="BNK604" s="223"/>
      <c r="BNL604" s="224"/>
      <c r="BNM604" s="222"/>
      <c r="BNN604" s="222"/>
      <c r="BNO604" s="222"/>
      <c r="BNP604" s="222"/>
      <c r="BNQ604" s="222"/>
      <c r="BNR604" s="222"/>
      <c r="BNS604" s="223"/>
      <c r="BNT604" s="224"/>
      <c r="BNU604" s="222"/>
      <c r="BNV604" s="222"/>
      <c r="BNW604" s="222"/>
      <c r="BNX604" s="222"/>
      <c r="BNY604" s="222"/>
      <c r="BNZ604" s="222"/>
      <c r="BOA604" s="223"/>
      <c r="BOB604" s="224"/>
      <c r="BOC604" s="222"/>
      <c r="BOD604" s="222"/>
      <c r="BOE604" s="222"/>
      <c r="BOF604" s="222"/>
      <c r="BOG604" s="222"/>
      <c r="BOH604" s="222"/>
      <c r="BOI604" s="223"/>
      <c r="BOJ604" s="224"/>
      <c r="BOK604" s="222"/>
      <c r="BOL604" s="222"/>
      <c r="BOM604" s="222"/>
      <c r="BON604" s="222"/>
      <c r="BOO604" s="222"/>
      <c r="BOP604" s="222"/>
      <c r="BOQ604" s="223"/>
      <c r="BOR604" s="224"/>
      <c r="BOS604" s="222"/>
      <c r="BOT604" s="222"/>
      <c r="BOU604" s="222"/>
      <c r="BOV604" s="222"/>
      <c r="BOW604" s="222"/>
      <c r="BOX604" s="222"/>
      <c r="BOY604" s="223"/>
      <c r="BOZ604" s="224"/>
      <c r="BPA604" s="222"/>
      <c r="BPB604" s="222"/>
      <c r="BPC604" s="222"/>
      <c r="BPD604" s="222"/>
      <c r="BPE604" s="222"/>
      <c r="BPF604" s="222"/>
      <c r="BPG604" s="223"/>
      <c r="BPH604" s="224"/>
      <c r="BPI604" s="222"/>
      <c r="BPJ604" s="222"/>
      <c r="BPK604" s="222"/>
      <c r="BPL604" s="222"/>
      <c r="BPM604" s="222"/>
      <c r="BPN604" s="222"/>
      <c r="BPO604" s="223"/>
      <c r="BPP604" s="224"/>
      <c r="BPQ604" s="222"/>
      <c r="BPR604" s="222"/>
      <c r="BPS604" s="222"/>
      <c r="BPT604" s="222"/>
      <c r="BPU604" s="222"/>
      <c r="BPV604" s="222"/>
      <c r="BPW604" s="223"/>
      <c r="BPX604" s="224"/>
      <c r="BPY604" s="222"/>
      <c r="BPZ604" s="222"/>
      <c r="BQA604" s="222"/>
      <c r="BQB604" s="222"/>
      <c r="BQC604" s="222"/>
      <c r="BQD604" s="222"/>
      <c r="BQE604" s="223"/>
      <c r="BQF604" s="224"/>
      <c r="BQG604" s="222"/>
      <c r="BQH604" s="222"/>
      <c r="BQI604" s="222"/>
      <c r="BQJ604" s="222"/>
      <c r="BQK604" s="222"/>
      <c r="BQL604" s="222"/>
      <c r="BQM604" s="223"/>
      <c r="BQN604" s="224"/>
      <c r="BQO604" s="222"/>
      <c r="BQP604" s="222"/>
      <c r="BQQ604" s="222"/>
      <c r="BQR604" s="222"/>
      <c r="BQS604" s="222"/>
      <c r="BQT604" s="222"/>
      <c r="BQU604" s="223"/>
      <c r="BQV604" s="224"/>
      <c r="BQW604" s="222"/>
      <c r="BQX604" s="222"/>
      <c r="BQY604" s="222"/>
      <c r="BQZ604" s="222"/>
      <c r="BRA604" s="222"/>
      <c r="BRB604" s="222"/>
      <c r="BRC604" s="223"/>
      <c r="BRD604" s="224"/>
      <c r="BRE604" s="222"/>
      <c r="BRF604" s="222"/>
      <c r="BRG604" s="222"/>
      <c r="BRH604" s="222"/>
      <c r="BRI604" s="222"/>
      <c r="BRJ604" s="222"/>
      <c r="BRK604" s="223"/>
      <c r="BRL604" s="224"/>
      <c r="BRM604" s="222"/>
      <c r="BRN604" s="222"/>
      <c r="BRO604" s="222"/>
      <c r="BRP604" s="222"/>
      <c r="BRQ604" s="222"/>
      <c r="BRR604" s="222"/>
      <c r="BRS604" s="223"/>
      <c r="BRT604" s="224"/>
      <c r="BRU604" s="222"/>
      <c r="BRV604" s="222"/>
      <c r="BRW604" s="222"/>
      <c r="BRX604" s="222"/>
      <c r="BRY604" s="222"/>
      <c r="BRZ604" s="222"/>
      <c r="BSA604" s="223"/>
      <c r="BSB604" s="224"/>
      <c r="BSC604" s="222"/>
      <c r="BSD604" s="222"/>
      <c r="BSE604" s="222"/>
      <c r="BSF604" s="222"/>
      <c r="BSG604" s="222"/>
      <c r="BSH604" s="222"/>
      <c r="BSI604" s="223"/>
      <c r="BSJ604" s="224"/>
      <c r="BSK604" s="222"/>
      <c r="BSL604" s="222"/>
      <c r="BSM604" s="222"/>
      <c r="BSN604" s="222"/>
      <c r="BSO604" s="222"/>
      <c r="BSP604" s="222"/>
      <c r="BSQ604" s="223"/>
      <c r="BSR604" s="224"/>
      <c r="BSS604" s="222"/>
      <c r="BST604" s="222"/>
      <c r="BSU604" s="222"/>
      <c r="BSV604" s="222"/>
      <c r="BSW604" s="222"/>
      <c r="BSX604" s="222"/>
      <c r="BSY604" s="223"/>
      <c r="BSZ604" s="224"/>
      <c r="BTA604" s="222"/>
      <c r="BTB604" s="222"/>
      <c r="BTC604" s="222"/>
      <c r="BTD604" s="222"/>
      <c r="BTE604" s="222"/>
      <c r="BTF604" s="222"/>
      <c r="BTG604" s="223"/>
      <c r="BTH604" s="224"/>
      <c r="BTI604" s="222"/>
      <c r="BTJ604" s="222"/>
      <c r="BTK604" s="222"/>
      <c r="BTL604" s="222"/>
      <c r="BTM604" s="222"/>
      <c r="BTN604" s="222"/>
      <c r="BTO604" s="223"/>
      <c r="BTP604" s="224"/>
      <c r="BTQ604" s="222"/>
      <c r="BTR604" s="222"/>
      <c r="BTS604" s="222"/>
      <c r="BTT604" s="222"/>
      <c r="BTU604" s="222"/>
      <c r="BTV604" s="222"/>
      <c r="BTW604" s="223"/>
      <c r="BTX604" s="224"/>
      <c r="BTY604" s="222"/>
      <c r="BTZ604" s="222"/>
      <c r="BUA604" s="222"/>
      <c r="BUB604" s="222"/>
      <c r="BUC604" s="222"/>
      <c r="BUD604" s="222"/>
      <c r="BUE604" s="223"/>
      <c r="BUF604" s="224"/>
      <c r="BUG604" s="222"/>
      <c r="BUH604" s="222"/>
      <c r="BUI604" s="222"/>
      <c r="BUJ604" s="222"/>
      <c r="BUK604" s="222"/>
      <c r="BUL604" s="222"/>
      <c r="BUM604" s="223"/>
      <c r="BUN604" s="224"/>
      <c r="BUO604" s="222"/>
      <c r="BUP604" s="222"/>
      <c r="BUQ604" s="222"/>
      <c r="BUR604" s="222"/>
      <c r="BUS604" s="222"/>
      <c r="BUT604" s="222"/>
      <c r="BUU604" s="223"/>
      <c r="BUV604" s="224"/>
      <c r="BUW604" s="222"/>
      <c r="BUX604" s="222"/>
      <c r="BUY604" s="222"/>
      <c r="BUZ604" s="222"/>
      <c r="BVA604" s="222"/>
      <c r="BVB604" s="222"/>
      <c r="BVC604" s="223"/>
      <c r="BVD604" s="224"/>
      <c r="BVE604" s="222"/>
      <c r="BVF604" s="222"/>
      <c r="BVG604" s="222"/>
      <c r="BVH604" s="222"/>
      <c r="BVI604" s="222"/>
      <c r="BVJ604" s="222"/>
      <c r="BVK604" s="223"/>
      <c r="BVL604" s="224"/>
      <c r="BVM604" s="222"/>
      <c r="BVN604" s="222"/>
      <c r="BVO604" s="222"/>
      <c r="BVP604" s="222"/>
      <c r="BVQ604" s="222"/>
      <c r="BVR604" s="222"/>
      <c r="BVS604" s="223"/>
      <c r="BVT604" s="224"/>
      <c r="BVU604" s="222"/>
      <c r="BVV604" s="222"/>
      <c r="BVW604" s="222"/>
      <c r="BVX604" s="222"/>
      <c r="BVY604" s="222"/>
      <c r="BVZ604" s="222"/>
      <c r="BWA604" s="223"/>
      <c r="BWB604" s="224"/>
      <c r="BWC604" s="222"/>
      <c r="BWD604" s="222"/>
      <c r="BWE604" s="222"/>
      <c r="BWF604" s="222"/>
      <c r="BWG604" s="222"/>
      <c r="BWH604" s="222"/>
      <c r="BWI604" s="223"/>
      <c r="BWJ604" s="224"/>
      <c r="BWK604" s="222"/>
      <c r="BWL604" s="222"/>
      <c r="BWM604" s="222"/>
      <c r="BWN604" s="222"/>
      <c r="BWO604" s="222"/>
      <c r="BWP604" s="222"/>
      <c r="BWQ604" s="223"/>
      <c r="BWR604" s="224"/>
      <c r="BWS604" s="222"/>
      <c r="BWT604" s="222"/>
      <c r="BWU604" s="222"/>
      <c r="BWV604" s="222"/>
      <c r="BWW604" s="222"/>
      <c r="BWX604" s="222"/>
      <c r="BWY604" s="223"/>
      <c r="BWZ604" s="224"/>
      <c r="BXA604" s="222"/>
      <c r="BXB604" s="222"/>
      <c r="BXC604" s="222"/>
      <c r="BXD604" s="222"/>
      <c r="BXE604" s="222"/>
      <c r="BXF604" s="222"/>
      <c r="BXG604" s="223"/>
      <c r="BXH604" s="224"/>
      <c r="BXI604" s="222"/>
      <c r="BXJ604" s="222"/>
      <c r="BXK604" s="222"/>
      <c r="BXL604" s="222"/>
      <c r="BXM604" s="222"/>
      <c r="BXN604" s="222"/>
      <c r="BXO604" s="223"/>
      <c r="BXP604" s="224"/>
      <c r="BXQ604" s="222"/>
      <c r="BXR604" s="222"/>
      <c r="BXS604" s="222"/>
      <c r="BXT604" s="222"/>
      <c r="BXU604" s="222"/>
      <c r="BXV604" s="222"/>
      <c r="BXW604" s="223"/>
      <c r="BXX604" s="224"/>
      <c r="BXY604" s="222"/>
      <c r="BXZ604" s="222"/>
      <c r="BYA604" s="222"/>
      <c r="BYB604" s="222"/>
      <c r="BYC604" s="222"/>
      <c r="BYD604" s="222"/>
      <c r="BYE604" s="223"/>
      <c r="BYF604" s="224"/>
      <c r="BYG604" s="222"/>
      <c r="BYH604" s="222"/>
      <c r="BYI604" s="222"/>
      <c r="BYJ604" s="222"/>
      <c r="BYK604" s="222"/>
      <c r="BYL604" s="222"/>
      <c r="BYM604" s="223"/>
      <c r="BYN604" s="224"/>
      <c r="BYO604" s="222"/>
      <c r="BYP604" s="222"/>
      <c r="BYQ604" s="222"/>
      <c r="BYR604" s="222"/>
      <c r="BYS604" s="222"/>
      <c r="BYT604" s="222"/>
      <c r="BYU604" s="223"/>
      <c r="BYV604" s="224"/>
      <c r="BYW604" s="222"/>
      <c r="BYX604" s="222"/>
      <c r="BYY604" s="222"/>
      <c r="BYZ604" s="222"/>
      <c r="BZA604" s="222"/>
      <c r="BZB604" s="222"/>
      <c r="BZC604" s="223"/>
      <c r="BZD604" s="224"/>
      <c r="BZE604" s="222"/>
      <c r="BZF604" s="222"/>
      <c r="BZG604" s="222"/>
      <c r="BZH604" s="222"/>
      <c r="BZI604" s="222"/>
      <c r="BZJ604" s="222"/>
      <c r="BZK604" s="223"/>
      <c r="BZL604" s="224"/>
      <c r="BZM604" s="222"/>
      <c r="BZN604" s="222"/>
      <c r="BZO604" s="222"/>
      <c r="BZP604" s="222"/>
      <c r="BZQ604" s="222"/>
      <c r="BZR604" s="222"/>
      <c r="BZS604" s="223"/>
      <c r="BZT604" s="224"/>
      <c r="BZU604" s="222"/>
      <c r="BZV604" s="222"/>
      <c r="BZW604" s="222"/>
      <c r="BZX604" s="222"/>
      <c r="BZY604" s="222"/>
      <c r="BZZ604" s="222"/>
      <c r="CAA604" s="223"/>
      <c r="CAB604" s="224"/>
      <c r="CAC604" s="222"/>
      <c r="CAD604" s="222"/>
      <c r="CAE604" s="222"/>
      <c r="CAF604" s="222"/>
      <c r="CAG604" s="222"/>
      <c r="CAH604" s="222"/>
      <c r="CAI604" s="223"/>
      <c r="CAJ604" s="224"/>
      <c r="CAK604" s="222"/>
      <c r="CAL604" s="222"/>
      <c r="CAM604" s="222"/>
      <c r="CAN604" s="222"/>
      <c r="CAO604" s="222"/>
      <c r="CAP604" s="222"/>
      <c r="CAQ604" s="223"/>
      <c r="CAR604" s="224"/>
      <c r="CAS604" s="222"/>
      <c r="CAT604" s="222"/>
      <c r="CAU604" s="222"/>
      <c r="CAV604" s="222"/>
      <c r="CAW604" s="222"/>
      <c r="CAX604" s="222"/>
      <c r="CAY604" s="223"/>
      <c r="CAZ604" s="224"/>
      <c r="CBA604" s="222"/>
      <c r="CBB604" s="222"/>
      <c r="CBC604" s="222"/>
      <c r="CBD604" s="222"/>
      <c r="CBE604" s="222"/>
      <c r="CBF604" s="222"/>
      <c r="CBG604" s="223"/>
      <c r="CBH604" s="224"/>
      <c r="CBI604" s="222"/>
      <c r="CBJ604" s="222"/>
      <c r="CBK604" s="222"/>
      <c r="CBL604" s="222"/>
      <c r="CBM604" s="222"/>
      <c r="CBN604" s="222"/>
      <c r="CBO604" s="223"/>
      <c r="CBP604" s="224"/>
      <c r="CBQ604" s="222"/>
      <c r="CBR604" s="222"/>
      <c r="CBS604" s="222"/>
      <c r="CBT604" s="222"/>
      <c r="CBU604" s="222"/>
      <c r="CBV604" s="222"/>
      <c r="CBW604" s="223"/>
      <c r="CBX604" s="224"/>
      <c r="CBY604" s="222"/>
      <c r="CBZ604" s="222"/>
      <c r="CCA604" s="222"/>
      <c r="CCB604" s="222"/>
      <c r="CCC604" s="222"/>
      <c r="CCD604" s="222"/>
      <c r="CCE604" s="223"/>
      <c r="CCF604" s="224"/>
      <c r="CCG604" s="222"/>
      <c r="CCH604" s="222"/>
      <c r="CCI604" s="222"/>
      <c r="CCJ604" s="222"/>
      <c r="CCK604" s="222"/>
      <c r="CCL604" s="222"/>
      <c r="CCM604" s="223"/>
      <c r="CCN604" s="224"/>
      <c r="CCO604" s="222"/>
      <c r="CCP604" s="222"/>
      <c r="CCQ604" s="222"/>
      <c r="CCR604" s="222"/>
      <c r="CCS604" s="222"/>
      <c r="CCT604" s="222"/>
      <c r="CCU604" s="223"/>
      <c r="CCV604" s="224"/>
      <c r="CCW604" s="222"/>
      <c r="CCX604" s="222"/>
      <c r="CCY604" s="222"/>
      <c r="CCZ604" s="222"/>
      <c r="CDA604" s="222"/>
      <c r="CDB604" s="222"/>
      <c r="CDC604" s="223"/>
      <c r="CDD604" s="224"/>
      <c r="CDE604" s="222"/>
      <c r="CDF604" s="222"/>
      <c r="CDG604" s="222"/>
      <c r="CDH604" s="222"/>
      <c r="CDI604" s="222"/>
      <c r="CDJ604" s="222"/>
      <c r="CDK604" s="223"/>
      <c r="CDL604" s="224"/>
      <c r="CDM604" s="222"/>
      <c r="CDN604" s="222"/>
      <c r="CDO604" s="222"/>
      <c r="CDP604" s="222"/>
      <c r="CDQ604" s="222"/>
      <c r="CDR604" s="222"/>
      <c r="CDS604" s="223"/>
      <c r="CDT604" s="224"/>
      <c r="CDU604" s="222"/>
      <c r="CDV604" s="222"/>
      <c r="CDW604" s="222"/>
      <c r="CDX604" s="222"/>
      <c r="CDY604" s="222"/>
      <c r="CDZ604" s="222"/>
      <c r="CEA604" s="223"/>
      <c r="CEB604" s="224"/>
      <c r="CEC604" s="222"/>
      <c r="CED604" s="222"/>
      <c r="CEE604" s="222"/>
      <c r="CEF604" s="222"/>
      <c r="CEG604" s="222"/>
      <c r="CEH604" s="222"/>
      <c r="CEI604" s="223"/>
      <c r="CEJ604" s="224"/>
      <c r="CEK604" s="222"/>
      <c r="CEL604" s="222"/>
      <c r="CEM604" s="222"/>
      <c r="CEN604" s="222"/>
      <c r="CEO604" s="222"/>
      <c r="CEP604" s="222"/>
      <c r="CEQ604" s="223"/>
      <c r="CER604" s="224"/>
      <c r="CES604" s="222"/>
      <c r="CET604" s="222"/>
      <c r="CEU604" s="222"/>
      <c r="CEV604" s="222"/>
      <c r="CEW604" s="222"/>
      <c r="CEX604" s="222"/>
      <c r="CEY604" s="223"/>
      <c r="CEZ604" s="224"/>
      <c r="CFA604" s="222"/>
      <c r="CFB604" s="222"/>
      <c r="CFC604" s="222"/>
      <c r="CFD604" s="222"/>
      <c r="CFE604" s="222"/>
      <c r="CFF604" s="222"/>
      <c r="CFG604" s="223"/>
      <c r="CFH604" s="224"/>
      <c r="CFI604" s="222"/>
      <c r="CFJ604" s="222"/>
      <c r="CFK604" s="222"/>
      <c r="CFL604" s="222"/>
      <c r="CFM604" s="222"/>
      <c r="CFN604" s="222"/>
      <c r="CFO604" s="223"/>
      <c r="CFP604" s="224"/>
      <c r="CFQ604" s="222"/>
      <c r="CFR604" s="222"/>
      <c r="CFS604" s="222"/>
      <c r="CFT604" s="222"/>
      <c r="CFU604" s="222"/>
      <c r="CFV604" s="222"/>
      <c r="CFW604" s="223"/>
      <c r="CFX604" s="224"/>
      <c r="CFY604" s="222"/>
      <c r="CFZ604" s="222"/>
      <c r="CGA604" s="222"/>
      <c r="CGB604" s="222"/>
      <c r="CGC604" s="222"/>
      <c r="CGD604" s="222"/>
      <c r="CGE604" s="223"/>
      <c r="CGF604" s="224"/>
      <c r="CGG604" s="222"/>
      <c r="CGH604" s="222"/>
      <c r="CGI604" s="222"/>
      <c r="CGJ604" s="222"/>
      <c r="CGK604" s="222"/>
      <c r="CGL604" s="222"/>
      <c r="CGM604" s="223"/>
      <c r="CGN604" s="224"/>
      <c r="CGO604" s="222"/>
      <c r="CGP604" s="222"/>
      <c r="CGQ604" s="222"/>
      <c r="CGR604" s="222"/>
      <c r="CGS604" s="222"/>
      <c r="CGT604" s="222"/>
      <c r="CGU604" s="223"/>
      <c r="CGV604" s="224"/>
      <c r="CGW604" s="222"/>
      <c r="CGX604" s="222"/>
      <c r="CGY604" s="222"/>
      <c r="CGZ604" s="222"/>
      <c r="CHA604" s="222"/>
      <c r="CHB604" s="222"/>
      <c r="CHC604" s="223"/>
      <c r="CHD604" s="224"/>
      <c r="CHE604" s="222"/>
      <c r="CHF604" s="222"/>
      <c r="CHG604" s="222"/>
      <c r="CHH604" s="222"/>
      <c r="CHI604" s="222"/>
      <c r="CHJ604" s="222"/>
      <c r="CHK604" s="223"/>
      <c r="CHL604" s="224"/>
      <c r="CHM604" s="222"/>
      <c r="CHN604" s="222"/>
      <c r="CHO604" s="222"/>
      <c r="CHP604" s="222"/>
      <c r="CHQ604" s="222"/>
      <c r="CHR604" s="222"/>
      <c r="CHS604" s="223"/>
      <c r="CHT604" s="224"/>
      <c r="CHU604" s="222"/>
      <c r="CHV604" s="222"/>
      <c r="CHW604" s="222"/>
      <c r="CHX604" s="222"/>
      <c r="CHY604" s="222"/>
      <c r="CHZ604" s="222"/>
      <c r="CIA604" s="223"/>
      <c r="CIB604" s="224"/>
      <c r="CIC604" s="222"/>
      <c r="CID604" s="222"/>
      <c r="CIE604" s="222"/>
      <c r="CIF604" s="222"/>
      <c r="CIG604" s="222"/>
      <c r="CIH604" s="222"/>
      <c r="CII604" s="223"/>
      <c r="CIJ604" s="224"/>
      <c r="CIK604" s="222"/>
      <c r="CIL604" s="222"/>
      <c r="CIM604" s="222"/>
      <c r="CIN604" s="222"/>
      <c r="CIO604" s="222"/>
      <c r="CIP604" s="222"/>
      <c r="CIQ604" s="223"/>
      <c r="CIR604" s="224"/>
      <c r="CIS604" s="222"/>
      <c r="CIT604" s="222"/>
      <c r="CIU604" s="222"/>
      <c r="CIV604" s="222"/>
      <c r="CIW604" s="222"/>
      <c r="CIX604" s="222"/>
      <c r="CIY604" s="223"/>
      <c r="CIZ604" s="224"/>
      <c r="CJA604" s="222"/>
      <c r="CJB604" s="222"/>
      <c r="CJC604" s="222"/>
      <c r="CJD604" s="222"/>
      <c r="CJE604" s="222"/>
      <c r="CJF604" s="222"/>
      <c r="CJG604" s="223"/>
      <c r="CJH604" s="224"/>
      <c r="CJI604" s="222"/>
      <c r="CJJ604" s="222"/>
      <c r="CJK604" s="222"/>
      <c r="CJL604" s="222"/>
      <c r="CJM604" s="222"/>
      <c r="CJN604" s="222"/>
      <c r="CJO604" s="223"/>
      <c r="CJP604" s="224"/>
      <c r="CJQ604" s="222"/>
      <c r="CJR604" s="222"/>
      <c r="CJS604" s="222"/>
      <c r="CJT604" s="222"/>
      <c r="CJU604" s="222"/>
      <c r="CJV604" s="222"/>
      <c r="CJW604" s="223"/>
      <c r="CJX604" s="224"/>
      <c r="CJY604" s="222"/>
      <c r="CJZ604" s="222"/>
      <c r="CKA604" s="222"/>
      <c r="CKB604" s="222"/>
      <c r="CKC604" s="222"/>
      <c r="CKD604" s="222"/>
      <c r="CKE604" s="223"/>
      <c r="CKF604" s="224"/>
      <c r="CKG604" s="222"/>
      <c r="CKH604" s="222"/>
      <c r="CKI604" s="222"/>
      <c r="CKJ604" s="222"/>
      <c r="CKK604" s="222"/>
      <c r="CKL604" s="222"/>
      <c r="CKM604" s="223"/>
      <c r="CKN604" s="224"/>
      <c r="CKO604" s="222"/>
      <c r="CKP604" s="222"/>
      <c r="CKQ604" s="222"/>
      <c r="CKR604" s="222"/>
      <c r="CKS604" s="222"/>
      <c r="CKT604" s="222"/>
      <c r="CKU604" s="223"/>
      <c r="CKV604" s="224"/>
      <c r="CKW604" s="222"/>
      <c r="CKX604" s="222"/>
      <c r="CKY604" s="222"/>
      <c r="CKZ604" s="222"/>
      <c r="CLA604" s="222"/>
      <c r="CLB604" s="222"/>
      <c r="CLC604" s="223"/>
      <c r="CLD604" s="224"/>
      <c r="CLE604" s="222"/>
      <c r="CLF604" s="222"/>
      <c r="CLG604" s="222"/>
      <c r="CLH604" s="222"/>
      <c r="CLI604" s="222"/>
      <c r="CLJ604" s="222"/>
      <c r="CLK604" s="223"/>
      <c r="CLL604" s="224"/>
      <c r="CLM604" s="222"/>
      <c r="CLN604" s="222"/>
      <c r="CLO604" s="222"/>
      <c r="CLP604" s="222"/>
      <c r="CLQ604" s="222"/>
      <c r="CLR604" s="222"/>
      <c r="CLS604" s="223"/>
      <c r="CLT604" s="224"/>
      <c r="CLU604" s="222"/>
      <c r="CLV604" s="222"/>
      <c r="CLW604" s="222"/>
      <c r="CLX604" s="222"/>
      <c r="CLY604" s="222"/>
      <c r="CLZ604" s="222"/>
      <c r="CMA604" s="223"/>
      <c r="CMB604" s="224"/>
      <c r="CMC604" s="222"/>
      <c r="CMD604" s="222"/>
      <c r="CME604" s="222"/>
      <c r="CMF604" s="222"/>
      <c r="CMG604" s="222"/>
      <c r="CMH604" s="222"/>
      <c r="CMI604" s="223"/>
      <c r="CMJ604" s="224"/>
      <c r="CMK604" s="222"/>
      <c r="CML604" s="222"/>
      <c r="CMM604" s="222"/>
      <c r="CMN604" s="222"/>
      <c r="CMO604" s="222"/>
      <c r="CMP604" s="222"/>
      <c r="CMQ604" s="223"/>
      <c r="CMR604" s="224"/>
      <c r="CMS604" s="222"/>
      <c r="CMT604" s="222"/>
      <c r="CMU604" s="222"/>
      <c r="CMV604" s="222"/>
      <c r="CMW604" s="222"/>
      <c r="CMX604" s="222"/>
      <c r="CMY604" s="223"/>
      <c r="CMZ604" s="224"/>
      <c r="CNA604" s="222"/>
      <c r="CNB604" s="222"/>
      <c r="CNC604" s="222"/>
      <c r="CND604" s="222"/>
      <c r="CNE604" s="222"/>
      <c r="CNF604" s="222"/>
      <c r="CNG604" s="223"/>
      <c r="CNH604" s="224"/>
      <c r="CNI604" s="222"/>
      <c r="CNJ604" s="222"/>
      <c r="CNK604" s="222"/>
      <c r="CNL604" s="222"/>
      <c r="CNM604" s="222"/>
      <c r="CNN604" s="222"/>
      <c r="CNO604" s="223"/>
      <c r="CNP604" s="224"/>
      <c r="CNQ604" s="222"/>
      <c r="CNR604" s="222"/>
      <c r="CNS604" s="222"/>
      <c r="CNT604" s="222"/>
      <c r="CNU604" s="222"/>
      <c r="CNV604" s="222"/>
      <c r="CNW604" s="223"/>
      <c r="CNX604" s="224"/>
      <c r="CNY604" s="222"/>
      <c r="CNZ604" s="222"/>
      <c r="COA604" s="222"/>
      <c r="COB604" s="222"/>
      <c r="COC604" s="222"/>
      <c r="COD604" s="222"/>
      <c r="COE604" s="223"/>
      <c r="COF604" s="224"/>
      <c r="COG604" s="222"/>
      <c r="COH604" s="222"/>
      <c r="COI604" s="222"/>
      <c r="COJ604" s="222"/>
      <c r="COK604" s="222"/>
      <c r="COL604" s="222"/>
      <c r="COM604" s="223"/>
      <c r="CON604" s="224"/>
      <c r="COO604" s="222"/>
      <c r="COP604" s="222"/>
      <c r="COQ604" s="222"/>
      <c r="COR604" s="222"/>
      <c r="COS604" s="222"/>
      <c r="COT604" s="222"/>
      <c r="COU604" s="223"/>
      <c r="COV604" s="224"/>
      <c r="COW604" s="222"/>
      <c r="COX604" s="222"/>
      <c r="COY604" s="222"/>
      <c r="COZ604" s="222"/>
      <c r="CPA604" s="222"/>
      <c r="CPB604" s="222"/>
      <c r="CPC604" s="223"/>
      <c r="CPD604" s="224"/>
      <c r="CPE604" s="222"/>
      <c r="CPF604" s="222"/>
      <c r="CPG604" s="222"/>
      <c r="CPH604" s="222"/>
      <c r="CPI604" s="222"/>
      <c r="CPJ604" s="222"/>
      <c r="CPK604" s="223"/>
      <c r="CPL604" s="224"/>
      <c r="CPM604" s="222"/>
      <c r="CPN604" s="222"/>
      <c r="CPO604" s="222"/>
      <c r="CPP604" s="222"/>
      <c r="CPQ604" s="222"/>
      <c r="CPR604" s="222"/>
      <c r="CPS604" s="223"/>
      <c r="CPT604" s="224"/>
      <c r="CPU604" s="222"/>
      <c r="CPV604" s="222"/>
      <c r="CPW604" s="222"/>
      <c r="CPX604" s="222"/>
      <c r="CPY604" s="222"/>
      <c r="CPZ604" s="222"/>
      <c r="CQA604" s="223"/>
      <c r="CQB604" s="224"/>
      <c r="CQC604" s="222"/>
      <c r="CQD604" s="222"/>
      <c r="CQE604" s="222"/>
      <c r="CQF604" s="222"/>
      <c r="CQG604" s="222"/>
      <c r="CQH604" s="222"/>
      <c r="CQI604" s="223"/>
      <c r="CQJ604" s="224"/>
      <c r="CQK604" s="222"/>
      <c r="CQL604" s="222"/>
      <c r="CQM604" s="222"/>
      <c r="CQN604" s="222"/>
      <c r="CQO604" s="222"/>
      <c r="CQP604" s="222"/>
      <c r="CQQ604" s="223"/>
      <c r="CQR604" s="224"/>
      <c r="CQS604" s="222"/>
      <c r="CQT604" s="222"/>
      <c r="CQU604" s="222"/>
      <c r="CQV604" s="222"/>
      <c r="CQW604" s="222"/>
      <c r="CQX604" s="222"/>
      <c r="CQY604" s="223"/>
      <c r="CQZ604" s="224"/>
      <c r="CRA604" s="222"/>
      <c r="CRB604" s="222"/>
      <c r="CRC604" s="222"/>
      <c r="CRD604" s="222"/>
      <c r="CRE604" s="222"/>
      <c r="CRF604" s="222"/>
      <c r="CRG604" s="223"/>
      <c r="CRH604" s="224"/>
      <c r="CRI604" s="222"/>
      <c r="CRJ604" s="222"/>
      <c r="CRK604" s="222"/>
      <c r="CRL604" s="222"/>
      <c r="CRM604" s="222"/>
      <c r="CRN604" s="222"/>
      <c r="CRO604" s="223"/>
      <c r="CRP604" s="224"/>
      <c r="CRQ604" s="222"/>
      <c r="CRR604" s="222"/>
      <c r="CRS604" s="222"/>
      <c r="CRT604" s="222"/>
      <c r="CRU604" s="222"/>
      <c r="CRV604" s="222"/>
      <c r="CRW604" s="223"/>
      <c r="CRX604" s="224"/>
      <c r="CRY604" s="222"/>
      <c r="CRZ604" s="222"/>
      <c r="CSA604" s="222"/>
      <c r="CSB604" s="222"/>
      <c r="CSC604" s="222"/>
      <c r="CSD604" s="222"/>
      <c r="CSE604" s="223"/>
      <c r="CSF604" s="224"/>
      <c r="CSG604" s="222"/>
      <c r="CSH604" s="222"/>
      <c r="CSI604" s="222"/>
      <c r="CSJ604" s="222"/>
      <c r="CSK604" s="222"/>
      <c r="CSL604" s="222"/>
      <c r="CSM604" s="223"/>
      <c r="CSN604" s="224"/>
      <c r="CSO604" s="222"/>
      <c r="CSP604" s="222"/>
      <c r="CSQ604" s="222"/>
      <c r="CSR604" s="222"/>
      <c r="CSS604" s="222"/>
      <c r="CST604" s="222"/>
      <c r="CSU604" s="223"/>
      <c r="CSV604" s="224"/>
      <c r="CSW604" s="222"/>
      <c r="CSX604" s="222"/>
      <c r="CSY604" s="222"/>
      <c r="CSZ604" s="222"/>
      <c r="CTA604" s="222"/>
      <c r="CTB604" s="222"/>
      <c r="CTC604" s="223"/>
      <c r="CTD604" s="224"/>
      <c r="CTE604" s="222"/>
      <c r="CTF604" s="222"/>
      <c r="CTG604" s="222"/>
      <c r="CTH604" s="222"/>
      <c r="CTI604" s="222"/>
      <c r="CTJ604" s="222"/>
      <c r="CTK604" s="223"/>
      <c r="CTL604" s="224"/>
      <c r="CTM604" s="222"/>
      <c r="CTN604" s="222"/>
      <c r="CTO604" s="222"/>
      <c r="CTP604" s="222"/>
      <c r="CTQ604" s="222"/>
      <c r="CTR604" s="222"/>
      <c r="CTS604" s="223"/>
      <c r="CTT604" s="224"/>
      <c r="CTU604" s="222"/>
      <c r="CTV604" s="222"/>
      <c r="CTW604" s="222"/>
      <c r="CTX604" s="222"/>
      <c r="CTY604" s="222"/>
      <c r="CTZ604" s="222"/>
      <c r="CUA604" s="223"/>
      <c r="CUB604" s="224"/>
      <c r="CUC604" s="222"/>
      <c r="CUD604" s="222"/>
      <c r="CUE604" s="222"/>
      <c r="CUF604" s="222"/>
      <c r="CUG604" s="222"/>
      <c r="CUH604" s="222"/>
      <c r="CUI604" s="223"/>
      <c r="CUJ604" s="224"/>
      <c r="CUK604" s="222"/>
      <c r="CUL604" s="222"/>
      <c r="CUM604" s="222"/>
      <c r="CUN604" s="222"/>
      <c r="CUO604" s="222"/>
      <c r="CUP604" s="222"/>
      <c r="CUQ604" s="223"/>
      <c r="CUR604" s="224"/>
      <c r="CUS604" s="222"/>
      <c r="CUT604" s="222"/>
      <c r="CUU604" s="222"/>
      <c r="CUV604" s="222"/>
      <c r="CUW604" s="222"/>
      <c r="CUX604" s="222"/>
      <c r="CUY604" s="223"/>
      <c r="CUZ604" s="224"/>
      <c r="CVA604" s="222"/>
      <c r="CVB604" s="222"/>
      <c r="CVC604" s="222"/>
      <c r="CVD604" s="222"/>
      <c r="CVE604" s="222"/>
      <c r="CVF604" s="222"/>
      <c r="CVG604" s="223"/>
      <c r="CVH604" s="224"/>
      <c r="CVI604" s="222"/>
      <c r="CVJ604" s="222"/>
      <c r="CVK604" s="222"/>
      <c r="CVL604" s="222"/>
      <c r="CVM604" s="222"/>
      <c r="CVN604" s="222"/>
      <c r="CVO604" s="223"/>
      <c r="CVP604" s="224"/>
      <c r="CVQ604" s="222"/>
      <c r="CVR604" s="222"/>
      <c r="CVS604" s="222"/>
      <c r="CVT604" s="222"/>
      <c r="CVU604" s="222"/>
      <c r="CVV604" s="222"/>
      <c r="CVW604" s="223"/>
      <c r="CVX604" s="224"/>
      <c r="CVY604" s="222"/>
      <c r="CVZ604" s="222"/>
      <c r="CWA604" s="222"/>
      <c r="CWB604" s="222"/>
      <c r="CWC604" s="222"/>
      <c r="CWD604" s="222"/>
      <c r="CWE604" s="223"/>
      <c r="CWF604" s="224"/>
      <c r="CWG604" s="222"/>
      <c r="CWH604" s="222"/>
      <c r="CWI604" s="222"/>
      <c r="CWJ604" s="222"/>
      <c r="CWK604" s="222"/>
      <c r="CWL604" s="222"/>
      <c r="CWM604" s="223"/>
      <c r="CWN604" s="224"/>
      <c r="CWO604" s="222"/>
      <c r="CWP604" s="222"/>
      <c r="CWQ604" s="222"/>
      <c r="CWR604" s="222"/>
      <c r="CWS604" s="222"/>
      <c r="CWT604" s="222"/>
      <c r="CWU604" s="223"/>
      <c r="CWV604" s="224"/>
      <c r="CWW604" s="222"/>
      <c r="CWX604" s="222"/>
      <c r="CWY604" s="222"/>
      <c r="CWZ604" s="222"/>
      <c r="CXA604" s="222"/>
      <c r="CXB604" s="222"/>
      <c r="CXC604" s="223"/>
      <c r="CXD604" s="224"/>
      <c r="CXE604" s="222"/>
      <c r="CXF604" s="222"/>
      <c r="CXG604" s="222"/>
      <c r="CXH604" s="222"/>
      <c r="CXI604" s="222"/>
      <c r="CXJ604" s="222"/>
      <c r="CXK604" s="223"/>
      <c r="CXL604" s="224"/>
      <c r="CXM604" s="222"/>
      <c r="CXN604" s="222"/>
      <c r="CXO604" s="222"/>
      <c r="CXP604" s="222"/>
      <c r="CXQ604" s="222"/>
      <c r="CXR604" s="222"/>
      <c r="CXS604" s="223"/>
      <c r="CXT604" s="224"/>
      <c r="CXU604" s="222"/>
      <c r="CXV604" s="222"/>
      <c r="CXW604" s="222"/>
      <c r="CXX604" s="222"/>
      <c r="CXY604" s="222"/>
      <c r="CXZ604" s="222"/>
      <c r="CYA604" s="223"/>
      <c r="CYB604" s="224"/>
      <c r="CYC604" s="222"/>
      <c r="CYD604" s="222"/>
      <c r="CYE604" s="222"/>
      <c r="CYF604" s="222"/>
      <c r="CYG604" s="222"/>
      <c r="CYH604" s="222"/>
      <c r="CYI604" s="223"/>
      <c r="CYJ604" s="224"/>
      <c r="CYK604" s="222"/>
      <c r="CYL604" s="222"/>
      <c r="CYM604" s="222"/>
      <c r="CYN604" s="222"/>
      <c r="CYO604" s="222"/>
      <c r="CYP604" s="222"/>
      <c r="CYQ604" s="223"/>
      <c r="CYR604" s="224"/>
      <c r="CYS604" s="222"/>
      <c r="CYT604" s="222"/>
      <c r="CYU604" s="222"/>
      <c r="CYV604" s="222"/>
      <c r="CYW604" s="222"/>
      <c r="CYX604" s="222"/>
      <c r="CYY604" s="223"/>
      <c r="CYZ604" s="224"/>
      <c r="CZA604" s="222"/>
      <c r="CZB604" s="222"/>
      <c r="CZC604" s="222"/>
      <c r="CZD604" s="222"/>
      <c r="CZE604" s="222"/>
      <c r="CZF604" s="222"/>
      <c r="CZG604" s="223"/>
      <c r="CZH604" s="224"/>
      <c r="CZI604" s="222"/>
      <c r="CZJ604" s="222"/>
      <c r="CZK604" s="222"/>
      <c r="CZL604" s="222"/>
      <c r="CZM604" s="222"/>
      <c r="CZN604" s="222"/>
      <c r="CZO604" s="223"/>
      <c r="CZP604" s="224"/>
      <c r="CZQ604" s="222"/>
      <c r="CZR604" s="222"/>
      <c r="CZS604" s="222"/>
      <c r="CZT604" s="222"/>
      <c r="CZU604" s="222"/>
      <c r="CZV604" s="222"/>
      <c r="CZW604" s="223"/>
      <c r="CZX604" s="224"/>
      <c r="CZY604" s="222"/>
      <c r="CZZ604" s="222"/>
      <c r="DAA604" s="222"/>
      <c r="DAB604" s="222"/>
      <c r="DAC604" s="222"/>
      <c r="DAD604" s="222"/>
      <c r="DAE604" s="223"/>
      <c r="DAF604" s="224"/>
      <c r="DAG604" s="222"/>
      <c r="DAH604" s="222"/>
      <c r="DAI604" s="222"/>
      <c r="DAJ604" s="222"/>
      <c r="DAK604" s="222"/>
      <c r="DAL604" s="222"/>
      <c r="DAM604" s="223"/>
      <c r="DAN604" s="224"/>
      <c r="DAO604" s="222"/>
      <c r="DAP604" s="222"/>
      <c r="DAQ604" s="222"/>
      <c r="DAR604" s="222"/>
      <c r="DAS604" s="222"/>
      <c r="DAT604" s="222"/>
      <c r="DAU604" s="223"/>
      <c r="DAV604" s="224"/>
      <c r="DAW604" s="222"/>
      <c r="DAX604" s="222"/>
      <c r="DAY604" s="222"/>
      <c r="DAZ604" s="222"/>
      <c r="DBA604" s="222"/>
      <c r="DBB604" s="222"/>
      <c r="DBC604" s="223"/>
      <c r="DBD604" s="224"/>
      <c r="DBE604" s="222"/>
      <c r="DBF604" s="222"/>
      <c r="DBG604" s="222"/>
      <c r="DBH604" s="222"/>
      <c r="DBI604" s="222"/>
      <c r="DBJ604" s="222"/>
      <c r="DBK604" s="223"/>
      <c r="DBL604" s="224"/>
      <c r="DBM604" s="222"/>
      <c r="DBN604" s="222"/>
      <c r="DBO604" s="222"/>
      <c r="DBP604" s="222"/>
      <c r="DBQ604" s="222"/>
      <c r="DBR604" s="222"/>
      <c r="DBS604" s="223"/>
      <c r="DBT604" s="224"/>
      <c r="DBU604" s="222"/>
      <c r="DBV604" s="222"/>
      <c r="DBW604" s="222"/>
      <c r="DBX604" s="222"/>
      <c r="DBY604" s="222"/>
      <c r="DBZ604" s="222"/>
      <c r="DCA604" s="223"/>
      <c r="DCB604" s="224"/>
      <c r="DCC604" s="222"/>
      <c r="DCD604" s="222"/>
      <c r="DCE604" s="222"/>
      <c r="DCF604" s="222"/>
      <c r="DCG604" s="222"/>
      <c r="DCH604" s="222"/>
      <c r="DCI604" s="223"/>
      <c r="DCJ604" s="224"/>
      <c r="DCK604" s="222"/>
      <c r="DCL604" s="222"/>
      <c r="DCM604" s="222"/>
      <c r="DCN604" s="222"/>
      <c r="DCO604" s="222"/>
      <c r="DCP604" s="222"/>
      <c r="DCQ604" s="223"/>
      <c r="DCR604" s="224"/>
      <c r="DCS604" s="222"/>
      <c r="DCT604" s="222"/>
      <c r="DCU604" s="222"/>
      <c r="DCV604" s="222"/>
      <c r="DCW604" s="222"/>
      <c r="DCX604" s="222"/>
      <c r="DCY604" s="223"/>
      <c r="DCZ604" s="224"/>
      <c r="DDA604" s="222"/>
      <c r="DDB604" s="222"/>
      <c r="DDC604" s="222"/>
      <c r="DDD604" s="222"/>
      <c r="DDE604" s="222"/>
      <c r="DDF604" s="222"/>
      <c r="DDG604" s="223"/>
      <c r="DDH604" s="224"/>
      <c r="DDI604" s="222"/>
      <c r="DDJ604" s="222"/>
      <c r="DDK604" s="222"/>
      <c r="DDL604" s="222"/>
      <c r="DDM604" s="222"/>
      <c r="DDN604" s="222"/>
      <c r="DDO604" s="223"/>
      <c r="DDP604" s="224"/>
      <c r="DDQ604" s="222"/>
      <c r="DDR604" s="222"/>
      <c r="DDS604" s="222"/>
      <c r="DDT604" s="222"/>
      <c r="DDU604" s="222"/>
      <c r="DDV604" s="222"/>
      <c r="DDW604" s="223"/>
      <c r="DDX604" s="224"/>
      <c r="DDY604" s="222"/>
      <c r="DDZ604" s="222"/>
      <c r="DEA604" s="222"/>
      <c r="DEB604" s="222"/>
      <c r="DEC604" s="222"/>
      <c r="DED604" s="222"/>
      <c r="DEE604" s="223"/>
      <c r="DEF604" s="224"/>
      <c r="DEG604" s="222"/>
      <c r="DEH604" s="222"/>
      <c r="DEI604" s="222"/>
      <c r="DEJ604" s="222"/>
      <c r="DEK604" s="222"/>
      <c r="DEL604" s="222"/>
      <c r="DEM604" s="223"/>
      <c r="DEN604" s="224"/>
      <c r="DEO604" s="222"/>
      <c r="DEP604" s="222"/>
      <c r="DEQ604" s="222"/>
      <c r="DER604" s="222"/>
      <c r="DES604" s="222"/>
      <c r="DET604" s="222"/>
      <c r="DEU604" s="223"/>
      <c r="DEV604" s="224"/>
      <c r="DEW604" s="222"/>
      <c r="DEX604" s="222"/>
      <c r="DEY604" s="222"/>
      <c r="DEZ604" s="222"/>
      <c r="DFA604" s="222"/>
      <c r="DFB604" s="222"/>
      <c r="DFC604" s="223"/>
      <c r="DFD604" s="224"/>
      <c r="DFE604" s="222"/>
      <c r="DFF604" s="222"/>
      <c r="DFG604" s="222"/>
      <c r="DFH604" s="222"/>
      <c r="DFI604" s="222"/>
      <c r="DFJ604" s="222"/>
      <c r="DFK604" s="223"/>
      <c r="DFL604" s="224"/>
      <c r="DFM604" s="222"/>
      <c r="DFN604" s="222"/>
      <c r="DFO604" s="222"/>
      <c r="DFP604" s="222"/>
      <c r="DFQ604" s="222"/>
      <c r="DFR604" s="222"/>
      <c r="DFS604" s="223"/>
      <c r="DFT604" s="224"/>
      <c r="DFU604" s="222"/>
      <c r="DFV604" s="222"/>
      <c r="DFW604" s="222"/>
      <c r="DFX604" s="222"/>
      <c r="DFY604" s="222"/>
      <c r="DFZ604" s="222"/>
      <c r="DGA604" s="223"/>
      <c r="DGB604" s="224"/>
      <c r="DGC604" s="222"/>
      <c r="DGD604" s="222"/>
      <c r="DGE604" s="222"/>
      <c r="DGF604" s="222"/>
      <c r="DGG604" s="222"/>
      <c r="DGH604" s="222"/>
      <c r="DGI604" s="223"/>
      <c r="DGJ604" s="224"/>
      <c r="DGK604" s="222"/>
      <c r="DGL604" s="222"/>
      <c r="DGM604" s="222"/>
      <c r="DGN604" s="222"/>
      <c r="DGO604" s="222"/>
      <c r="DGP604" s="222"/>
      <c r="DGQ604" s="223"/>
      <c r="DGR604" s="224"/>
      <c r="DGS604" s="222"/>
      <c r="DGT604" s="222"/>
      <c r="DGU604" s="222"/>
      <c r="DGV604" s="222"/>
      <c r="DGW604" s="222"/>
      <c r="DGX604" s="222"/>
      <c r="DGY604" s="223"/>
      <c r="DGZ604" s="224"/>
      <c r="DHA604" s="222"/>
      <c r="DHB604" s="222"/>
      <c r="DHC604" s="222"/>
      <c r="DHD604" s="222"/>
      <c r="DHE604" s="222"/>
      <c r="DHF604" s="222"/>
      <c r="DHG604" s="223"/>
      <c r="DHH604" s="224"/>
      <c r="DHI604" s="222"/>
      <c r="DHJ604" s="222"/>
      <c r="DHK604" s="222"/>
      <c r="DHL604" s="222"/>
      <c r="DHM604" s="222"/>
      <c r="DHN604" s="222"/>
      <c r="DHO604" s="223"/>
      <c r="DHP604" s="224"/>
      <c r="DHQ604" s="222"/>
      <c r="DHR604" s="222"/>
      <c r="DHS604" s="222"/>
      <c r="DHT604" s="222"/>
      <c r="DHU604" s="222"/>
      <c r="DHV604" s="222"/>
      <c r="DHW604" s="223"/>
      <c r="DHX604" s="224"/>
      <c r="DHY604" s="222"/>
      <c r="DHZ604" s="222"/>
      <c r="DIA604" s="222"/>
      <c r="DIB604" s="222"/>
      <c r="DIC604" s="222"/>
      <c r="DID604" s="222"/>
      <c r="DIE604" s="223"/>
      <c r="DIF604" s="224"/>
      <c r="DIG604" s="222"/>
      <c r="DIH604" s="222"/>
      <c r="DII604" s="222"/>
      <c r="DIJ604" s="222"/>
      <c r="DIK604" s="222"/>
      <c r="DIL604" s="222"/>
      <c r="DIM604" s="223"/>
      <c r="DIN604" s="224"/>
      <c r="DIO604" s="222"/>
      <c r="DIP604" s="222"/>
      <c r="DIQ604" s="222"/>
      <c r="DIR604" s="222"/>
      <c r="DIS604" s="222"/>
      <c r="DIT604" s="222"/>
      <c r="DIU604" s="223"/>
      <c r="DIV604" s="224"/>
      <c r="DIW604" s="222"/>
      <c r="DIX604" s="222"/>
      <c r="DIY604" s="222"/>
      <c r="DIZ604" s="222"/>
      <c r="DJA604" s="222"/>
      <c r="DJB604" s="222"/>
      <c r="DJC604" s="223"/>
      <c r="DJD604" s="224"/>
      <c r="DJE604" s="222"/>
      <c r="DJF604" s="222"/>
      <c r="DJG604" s="222"/>
      <c r="DJH604" s="222"/>
      <c r="DJI604" s="222"/>
      <c r="DJJ604" s="222"/>
      <c r="DJK604" s="223"/>
      <c r="DJL604" s="224"/>
      <c r="DJM604" s="222"/>
      <c r="DJN604" s="222"/>
      <c r="DJO604" s="222"/>
      <c r="DJP604" s="222"/>
      <c r="DJQ604" s="222"/>
      <c r="DJR604" s="222"/>
      <c r="DJS604" s="223"/>
      <c r="DJT604" s="224"/>
      <c r="DJU604" s="222"/>
      <c r="DJV604" s="222"/>
      <c r="DJW604" s="222"/>
      <c r="DJX604" s="222"/>
      <c r="DJY604" s="222"/>
      <c r="DJZ604" s="222"/>
      <c r="DKA604" s="223"/>
      <c r="DKB604" s="224"/>
      <c r="DKC604" s="222"/>
      <c r="DKD604" s="222"/>
      <c r="DKE604" s="222"/>
      <c r="DKF604" s="222"/>
      <c r="DKG604" s="222"/>
      <c r="DKH604" s="222"/>
      <c r="DKI604" s="223"/>
      <c r="DKJ604" s="224"/>
      <c r="DKK604" s="222"/>
      <c r="DKL604" s="222"/>
      <c r="DKM604" s="222"/>
      <c r="DKN604" s="222"/>
      <c r="DKO604" s="222"/>
      <c r="DKP604" s="222"/>
      <c r="DKQ604" s="223"/>
      <c r="DKR604" s="224"/>
      <c r="DKS604" s="222"/>
      <c r="DKT604" s="222"/>
      <c r="DKU604" s="222"/>
      <c r="DKV604" s="222"/>
      <c r="DKW604" s="222"/>
      <c r="DKX604" s="222"/>
      <c r="DKY604" s="223"/>
      <c r="DKZ604" s="224"/>
      <c r="DLA604" s="222"/>
      <c r="DLB604" s="222"/>
      <c r="DLC604" s="222"/>
      <c r="DLD604" s="222"/>
      <c r="DLE604" s="222"/>
      <c r="DLF604" s="222"/>
      <c r="DLG604" s="223"/>
      <c r="DLH604" s="224"/>
      <c r="DLI604" s="222"/>
      <c r="DLJ604" s="222"/>
      <c r="DLK604" s="222"/>
      <c r="DLL604" s="222"/>
      <c r="DLM604" s="222"/>
      <c r="DLN604" s="222"/>
      <c r="DLO604" s="223"/>
      <c r="DLP604" s="224"/>
      <c r="DLQ604" s="222"/>
      <c r="DLR604" s="222"/>
      <c r="DLS604" s="222"/>
      <c r="DLT604" s="222"/>
      <c r="DLU604" s="222"/>
      <c r="DLV604" s="222"/>
      <c r="DLW604" s="223"/>
      <c r="DLX604" s="224"/>
      <c r="DLY604" s="222"/>
      <c r="DLZ604" s="222"/>
      <c r="DMA604" s="222"/>
      <c r="DMB604" s="222"/>
      <c r="DMC604" s="222"/>
      <c r="DMD604" s="222"/>
      <c r="DME604" s="223"/>
      <c r="DMF604" s="224"/>
      <c r="DMG604" s="222"/>
      <c r="DMH604" s="222"/>
      <c r="DMI604" s="222"/>
      <c r="DMJ604" s="222"/>
      <c r="DMK604" s="222"/>
      <c r="DML604" s="222"/>
      <c r="DMM604" s="223"/>
      <c r="DMN604" s="224"/>
      <c r="DMO604" s="222"/>
      <c r="DMP604" s="222"/>
      <c r="DMQ604" s="222"/>
      <c r="DMR604" s="222"/>
      <c r="DMS604" s="222"/>
      <c r="DMT604" s="222"/>
      <c r="DMU604" s="223"/>
      <c r="DMV604" s="224"/>
      <c r="DMW604" s="222"/>
      <c r="DMX604" s="222"/>
      <c r="DMY604" s="222"/>
      <c r="DMZ604" s="222"/>
      <c r="DNA604" s="222"/>
      <c r="DNB604" s="222"/>
      <c r="DNC604" s="223"/>
      <c r="DND604" s="224"/>
      <c r="DNE604" s="222"/>
      <c r="DNF604" s="222"/>
      <c r="DNG604" s="222"/>
      <c r="DNH604" s="222"/>
      <c r="DNI604" s="222"/>
      <c r="DNJ604" s="222"/>
      <c r="DNK604" s="223"/>
      <c r="DNL604" s="224"/>
      <c r="DNM604" s="222"/>
      <c r="DNN604" s="222"/>
      <c r="DNO604" s="222"/>
      <c r="DNP604" s="222"/>
      <c r="DNQ604" s="222"/>
      <c r="DNR604" s="222"/>
      <c r="DNS604" s="223"/>
      <c r="DNT604" s="224"/>
      <c r="DNU604" s="222"/>
      <c r="DNV604" s="222"/>
      <c r="DNW604" s="222"/>
      <c r="DNX604" s="222"/>
      <c r="DNY604" s="222"/>
      <c r="DNZ604" s="222"/>
      <c r="DOA604" s="223"/>
      <c r="DOB604" s="224"/>
      <c r="DOC604" s="222"/>
      <c r="DOD604" s="222"/>
      <c r="DOE604" s="222"/>
      <c r="DOF604" s="222"/>
      <c r="DOG604" s="222"/>
      <c r="DOH604" s="222"/>
      <c r="DOI604" s="223"/>
      <c r="DOJ604" s="224"/>
      <c r="DOK604" s="222"/>
      <c r="DOL604" s="222"/>
      <c r="DOM604" s="222"/>
      <c r="DON604" s="222"/>
      <c r="DOO604" s="222"/>
      <c r="DOP604" s="222"/>
      <c r="DOQ604" s="223"/>
      <c r="DOR604" s="224"/>
      <c r="DOS604" s="222"/>
      <c r="DOT604" s="222"/>
      <c r="DOU604" s="222"/>
      <c r="DOV604" s="222"/>
      <c r="DOW604" s="222"/>
      <c r="DOX604" s="222"/>
      <c r="DOY604" s="223"/>
      <c r="DOZ604" s="224"/>
      <c r="DPA604" s="222"/>
      <c r="DPB604" s="222"/>
      <c r="DPC604" s="222"/>
      <c r="DPD604" s="222"/>
      <c r="DPE604" s="222"/>
      <c r="DPF604" s="222"/>
      <c r="DPG604" s="223"/>
      <c r="DPH604" s="224"/>
      <c r="DPI604" s="222"/>
      <c r="DPJ604" s="222"/>
      <c r="DPK604" s="222"/>
      <c r="DPL604" s="222"/>
      <c r="DPM604" s="222"/>
      <c r="DPN604" s="222"/>
      <c r="DPO604" s="223"/>
      <c r="DPP604" s="224"/>
      <c r="DPQ604" s="222"/>
      <c r="DPR604" s="222"/>
      <c r="DPS604" s="222"/>
      <c r="DPT604" s="222"/>
      <c r="DPU604" s="222"/>
      <c r="DPV604" s="222"/>
      <c r="DPW604" s="223"/>
      <c r="DPX604" s="224"/>
      <c r="DPY604" s="222"/>
      <c r="DPZ604" s="222"/>
      <c r="DQA604" s="222"/>
      <c r="DQB604" s="222"/>
      <c r="DQC604" s="222"/>
      <c r="DQD604" s="222"/>
      <c r="DQE604" s="223"/>
      <c r="DQF604" s="224"/>
      <c r="DQG604" s="222"/>
      <c r="DQH604" s="222"/>
      <c r="DQI604" s="222"/>
      <c r="DQJ604" s="222"/>
      <c r="DQK604" s="222"/>
      <c r="DQL604" s="222"/>
      <c r="DQM604" s="223"/>
      <c r="DQN604" s="224"/>
      <c r="DQO604" s="222"/>
      <c r="DQP604" s="222"/>
      <c r="DQQ604" s="222"/>
      <c r="DQR604" s="222"/>
      <c r="DQS604" s="222"/>
      <c r="DQT604" s="222"/>
      <c r="DQU604" s="223"/>
      <c r="DQV604" s="224"/>
      <c r="DQW604" s="222"/>
      <c r="DQX604" s="222"/>
      <c r="DQY604" s="222"/>
      <c r="DQZ604" s="222"/>
      <c r="DRA604" s="222"/>
      <c r="DRB604" s="222"/>
      <c r="DRC604" s="223"/>
      <c r="DRD604" s="224"/>
      <c r="DRE604" s="222"/>
      <c r="DRF604" s="222"/>
      <c r="DRG604" s="222"/>
      <c r="DRH604" s="222"/>
      <c r="DRI604" s="222"/>
      <c r="DRJ604" s="222"/>
      <c r="DRK604" s="223"/>
      <c r="DRL604" s="224"/>
      <c r="DRM604" s="222"/>
      <c r="DRN604" s="222"/>
      <c r="DRO604" s="222"/>
      <c r="DRP604" s="222"/>
      <c r="DRQ604" s="222"/>
      <c r="DRR604" s="222"/>
      <c r="DRS604" s="223"/>
      <c r="DRT604" s="224"/>
      <c r="DRU604" s="222"/>
      <c r="DRV604" s="222"/>
      <c r="DRW604" s="222"/>
      <c r="DRX604" s="222"/>
      <c r="DRY604" s="222"/>
      <c r="DRZ604" s="222"/>
      <c r="DSA604" s="223"/>
      <c r="DSB604" s="224"/>
      <c r="DSC604" s="222"/>
      <c r="DSD604" s="222"/>
      <c r="DSE604" s="222"/>
      <c r="DSF604" s="222"/>
      <c r="DSG604" s="222"/>
      <c r="DSH604" s="222"/>
      <c r="DSI604" s="223"/>
      <c r="DSJ604" s="224"/>
      <c r="DSK604" s="222"/>
      <c r="DSL604" s="222"/>
      <c r="DSM604" s="222"/>
      <c r="DSN604" s="222"/>
      <c r="DSO604" s="222"/>
      <c r="DSP604" s="222"/>
      <c r="DSQ604" s="223"/>
      <c r="DSR604" s="224"/>
      <c r="DSS604" s="222"/>
      <c r="DST604" s="222"/>
      <c r="DSU604" s="222"/>
      <c r="DSV604" s="222"/>
      <c r="DSW604" s="222"/>
      <c r="DSX604" s="222"/>
      <c r="DSY604" s="223"/>
      <c r="DSZ604" s="224"/>
      <c r="DTA604" s="222"/>
      <c r="DTB604" s="222"/>
      <c r="DTC604" s="222"/>
      <c r="DTD604" s="222"/>
      <c r="DTE604" s="222"/>
      <c r="DTF604" s="222"/>
      <c r="DTG604" s="223"/>
      <c r="DTH604" s="224"/>
      <c r="DTI604" s="222"/>
      <c r="DTJ604" s="222"/>
      <c r="DTK604" s="222"/>
      <c r="DTL604" s="222"/>
      <c r="DTM604" s="222"/>
      <c r="DTN604" s="222"/>
      <c r="DTO604" s="223"/>
      <c r="DTP604" s="224"/>
      <c r="DTQ604" s="222"/>
      <c r="DTR604" s="222"/>
      <c r="DTS604" s="222"/>
      <c r="DTT604" s="222"/>
      <c r="DTU604" s="222"/>
      <c r="DTV604" s="222"/>
      <c r="DTW604" s="223"/>
      <c r="DTX604" s="224"/>
      <c r="DTY604" s="222"/>
      <c r="DTZ604" s="222"/>
      <c r="DUA604" s="222"/>
      <c r="DUB604" s="222"/>
      <c r="DUC604" s="222"/>
      <c r="DUD604" s="222"/>
      <c r="DUE604" s="223"/>
      <c r="DUF604" s="224"/>
      <c r="DUG604" s="222"/>
      <c r="DUH604" s="222"/>
      <c r="DUI604" s="222"/>
      <c r="DUJ604" s="222"/>
      <c r="DUK604" s="222"/>
      <c r="DUL604" s="222"/>
      <c r="DUM604" s="223"/>
      <c r="DUN604" s="224"/>
      <c r="DUO604" s="222"/>
      <c r="DUP604" s="222"/>
      <c r="DUQ604" s="222"/>
      <c r="DUR604" s="222"/>
      <c r="DUS604" s="222"/>
      <c r="DUT604" s="222"/>
      <c r="DUU604" s="223"/>
      <c r="DUV604" s="224"/>
      <c r="DUW604" s="222"/>
      <c r="DUX604" s="222"/>
      <c r="DUY604" s="222"/>
      <c r="DUZ604" s="222"/>
      <c r="DVA604" s="222"/>
      <c r="DVB604" s="222"/>
      <c r="DVC604" s="223"/>
      <c r="DVD604" s="224"/>
      <c r="DVE604" s="222"/>
      <c r="DVF604" s="222"/>
      <c r="DVG604" s="222"/>
      <c r="DVH604" s="222"/>
      <c r="DVI604" s="222"/>
      <c r="DVJ604" s="222"/>
      <c r="DVK604" s="223"/>
      <c r="DVL604" s="224"/>
      <c r="DVM604" s="222"/>
      <c r="DVN604" s="222"/>
      <c r="DVO604" s="222"/>
      <c r="DVP604" s="222"/>
      <c r="DVQ604" s="222"/>
      <c r="DVR604" s="222"/>
      <c r="DVS604" s="223"/>
      <c r="DVT604" s="224"/>
      <c r="DVU604" s="222"/>
      <c r="DVV604" s="222"/>
      <c r="DVW604" s="222"/>
      <c r="DVX604" s="222"/>
      <c r="DVY604" s="222"/>
      <c r="DVZ604" s="222"/>
      <c r="DWA604" s="223"/>
      <c r="DWB604" s="224"/>
      <c r="DWC604" s="222"/>
      <c r="DWD604" s="222"/>
      <c r="DWE604" s="222"/>
      <c r="DWF604" s="222"/>
      <c r="DWG604" s="222"/>
      <c r="DWH604" s="222"/>
      <c r="DWI604" s="223"/>
      <c r="DWJ604" s="224"/>
      <c r="DWK604" s="222"/>
      <c r="DWL604" s="222"/>
      <c r="DWM604" s="222"/>
      <c r="DWN604" s="222"/>
      <c r="DWO604" s="222"/>
      <c r="DWP604" s="222"/>
      <c r="DWQ604" s="223"/>
      <c r="DWR604" s="224"/>
      <c r="DWS604" s="222"/>
      <c r="DWT604" s="222"/>
      <c r="DWU604" s="222"/>
      <c r="DWV604" s="222"/>
      <c r="DWW604" s="222"/>
      <c r="DWX604" s="222"/>
      <c r="DWY604" s="223"/>
      <c r="DWZ604" s="224"/>
      <c r="DXA604" s="222"/>
      <c r="DXB604" s="222"/>
      <c r="DXC604" s="222"/>
      <c r="DXD604" s="222"/>
      <c r="DXE604" s="222"/>
      <c r="DXF604" s="222"/>
      <c r="DXG604" s="223"/>
      <c r="DXH604" s="224"/>
      <c r="DXI604" s="222"/>
      <c r="DXJ604" s="222"/>
      <c r="DXK604" s="222"/>
      <c r="DXL604" s="222"/>
      <c r="DXM604" s="222"/>
      <c r="DXN604" s="222"/>
      <c r="DXO604" s="223"/>
      <c r="DXP604" s="224"/>
      <c r="DXQ604" s="222"/>
      <c r="DXR604" s="222"/>
      <c r="DXS604" s="222"/>
      <c r="DXT604" s="222"/>
      <c r="DXU604" s="222"/>
      <c r="DXV604" s="222"/>
      <c r="DXW604" s="223"/>
      <c r="DXX604" s="224"/>
      <c r="DXY604" s="222"/>
      <c r="DXZ604" s="222"/>
      <c r="DYA604" s="222"/>
      <c r="DYB604" s="222"/>
      <c r="DYC604" s="222"/>
      <c r="DYD604" s="222"/>
      <c r="DYE604" s="223"/>
      <c r="DYF604" s="224"/>
      <c r="DYG604" s="222"/>
      <c r="DYH604" s="222"/>
      <c r="DYI604" s="222"/>
      <c r="DYJ604" s="222"/>
      <c r="DYK604" s="222"/>
      <c r="DYL604" s="222"/>
      <c r="DYM604" s="223"/>
      <c r="DYN604" s="224"/>
      <c r="DYO604" s="222"/>
      <c r="DYP604" s="222"/>
      <c r="DYQ604" s="222"/>
      <c r="DYR604" s="222"/>
      <c r="DYS604" s="222"/>
      <c r="DYT604" s="222"/>
      <c r="DYU604" s="223"/>
      <c r="DYV604" s="224"/>
      <c r="DYW604" s="222"/>
      <c r="DYX604" s="222"/>
      <c r="DYY604" s="222"/>
      <c r="DYZ604" s="222"/>
      <c r="DZA604" s="222"/>
      <c r="DZB604" s="222"/>
      <c r="DZC604" s="223"/>
      <c r="DZD604" s="224"/>
      <c r="DZE604" s="222"/>
      <c r="DZF604" s="222"/>
      <c r="DZG604" s="222"/>
      <c r="DZH604" s="222"/>
      <c r="DZI604" s="222"/>
      <c r="DZJ604" s="222"/>
      <c r="DZK604" s="223"/>
      <c r="DZL604" s="224"/>
      <c r="DZM604" s="222"/>
      <c r="DZN604" s="222"/>
      <c r="DZO604" s="222"/>
      <c r="DZP604" s="222"/>
      <c r="DZQ604" s="222"/>
      <c r="DZR604" s="222"/>
      <c r="DZS604" s="223"/>
      <c r="DZT604" s="224"/>
      <c r="DZU604" s="222"/>
      <c r="DZV604" s="222"/>
      <c r="DZW604" s="222"/>
      <c r="DZX604" s="222"/>
      <c r="DZY604" s="222"/>
      <c r="DZZ604" s="222"/>
      <c r="EAA604" s="223"/>
      <c r="EAB604" s="224"/>
      <c r="EAC604" s="222"/>
      <c r="EAD604" s="222"/>
      <c r="EAE604" s="222"/>
      <c r="EAF604" s="222"/>
      <c r="EAG604" s="222"/>
      <c r="EAH604" s="222"/>
      <c r="EAI604" s="223"/>
      <c r="EAJ604" s="224"/>
      <c r="EAK604" s="222"/>
      <c r="EAL604" s="222"/>
      <c r="EAM604" s="222"/>
      <c r="EAN604" s="222"/>
      <c r="EAO604" s="222"/>
      <c r="EAP604" s="222"/>
      <c r="EAQ604" s="223"/>
      <c r="EAR604" s="224"/>
      <c r="EAS604" s="222"/>
      <c r="EAT604" s="222"/>
      <c r="EAU604" s="222"/>
      <c r="EAV604" s="222"/>
      <c r="EAW604" s="222"/>
      <c r="EAX604" s="222"/>
      <c r="EAY604" s="223"/>
      <c r="EAZ604" s="224"/>
      <c r="EBA604" s="222"/>
      <c r="EBB604" s="222"/>
      <c r="EBC604" s="222"/>
      <c r="EBD604" s="222"/>
      <c r="EBE604" s="222"/>
      <c r="EBF604" s="222"/>
      <c r="EBG604" s="223"/>
      <c r="EBH604" s="224"/>
      <c r="EBI604" s="222"/>
      <c r="EBJ604" s="222"/>
      <c r="EBK604" s="222"/>
      <c r="EBL604" s="222"/>
      <c r="EBM604" s="222"/>
      <c r="EBN604" s="222"/>
      <c r="EBO604" s="223"/>
      <c r="EBP604" s="224"/>
      <c r="EBQ604" s="222"/>
      <c r="EBR604" s="222"/>
      <c r="EBS604" s="222"/>
      <c r="EBT604" s="222"/>
      <c r="EBU604" s="222"/>
      <c r="EBV604" s="222"/>
      <c r="EBW604" s="223"/>
      <c r="EBX604" s="224"/>
      <c r="EBY604" s="222"/>
      <c r="EBZ604" s="222"/>
      <c r="ECA604" s="222"/>
      <c r="ECB604" s="222"/>
      <c r="ECC604" s="222"/>
      <c r="ECD604" s="222"/>
      <c r="ECE604" s="223"/>
      <c r="ECF604" s="224"/>
      <c r="ECG604" s="222"/>
      <c r="ECH604" s="222"/>
      <c r="ECI604" s="222"/>
      <c r="ECJ604" s="222"/>
      <c r="ECK604" s="222"/>
      <c r="ECL604" s="222"/>
      <c r="ECM604" s="223"/>
      <c r="ECN604" s="224"/>
      <c r="ECO604" s="222"/>
      <c r="ECP604" s="222"/>
      <c r="ECQ604" s="222"/>
      <c r="ECR604" s="222"/>
      <c r="ECS604" s="222"/>
      <c r="ECT604" s="222"/>
      <c r="ECU604" s="223"/>
      <c r="ECV604" s="224"/>
      <c r="ECW604" s="222"/>
      <c r="ECX604" s="222"/>
      <c r="ECY604" s="222"/>
      <c r="ECZ604" s="222"/>
      <c r="EDA604" s="222"/>
      <c r="EDB604" s="222"/>
      <c r="EDC604" s="223"/>
      <c r="EDD604" s="224"/>
      <c r="EDE604" s="222"/>
      <c r="EDF604" s="222"/>
      <c r="EDG604" s="222"/>
      <c r="EDH604" s="222"/>
      <c r="EDI604" s="222"/>
      <c r="EDJ604" s="222"/>
      <c r="EDK604" s="223"/>
      <c r="EDL604" s="224"/>
      <c r="EDM604" s="222"/>
      <c r="EDN604" s="222"/>
      <c r="EDO604" s="222"/>
      <c r="EDP604" s="222"/>
      <c r="EDQ604" s="222"/>
      <c r="EDR604" s="222"/>
      <c r="EDS604" s="223"/>
      <c r="EDT604" s="224"/>
      <c r="EDU604" s="222"/>
      <c r="EDV604" s="222"/>
      <c r="EDW604" s="222"/>
      <c r="EDX604" s="222"/>
      <c r="EDY604" s="222"/>
      <c r="EDZ604" s="222"/>
      <c r="EEA604" s="223"/>
      <c r="EEB604" s="224"/>
      <c r="EEC604" s="222"/>
      <c r="EED604" s="222"/>
      <c r="EEE604" s="222"/>
      <c r="EEF604" s="222"/>
      <c r="EEG604" s="222"/>
      <c r="EEH604" s="222"/>
      <c r="EEI604" s="223"/>
      <c r="EEJ604" s="224"/>
      <c r="EEK604" s="222"/>
      <c r="EEL604" s="222"/>
      <c r="EEM604" s="222"/>
      <c r="EEN604" s="222"/>
      <c r="EEO604" s="222"/>
      <c r="EEP604" s="222"/>
      <c r="EEQ604" s="223"/>
      <c r="EER604" s="224"/>
      <c r="EES604" s="222"/>
      <c r="EET604" s="222"/>
      <c r="EEU604" s="222"/>
      <c r="EEV604" s="222"/>
      <c r="EEW604" s="222"/>
      <c r="EEX604" s="222"/>
      <c r="EEY604" s="223"/>
      <c r="EEZ604" s="224"/>
      <c r="EFA604" s="222"/>
      <c r="EFB604" s="222"/>
      <c r="EFC604" s="222"/>
      <c r="EFD604" s="222"/>
      <c r="EFE604" s="222"/>
      <c r="EFF604" s="222"/>
      <c r="EFG604" s="223"/>
      <c r="EFH604" s="224"/>
      <c r="EFI604" s="222"/>
      <c r="EFJ604" s="222"/>
      <c r="EFK604" s="222"/>
      <c r="EFL604" s="222"/>
      <c r="EFM604" s="222"/>
      <c r="EFN604" s="222"/>
      <c r="EFO604" s="223"/>
      <c r="EFP604" s="224"/>
      <c r="EFQ604" s="222"/>
      <c r="EFR604" s="222"/>
      <c r="EFS604" s="222"/>
      <c r="EFT604" s="222"/>
      <c r="EFU604" s="222"/>
      <c r="EFV604" s="222"/>
      <c r="EFW604" s="223"/>
      <c r="EFX604" s="224"/>
      <c r="EFY604" s="222"/>
      <c r="EFZ604" s="222"/>
      <c r="EGA604" s="222"/>
      <c r="EGB604" s="222"/>
      <c r="EGC604" s="222"/>
      <c r="EGD604" s="222"/>
      <c r="EGE604" s="223"/>
      <c r="EGF604" s="224"/>
      <c r="EGG604" s="222"/>
      <c r="EGH604" s="222"/>
      <c r="EGI604" s="222"/>
      <c r="EGJ604" s="222"/>
      <c r="EGK604" s="222"/>
      <c r="EGL604" s="222"/>
      <c r="EGM604" s="223"/>
      <c r="EGN604" s="224"/>
      <c r="EGO604" s="222"/>
      <c r="EGP604" s="222"/>
      <c r="EGQ604" s="222"/>
      <c r="EGR604" s="222"/>
      <c r="EGS604" s="222"/>
      <c r="EGT604" s="222"/>
      <c r="EGU604" s="223"/>
      <c r="EGV604" s="224"/>
      <c r="EGW604" s="222"/>
      <c r="EGX604" s="222"/>
      <c r="EGY604" s="222"/>
      <c r="EGZ604" s="222"/>
      <c r="EHA604" s="222"/>
      <c r="EHB604" s="222"/>
      <c r="EHC604" s="223"/>
      <c r="EHD604" s="224"/>
      <c r="EHE604" s="222"/>
      <c r="EHF604" s="222"/>
      <c r="EHG604" s="222"/>
      <c r="EHH604" s="222"/>
      <c r="EHI604" s="222"/>
      <c r="EHJ604" s="222"/>
      <c r="EHK604" s="223"/>
      <c r="EHL604" s="224"/>
      <c r="EHM604" s="222"/>
      <c r="EHN604" s="222"/>
      <c r="EHO604" s="222"/>
      <c r="EHP604" s="222"/>
      <c r="EHQ604" s="222"/>
      <c r="EHR604" s="222"/>
      <c r="EHS604" s="223"/>
      <c r="EHT604" s="224"/>
      <c r="EHU604" s="222"/>
      <c r="EHV604" s="222"/>
      <c r="EHW604" s="222"/>
      <c r="EHX604" s="222"/>
      <c r="EHY604" s="222"/>
      <c r="EHZ604" s="222"/>
      <c r="EIA604" s="223"/>
      <c r="EIB604" s="224"/>
      <c r="EIC604" s="222"/>
      <c r="EID604" s="222"/>
      <c r="EIE604" s="222"/>
      <c r="EIF604" s="222"/>
      <c r="EIG604" s="222"/>
      <c r="EIH604" s="222"/>
      <c r="EII604" s="223"/>
      <c r="EIJ604" s="224"/>
      <c r="EIK604" s="222"/>
      <c r="EIL604" s="222"/>
      <c r="EIM604" s="222"/>
      <c r="EIN604" s="222"/>
      <c r="EIO604" s="222"/>
      <c r="EIP604" s="222"/>
      <c r="EIQ604" s="223"/>
      <c r="EIR604" s="224"/>
      <c r="EIS604" s="222"/>
      <c r="EIT604" s="222"/>
      <c r="EIU604" s="222"/>
      <c r="EIV604" s="222"/>
      <c r="EIW604" s="222"/>
      <c r="EIX604" s="222"/>
      <c r="EIY604" s="223"/>
      <c r="EIZ604" s="224"/>
      <c r="EJA604" s="222"/>
      <c r="EJB604" s="222"/>
      <c r="EJC604" s="222"/>
      <c r="EJD604" s="222"/>
      <c r="EJE604" s="222"/>
      <c r="EJF604" s="222"/>
      <c r="EJG604" s="223"/>
      <c r="EJH604" s="224"/>
      <c r="EJI604" s="222"/>
      <c r="EJJ604" s="222"/>
      <c r="EJK604" s="222"/>
      <c r="EJL604" s="222"/>
      <c r="EJM604" s="222"/>
      <c r="EJN604" s="222"/>
      <c r="EJO604" s="223"/>
      <c r="EJP604" s="224"/>
      <c r="EJQ604" s="222"/>
      <c r="EJR604" s="222"/>
      <c r="EJS604" s="222"/>
      <c r="EJT604" s="222"/>
      <c r="EJU604" s="222"/>
      <c r="EJV604" s="222"/>
      <c r="EJW604" s="223"/>
      <c r="EJX604" s="224"/>
      <c r="EJY604" s="222"/>
      <c r="EJZ604" s="222"/>
      <c r="EKA604" s="222"/>
      <c r="EKB604" s="222"/>
      <c r="EKC604" s="222"/>
      <c r="EKD604" s="222"/>
      <c r="EKE604" s="223"/>
      <c r="EKF604" s="224"/>
      <c r="EKG604" s="222"/>
      <c r="EKH604" s="222"/>
      <c r="EKI604" s="222"/>
      <c r="EKJ604" s="222"/>
      <c r="EKK604" s="222"/>
      <c r="EKL604" s="222"/>
      <c r="EKM604" s="223"/>
      <c r="EKN604" s="224"/>
      <c r="EKO604" s="222"/>
      <c r="EKP604" s="222"/>
      <c r="EKQ604" s="222"/>
      <c r="EKR604" s="222"/>
      <c r="EKS604" s="222"/>
      <c r="EKT604" s="222"/>
      <c r="EKU604" s="223"/>
      <c r="EKV604" s="224"/>
      <c r="EKW604" s="222"/>
      <c r="EKX604" s="222"/>
      <c r="EKY604" s="222"/>
      <c r="EKZ604" s="222"/>
      <c r="ELA604" s="222"/>
      <c r="ELB604" s="222"/>
      <c r="ELC604" s="223"/>
      <c r="ELD604" s="224"/>
      <c r="ELE604" s="222"/>
      <c r="ELF604" s="222"/>
      <c r="ELG604" s="222"/>
      <c r="ELH604" s="222"/>
      <c r="ELI604" s="222"/>
      <c r="ELJ604" s="222"/>
      <c r="ELK604" s="223"/>
      <c r="ELL604" s="224"/>
      <c r="ELM604" s="222"/>
      <c r="ELN604" s="222"/>
      <c r="ELO604" s="222"/>
      <c r="ELP604" s="222"/>
      <c r="ELQ604" s="222"/>
      <c r="ELR604" s="222"/>
      <c r="ELS604" s="223"/>
      <c r="ELT604" s="224"/>
      <c r="ELU604" s="222"/>
      <c r="ELV604" s="222"/>
      <c r="ELW604" s="222"/>
      <c r="ELX604" s="222"/>
      <c r="ELY604" s="222"/>
      <c r="ELZ604" s="222"/>
      <c r="EMA604" s="223"/>
      <c r="EMB604" s="224"/>
      <c r="EMC604" s="222"/>
      <c r="EMD604" s="222"/>
      <c r="EME604" s="222"/>
      <c r="EMF604" s="222"/>
      <c r="EMG604" s="222"/>
      <c r="EMH604" s="222"/>
      <c r="EMI604" s="223"/>
      <c r="EMJ604" s="224"/>
      <c r="EMK604" s="222"/>
      <c r="EML604" s="222"/>
      <c r="EMM604" s="222"/>
      <c r="EMN604" s="222"/>
      <c r="EMO604" s="222"/>
      <c r="EMP604" s="222"/>
      <c r="EMQ604" s="223"/>
      <c r="EMR604" s="224"/>
      <c r="EMS604" s="222"/>
      <c r="EMT604" s="222"/>
      <c r="EMU604" s="222"/>
      <c r="EMV604" s="222"/>
      <c r="EMW604" s="222"/>
      <c r="EMX604" s="222"/>
      <c r="EMY604" s="223"/>
      <c r="EMZ604" s="224"/>
      <c r="ENA604" s="222"/>
      <c r="ENB604" s="222"/>
      <c r="ENC604" s="222"/>
      <c r="END604" s="222"/>
      <c r="ENE604" s="222"/>
      <c r="ENF604" s="222"/>
      <c r="ENG604" s="223"/>
      <c r="ENH604" s="224"/>
      <c r="ENI604" s="222"/>
      <c r="ENJ604" s="222"/>
      <c r="ENK604" s="222"/>
      <c r="ENL604" s="222"/>
      <c r="ENM604" s="222"/>
      <c r="ENN604" s="222"/>
      <c r="ENO604" s="223"/>
      <c r="ENP604" s="224"/>
      <c r="ENQ604" s="222"/>
      <c r="ENR604" s="222"/>
      <c r="ENS604" s="222"/>
      <c r="ENT604" s="222"/>
      <c r="ENU604" s="222"/>
      <c r="ENV604" s="222"/>
      <c r="ENW604" s="223"/>
      <c r="ENX604" s="224"/>
      <c r="ENY604" s="222"/>
      <c r="ENZ604" s="222"/>
      <c r="EOA604" s="222"/>
      <c r="EOB604" s="222"/>
      <c r="EOC604" s="222"/>
      <c r="EOD604" s="222"/>
      <c r="EOE604" s="223"/>
      <c r="EOF604" s="224"/>
      <c r="EOG604" s="222"/>
      <c r="EOH604" s="222"/>
      <c r="EOI604" s="222"/>
      <c r="EOJ604" s="222"/>
      <c r="EOK604" s="222"/>
      <c r="EOL604" s="222"/>
      <c r="EOM604" s="223"/>
      <c r="EON604" s="224"/>
      <c r="EOO604" s="222"/>
      <c r="EOP604" s="222"/>
      <c r="EOQ604" s="222"/>
      <c r="EOR604" s="222"/>
      <c r="EOS604" s="222"/>
      <c r="EOT604" s="222"/>
      <c r="EOU604" s="223"/>
      <c r="EOV604" s="224"/>
      <c r="EOW604" s="222"/>
      <c r="EOX604" s="222"/>
      <c r="EOY604" s="222"/>
      <c r="EOZ604" s="222"/>
      <c r="EPA604" s="222"/>
      <c r="EPB604" s="222"/>
      <c r="EPC604" s="223"/>
      <c r="EPD604" s="224"/>
      <c r="EPE604" s="222"/>
      <c r="EPF604" s="222"/>
      <c r="EPG604" s="222"/>
      <c r="EPH604" s="222"/>
      <c r="EPI604" s="222"/>
      <c r="EPJ604" s="222"/>
      <c r="EPK604" s="223"/>
      <c r="EPL604" s="224"/>
      <c r="EPM604" s="222"/>
      <c r="EPN604" s="222"/>
      <c r="EPO604" s="222"/>
      <c r="EPP604" s="222"/>
      <c r="EPQ604" s="222"/>
      <c r="EPR604" s="222"/>
      <c r="EPS604" s="223"/>
      <c r="EPT604" s="224"/>
      <c r="EPU604" s="222"/>
      <c r="EPV604" s="222"/>
      <c r="EPW604" s="222"/>
      <c r="EPX604" s="222"/>
      <c r="EPY604" s="222"/>
      <c r="EPZ604" s="222"/>
      <c r="EQA604" s="223"/>
      <c r="EQB604" s="224"/>
      <c r="EQC604" s="222"/>
      <c r="EQD604" s="222"/>
      <c r="EQE604" s="222"/>
      <c r="EQF604" s="222"/>
      <c r="EQG604" s="222"/>
      <c r="EQH604" s="222"/>
      <c r="EQI604" s="223"/>
      <c r="EQJ604" s="224"/>
      <c r="EQK604" s="222"/>
      <c r="EQL604" s="222"/>
      <c r="EQM604" s="222"/>
      <c r="EQN604" s="222"/>
      <c r="EQO604" s="222"/>
      <c r="EQP604" s="222"/>
      <c r="EQQ604" s="223"/>
      <c r="EQR604" s="224"/>
      <c r="EQS604" s="222"/>
      <c r="EQT604" s="222"/>
      <c r="EQU604" s="222"/>
      <c r="EQV604" s="222"/>
      <c r="EQW604" s="222"/>
      <c r="EQX604" s="222"/>
      <c r="EQY604" s="223"/>
      <c r="EQZ604" s="224"/>
      <c r="ERA604" s="222"/>
      <c r="ERB604" s="222"/>
      <c r="ERC604" s="222"/>
      <c r="ERD604" s="222"/>
      <c r="ERE604" s="222"/>
      <c r="ERF604" s="222"/>
      <c r="ERG604" s="223"/>
      <c r="ERH604" s="224"/>
      <c r="ERI604" s="222"/>
      <c r="ERJ604" s="222"/>
      <c r="ERK604" s="222"/>
      <c r="ERL604" s="222"/>
      <c r="ERM604" s="222"/>
      <c r="ERN604" s="222"/>
      <c r="ERO604" s="223"/>
      <c r="ERP604" s="224"/>
      <c r="ERQ604" s="222"/>
      <c r="ERR604" s="222"/>
      <c r="ERS604" s="222"/>
      <c r="ERT604" s="222"/>
      <c r="ERU604" s="222"/>
      <c r="ERV604" s="222"/>
      <c r="ERW604" s="223"/>
      <c r="ERX604" s="224"/>
      <c r="ERY604" s="222"/>
      <c r="ERZ604" s="222"/>
      <c r="ESA604" s="222"/>
      <c r="ESB604" s="222"/>
      <c r="ESC604" s="222"/>
      <c r="ESD604" s="222"/>
      <c r="ESE604" s="223"/>
      <c r="ESF604" s="224"/>
      <c r="ESG604" s="222"/>
      <c r="ESH604" s="222"/>
      <c r="ESI604" s="222"/>
      <c r="ESJ604" s="222"/>
      <c r="ESK604" s="222"/>
      <c r="ESL604" s="222"/>
      <c r="ESM604" s="223"/>
      <c r="ESN604" s="224"/>
      <c r="ESO604" s="222"/>
      <c r="ESP604" s="222"/>
      <c r="ESQ604" s="222"/>
      <c r="ESR604" s="222"/>
      <c r="ESS604" s="222"/>
      <c r="EST604" s="222"/>
      <c r="ESU604" s="223"/>
      <c r="ESV604" s="224"/>
      <c r="ESW604" s="222"/>
      <c r="ESX604" s="222"/>
      <c r="ESY604" s="222"/>
      <c r="ESZ604" s="222"/>
      <c r="ETA604" s="222"/>
      <c r="ETB604" s="222"/>
      <c r="ETC604" s="223"/>
      <c r="ETD604" s="224"/>
      <c r="ETE604" s="222"/>
      <c r="ETF604" s="222"/>
      <c r="ETG604" s="222"/>
      <c r="ETH604" s="222"/>
      <c r="ETI604" s="222"/>
      <c r="ETJ604" s="222"/>
      <c r="ETK604" s="223"/>
      <c r="ETL604" s="224"/>
      <c r="ETM604" s="222"/>
      <c r="ETN604" s="222"/>
      <c r="ETO604" s="222"/>
      <c r="ETP604" s="222"/>
      <c r="ETQ604" s="222"/>
      <c r="ETR604" s="222"/>
      <c r="ETS604" s="223"/>
      <c r="ETT604" s="224"/>
      <c r="ETU604" s="222"/>
      <c r="ETV604" s="222"/>
      <c r="ETW604" s="222"/>
      <c r="ETX604" s="222"/>
      <c r="ETY604" s="222"/>
      <c r="ETZ604" s="222"/>
      <c r="EUA604" s="223"/>
      <c r="EUB604" s="224"/>
      <c r="EUC604" s="222"/>
      <c r="EUD604" s="222"/>
      <c r="EUE604" s="222"/>
      <c r="EUF604" s="222"/>
      <c r="EUG604" s="222"/>
      <c r="EUH604" s="222"/>
      <c r="EUI604" s="223"/>
      <c r="EUJ604" s="224"/>
      <c r="EUK604" s="222"/>
      <c r="EUL604" s="222"/>
      <c r="EUM604" s="222"/>
      <c r="EUN604" s="222"/>
      <c r="EUO604" s="222"/>
      <c r="EUP604" s="222"/>
      <c r="EUQ604" s="223"/>
      <c r="EUR604" s="224"/>
      <c r="EUS604" s="222"/>
      <c r="EUT604" s="222"/>
      <c r="EUU604" s="222"/>
      <c r="EUV604" s="222"/>
      <c r="EUW604" s="222"/>
      <c r="EUX604" s="222"/>
      <c r="EUY604" s="223"/>
      <c r="EUZ604" s="224"/>
      <c r="EVA604" s="222"/>
      <c r="EVB604" s="222"/>
      <c r="EVC604" s="222"/>
      <c r="EVD604" s="222"/>
      <c r="EVE604" s="222"/>
      <c r="EVF604" s="222"/>
      <c r="EVG604" s="223"/>
      <c r="EVH604" s="224"/>
      <c r="EVI604" s="222"/>
      <c r="EVJ604" s="222"/>
      <c r="EVK604" s="222"/>
      <c r="EVL604" s="222"/>
      <c r="EVM604" s="222"/>
      <c r="EVN604" s="222"/>
      <c r="EVO604" s="223"/>
      <c r="EVP604" s="224"/>
      <c r="EVQ604" s="222"/>
      <c r="EVR604" s="222"/>
      <c r="EVS604" s="222"/>
      <c r="EVT604" s="222"/>
      <c r="EVU604" s="222"/>
      <c r="EVV604" s="222"/>
      <c r="EVW604" s="223"/>
      <c r="EVX604" s="224"/>
      <c r="EVY604" s="222"/>
      <c r="EVZ604" s="222"/>
      <c r="EWA604" s="222"/>
      <c r="EWB604" s="222"/>
      <c r="EWC604" s="222"/>
      <c r="EWD604" s="222"/>
      <c r="EWE604" s="223"/>
      <c r="EWF604" s="224"/>
      <c r="EWG604" s="222"/>
      <c r="EWH604" s="222"/>
      <c r="EWI604" s="222"/>
      <c r="EWJ604" s="222"/>
      <c r="EWK604" s="222"/>
      <c r="EWL604" s="222"/>
      <c r="EWM604" s="223"/>
      <c r="EWN604" s="224"/>
      <c r="EWO604" s="222"/>
      <c r="EWP604" s="222"/>
      <c r="EWQ604" s="222"/>
      <c r="EWR604" s="222"/>
      <c r="EWS604" s="222"/>
      <c r="EWT604" s="222"/>
      <c r="EWU604" s="223"/>
      <c r="EWV604" s="224"/>
      <c r="EWW604" s="222"/>
      <c r="EWX604" s="222"/>
      <c r="EWY604" s="222"/>
      <c r="EWZ604" s="222"/>
      <c r="EXA604" s="222"/>
      <c r="EXB604" s="222"/>
      <c r="EXC604" s="223"/>
      <c r="EXD604" s="224"/>
      <c r="EXE604" s="222"/>
      <c r="EXF604" s="222"/>
      <c r="EXG604" s="222"/>
      <c r="EXH604" s="222"/>
      <c r="EXI604" s="222"/>
      <c r="EXJ604" s="222"/>
      <c r="EXK604" s="223"/>
      <c r="EXL604" s="224"/>
      <c r="EXM604" s="222"/>
      <c r="EXN604" s="222"/>
      <c r="EXO604" s="222"/>
      <c r="EXP604" s="222"/>
      <c r="EXQ604" s="222"/>
      <c r="EXR604" s="222"/>
      <c r="EXS604" s="223"/>
      <c r="EXT604" s="224"/>
      <c r="EXU604" s="222"/>
      <c r="EXV604" s="222"/>
      <c r="EXW604" s="222"/>
      <c r="EXX604" s="222"/>
      <c r="EXY604" s="222"/>
      <c r="EXZ604" s="222"/>
      <c r="EYA604" s="223"/>
      <c r="EYB604" s="224"/>
      <c r="EYC604" s="222"/>
      <c r="EYD604" s="222"/>
      <c r="EYE604" s="222"/>
      <c r="EYF604" s="222"/>
      <c r="EYG604" s="222"/>
      <c r="EYH604" s="222"/>
      <c r="EYI604" s="223"/>
      <c r="EYJ604" s="224"/>
      <c r="EYK604" s="222"/>
      <c r="EYL604" s="222"/>
      <c r="EYM604" s="222"/>
      <c r="EYN604" s="222"/>
      <c r="EYO604" s="222"/>
      <c r="EYP604" s="222"/>
      <c r="EYQ604" s="223"/>
      <c r="EYR604" s="224"/>
      <c r="EYS604" s="222"/>
      <c r="EYT604" s="222"/>
      <c r="EYU604" s="222"/>
      <c r="EYV604" s="222"/>
      <c r="EYW604" s="222"/>
      <c r="EYX604" s="222"/>
      <c r="EYY604" s="223"/>
      <c r="EYZ604" s="224"/>
      <c r="EZA604" s="222"/>
      <c r="EZB604" s="222"/>
      <c r="EZC604" s="222"/>
      <c r="EZD604" s="222"/>
      <c r="EZE604" s="222"/>
      <c r="EZF604" s="222"/>
      <c r="EZG604" s="223"/>
      <c r="EZH604" s="224"/>
      <c r="EZI604" s="222"/>
      <c r="EZJ604" s="222"/>
      <c r="EZK604" s="222"/>
      <c r="EZL604" s="222"/>
      <c r="EZM604" s="222"/>
      <c r="EZN604" s="222"/>
      <c r="EZO604" s="223"/>
      <c r="EZP604" s="224"/>
      <c r="EZQ604" s="222"/>
      <c r="EZR604" s="222"/>
      <c r="EZS604" s="222"/>
      <c r="EZT604" s="222"/>
      <c r="EZU604" s="222"/>
      <c r="EZV604" s="222"/>
      <c r="EZW604" s="223"/>
      <c r="EZX604" s="224"/>
      <c r="EZY604" s="222"/>
      <c r="EZZ604" s="222"/>
      <c r="FAA604" s="222"/>
      <c r="FAB604" s="222"/>
      <c r="FAC604" s="222"/>
      <c r="FAD604" s="222"/>
      <c r="FAE604" s="223"/>
      <c r="FAF604" s="224"/>
      <c r="FAG604" s="222"/>
      <c r="FAH604" s="222"/>
      <c r="FAI604" s="222"/>
      <c r="FAJ604" s="222"/>
      <c r="FAK604" s="222"/>
      <c r="FAL604" s="222"/>
      <c r="FAM604" s="223"/>
      <c r="FAN604" s="224"/>
      <c r="FAO604" s="222"/>
      <c r="FAP604" s="222"/>
      <c r="FAQ604" s="222"/>
      <c r="FAR604" s="222"/>
      <c r="FAS604" s="222"/>
      <c r="FAT604" s="222"/>
      <c r="FAU604" s="223"/>
      <c r="FAV604" s="224"/>
      <c r="FAW604" s="222"/>
      <c r="FAX604" s="222"/>
      <c r="FAY604" s="222"/>
      <c r="FAZ604" s="222"/>
      <c r="FBA604" s="222"/>
      <c r="FBB604" s="222"/>
      <c r="FBC604" s="223"/>
      <c r="FBD604" s="224"/>
      <c r="FBE604" s="222"/>
      <c r="FBF604" s="222"/>
      <c r="FBG604" s="222"/>
      <c r="FBH604" s="222"/>
      <c r="FBI604" s="222"/>
      <c r="FBJ604" s="222"/>
      <c r="FBK604" s="223"/>
      <c r="FBL604" s="224"/>
      <c r="FBM604" s="222"/>
      <c r="FBN604" s="222"/>
      <c r="FBO604" s="222"/>
      <c r="FBP604" s="222"/>
      <c r="FBQ604" s="222"/>
      <c r="FBR604" s="222"/>
      <c r="FBS604" s="223"/>
      <c r="FBT604" s="224"/>
      <c r="FBU604" s="222"/>
      <c r="FBV604" s="222"/>
      <c r="FBW604" s="222"/>
      <c r="FBX604" s="222"/>
      <c r="FBY604" s="222"/>
      <c r="FBZ604" s="222"/>
      <c r="FCA604" s="223"/>
      <c r="FCB604" s="224"/>
      <c r="FCC604" s="222"/>
      <c r="FCD604" s="222"/>
      <c r="FCE604" s="222"/>
      <c r="FCF604" s="222"/>
      <c r="FCG604" s="222"/>
      <c r="FCH604" s="222"/>
      <c r="FCI604" s="223"/>
      <c r="FCJ604" s="224"/>
      <c r="FCK604" s="222"/>
      <c r="FCL604" s="222"/>
      <c r="FCM604" s="222"/>
      <c r="FCN604" s="222"/>
      <c r="FCO604" s="222"/>
      <c r="FCP604" s="222"/>
      <c r="FCQ604" s="223"/>
      <c r="FCR604" s="224"/>
      <c r="FCS604" s="222"/>
      <c r="FCT604" s="222"/>
      <c r="FCU604" s="222"/>
      <c r="FCV604" s="222"/>
      <c r="FCW604" s="222"/>
      <c r="FCX604" s="222"/>
      <c r="FCY604" s="223"/>
      <c r="FCZ604" s="224"/>
      <c r="FDA604" s="222"/>
      <c r="FDB604" s="222"/>
      <c r="FDC604" s="222"/>
      <c r="FDD604" s="222"/>
      <c r="FDE604" s="222"/>
      <c r="FDF604" s="222"/>
      <c r="FDG604" s="223"/>
      <c r="FDH604" s="224"/>
      <c r="FDI604" s="222"/>
      <c r="FDJ604" s="222"/>
      <c r="FDK604" s="222"/>
      <c r="FDL604" s="222"/>
      <c r="FDM604" s="222"/>
      <c r="FDN604" s="222"/>
      <c r="FDO604" s="223"/>
      <c r="FDP604" s="224"/>
      <c r="FDQ604" s="222"/>
      <c r="FDR604" s="222"/>
      <c r="FDS604" s="222"/>
      <c r="FDT604" s="222"/>
      <c r="FDU604" s="222"/>
      <c r="FDV604" s="222"/>
      <c r="FDW604" s="223"/>
      <c r="FDX604" s="224"/>
      <c r="FDY604" s="222"/>
      <c r="FDZ604" s="222"/>
      <c r="FEA604" s="222"/>
      <c r="FEB604" s="222"/>
      <c r="FEC604" s="222"/>
      <c r="FED604" s="222"/>
      <c r="FEE604" s="223"/>
      <c r="FEF604" s="224"/>
      <c r="FEG604" s="222"/>
      <c r="FEH604" s="222"/>
      <c r="FEI604" s="222"/>
      <c r="FEJ604" s="222"/>
      <c r="FEK604" s="222"/>
      <c r="FEL604" s="222"/>
      <c r="FEM604" s="223"/>
      <c r="FEN604" s="224"/>
      <c r="FEO604" s="222"/>
      <c r="FEP604" s="222"/>
      <c r="FEQ604" s="222"/>
      <c r="FER604" s="222"/>
      <c r="FES604" s="222"/>
      <c r="FET604" s="222"/>
      <c r="FEU604" s="223"/>
      <c r="FEV604" s="224"/>
      <c r="FEW604" s="222"/>
      <c r="FEX604" s="222"/>
      <c r="FEY604" s="222"/>
      <c r="FEZ604" s="222"/>
      <c r="FFA604" s="222"/>
      <c r="FFB604" s="222"/>
      <c r="FFC604" s="223"/>
      <c r="FFD604" s="224"/>
      <c r="FFE604" s="222"/>
      <c r="FFF604" s="222"/>
      <c r="FFG604" s="222"/>
      <c r="FFH604" s="222"/>
      <c r="FFI604" s="222"/>
      <c r="FFJ604" s="222"/>
      <c r="FFK604" s="223"/>
      <c r="FFL604" s="224"/>
      <c r="FFM604" s="222"/>
      <c r="FFN604" s="222"/>
      <c r="FFO604" s="222"/>
      <c r="FFP604" s="222"/>
      <c r="FFQ604" s="222"/>
      <c r="FFR604" s="222"/>
      <c r="FFS604" s="223"/>
      <c r="FFT604" s="224"/>
      <c r="FFU604" s="222"/>
      <c r="FFV604" s="222"/>
      <c r="FFW604" s="222"/>
      <c r="FFX604" s="222"/>
      <c r="FFY604" s="222"/>
      <c r="FFZ604" s="222"/>
      <c r="FGA604" s="223"/>
      <c r="FGB604" s="224"/>
      <c r="FGC604" s="222"/>
      <c r="FGD604" s="222"/>
      <c r="FGE604" s="222"/>
      <c r="FGF604" s="222"/>
      <c r="FGG604" s="222"/>
      <c r="FGH604" s="222"/>
      <c r="FGI604" s="223"/>
      <c r="FGJ604" s="224"/>
      <c r="FGK604" s="222"/>
      <c r="FGL604" s="222"/>
      <c r="FGM604" s="222"/>
      <c r="FGN604" s="222"/>
      <c r="FGO604" s="222"/>
      <c r="FGP604" s="222"/>
      <c r="FGQ604" s="223"/>
      <c r="FGR604" s="224"/>
      <c r="FGS604" s="222"/>
      <c r="FGT604" s="222"/>
      <c r="FGU604" s="222"/>
      <c r="FGV604" s="222"/>
      <c r="FGW604" s="222"/>
      <c r="FGX604" s="222"/>
      <c r="FGY604" s="223"/>
      <c r="FGZ604" s="224"/>
      <c r="FHA604" s="222"/>
      <c r="FHB604" s="222"/>
      <c r="FHC604" s="222"/>
      <c r="FHD604" s="222"/>
      <c r="FHE604" s="222"/>
      <c r="FHF604" s="222"/>
      <c r="FHG604" s="223"/>
      <c r="FHH604" s="224"/>
      <c r="FHI604" s="222"/>
      <c r="FHJ604" s="222"/>
      <c r="FHK604" s="222"/>
      <c r="FHL604" s="222"/>
      <c r="FHM604" s="222"/>
      <c r="FHN604" s="222"/>
      <c r="FHO604" s="223"/>
      <c r="FHP604" s="224"/>
      <c r="FHQ604" s="222"/>
      <c r="FHR604" s="222"/>
      <c r="FHS604" s="222"/>
      <c r="FHT604" s="222"/>
      <c r="FHU604" s="222"/>
      <c r="FHV604" s="222"/>
      <c r="FHW604" s="223"/>
      <c r="FHX604" s="224"/>
      <c r="FHY604" s="222"/>
      <c r="FHZ604" s="222"/>
      <c r="FIA604" s="222"/>
      <c r="FIB604" s="222"/>
      <c r="FIC604" s="222"/>
      <c r="FID604" s="222"/>
      <c r="FIE604" s="223"/>
      <c r="FIF604" s="224"/>
      <c r="FIG604" s="222"/>
      <c r="FIH604" s="222"/>
      <c r="FII604" s="222"/>
      <c r="FIJ604" s="222"/>
      <c r="FIK604" s="222"/>
      <c r="FIL604" s="222"/>
      <c r="FIM604" s="223"/>
      <c r="FIN604" s="224"/>
      <c r="FIO604" s="222"/>
      <c r="FIP604" s="222"/>
      <c r="FIQ604" s="222"/>
      <c r="FIR604" s="222"/>
      <c r="FIS604" s="222"/>
      <c r="FIT604" s="222"/>
      <c r="FIU604" s="223"/>
      <c r="FIV604" s="224"/>
      <c r="FIW604" s="222"/>
      <c r="FIX604" s="222"/>
      <c r="FIY604" s="222"/>
      <c r="FIZ604" s="222"/>
      <c r="FJA604" s="222"/>
      <c r="FJB604" s="222"/>
      <c r="FJC604" s="223"/>
      <c r="FJD604" s="224"/>
      <c r="FJE604" s="222"/>
      <c r="FJF604" s="222"/>
      <c r="FJG604" s="222"/>
      <c r="FJH604" s="222"/>
      <c r="FJI604" s="222"/>
      <c r="FJJ604" s="222"/>
      <c r="FJK604" s="223"/>
      <c r="FJL604" s="224"/>
      <c r="FJM604" s="222"/>
      <c r="FJN604" s="222"/>
      <c r="FJO604" s="222"/>
      <c r="FJP604" s="222"/>
      <c r="FJQ604" s="222"/>
      <c r="FJR604" s="222"/>
      <c r="FJS604" s="223"/>
      <c r="FJT604" s="224"/>
      <c r="FJU604" s="222"/>
      <c r="FJV604" s="222"/>
      <c r="FJW604" s="222"/>
      <c r="FJX604" s="222"/>
      <c r="FJY604" s="222"/>
      <c r="FJZ604" s="222"/>
      <c r="FKA604" s="223"/>
      <c r="FKB604" s="224"/>
      <c r="FKC604" s="222"/>
      <c r="FKD604" s="222"/>
      <c r="FKE604" s="222"/>
      <c r="FKF604" s="222"/>
      <c r="FKG604" s="222"/>
      <c r="FKH604" s="222"/>
      <c r="FKI604" s="223"/>
      <c r="FKJ604" s="224"/>
      <c r="FKK604" s="222"/>
      <c r="FKL604" s="222"/>
      <c r="FKM604" s="222"/>
      <c r="FKN604" s="222"/>
      <c r="FKO604" s="222"/>
      <c r="FKP604" s="222"/>
      <c r="FKQ604" s="223"/>
      <c r="FKR604" s="224"/>
      <c r="FKS604" s="222"/>
      <c r="FKT604" s="222"/>
      <c r="FKU604" s="222"/>
      <c r="FKV604" s="222"/>
      <c r="FKW604" s="222"/>
      <c r="FKX604" s="222"/>
      <c r="FKY604" s="223"/>
      <c r="FKZ604" s="224"/>
      <c r="FLA604" s="222"/>
      <c r="FLB604" s="222"/>
      <c r="FLC604" s="222"/>
      <c r="FLD604" s="222"/>
      <c r="FLE604" s="222"/>
      <c r="FLF604" s="222"/>
      <c r="FLG604" s="223"/>
      <c r="FLH604" s="224"/>
      <c r="FLI604" s="222"/>
      <c r="FLJ604" s="222"/>
      <c r="FLK604" s="222"/>
      <c r="FLL604" s="222"/>
      <c r="FLM604" s="222"/>
      <c r="FLN604" s="222"/>
      <c r="FLO604" s="223"/>
      <c r="FLP604" s="224"/>
      <c r="FLQ604" s="222"/>
      <c r="FLR604" s="222"/>
      <c r="FLS604" s="222"/>
      <c r="FLT604" s="222"/>
      <c r="FLU604" s="222"/>
      <c r="FLV604" s="222"/>
      <c r="FLW604" s="223"/>
      <c r="FLX604" s="224"/>
      <c r="FLY604" s="222"/>
      <c r="FLZ604" s="222"/>
      <c r="FMA604" s="222"/>
      <c r="FMB604" s="222"/>
      <c r="FMC604" s="222"/>
      <c r="FMD604" s="222"/>
      <c r="FME604" s="223"/>
      <c r="FMF604" s="224"/>
      <c r="FMG604" s="222"/>
      <c r="FMH604" s="222"/>
      <c r="FMI604" s="222"/>
      <c r="FMJ604" s="222"/>
      <c r="FMK604" s="222"/>
      <c r="FML604" s="222"/>
      <c r="FMM604" s="223"/>
      <c r="FMN604" s="224"/>
      <c r="FMO604" s="222"/>
      <c r="FMP604" s="222"/>
      <c r="FMQ604" s="222"/>
      <c r="FMR604" s="222"/>
      <c r="FMS604" s="222"/>
      <c r="FMT604" s="222"/>
      <c r="FMU604" s="223"/>
      <c r="FMV604" s="224"/>
      <c r="FMW604" s="222"/>
      <c r="FMX604" s="222"/>
      <c r="FMY604" s="222"/>
      <c r="FMZ604" s="222"/>
      <c r="FNA604" s="222"/>
      <c r="FNB604" s="222"/>
      <c r="FNC604" s="223"/>
      <c r="FND604" s="224"/>
      <c r="FNE604" s="222"/>
      <c r="FNF604" s="222"/>
      <c r="FNG604" s="222"/>
      <c r="FNH604" s="222"/>
      <c r="FNI604" s="222"/>
      <c r="FNJ604" s="222"/>
      <c r="FNK604" s="223"/>
      <c r="FNL604" s="224"/>
      <c r="FNM604" s="222"/>
      <c r="FNN604" s="222"/>
      <c r="FNO604" s="222"/>
      <c r="FNP604" s="222"/>
      <c r="FNQ604" s="222"/>
      <c r="FNR604" s="222"/>
      <c r="FNS604" s="223"/>
      <c r="FNT604" s="224"/>
      <c r="FNU604" s="222"/>
      <c r="FNV604" s="222"/>
      <c r="FNW604" s="222"/>
      <c r="FNX604" s="222"/>
      <c r="FNY604" s="222"/>
      <c r="FNZ604" s="222"/>
      <c r="FOA604" s="223"/>
      <c r="FOB604" s="224"/>
      <c r="FOC604" s="222"/>
      <c r="FOD604" s="222"/>
      <c r="FOE604" s="222"/>
      <c r="FOF604" s="222"/>
      <c r="FOG604" s="222"/>
      <c r="FOH604" s="222"/>
      <c r="FOI604" s="223"/>
      <c r="FOJ604" s="224"/>
      <c r="FOK604" s="222"/>
      <c r="FOL604" s="222"/>
      <c r="FOM604" s="222"/>
      <c r="FON604" s="222"/>
      <c r="FOO604" s="222"/>
      <c r="FOP604" s="222"/>
      <c r="FOQ604" s="223"/>
      <c r="FOR604" s="224"/>
      <c r="FOS604" s="222"/>
      <c r="FOT604" s="222"/>
      <c r="FOU604" s="222"/>
      <c r="FOV604" s="222"/>
      <c r="FOW604" s="222"/>
      <c r="FOX604" s="222"/>
      <c r="FOY604" s="223"/>
      <c r="FOZ604" s="224"/>
      <c r="FPA604" s="222"/>
      <c r="FPB604" s="222"/>
      <c r="FPC604" s="222"/>
      <c r="FPD604" s="222"/>
      <c r="FPE604" s="222"/>
      <c r="FPF604" s="222"/>
      <c r="FPG604" s="223"/>
      <c r="FPH604" s="224"/>
      <c r="FPI604" s="222"/>
      <c r="FPJ604" s="222"/>
      <c r="FPK604" s="222"/>
      <c r="FPL604" s="222"/>
      <c r="FPM604" s="222"/>
      <c r="FPN604" s="222"/>
      <c r="FPO604" s="223"/>
      <c r="FPP604" s="224"/>
      <c r="FPQ604" s="222"/>
      <c r="FPR604" s="222"/>
      <c r="FPS604" s="222"/>
      <c r="FPT604" s="222"/>
      <c r="FPU604" s="222"/>
      <c r="FPV604" s="222"/>
      <c r="FPW604" s="223"/>
      <c r="FPX604" s="224"/>
      <c r="FPY604" s="222"/>
      <c r="FPZ604" s="222"/>
      <c r="FQA604" s="222"/>
      <c r="FQB604" s="222"/>
      <c r="FQC604" s="222"/>
      <c r="FQD604" s="222"/>
      <c r="FQE604" s="223"/>
      <c r="FQF604" s="224"/>
      <c r="FQG604" s="222"/>
      <c r="FQH604" s="222"/>
      <c r="FQI604" s="222"/>
      <c r="FQJ604" s="222"/>
      <c r="FQK604" s="222"/>
      <c r="FQL604" s="222"/>
      <c r="FQM604" s="223"/>
      <c r="FQN604" s="224"/>
      <c r="FQO604" s="222"/>
      <c r="FQP604" s="222"/>
      <c r="FQQ604" s="222"/>
      <c r="FQR604" s="222"/>
      <c r="FQS604" s="222"/>
      <c r="FQT604" s="222"/>
      <c r="FQU604" s="223"/>
      <c r="FQV604" s="224"/>
      <c r="FQW604" s="222"/>
      <c r="FQX604" s="222"/>
      <c r="FQY604" s="222"/>
      <c r="FQZ604" s="222"/>
      <c r="FRA604" s="222"/>
      <c r="FRB604" s="222"/>
      <c r="FRC604" s="223"/>
      <c r="FRD604" s="224"/>
      <c r="FRE604" s="222"/>
      <c r="FRF604" s="222"/>
      <c r="FRG604" s="222"/>
      <c r="FRH604" s="222"/>
      <c r="FRI604" s="222"/>
      <c r="FRJ604" s="222"/>
      <c r="FRK604" s="223"/>
      <c r="FRL604" s="224"/>
      <c r="FRM604" s="222"/>
      <c r="FRN604" s="222"/>
      <c r="FRO604" s="222"/>
      <c r="FRP604" s="222"/>
      <c r="FRQ604" s="222"/>
      <c r="FRR604" s="222"/>
      <c r="FRS604" s="223"/>
      <c r="FRT604" s="224"/>
      <c r="FRU604" s="222"/>
      <c r="FRV604" s="222"/>
      <c r="FRW604" s="222"/>
      <c r="FRX604" s="222"/>
      <c r="FRY604" s="222"/>
      <c r="FRZ604" s="222"/>
      <c r="FSA604" s="223"/>
      <c r="FSB604" s="224"/>
      <c r="FSC604" s="222"/>
      <c r="FSD604" s="222"/>
      <c r="FSE604" s="222"/>
      <c r="FSF604" s="222"/>
      <c r="FSG604" s="222"/>
      <c r="FSH604" s="222"/>
      <c r="FSI604" s="223"/>
      <c r="FSJ604" s="224"/>
      <c r="FSK604" s="222"/>
      <c r="FSL604" s="222"/>
      <c r="FSM604" s="222"/>
      <c r="FSN604" s="222"/>
      <c r="FSO604" s="222"/>
      <c r="FSP604" s="222"/>
      <c r="FSQ604" s="223"/>
      <c r="FSR604" s="224"/>
      <c r="FSS604" s="222"/>
      <c r="FST604" s="222"/>
      <c r="FSU604" s="222"/>
      <c r="FSV604" s="222"/>
      <c r="FSW604" s="222"/>
      <c r="FSX604" s="222"/>
      <c r="FSY604" s="223"/>
      <c r="FSZ604" s="224"/>
      <c r="FTA604" s="222"/>
      <c r="FTB604" s="222"/>
      <c r="FTC604" s="222"/>
      <c r="FTD604" s="222"/>
      <c r="FTE604" s="222"/>
      <c r="FTF604" s="222"/>
      <c r="FTG604" s="223"/>
      <c r="FTH604" s="224"/>
      <c r="FTI604" s="222"/>
      <c r="FTJ604" s="222"/>
      <c r="FTK604" s="222"/>
      <c r="FTL604" s="222"/>
      <c r="FTM604" s="222"/>
      <c r="FTN604" s="222"/>
      <c r="FTO604" s="223"/>
      <c r="FTP604" s="224"/>
      <c r="FTQ604" s="222"/>
      <c r="FTR604" s="222"/>
      <c r="FTS604" s="222"/>
      <c r="FTT604" s="222"/>
      <c r="FTU604" s="222"/>
      <c r="FTV604" s="222"/>
      <c r="FTW604" s="223"/>
      <c r="FTX604" s="224"/>
      <c r="FTY604" s="222"/>
      <c r="FTZ604" s="222"/>
      <c r="FUA604" s="222"/>
      <c r="FUB604" s="222"/>
      <c r="FUC604" s="222"/>
      <c r="FUD604" s="222"/>
      <c r="FUE604" s="223"/>
      <c r="FUF604" s="224"/>
      <c r="FUG604" s="222"/>
      <c r="FUH604" s="222"/>
      <c r="FUI604" s="222"/>
      <c r="FUJ604" s="222"/>
      <c r="FUK604" s="222"/>
      <c r="FUL604" s="222"/>
      <c r="FUM604" s="223"/>
      <c r="FUN604" s="224"/>
      <c r="FUO604" s="222"/>
      <c r="FUP604" s="222"/>
      <c r="FUQ604" s="222"/>
      <c r="FUR604" s="222"/>
      <c r="FUS604" s="222"/>
      <c r="FUT604" s="222"/>
      <c r="FUU604" s="223"/>
      <c r="FUV604" s="224"/>
      <c r="FUW604" s="222"/>
      <c r="FUX604" s="222"/>
      <c r="FUY604" s="222"/>
      <c r="FUZ604" s="222"/>
      <c r="FVA604" s="222"/>
      <c r="FVB604" s="222"/>
      <c r="FVC604" s="223"/>
      <c r="FVD604" s="224"/>
      <c r="FVE604" s="222"/>
      <c r="FVF604" s="222"/>
      <c r="FVG604" s="222"/>
      <c r="FVH604" s="222"/>
      <c r="FVI604" s="222"/>
      <c r="FVJ604" s="222"/>
      <c r="FVK604" s="223"/>
      <c r="FVL604" s="224"/>
      <c r="FVM604" s="222"/>
      <c r="FVN604" s="222"/>
      <c r="FVO604" s="222"/>
      <c r="FVP604" s="222"/>
      <c r="FVQ604" s="222"/>
      <c r="FVR604" s="222"/>
      <c r="FVS604" s="223"/>
      <c r="FVT604" s="224"/>
      <c r="FVU604" s="222"/>
      <c r="FVV604" s="222"/>
      <c r="FVW604" s="222"/>
      <c r="FVX604" s="222"/>
      <c r="FVY604" s="222"/>
      <c r="FVZ604" s="222"/>
      <c r="FWA604" s="223"/>
      <c r="FWB604" s="224"/>
      <c r="FWC604" s="222"/>
      <c r="FWD604" s="222"/>
      <c r="FWE604" s="222"/>
      <c r="FWF604" s="222"/>
      <c r="FWG604" s="222"/>
      <c r="FWH604" s="222"/>
      <c r="FWI604" s="223"/>
      <c r="FWJ604" s="224"/>
      <c r="FWK604" s="222"/>
      <c r="FWL604" s="222"/>
      <c r="FWM604" s="222"/>
      <c r="FWN604" s="222"/>
      <c r="FWO604" s="222"/>
      <c r="FWP604" s="222"/>
      <c r="FWQ604" s="223"/>
      <c r="FWR604" s="224"/>
      <c r="FWS604" s="222"/>
      <c r="FWT604" s="222"/>
      <c r="FWU604" s="222"/>
      <c r="FWV604" s="222"/>
      <c r="FWW604" s="222"/>
      <c r="FWX604" s="222"/>
      <c r="FWY604" s="223"/>
      <c r="FWZ604" s="224"/>
      <c r="FXA604" s="222"/>
      <c r="FXB604" s="222"/>
      <c r="FXC604" s="222"/>
      <c r="FXD604" s="222"/>
      <c r="FXE604" s="222"/>
      <c r="FXF604" s="222"/>
      <c r="FXG604" s="223"/>
      <c r="FXH604" s="224"/>
      <c r="FXI604" s="222"/>
      <c r="FXJ604" s="222"/>
      <c r="FXK604" s="222"/>
      <c r="FXL604" s="222"/>
      <c r="FXM604" s="222"/>
      <c r="FXN604" s="222"/>
      <c r="FXO604" s="223"/>
      <c r="FXP604" s="224"/>
      <c r="FXQ604" s="222"/>
      <c r="FXR604" s="222"/>
      <c r="FXS604" s="222"/>
      <c r="FXT604" s="222"/>
      <c r="FXU604" s="222"/>
      <c r="FXV604" s="222"/>
      <c r="FXW604" s="223"/>
      <c r="FXX604" s="224"/>
      <c r="FXY604" s="222"/>
      <c r="FXZ604" s="222"/>
      <c r="FYA604" s="222"/>
      <c r="FYB604" s="222"/>
      <c r="FYC604" s="222"/>
      <c r="FYD604" s="222"/>
      <c r="FYE604" s="223"/>
      <c r="FYF604" s="224"/>
      <c r="FYG604" s="222"/>
      <c r="FYH604" s="222"/>
      <c r="FYI604" s="222"/>
      <c r="FYJ604" s="222"/>
      <c r="FYK604" s="222"/>
      <c r="FYL604" s="222"/>
      <c r="FYM604" s="223"/>
      <c r="FYN604" s="224"/>
      <c r="FYO604" s="222"/>
      <c r="FYP604" s="222"/>
      <c r="FYQ604" s="222"/>
      <c r="FYR604" s="222"/>
      <c r="FYS604" s="222"/>
      <c r="FYT604" s="222"/>
      <c r="FYU604" s="223"/>
      <c r="FYV604" s="224"/>
      <c r="FYW604" s="222"/>
      <c r="FYX604" s="222"/>
      <c r="FYY604" s="222"/>
      <c r="FYZ604" s="222"/>
      <c r="FZA604" s="222"/>
      <c r="FZB604" s="222"/>
      <c r="FZC604" s="223"/>
      <c r="FZD604" s="224"/>
      <c r="FZE604" s="222"/>
      <c r="FZF604" s="222"/>
      <c r="FZG604" s="222"/>
      <c r="FZH604" s="222"/>
      <c r="FZI604" s="222"/>
      <c r="FZJ604" s="222"/>
      <c r="FZK604" s="223"/>
      <c r="FZL604" s="224"/>
      <c r="FZM604" s="222"/>
      <c r="FZN604" s="222"/>
      <c r="FZO604" s="222"/>
      <c r="FZP604" s="222"/>
      <c r="FZQ604" s="222"/>
      <c r="FZR604" s="222"/>
      <c r="FZS604" s="223"/>
      <c r="FZT604" s="224"/>
      <c r="FZU604" s="222"/>
      <c r="FZV604" s="222"/>
      <c r="FZW604" s="222"/>
      <c r="FZX604" s="222"/>
      <c r="FZY604" s="222"/>
      <c r="FZZ604" s="222"/>
      <c r="GAA604" s="223"/>
      <c r="GAB604" s="224"/>
      <c r="GAC604" s="222"/>
      <c r="GAD604" s="222"/>
      <c r="GAE604" s="222"/>
      <c r="GAF604" s="222"/>
      <c r="GAG604" s="222"/>
      <c r="GAH604" s="222"/>
      <c r="GAI604" s="223"/>
      <c r="GAJ604" s="224"/>
      <c r="GAK604" s="222"/>
      <c r="GAL604" s="222"/>
      <c r="GAM604" s="222"/>
      <c r="GAN604" s="222"/>
      <c r="GAO604" s="222"/>
      <c r="GAP604" s="222"/>
      <c r="GAQ604" s="223"/>
      <c r="GAR604" s="224"/>
      <c r="GAS604" s="222"/>
      <c r="GAT604" s="222"/>
      <c r="GAU604" s="222"/>
      <c r="GAV604" s="222"/>
      <c r="GAW604" s="222"/>
      <c r="GAX604" s="222"/>
      <c r="GAY604" s="223"/>
      <c r="GAZ604" s="224"/>
      <c r="GBA604" s="222"/>
      <c r="GBB604" s="222"/>
      <c r="GBC604" s="222"/>
      <c r="GBD604" s="222"/>
      <c r="GBE604" s="222"/>
      <c r="GBF604" s="222"/>
      <c r="GBG604" s="223"/>
      <c r="GBH604" s="224"/>
      <c r="GBI604" s="222"/>
      <c r="GBJ604" s="222"/>
      <c r="GBK604" s="222"/>
      <c r="GBL604" s="222"/>
      <c r="GBM604" s="222"/>
      <c r="GBN604" s="222"/>
      <c r="GBO604" s="223"/>
      <c r="GBP604" s="224"/>
      <c r="GBQ604" s="222"/>
      <c r="GBR604" s="222"/>
      <c r="GBS604" s="222"/>
      <c r="GBT604" s="222"/>
      <c r="GBU604" s="222"/>
      <c r="GBV604" s="222"/>
      <c r="GBW604" s="223"/>
      <c r="GBX604" s="224"/>
      <c r="GBY604" s="222"/>
      <c r="GBZ604" s="222"/>
      <c r="GCA604" s="222"/>
      <c r="GCB604" s="222"/>
      <c r="GCC604" s="222"/>
      <c r="GCD604" s="222"/>
      <c r="GCE604" s="223"/>
      <c r="GCF604" s="224"/>
      <c r="GCG604" s="222"/>
      <c r="GCH604" s="222"/>
      <c r="GCI604" s="222"/>
      <c r="GCJ604" s="222"/>
      <c r="GCK604" s="222"/>
      <c r="GCL604" s="222"/>
      <c r="GCM604" s="223"/>
      <c r="GCN604" s="224"/>
      <c r="GCO604" s="222"/>
      <c r="GCP604" s="222"/>
      <c r="GCQ604" s="222"/>
      <c r="GCR604" s="222"/>
      <c r="GCS604" s="222"/>
      <c r="GCT604" s="222"/>
      <c r="GCU604" s="223"/>
      <c r="GCV604" s="224"/>
      <c r="GCW604" s="222"/>
      <c r="GCX604" s="222"/>
      <c r="GCY604" s="222"/>
      <c r="GCZ604" s="222"/>
      <c r="GDA604" s="222"/>
      <c r="GDB604" s="222"/>
      <c r="GDC604" s="223"/>
      <c r="GDD604" s="224"/>
      <c r="GDE604" s="222"/>
      <c r="GDF604" s="222"/>
      <c r="GDG604" s="222"/>
      <c r="GDH604" s="222"/>
      <c r="GDI604" s="222"/>
      <c r="GDJ604" s="222"/>
      <c r="GDK604" s="223"/>
      <c r="GDL604" s="224"/>
      <c r="GDM604" s="222"/>
      <c r="GDN604" s="222"/>
      <c r="GDO604" s="222"/>
      <c r="GDP604" s="222"/>
      <c r="GDQ604" s="222"/>
      <c r="GDR604" s="222"/>
      <c r="GDS604" s="223"/>
      <c r="GDT604" s="224"/>
      <c r="GDU604" s="222"/>
      <c r="GDV604" s="222"/>
      <c r="GDW604" s="222"/>
      <c r="GDX604" s="222"/>
      <c r="GDY604" s="222"/>
      <c r="GDZ604" s="222"/>
      <c r="GEA604" s="223"/>
      <c r="GEB604" s="224"/>
      <c r="GEC604" s="222"/>
      <c r="GED604" s="222"/>
      <c r="GEE604" s="222"/>
      <c r="GEF604" s="222"/>
      <c r="GEG604" s="222"/>
      <c r="GEH604" s="222"/>
      <c r="GEI604" s="223"/>
      <c r="GEJ604" s="224"/>
      <c r="GEK604" s="222"/>
      <c r="GEL604" s="222"/>
      <c r="GEM604" s="222"/>
      <c r="GEN604" s="222"/>
      <c r="GEO604" s="222"/>
      <c r="GEP604" s="222"/>
      <c r="GEQ604" s="223"/>
      <c r="GER604" s="224"/>
      <c r="GES604" s="222"/>
      <c r="GET604" s="222"/>
      <c r="GEU604" s="222"/>
      <c r="GEV604" s="222"/>
      <c r="GEW604" s="222"/>
      <c r="GEX604" s="222"/>
      <c r="GEY604" s="223"/>
      <c r="GEZ604" s="224"/>
      <c r="GFA604" s="222"/>
      <c r="GFB604" s="222"/>
      <c r="GFC604" s="222"/>
      <c r="GFD604" s="222"/>
      <c r="GFE604" s="222"/>
      <c r="GFF604" s="222"/>
      <c r="GFG604" s="223"/>
      <c r="GFH604" s="224"/>
      <c r="GFI604" s="222"/>
      <c r="GFJ604" s="222"/>
      <c r="GFK604" s="222"/>
      <c r="GFL604" s="222"/>
      <c r="GFM604" s="222"/>
      <c r="GFN604" s="222"/>
      <c r="GFO604" s="223"/>
      <c r="GFP604" s="224"/>
      <c r="GFQ604" s="222"/>
      <c r="GFR604" s="222"/>
      <c r="GFS604" s="222"/>
      <c r="GFT604" s="222"/>
      <c r="GFU604" s="222"/>
      <c r="GFV604" s="222"/>
      <c r="GFW604" s="223"/>
      <c r="GFX604" s="224"/>
      <c r="GFY604" s="222"/>
      <c r="GFZ604" s="222"/>
      <c r="GGA604" s="222"/>
      <c r="GGB604" s="222"/>
      <c r="GGC604" s="222"/>
      <c r="GGD604" s="222"/>
      <c r="GGE604" s="223"/>
      <c r="GGF604" s="224"/>
      <c r="GGG604" s="222"/>
      <c r="GGH604" s="222"/>
      <c r="GGI604" s="222"/>
      <c r="GGJ604" s="222"/>
      <c r="GGK604" s="222"/>
      <c r="GGL604" s="222"/>
      <c r="GGM604" s="223"/>
      <c r="GGN604" s="224"/>
      <c r="GGO604" s="222"/>
      <c r="GGP604" s="222"/>
      <c r="GGQ604" s="222"/>
      <c r="GGR604" s="222"/>
      <c r="GGS604" s="222"/>
      <c r="GGT604" s="222"/>
      <c r="GGU604" s="223"/>
      <c r="GGV604" s="224"/>
      <c r="GGW604" s="222"/>
      <c r="GGX604" s="222"/>
      <c r="GGY604" s="222"/>
      <c r="GGZ604" s="222"/>
      <c r="GHA604" s="222"/>
      <c r="GHB604" s="222"/>
      <c r="GHC604" s="223"/>
      <c r="GHD604" s="224"/>
      <c r="GHE604" s="222"/>
      <c r="GHF604" s="222"/>
      <c r="GHG604" s="222"/>
      <c r="GHH604" s="222"/>
      <c r="GHI604" s="222"/>
      <c r="GHJ604" s="222"/>
      <c r="GHK604" s="223"/>
      <c r="GHL604" s="224"/>
      <c r="GHM604" s="222"/>
      <c r="GHN604" s="222"/>
      <c r="GHO604" s="222"/>
      <c r="GHP604" s="222"/>
      <c r="GHQ604" s="222"/>
      <c r="GHR604" s="222"/>
      <c r="GHS604" s="223"/>
      <c r="GHT604" s="224"/>
      <c r="GHU604" s="222"/>
      <c r="GHV604" s="222"/>
      <c r="GHW604" s="222"/>
      <c r="GHX604" s="222"/>
      <c r="GHY604" s="222"/>
      <c r="GHZ604" s="222"/>
      <c r="GIA604" s="223"/>
      <c r="GIB604" s="224"/>
      <c r="GIC604" s="222"/>
      <c r="GID604" s="222"/>
      <c r="GIE604" s="222"/>
      <c r="GIF604" s="222"/>
      <c r="GIG604" s="222"/>
      <c r="GIH604" s="222"/>
      <c r="GII604" s="223"/>
      <c r="GIJ604" s="224"/>
      <c r="GIK604" s="222"/>
      <c r="GIL604" s="222"/>
      <c r="GIM604" s="222"/>
      <c r="GIN604" s="222"/>
      <c r="GIO604" s="222"/>
      <c r="GIP604" s="222"/>
      <c r="GIQ604" s="223"/>
      <c r="GIR604" s="224"/>
      <c r="GIS604" s="222"/>
      <c r="GIT604" s="222"/>
      <c r="GIU604" s="222"/>
      <c r="GIV604" s="222"/>
      <c r="GIW604" s="222"/>
      <c r="GIX604" s="222"/>
      <c r="GIY604" s="223"/>
      <c r="GIZ604" s="224"/>
      <c r="GJA604" s="222"/>
      <c r="GJB604" s="222"/>
      <c r="GJC604" s="222"/>
      <c r="GJD604" s="222"/>
      <c r="GJE604" s="222"/>
      <c r="GJF604" s="222"/>
      <c r="GJG604" s="223"/>
      <c r="GJH604" s="224"/>
      <c r="GJI604" s="222"/>
      <c r="GJJ604" s="222"/>
      <c r="GJK604" s="222"/>
      <c r="GJL604" s="222"/>
      <c r="GJM604" s="222"/>
      <c r="GJN604" s="222"/>
      <c r="GJO604" s="223"/>
      <c r="GJP604" s="224"/>
      <c r="GJQ604" s="222"/>
      <c r="GJR604" s="222"/>
      <c r="GJS604" s="222"/>
      <c r="GJT604" s="222"/>
      <c r="GJU604" s="222"/>
      <c r="GJV604" s="222"/>
      <c r="GJW604" s="223"/>
      <c r="GJX604" s="224"/>
      <c r="GJY604" s="222"/>
      <c r="GJZ604" s="222"/>
      <c r="GKA604" s="222"/>
      <c r="GKB604" s="222"/>
      <c r="GKC604" s="222"/>
      <c r="GKD604" s="222"/>
      <c r="GKE604" s="223"/>
      <c r="GKF604" s="224"/>
      <c r="GKG604" s="222"/>
      <c r="GKH604" s="222"/>
      <c r="GKI604" s="222"/>
      <c r="GKJ604" s="222"/>
      <c r="GKK604" s="222"/>
      <c r="GKL604" s="222"/>
      <c r="GKM604" s="223"/>
      <c r="GKN604" s="224"/>
      <c r="GKO604" s="222"/>
      <c r="GKP604" s="222"/>
      <c r="GKQ604" s="222"/>
      <c r="GKR604" s="222"/>
      <c r="GKS604" s="222"/>
      <c r="GKT604" s="222"/>
      <c r="GKU604" s="223"/>
      <c r="GKV604" s="224"/>
      <c r="GKW604" s="222"/>
      <c r="GKX604" s="222"/>
      <c r="GKY604" s="222"/>
      <c r="GKZ604" s="222"/>
      <c r="GLA604" s="222"/>
      <c r="GLB604" s="222"/>
      <c r="GLC604" s="223"/>
      <c r="GLD604" s="224"/>
      <c r="GLE604" s="222"/>
      <c r="GLF604" s="222"/>
      <c r="GLG604" s="222"/>
      <c r="GLH604" s="222"/>
      <c r="GLI604" s="222"/>
      <c r="GLJ604" s="222"/>
      <c r="GLK604" s="223"/>
      <c r="GLL604" s="224"/>
      <c r="GLM604" s="222"/>
      <c r="GLN604" s="222"/>
      <c r="GLO604" s="222"/>
      <c r="GLP604" s="222"/>
      <c r="GLQ604" s="222"/>
      <c r="GLR604" s="222"/>
      <c r="GLS604" s="223"/>
      <c r="GLT604" s="224"/>
      <c r="GLU604" s="222"/>
      <c r="GLV604" s="222"/>
      <c r="GLW604" s="222"/>
      <c r="GLX604" s="222"/>
      <c r="GLY604" s="222"/>
      <c r="GLZ604" s="222"/>
      <c r="GMA604" s="223"/>
      <c r="GMB604" s="224"/>
      <c r="GMC604" s="222"/>
      <c r="GMD604" s="222"/>
      <c r="GME604" s="222"/>
      <c r="GMF604" s="222"/>
      <c r="GMG604" s="222"/>
      <c r="GMH604" s="222"/>
      <c r="GMI604" s="223"/>
      <c r="GMJ604" s="224"/>
      <c r="GMK604" s="222"/>
      <c r="GML604" s="222"/>
      <c r="GMM604" s="222"/>
      <c r="GMN604" s="222"/>
      <c r="GMO604" s="222"/>
      <c r="GMP604" s="222"/>
      <c r="GMQ604" s="223"/>
      <c r="GMR604" s="224"/>
      <c r="GMS604" s="222"/>
      <c r="GMT604" s="222"/>
      <c r="GMU604" s="222"/>
      <c r="GMV604" s="222"/>
      <c r="GMW604" s="222"/>
      <c r="GMX604" s="222"/>
      <c r="GMY604" s="223"/>
      <c r="GMZ604" s="224"/>
      <c r="GNA604" s="222"/>
      <c r="GNB604" s="222"/>
      <c r="GNC604" s="222"/>
      <c r="GND604" s="222"/>
      <c r="GNE604" s="222"/>
      <c r="GNF604" s="222"/>
      <c r="GNG604" s="223"/>
      <c r="GNH604" s="224"/>
      <c r="GNI604" s="222"/>
      <c r="GNJ604" s="222"/>
      <c r="GNK604" s="222"/>
      <c r="GNL604" s="222"/>
      <c r="GNM604" s="222"/>
      <c r="GNN604" s="222"/>
      <c r="GNO604" s="223"/>
      <c r="GNP604" s="224"/>
      <c r="GNQ604" s="222"/>
      <c r="GNR604" s="222"/>
      <c r="GNS604" s="222"/>
      <c r="GNT604" s="222"/>
      <c r="GNU604" s="222"/>
      <c r="GNV604" s="222"/>
      <c r="GNW604" s="223"/>
      <c r="GNX604" s="224"/>
      <c r="GNY604" s="222"/>
      <c r="GNZ604" s="222"/>
      <c r="GOA604" s="222"/>
      <c r="GOB604" s="222"/>
      <c r="GOC604" s="222"/>
      <c r="GOD604" s="222"/>
      <c r="GOE604" s="223"/>
      <c r="GOF604" s="224"/>
      <c r="GOG604" s="222"/>
      <c r="GOH604" s="222"/>
      <c r="GOI604" s="222"/>
      <c r="GOJ604" s="222"/>
      <c r="GOK604" s="222"/>
      <c r="GOL604" s="222"/>
      <c r="GOM604" s="223"/>
      <c r="GON604" s="224"/>
      <c r="GOO604" s="222"/>
      <c r="GOP604" s="222"/>
      <c r="GOQ604" s="222"/>
      <c r="GOR604" s="222"/>
      <c r="GOS604" s="222"/>
      <c r="GOT604" s="222"/>
      <c r="GOU604" s="223"/>
      <c r="GOV604" s="224"/>
      <c r="GOW604" s="222"/>
      <c r="GOX604" s="222"/>
      <c r="GOY604" s="222"/>
      <c r="GOZ604" s="222"/>
      <c r="GPA604" s="222"/>
      <c r="GPB604" s="222"/>
      <c r="GPC604" s="223"/>
      <c r="GPD604" s="224"/>
      <c r="GPE604" s="222"/>
      <c r="GPF604" s="222"/>
      <c r="GPG604" s="222"/>
      <c r="GPH604" s="222"/>
      <c r="GPI604" s="222"/>
      <c r="GPJ604" s="222"/>
      <c r="GPK604" s="223"/>
      <c r="GPL604" s="224"/>
      <c r="GPM604" s="222"/>
      <c r="GPN604" s="222"/>
      <c r="GPO604" s="222"/>
      <c r="GPP604" s="222"/>
      <c r="GPQ604" s="222"/>
      <c r="GPR604" s="222"/>
      <c r="GPS604" s="223"/>
      <c r="GPT604" s="224"/>
      <c r="GPU604" s="222"/>
      <c r="GPV604" s="222"/>
      <c r="GPW604" s="222"/>
      <c r="GPX604" s="222"/>
      <c r="GPY604" s="222"/>
      <c r="GPZ604" s="222"/>
      <c r="GQA604" s="223"/>
      <c r="GQB604" s="224"/>
      <c r="GQC604" s="222"/>
      <c r="GQD604" s="222"/>
      <c r="GQE604" s="222"/>
      <c r="GQF604" s="222"/>
      <c r="GQG604" s="222"/>
      <c r="GQH604" s="222"/>
      <c r="GQI604" s="223"/>
      <c r="GQJ604" s="224"/>
      <c r="GQK604" s="222"/>
      <c r="GQL604" s="222"/>
      <c r="GQM604" s="222"/>
      <c r="GQN604" s="222"/>
      <c r="GQO604" s="222"/>
      <c r="GQP604" s="222"/>
      <c r="GQQ604" s="223"/>
      <c r="GQR604" s="224"/>
      <c r="GQS604" s="222"/>
      <c r="GQT604" s="222"/>
      <c r="GQU604" s="222"/>
      <c r="GQV604" s="222"/>
      <c r="GQW604" s="222"/>
      <c r="GQX604" s="222"/>
      <c r="GQY604" s="223"/>
      <c r="GQZ604" s="224"/>
      <c r="GRA604" s="222"/>
      <c r="GRB604" s="222"/>
      <c r="GRC604" s="222"/>
      <c r="GRD604" s="222"/>
      <c r="GRE604" s="222"/>
      <c r="GRF604" s="222"/>
      <c r="GRG604" s="223"/>
      <c r="GRH604" s="224"/>
      <c r="GRI604" s="222"/>
      <c r="GRJ604" s="222"/>
      <c r="GRK604" s="222"/>
      <c r="GRL604" s="222"/>
      <c r="GRM604" s="222"/>
      <c r="GRN604" s="222"/>
      <c r="GRO604" s="223"/>
      <c r="GRP604" s="224"/>
      <c r="GRQ604" s="222"/>
      <c r="GRR604" s="222"/>
      <c r="GRS604" s="222"/>
      <c r="GRT604" s="222"/>
      <c r="GRU604" s="222"/>
      <c r="GRV604" s="222"/>
      <c r="GRW604" s="223"/>
      <c r="GRX604" s="224"/>
      <c r="GRY604" s="222"/>
      <c r="GRZ604" s="222"/>
      <c r="GSA604" s="222"/>
      <c r="GSB604" s="222"/>
      <c r="GSC604" s="222"/>
      <c r="GSD604" s="222"/>
      <c r="GSE604" s="223"/>
      <c r="GSF604" s="224"/>
      <c r="GSG604" s="222"/>
      <c r="GSH604" s="222"/>
      <c r="GSI604" s="222"/>
      <c r="GSJ604" s="222"/>
      <c r="GSK604" s="222"/>
      <c r="GSL604" s="222"/>
      <c r="GSM604" s="223"/>
      <c r="GSN604" s="224"/>
      <c r="GSO604" s="222"/>
      <c r="GSP604" s="222"/>
      <c r="GSQ604" s="222"/>
      <c r="GSR604" s="222"/>
      <c r="GSS604" s="222"/>
      <c r="GST604" s="222"/>
      <c r="GSU604" s="223"/>
      <c r="GSV604" s="224"/>
      <c r="GSW604" s="222"/>
      <c r="GSX604" s="222"/>
      <c r="GSY604" s="222"/>
      <c r="GSZ604" s="222"/>
      <c r="GTA604" s="222"/>
      <c r="GTB604" s="222"/>
      <c r="GTC604" s="223"/>
      <c r="GTD604" s="224"/>
      <c r="GTE604" s="222"/>
      <c r="GTF604" s="222"/>
      <c r="GTG604" s="222"/>
      <c r="GTH604" s="222"/>
      <c r="GTI604" s="222"/>
      <c r="GTJ604" s="222"/>
      <c r="GTK604" s="223"/>
      <c r="GTL604" s="224"/>
      <c r="GTM604" s="222"/>
      <c r="GTN604" s="222"/>
      <c r="GTO604" s="222"/>
      <c r="GTP604" s="222"/>
      <c r="GTQ604" s="222"/>
      <c r="GTR604" s="222"/>
      <c r="GTS604" s="223"/>
      <c r="GTT604" s="224"/>
      <c r="GTU604" s="222"/>
      <c r="GTV604" s="222"/>
      <c r="GTW604" s="222"/>
      <c r="GTX604" s="222"/>
      <c r="GTY604" s="222"/>
      <c r="GTZ604" s="222"/>
      <c r="GUA604" s="223"/>
      <c r="GUB604" s="224"/>
      <c r="GUC604" s="222"/>
      <c r="GUD604" s="222"/>
      <c r="GUE604" s="222"/>
      <c r="GUF604" s="222"/>
      <c r="GUG604" s="222"/>
      <c r="GUH604" s="222"/>
      <c r="GUI604" s="223"/>
      <c r="GUJ604" s="224"/>
      <c r="GUK604" s="222"/>
      <c r="GUL604" s="222"/>
      <c r="GUM604" s="222"/>
      <c r="GUN604" s="222"/>
      <c r="GUO604" s="222"/>
      <c r="GUP604" s="222"/>
      <c r="GUQ604" s="223"/>
      <c r="GUR604" s="224"/>
      <c r="GUS604" s="222"/>
      <c r="GUT604" s="222"/>
      <c r="GUU604" s="222"/>
      <c r="GUV604" s="222"/>
      <c r="GUW604" s="222"/>
      <c r="GUX604" s="222"/>
      <c r="GUY604" s="223"/>
      <c r="GUZ604" s="224"/>
      <c r="GVA604" s="222"/>
      <c r="GVB604" s="222"/>
      <c r="GVC604" s="222"/>
      <c r="GVD604" s="222"/>
      <c r="GVE604" s="222"/>
      <c r="GVF604" s="222"/>
      <c r="GVG604" s="223"/>
      <c r="GVH604" s="224"/>
      <c r="GVI604" s="222"/>
      <c r="GVJ604" s="222"/>
      <c r="GVK604" s="222"/>
      <c r="GVL604" s="222"/>
      <c r="GVM604" s="222"/>
      <c r="GVN604" s="222"/>
      <c r="GVO604" s="223"/>
      <c r="GVP604" s="224"/>
      <c r="GVQ604" s="222"/>
      <c r="GVR604" s="222"/>
      <c r="GVS604" s="222"/>
      <c r="GVT604" s="222"/>
      <c r="GVU604" s="222"/>
      <c r="GVV604" s="222"/>
      <c r="GVW604" s="223"/>
      <c r="GVX604" s="224"/>
      <c r="GVY604" s="222"/>
      <c r="GVZ604" s="222"/>
      <c r="GWA604" s="222"/>
      <c r="GWB604" s="222"/>
      <c r="GWC604" s="222"/>
      <c r="GWD604" s="222"/>
      <c r="GWE604" s="223"/>
      <c r="GWF604" s="224"/>
      <c r="GWG604" s="222"/>
      <c r="GWH604" s="222"/>
      <c r="GWI604" s="222"/>
      <c r="GWJ604" s="222"/>
      <c r="GWK604" s="222"/>
      <c r="GWL604" s="222"/>
      <c r="GWM604" s="223"/>
      <c r="GWN604" s="224"/>
      <c r="GWO604" s="222"/>
      <c r="GWP604" s="222"/>
      <c r="GWQ604" s="222"/>
      <c r="GWR604" s="222"/>
      <c r="GWS604" s="222"/>
      <c r="GWT604" s="222"/>
      <c r="GWU604" s="223"/>
      <c r="GWV604" s="224"/>
      <c r="GWW604" s="222"/>
      <c r="GWX604" s="222"/>
      <c r="GWY604" s="222"/>
      <c r="GWZ604" s="222"/>
      <c r="GXA604" s="222"/>
      <c r="GXB604" s="222"/>
      <c r="GXC604" s="223"/>
      <c r="GXD604" s="224"/>
      <c r="GXE604" s="222"/>
      <c r="GXF604" s="222"/>
      <c r="GXG604" s="222"/>
      <c r="GXH604" s="222"/>
      <c r="GXI604" s="222"/>
      <c r="GXJ604" s="222"/>
      <c r="GXK604" s="223"/>
      <c r="GXL604" s="224"/>
      <c r="GXM604" s="222"/>
      <c r="GXN604" s="222"/>
      <c r="GXO604" s="222"/>
      <c r="GXP604" s="222"/>
      <c r="GXQ604" s="222"/>
      <c r="GXR604" s="222"/>
      <c r="GXS604" s="223"/>
      <c r="GXT604" s="224"/>
      <c r="GXU604" s="222"/>
      <c r="GXV604" s="222"/>
      <c r="GXW604" s="222"/>
      <c r="GXX604" s="222"/>
      <c r="GXY604" s="222"/>
      <c r="GXZ604" s="222"/>
      <c r="GYA604" s="223"/>
      <c r="GYB604" s="224"/>
      <c r="GYC604" s="222"/>
      <c r="GYD604" s="222"/>
      <c r="GYE604" s="222"/>
      <c r="GYF604" s="222"/>
      <c r="GYG604" s="222"/>
      <c r="GYH604" s="222"/>
      <c r="GYI604" s="223"/>
      <c r="GYJ604" s="224"/>
      <c r="GYK604" s="222"/>
      <c r="GYL604" s="222"/>
      <c r="GYM604" s="222"/>
      <c r="GYN604" s="222"/>
      <c r="GYO604" s="222"/>
      <c r="GYP604" s="222"/>
      <c r="GYQ604" s="223"/>
      <c r="GYR604" s="224"/>
      <c r="GYS604" s="222"/>
      <c r="GYT604" s="222"/>
      <c r="GYU604" s="222"/>
      <c r="GYV604" s="222"/>
      <c r="GYW604" s="222"/>
      <c r="GYX604" s="222"/>
      <c r="GYY604" s="223"/>
      <c r="GYZ604" s="224"/>
      <c r="GZA604" s="222"/>
      <c r="GZB604" s="222"/>
      <c r="GZC604" s="222"/>
      <c r="GZD604" s="222"/>
      <c r="GZE604" s="222"/>
      <c r="GZF604" s="222"/>
      <c r="GZG604" s="223"/>
      <c r="GZH604" s="224"/>
      <c r="GZI604" s="222"/>
      <c r="GZJ604" s="222"/>
      <c r="GZK604" s="222"/>
      <c r="GZL604" s="222"/>
      <c r="GZM604" s="222"/>
      <c r="GZN604" s="222"/>
      <c r="GZO604" s="223"/>
      <c r="GZP604" s="224"/>
      <c r="GZQ604" s="222"/>
      <c r="GZR604" s="222"/>
      <c r="GZS604" s="222"/>
      <c r="GZT604" s="222"/>
      <c r="GZU604" s="222"/>
      <c r="GZV604" s="222"/>
      <c r="GZW604" s="223"/>
      <c r="GZX604" s="224"/>
      <c r="GZY604" s="222"/>
      <c r="GZZ604" s="222"/>
      <c r="HAA604" s="222"/>
      <c r="HAB604" s="222"/>
      <c r="HAC604" s="222"/>
      <c r="HAD604" s="222"/>
      <c r="HAE604" s="223"/>
      <c r="HAF604" s="224"/>
      <c r="HAG604" s="222"/>
      <c r="HAH604" s="222"/>
      <c r="HAI604" s="222"/>
      <c r="HAJ604" s="222"/>
      <c r="HAK604" s="222"/>
      <c r="HAL604" s="222"/>
      <c r="HAM604" s="223"/>
      <c r="HAN604" s="224"/>
      <c r="HAO604" s="222"/>
      <c r="HAP604" s="222"/>
      <c r="HAQ604" s="222"/>
      <c r="HAR604" s="222"/>
      <c r="HAS604" s="222"/>
      <c r="HAT604" s="222"/>
      <c r="HAU604" s="223"/>
      <c r="HAV604" s="224"/>
      <c r="HAW604" s="222"/>
      <c r="HAX604" s="222"/>
      <c r="HAY604" s="222"/>
      <c r="HAZ604" s="222"/>
      <c r="HBA604" s="222"/>
      <c r="HBB604" s="222"/>
      <c r="HBC604" s="223"/>
      <c r="HBD604" s="224"/>
      <c r="HBE604" s="222"/>
      <c r="HBF604" s="222"/>
      <c r="HBG604" s="222"/>
      <c r="HBH604" s="222"/>
      <c r="HBI604" s="222"/>
      <c r="HBJ604" s="222"/>
      <c r="HBK604" s="223"/>
      <c r="HBL604" s="224"/>
      <c r="HBM604" s="222"/>
      <c r="HBN604" s="222"/>
      <c r="HBO604" s="222"/>
      <c r="HBP604" s="222"/>
      <c r="HBQ604" s="222"/>
      <c r="HBR604" s="222"/>
      <c r="HBS604" s="223"/>
      <c r="HBT604" s="224"/>
      <c r="HBU604" s="222"/>
      <c r="HBV604" s="222"/>
      <c r="HBW604" s="222"/>
      <c r="HBX604" s="222"/>
      <c r="HBY604" s="222"/>
      <c r="HBZ604" s="222"/>
      <c r="HCA604" s="223"/>
      <c r="HCB604" s="224"/>
      <c r="HCC604" s="222"/>
      <c r="HCD604" s="222"/>
      <c r="HCE604" s="222"/>
      <c r="HCF604" s="222"/>
      <c r="HCG604" s="222"/>
      <c r="HCH604" s="222"/>
      <c r="HCI604" s="223"/>
      <c r="HCJ604" s="224"/>
      <c r="HCK604" s="222"/>
      <c r="HCL604" s="222"/>
      <c r="HCM604" s="222"/>
      <c r="HCN604" s="222"/>
      <c r="HCO604" s="222"/>
      <c r="HCP604" s="222"/>
      <c r="HCQ604" s="223"/>
      <c r="HCR604" s="224"/>
      <c r="HCS604" s="222"/>
      <c r="HCT604" s="222"/>
      <c r="HCU604" s="222"/>
      <c r="HCV604" s="222"/>
      <c r="HCW604" s="222"/>
      <c r="HCX604" s="222"/>
      <c r="HCY604" s="223"/>
      <c r="HCZ604" s="224"/>
      <c r="HDA604" s="222"/>
      <c r="HDB604" s="222"/>
      <c r="HDC604" s="222"/>
      <c r="HDD604" s="222"/>
      <c r="HDE604" s="222"/>
      <c r="HDF604" s="222"/>
      <c r="HDG604" s="223"/>
      <c r="HDH604" s="224"/>
      <c r="HDI604" s="222"/>
      <c r="HDJ604" s="222"/>
      <c r="HDK604" s="222"/>
      <c r="HDL604" s="222"/>
      <c r="HDM604" s="222"/>
      <c r="HDN604" s="222"/>
      <c r="HDO604" s="223"/>
      <c r="HDP604" s="224"/>
      <c r="HDQ604" s="222"/>
      <c r="HDR604" s="222"/>
      <c r="HDS604" s="222"/>
      <c r="HDT604" s="222"/>
      <c r="HDU604" s="222"/>
      <c r="HDV604" s="222"/>
      <c r="HDW604" s="223"/>
      <c r="HDX604" s="224"/>
      <c r="HDY604" s="222"/>
      <c r="HDZ604" s="222"/>
      <c r="HEA604" s="222"/>
      <c r="HEB604" s="222"/>
      <c r="HEC604" s="222"/>
      <c r="HED604" s="222"/>
      <c r="HEE604" s="223"/>
      <c r="HEF604" s="224"/>
      <c r="HEG604" s="222"/>
      <c r="HEH604" s="222"/>
      <c r="HEI604" s="222"/>
      <c r="HEJ604" s="222"/>
      <c r="HEK604" s="222"/>
      <c r="HEL604" s="222"/>
      <c r="HEM604" s="223"/>
      <c r="HEN604" s="224"/>
      <c r="HEO604" s="222"/>
      <c r="HEP604" s="222"/>
      <c r="HEQ604" s="222"/>
      <c r="HER604" s="222"/>
      <c r="HES604" s="222"/>
      <c r="HET604" s="222"/>
      <c r="HEU604" s="223"/>
      <c r="HEV604" s="224"/>
      <c r="HEW604" s="222"/>
      <c r="HEX604" s="222"/>
      <c r="HEY604" s="222"/>
      <c r="HEZ604" s="222"/>
      <c r="HFA604" s="222"/>
      <c r="HFB604" s="222"/>
      <c r="HFC604" s="223"/>
      <c r="HFD604" s="224"/>
      <c r="HFE604" s="222"/>
      <c r="HFF604" s="222"/>
      <c r="HFG604" s="222"/>
      <c r="HFH604" s="222"/>
      <c r="HFI604" s="222"/>
      <c r="HFJ604" s="222"/>
      <c r="HFK604" s="223"/>
      <c r="HFL604" s="224"/>
      <c r="HFM604" s="222"/>
      <c r="HFN604" s="222"/>
      <c r="HFO604" s="222"/>
      <c r="HFP604" s="222"/>
      <c r="HFQ604" s="222"/>
      <c r="HFR604" s="222"/>
      <c r="HFS604" s="223"/>
      <c r="HFT604" s="224"/>
      <c r="HFU604" s="222"/>
      <c r="HFV604" s="222"/>
      <c r="HFW604" s="222"/>
      <c r="HFX604" s="222"/>
      <c r="HFY604" s="222"/>
      <c r="HFZ604" s="222"/>
      <c r="HGA604" s="223"/>
      <c r="HGB604" s="224"/>
      <c r="HGC604" s="222"/>
      <c r="HGD604" s="222"/>
      <c r="HGE604" s="222"/>
      <c r="HGF604" s="222"/>
      <c r="HGG604" s="222"/>
      <c r="HGH604" s="222"/>
      <c r="HGI604" s="223"/>
      <c r="HGJ604" s="224"/>
      <c r="HGK604" s="222"/>
      <c r="HGL604" s="222"/>
      <c r="HGM604" s="222"/>
      <c r="HGN604" s="222"/>
      <c r="HGO604" s="222"/>
      <c r="HGP604" s="222"/>
      <c r="HGQ604" s="223"/>
      <c r="HGR604" s="224"/>
      <c r="HGS604" s="222"/>
      <c r="HGT604" s="222"/>
      <c r="HGU604" s="222"/>
      <c r="HGV604" s="222"/>
      <c r="HGW604" s="222"/>
      <c r="HGX604" s="222"/>
      <c r="HGY604" s="223"/>
      <c r="HGZ604" s="224"/>
      <c r="HHA604" s="222"/>
      <c r="HHB604" s="222"/>
      <c r="HHC604" s="222"/>
      <c r="HHD604" s="222"/>
      <c r="HHE604" s="222"/>
      <c r="HHF604" s="222"/>
      <c r="HHG604" s="223"/>
      <c r="HHH604" s="224"/>
      <c r="HHI604" s="222"/>
      <c r="HHJ604" s="222"/>
      <c r="HHK604" s="222"/>
      <c r="HHL604" s="222"/>
      <c r="HHM604" s="222"/>
      <c r="HHN604" s="222"/>
      <c r="HHO604" s="223"/>
      <c r="HHP604" s="224"/>
      <c r="HHQ604" s="222"/>
      <c r="HHR604" s="222"/>
      <c r="HHS604" s="222"/>
      <c r="HHT604" s="222"/>
      <c r="HHU604" s="222"/>
      <c r="HHV604" s="222"/>
      <c r="HHW604" s="223"/>
      <c r="HHX604" s="224"/>
      <c r="HHY604" s="222"/>
      <c r="HHZ604" s="222"/>
      <c r="HIA604" s="222"/>
      <c r="HIB604" s="222"/>
      <c r="HIC604" s="222"/>
      <c r="HID604" s="222"/>
      <c r="HIE604" s="223"/>
      <c r="HIF604" s="224"/>
      <c r="HIG604" s="222"/>
      <c r="HIH604" s="222"/>
      <c r="HII604" s="222"/>
      <c r="HIJ604" s="222"/>
      <c r="HIK604" s="222"/>
      <c r="HIL604" s="222"/>
      <c r="HIM604" s="223"/>
      <c r="HIN604" s="224"/>
      <c r="HIO604" s="222"/>
      <c r="HIP604" s="222"/>
      <c r="HIQ604" s="222"/>
      <c r="HIR604" s="222"/>
      <c r="HIS604" s="222"/>
      <c r="HIT604" s="222"/>
      <c r="HIU604" s="223"/>
      <c r="HIV604" s="224"/>
      <c r="HIW604" s="222"/>
      <c r="HIX604" s="222"/>
      <c r="HIY604" s="222"/>
      <c r="HIZ604" s="222"/>
      <c r="HJA604" s="222"/>
      <c r="HJB604" s="222"/>
      <c r="HJC604" s="223"/>
      <c r="HJD604" s="224"/>
      <c r="HJE604" s="222"/>
      <c r="HJF604" s="222"/>
      <c r="HJG604" s="222"/>
      <c r="HJH604" s="222"/>
      <c r="HJI604" s="222"/>
      <c r="HJJ604" s="222"/>
      <c r="HJK604" s="223"/>
      <c r="HJL604" s="224"/>
      <c r="HJM604" s="222"/>
      <c r="HJN604" s="222"/>
      <c r="HJO604" s="222"/>
      <c r="HJP604" s="222"/>
      <c r="HJQ604" s="222"/>
      <c r="HJR604" s="222"/>
      <c r="HJS604" s="223"/>
      <c r="HJT604" s="224"/>
      <c r="HJU604" s="222"/>
      <c r="HJV604" s="222"/>
      <c r="HJW604" s="222"/>
      <c r="HJX604" s="222"/>
      <c r="HJY604" s="222"/>
      <c r="HJZ604" s="222"/>
      <c r="HKA604" s="223"/>
      <c r="HKB604" s="224"/>
      <c r="HKC604" s="222"/>
      <c r="HKD604" s="222"/>
      <c r="HKE604" s="222"/>
      <c r="HKF604" s="222"/>
      <c r="HKG604" s="222"/>
      <c r="HKH604" s="222"/>
      <c r="HKI604" s="223"/>
      <c r="HKJ604" s="224"/>
      <c r="HKK604" s="222"/>
      <c r="HKL604" s="222"/>
      <c r="HKM604" s="222"/>
      <c r="HKN604" s="222"/>
      <c r="HKO604" s="222"/>
      <c r="HKP604" s="222"/>
      <c r="HKQ604" s="223"/>
      <c r="HKR604" s="224"/>
      <c r="HKS604" s="222"/>
      <c r="HKT604" s="222"/>
      <c r="HKU604" s="222"/>
      <c r="HKV604" s="222"/>
      <c r="HKW604" s="222"/>
      <c r="HKX604" s="222"/>
      <c r="HKY604" s="223"/>
      <c r="HKZ604" s="224"/>
      <c r="HLA604" s="222"/>
      <c r="HLB604" s="222"/>
      <c r="HLC604" s="222"/>
      <c r="HLD604" s="222"/>
      <c r="HLE604" s="222"/>
      <c r="HLF604" s="222"/>
      <c r="HLG604" s="223"/>
      <c r="HLH604" s="224"/>
      <c r="HLI604" s="222"/>
      <c r="HLJ604" s="222"/>
      <c r="HLK604" s="222"/>
      <c r="HLL604" s="222"/>
      <c r="HLM604" s="222"/>
      <c r="HLN604" s="222"/>
      <c r="HLO604" s="223"/>
      <c r="HLP604" s="224"/>
      <c r="HLQ604" s="222"/>
      <c r="HLR604" s="222"/>
      <c r="HLS604" s="222"/>
      <c r="HLT604" s="222"/>
      <c r="HLU604" s="222"/>
      <c r="HLV604" s="222"/>
      <c r="HLW604" s="223"/>
      <c r="HLX604" s="224"/>
      <c r="HLY604" s="222"/>
      <c r="HLZ604" s="222"/>
      <c r="HMA604" s="222"/>
      <c r="HMB604" s="222"/>
      <c r="HMC604" s="222"/>
      <c r="HMD604" s="222"/>
      <c r="HME604" s="223"/>
      <c r="HMF604" s="224"/>
      <c r="HMG604" s="222"/>
      <c r="HMH604" s="222"/>
      <c r="HMI604" s="222"/>
      <c r="HMJ604" s="222"/>
      <c r="HMK604" s="222"/>
      <c r="HML604" s="222"/>
      <c r="HMM604" s="223"/>
      <c r="HMN604" s="224"/>
      <c r="HMO604" s="222"/>
      <c r="HMP604" s="222"/>
      <c r="HMQ604" s="222"/>
      <c r="HMR604" s="222"/>
      <c r="HMS604" s="222"/>
      <c r="HMT604" s="222"/>
      <c r="HMU604" s="223"/>
      <c r="HMV604" s="224"/>
      <c r="HMW604" s="222"/>
      <c r="HMX604" s="222"/>
      <c r="HMY604" s="222"/>
      <c r="HMZ604" s="222"/>
      <c r="HNA604" s="222"/>
      <c r="HNB604" s="222"/>
      <c r="HNC604" s="223"/>
      <c r="HND604" s="224"/>
      <c r="HNE604" s="222"/>
      <c r="HNF604" s="222"/>
      <c r="HNG604" s="222"/>
      <c r="HNH604" s="222"/>
      <c r="HNI604" s="222"/>
      <c r="HNJ604" s="222"/>
      <c r="HNK604" s="223"/>
      <c r="HNL604" s="224"/>
      <c r="HNM604" s="222"/>
      <c r="HNN604" s="222"/>
      <c r="HNO604" s="222"/>
      <c r="HNP604" s="222"/>
      <c r="HNQ604" s="222"/>
      <c r="HNR604" s="222"/>
      <c r="HNS604" s="223"/>
      <c r="HNT604" s="224"/>
      <c r="HNU604" s="222"/>
      <c r="HNV604" s="222"/>
      <c r="HNW604" s="222"/>
      <c r="HNX604" s="222"/>
      <c r="HNY604" s="222"/>
      <c r="HNZ604" s="222"/>
      <c r="HOA604" s="223"/>
      <c r="HOB604" s="224"/>
      <c r="HOC604" s="222"/>
      <c r="HOD604" s="222"/>
      <c r="HOE604" s="222"/>
      <c r="HOF604" s="222"/>
      <c r="HOG604" s="222"/>
      <c r="HOH604" s="222"/>
      <c r="HOI604" s="223"/>
      <c r="HOJ604" s="224"/>
      <c r="HOK604" s="222"/>
      <c r="HOL604" s="222"/>
      <c r="HOM604" s="222"/>
      <c r="HON604" s="222"/>
      <c r="HOO604" s="222"/>
      <c r="HOP604" s="222"/>
      <c r="HOQ604" s="223"/>
      <c r="HOR604" s="224"/>
      <c r="HOS604" s="222"/>
      <c r="HOT604" s="222"/>
      <c r="HOU604" s="222"/>
      <c r="HOV604" s="222"/>
      <c r="HOW604" s="222"/>
      <c r="HOX604" s="222"/>
      <c r="HOY604" s="223"/>
      <c r="HOZ604" s="224"/>
      <c r="HPA604" s="222"/>
      <c r="HPB604" s="222"/>
      <c r="HPC604" s="222"/>
      <c r="HPD604" s="222"/>
      <c r="HPE604" s="222"/>
      <c r="HPF604" s="222"/>
      <c r="HPG604" s="223"/>
      <c r="HPH604" s="224"/>
      <c r="HPI604" s="222"/>
      <c r="HPJ604" s="222"/>
      <c r="HPK604" s="222"/>
      <c r="HPL604" s="222"/>
      <c r="HPM604" s="222"/>
      <c r="HPN604" s="222"/>
      <c r="HPO604" s="223"/>
      <c r="HPP604" s="224"/>
      <c r="HPQ604" s="222"/>
      <c r="HPR604" s="222"/>
      <c r="HPS604" s="222"/>
      <c r="HPT604" s="222"/>
      <c r="HPU604" s="222"/>
      <c r="HPV604" s="222"/>
      <c r="HPW604" s="223"/>
      <c r="HPX604" s="224"/>
      <c r="HPY604" s="222"/>
      <c r="HPZ604" s="222"/>
      <c r="HQA604" s="222"/>
      <c r="HQB604" s="222"/>
      <c r="HQC604" s="222"/>
      <c r="HQD604" s="222"/>
      <c r="HQE604" s="223"/>
      <c r="HQF604" s="224"/>
      <c r="HQG604" s="222"/>
      <c r="HQH604" s="222"/>
      <c r="HQI604" s="222"/>
      <c r="HQJ604" s="222"/>
      <c r="HQK604" s="222"/>
      <c r="HQL604" s="222"/>
      <c r="HQM604" s="223"/>
      <c r="HQN604" s="224"/>
      <c r="HQO604" s="222"/>
      <c r="HQP604" s="222"/>
      <c r="HQQ604" s="222"/>
      <c r="HQR604" s="222"/>
      <c r="HQS604" s="222"/>
      <c r="HQT604" s="222"/>
      <c r="HQU604" s="223"/>
      <c r="HQV604" s="224"/>
      <c r="HQW604" s="222"/>
      <c r="HQX604" s="222"/>
      <c r="HQY604" s="222"/>
      <c r="HQZ604" s="222"/>
      <c r="HRA604" s="222"/>
      <c r="HRB604" s="222"/>
      <c r="HRC604" s="223"/>
      <c r="HRD604" s="224"/>
      <c r="HRE604" s="222"/>
      <c r="HRF604" s="222"/>
      <c r="HRG604" s="222"/>
      <c r="HRH604" s="222"/>
      <c r="HRI604" s="222"/>
      <c r="HRJ604" s="222"/>
      <c r="HRK604" s="223"/>
      <c r="HRL604" s="224"/>
      <c r="HRM604" s="222"/>
      <c r="HRN604" s="222"/>
      <c r="HRO604" s="222"/>
      <c r="HRP604" s="222"/>
      <c r="HRQ604" s="222"/>
      <c r="HRR604" s="222"/>
      <c r="HRS604" s="223"/>
      <c r="HRT604" s="224"/>
      <c r="HRU604" s="222"/>
      <c r="HRV604" s="222"/>
      <c r="HRW604" s="222"/>
      <c r="HRX604" s="222"/>
      <c r="HRY604" s="222"/>
      <c r="HRZ604" s="222"/>
      <c r="HSA604" s="223"/>
      <c r="HSB604" s="224"/>
      <c r="HSC604" s="222"/>
      <c r="HSD604" s="222"/>
      <c r="HSE604" s="222"/>
      <c r="HSF604" s="222"/>
      <c r="HSG604" s="222"/>
      <c r="HSH604" s="222"/>
      <c r="HSI604" s="223"/>
      <c r="HSJ604" s="224"/>
      <c r="HSK604" s="222"/>
      <c r="HSL604" s="222"/>
      <c r="HSM604" s="222"/>
      <c r="HSN604" s="222"/>
      <c r="HSO604" s="222"/>
      <c r="HSP604" s="222"/>
      <c r="HSQ604" s="223"/>
      <c r="HSR604" s="224"/>
      <c r="HSS604" s="222"/>
      <c r="HST604" s="222"/>
      <c r="HSU604" s="222"/>
      <c r="HSV604" s="222"/>
      <c r="HSW604" s="222"/>
      <c r="HSX604" s="222"/>
      <c r="HSY604" s="223"/>
      <c r="HSZ604" s="224"/>
      <c r="HTA604" s="222"/>
      <c r="HTB604" s="222"/>
      <c r="HTC604" s="222"/>
      <c r="HTD604" s="222"/>
      <c r="HTE604" s="222"/>
      <c r="HTF604" s="222"/>
      <c r="HTG604" s="223"/>
      <c r="HTH604" s="224"/>
      <c r="HTI604" s="222"/>
      <c r="HTJ604" s="222"/>
      <c r="HTK604" s="222"/>
      <c r="HTL604" s="222"/>
      <c r="HTM604" s="222"/>
      <c r="HTN604" s="222"/>
      <c r="HTO604" s="223"/>
      <c r="HTP604" s="224"/>
      <c r="HTQ604" s="222"/>
      <c r="HTR604" s="222"/>
      <c r="HTS604" s="222"/>
      <c r="HTT604" s="222"/>
      <c r="HTU604" s="222"/>
      <c r="HTV604" s="222"/>
      <c r="HTW604" s="223"/>
      <c r="HTX604" s="224"/>
      <c r="HTY604" s="222"/>
      <c r="HTZ604" s="222"/>
      <c r="HUA604" s="222"/>
      <c r="HUB604" s="222"/>
      <c r="HUC604" s="222"/>
      <c r="HUD604" s="222"/>
      <c r="HUE604" s="223"/>
      <c r="HUF604" s="224"/>
      <c r="HUG604" s="222"/>
      <c r="HUH604" s="222"/>
      <c r="HUI604" s="222"/>
      <c r="HUJ604" s="222"/>
      <c r="HUK604" s="222"/>
      <c r="HUL604" s="222"/>
      <c r="HUM604" s="223"/>
      <c r="HUN604" s="224"/>
      <c r="HUO604" s="222"/>
      <c r="HUP604" s="222"/>
      <c r="HUQ604" s="222"/>
      <c r="HUR604" s="222"/>
      <c r="HUS604" s="222"/>
      <c r="HUT604" s="222"/>
      <c r="HUU604" s="223"/>
      <c r="HUV604" s="224"/>
      <c r="HUW604" s="222"/>
      <c r="HUX604" s="222"/>
      <c r="HUY604" s="222"/>
      <c r="HUZ604" s="222"/>
      <c r="HVA604" s="222"/>
      <c r="HVB604" s="222"/>
      <c r="HVC604" s="223"/>
      <c r="HVD604" s="224"/>
      <c r="HVE604" s="222"/>
      <c r="HVF604" s="222"/>
      <c r="HVG604" s="222"/>
      <c r="HVH604" s="222"/>
      <c r="HVI604" s="222"/>
      <c r="HVJ604" s="222"/>
      <c r="HVK604" s="223"/>
      <c r="HVL604" s="224"/>
      <c r="HVM604" s="222"/>
      <c r="HVN604" s="222"/>
      <c r="HVO604" s="222"/>
      <c r="HVP604" s="222"/>
      <c r="HVQ604" s="222"/>
      <c r="HVR604" s="222"/>
      <c r="HVS604" s="223"/>
      <c r="HVT604" s="224"/>
      <c r="HVU604" s="222"/>
      <c r="HVV604" s="222"/>
      <c r="HVW604" s="222"/>
      <c r="HVX604" s="222"/>
      <c r="HVY604" s="222"/>
      <c r="HVZ604" s="222"/>
      <c r="HWA604" s="223"/>
      <c r="HWB604" s="224"/>
      <c r="HWC604" s="222"/>
      <c r="HWD604" s="222"/>
      <c r="HWE604" s="222"/>
      <c r="HWF604" s="222"/>
      <c r="HWG604" s="222"/>
      <c r="HWH604" s="222"/>
      <c r="HWI604" s="223"/>
      <c r="HWJ604" s="224"/>
      <c r="HWK604" s="222"/>
      <c r="HWL604" s="222"/>
      <c r="HWM604" s="222"/>
      <c r="HWN604" s="222"/>
      <c r="HWO604" s="222"/>
      <c r="HWP604" s="222"/>
      <c r="HWQ604" s="223"/>
      <c r="HWR604" s="224"/>
      <c r="HWS604" s="222"/>
      <c r="HWT604" s="222"/>
      <c r="HWU604" s="222"/>
      <c r="HWV604" s="222"/>
      <c r="HWW604" s="222"/>
      <c r="HWX604" s="222"/>
      <c r="HWY604" s="223"/>
      <c r="HWZ604" s="224"/>
      <c r="HXA604" s="222"/>
      <c r="HXB604" s="222"/>
      <c r="HXC604" s="222"/>
      <c r="HXD604" s="222"/>
      <c r="HXE604" s="222"/>
      <c r="HXF604" s="222"/>
      <c r="HXG604" s="223"/>
      <c r="HXH604" s="224"/>
      <c r="HXI604" s="222"/>
      <c r="HXJ604" s="222"/>
      <c r="HXK604" s="222"/>
      <c r="HXL604" s="222"/>
      <c r="HXM604" s="222"/>
      <c r="HXN604" s="222"/>
      <c r="HXO604" s="223"/>
      <c r="HXP604" s="224"/>
      <c r="HXQ604" s="222"/>
      <c r="HXR604" s="222"/>
      <c r="HXS604" s="222"/>
      <c r="HXT604" s="222"/>
      <c r="HXU604" s="222"/>
      <c r="HXV604" s="222"/>
      <c r="HXW604" s="223"/>
      <c r="HXX604" s="224"/>
      <c r="HXY604" s="222"/>
      <c r="HXZ604" s="222"/>
      <c r="HYA604" s="222"/>
      <c r="HYB604" s="222"/>
      <c r="HYC604" s="222"/>
      <c r="HYD604" s="222"/>
      <c r="HYE604" s="223"/>
      <c r="HYF604" s="224"/>
      <c r="HYG604" s="222"/>
      <c r="HYH604" s="222"/>
      <c r="HYI604" s="222"/>
      <c r="HYJ604" s="222"/>
      <c r="HYK604" s="222"/>
      <c r="HYL604" s="222"/>
      <c r="HYM604" s="223"/>
      <c r="HYN604" s="224"/>
      <c r="HYO604" s="222"/>
      <c r="HYP604" s="222"/>
      <c r="HYQ604" s="222"/>
      <c r="HYR604" s="222"/>
      <c r="HYS604" s="222"/>
      <c r="HYT604" s="222"/>
      <c r="HYU604" s="223"/>
      <c r="HYV604" s="224"/>
      <c r="HYW604" s="222"/>
      <c r="HYX604" s="222"/>
      <c r="HYY604" s="222"/>
      <c r="HYZ604" s="222"/>
      <c r="HZA604" s="222"/>
      <c r="HZB604" s="222"/>
      <c r="HZC604" s="223"/>
      <c r="HZD604" s="224"/>
      <c r="HZE604" s="222"/>
      <c r="HZF604" s="222"/>
      <c r="HZG604" s="222"/>
      <c r="HZH604" s="222"/>
      <c r="HZI604" s="222"/>
      <c r="HZJ604" s="222"/>
      <c r="HZK604" s="223"/>
      <c r="HZL604" s="224"/>
      <c r="HZM604" s="222"/>
      <c r="HZN604" s="222"/>
      <c r="HZO604" s="222"/>
      <c r="HZP604" s="222"/>
      <c r="HZQ604" s="222"/>
      <c r="HZR604" s="222"/>
      <c r="HZS604" s="223"/>
      <c r="HZT604" s="224"/>
      <c r="HZU604" s="222"/>
      <c r="HZV604" s="222"/>
      <c r="HZW604" s="222"/>
      <c r="HZX604" s="222"/>
      <c r="HZY604" s="222"/>
      <c r="HZZ604" s="222"/>
      <c r="IAA604" s="223"/>
      <c r="IAB604" s="224"/>
      <c r="IAC604" s="222"/>
      <c r="IAD604" s="222"/>
      <c r="IAE604" s="222"/>
      <c r="IAF604" s="222"/>
      <c r="IAG604" s="222"/>
      <c r="IAH604" s="222"/>
      <c r="IAI604" s="223"/>
      <c r="IAJ604" s="224"/>
      <c r="IAK604" s="222"/>
      <c r="IAL604" s="222"/>
      <c r="IAM604" s="222"/>
      <c r="IAN604" s="222"/>
      <c r="IAO604" s="222"/>
      <c r="IAP604" s="222"/>
      <c r="IAQ604" s="223"/>
      <c r="IAR604" s="224"/>
      <c r="IAS604" s="222"/>
      <c r="IAT604" s="222"/>
      <c r="IAU604" s="222"/>
      <c r="IAV604" s="222"/>
      <c r="IAW604" s="222"/>
      <c r="IAX604" s="222"/>
      <c r="IAY604" s="223"/>
      <c r="IAZ604" s="224"/>
      <c r="IBA604" s="222"/>
      <c r="IBB604" s="222"/>
      <c r="IBC604" s="222"/>
      <c r="IBD604" s="222"/>
      <c r="IBE604" s="222"/>
      <c r="IBF604" s="222"/>
      <c r="IBG604" s="223"/>
      <c r="IBH604" s="224"/>
      <c r="IBI604" s="222"/>
      <c r="IBJ604" s="222"/>
      <c r="IBK604" s="222"/>
      <c r="IBL604" s="222"/>
      <c r="IBM604" s="222"/>
      <c r="IBN604" s="222"/>
      <c r="IBO604" s="223"/>
      <c r="IBP604" s="224"/>
      <c r="IBQ604" s="222"/>
      <c r="IBR604" s="222"/>
      <c r="IBS604" s="222"/>
      <c r="IBT604" s="222"/>
      <c r="IBU604" s="222"/>
      <c r="IBV604" s="222"/>
      <c r="IBW604" s="223"/>
      <c r="IBX604" s="224"/>
      <c r="IBY604" s="222"/>
      <c r="IBZ604" s="222"/>
      <c r="ICA604" s="222"/>
      <c r="ICB604" s="222"/>
      <c r="ICC604" s="222"/>
      <c r="ICD604" s="222"/>
      <c r="ICE604" s="223"/>
      <c r="ICF604" s="224"/>
      <c r="ICG604" s="222"/>
      <c r="ICH604" s="222"/>
      <c r="ICI604" s="222"/>
      <c r="ICJ604" s="222"/>
      <c r="ICK604" s="222"/>
      <c r="ICL604" s="222"/>
      <c r="ICM604" s="223"/>
      <c r="ICN604" s="224"/>
      <c r="ICO604" s="222"/>
      <c r="ICP604" s="222"/>
      <c r="ICQ604" s="222"/>
      <c r="ICR604" s="222"/>
      <c r="ICS604" s="222"/>
      <c r="ICT604" s="222"/>
      <c r="ICU604" s="223"/>
      <c r="ICV604" s="224"/>
      <c r="ICW604" s="222"/>
      <c r="ICX604" s="222"/>
      <c r="ICY604" s="222"/>
      <c r="ICZ604" s="222"/>
      <c r="IDA604" s="222"/>
      <c r="IDB604" s="222"/>
      <c r="IDC604" s="223"/>
      <c r="IDD604" s="224"/>
      <c r="IDE604" s="222"/>
      <c r="IDF604" s="222"/>
      <c r="IDG604" s="222"/>
      <c r="IDH604" s="222"/>
      <c r="IDI604" s="222"/>
      <c r="IDJ604" s="222"/>
      <c r="IDK604" s="223"/>
      <c r="IDL604" s="224"/>
      <c r="IDM604" s="222"/>
      <c r="IDN604" s="222"/>
      <c r="IDO604" s="222"/>
      <c r="IDP604" s="222"/>
      <c r="IDQ604" s="222"/>
      <c r="IDR604" s="222"/>
      <c r="IDS604" s="223"/>
      <c r="IDT604" s="224"/>
      <c r="IDU604" s="222"/>
      <c r="IDV604" s="222"/>
      <c r="IDW604" s="222"/>
      <c r="IDX604" s="222"/>
      <c r="IDY604" s="222"/>
      <c r="IDZ604" s="222"/>
      <c r="IEA604" s="223"/>
      <c r="IEB604" s="224"/>
      <c r="IEC604" s="222"/>
      <c r="IED604" s="222"/>
      <c r="IEE604" s="222"/>
      <c r="IEF604" s="222"/>
      <c r="IEG604" s="222"/>
      <c r="IEH604" s="222"/>
      <c r="IEI604" s="223"/>
      <c r="IEJ604" s="224"/>
      <c r="IEK604" s="222"/>
      <c r="IEL604" s="222"/>
      <c r="IEM604" s="222"/>
      <c r="IEN604" s="222"/>
      <c r="IEO604" s="222"/>
      <c r="IEP604" s="222"/>
      <c r="IEQ604" s="223"/>
      <c r="IER604" s="224"/>
      <c r="IES604" s="222"/>
      <c r="IET604" s="222"/>
      <c r="IEU604" s="222"/>
      <c r="IEV604" s="222"/>
      <c r="IEW604" s="222"/>
      <c r="IEX604" s="222"/>
      <c r="IEY604" s="223"/>
      <c r="IEZ604" s="224"/>
      <c r="IFA604" s="222"/>
      <c r="IFB604" s="222"/>
      <c r="IFC604" s="222"/>
      <c r="IFD604" s="222"/>
      <c r="IFE604" s="222"/>
      <c r="IFF604" s="222"/>
      <c r="IFG604" s="223"/>
      <c r="IFH604" s="224"/>
      <c r="IFI604" s="222"/>
      <c r="IFJ604" s="222"/>
      <c r="IFK604" s="222"/>
      <c r="IFL604" s="222"/>
      <c r="IFM604" s="222"/>
      <c r="IFN604" s="222"/>
      <c r="IFO604" s="223"/>
      <c r="IFP604" s="224"/>
      <c r="IFQ604" s="222"/>
      <c r="IFR604" s="222"/>
      <c r="IFS604" s="222"/>
      <c r="IFT604" s="222"/>
      <c r="IFU604" s="222"/>
      <c r="IFV604" s="222"/>
      <c r="IFW604" s="223"/>
      <c r="IFX604" s="224"/>
      <c r="IFY604" s="222"/>
      <c r="IFZ604" s="222"/>
      <c r="IGA604" s="222"/>
      <c r="IGB604" s="222"/>
      <c r="IGC604" s="222"/>
      <c r="IGD604" s="222"/>
      <c r="IGE604" s="223"/>
      <c r="IGF604" s="224"/>
      <c r="IGG604" s="222"/>
      <c r="IGH604" s="222"/>
      <c r="IGI604" s="222"/>
      <c r="IGJ604" s="222"/>
      <c r="IGK604" s="222"/>
      <c r="IGL604" s="222"/>
      <c r="IGM604" s="223"/>
      <c r="IGN604" s="224"/>
      <c r="IGO604" s="222"/>
      <c r="IGP604" s="222"/>
      <c r="IGQ604" s="222"/>
      <c r="IGR604" s="222"/>
      <c r="IGS604" s="222"/>
      <c r="IGT604" s="222"/>
      <c r="IGU604" s="223"/>
      <c r="IGV604" s="224"/>
      <c r="IGW604" s="222"/>
      <c r="IGX604" s="222"/>
      <c r="IGY604" s="222"/>
      <c r="IGZ604" s="222"/>
      <c r="IHA604" s="222"/>
      <c r="IHB604" s="222"/>
      <c r="IHC604" s="223"/>
      <c r="IHD604" s="224"/>
      <c r="IHE604" s="222"/>
      <c r="IHF604" s="222"/>
      <c r="IHG604" s="222"/>
      <c r="IHH604" s="222"/>
      <c r="IHI604" s="222"/>
      <c r="IHJ604" s="222"/>
      <c r="IHK604" s="223"/>
      <c r="IHL604" s="224"/>
      <c r="IHM604" s="222"/>
      <c r="IHN604" s="222"/>
      <c r="IHO604" s="222"/>
      <c r="IHP604" s="222"/>
      <c r="IHQ604" s="222"/>
      <c r="IHR604" s="222"/>
      <c r="IHS604" s="223"/>
      <c r="IHT604" s="224"/>
      <c r="IHU604" s="222"/>
      <c r="IHV604" s="222"/>
      <c r="IHW604" s="222"/>
      <c r="IHX604" s="222"/>
      <c r="IHY604" s="222"/>
      <c r="IHZ604" s="222"/>
      <c r="IIA604" s="223"/>
      <c r="IIB604" s="224"/>
      <c r="IIC604" s="222"/>
      <c r="IID604" s="222"/>
      <c r="IIE604" s="222"/>
      <c r="IIF604" s="222"/>
      <c r="IIG604" s="222"/>
      <c r="IIH604" s="222"/>
      <c r="III604" s="223"/>
      <c r="IIJ604" s="224"/>
      <c r="IIK604" s="222"/>
      <c r="IIL604" s="222"/>
      <c r="IIM604" s="222"/>
      <c r="IIN604" s="222"/>
      <c r="IIO604" s="222"/>
      <c r="IIP604" s="222"/>
      <c r="IIQ604" s="223"/>
      <c r="IIR604" s="224"/>
      <c r="IIS604" s="222"/>
      <c r="IIT604" s="222"/>
      <c r="IIU604" s="222"/>
      <c r="IIV604" s="222"/>
      <c r="IIW604" s="222"/>
      <c r="IIX604" s="222"/>
      <c r="IIY604" s="223"/>
      <c r="IIZ604" s="224"/>
      <c r="IJA604" s="222"/>
      <c r="IJB604" s="222"/>
      <c r="IJC604" s="222"/>
      <c r="IJD604" s="222"/>
      <c r="IJE604" s="222"/>
      <c r="IJF604" s="222"/>
      <c r="IJG604" s="223"/>
      <c r="IJH604" s="224"/>
      <c r="IJI604" s="222"/>
      <c r="IJJ604" s="222"/>
      <c r="IJK604" s="222"/>
      <c r="IJL604" s="222"/>
      <c r="IJM604" s="222"/>
      <c r="IJN604" s="222"/>
      <c r="IJO604" s="223"/>
      <c r="IJP604" s="224"/>
      <c r="IJQ604" s="222"/>
      <c r="IJR604" s="222"/>
      <c r="IJS604" s="222"/>
      <c r="IJT604" s="222"/>
      <c r="IJU604" s="222"/>
      <c r="IJV604" s="222"/>
      <c r="IJW604" s="223"/>
      <c r="IJX604" s="224"/>
      <c r="IJY604" s="222"/>
      <c r="IJZ604" s="222"/>
      <c r="IKA604" s="222"/>
      <c r="IKB604" s="222"/>
      <c r="IKC604" s="222"/>
      <c r="IKD604" s="222"/>
      <c r="IKE604" s="223"/>
      <c r="IKF604" s="224"/>
      <c r="IKG604" s="222"/>
      <c r="IKH604" s="222"/>
      <c r="IKI604" s="222"/>
      <c r="IKJ604" s="222"/>
      <c r="IKK604" s="222"/>
      <c r="IKL604" s="222"/>
      <c r="IKM604" s="223"/>
      <c r="IKN604" s="224"/>
      <c r="IKO604" s="222"/>
      <c r="IKP604" s="222"/>
      <c r="IKQ604" s="222"/>
      <c r="IKR604" s="222"/>
      <c r="IKS604" s="222"/>
      <c r="IKT604" s="222"/>
      <c r="IKU604" s="223"/>
      <c r="IKV604" s="224"/>
      <c r="IKW604" s="222"/>
      <c r="IKX604" s="222"/>
      <c r="IKY604" s="222"/>
      <c r="IKZ604" s="222"/>
      <c r="ILA604" s="222"/>
      <c r="ILB604" s="222"/>
      <c r="ILC604" s="223"/>
      <c r="ILD604" s="224"/>
      <c r="ILE604" s="222"/>
      <c r="ILF604" s="222"/>
      <c r="ILG604" s="222"/>
      <c r="ILH604" s="222"/>
      <c r="ILI604" s="222"/>
      <c r="ILJ604" s="222"/>
      <c r="ILK604" s="223"/>
      <c r="ILL604" s="224"/>
      <c r="ILM604" s="222"/>
      <c r="ILN604" s="222"/>
      <c r="ILO604" s="222"/>
      <c r="ILP604" s="222"/>
      <c r="ILQ604" s="222"/>
      <c r="ILR604" s="222"/>
      <c r="ILS604" s="223"/>
      <c r="ILT604" s="224"/>
      <c r="ILU604" s="222"/>
      <c r="ILV604" s="222"/>
      <c r="ILW604" s="222"/>
      <c r="ILX604" s="222"/>
      <c r="ILY604" s="222"/>
      <c r="ILZ604" s="222"/>
      <c r="IMA604" s="223"/>
      <c r="IMB604" s="224"/>
      <c r="IMC604" s="222"/>
      <c r="IMD604" s="222"/>
      <c r="IME604" s="222"/>
      <c r="IMF604" s="222"/>
      <c r="IMG604" s="222"/>
      <c r="IMH604" s="222"/>
      <c r="IMI604" s="223"/>
      <c r="IMJ604" s="224"/>
      <c r="IMK604" s="222"/>
      <c r="IML604" s="222"/>
      <c r="IMM604" s="222"/>
      <c r="IMN604" s="222"/>
      <c r="IMO604" s="222"/>
      <c r="IMP604" s="222"/>
      <c r="IMQ604" s="223"/>
      <c r="IMR604" s="224"/>
      <c r="IMS604" s="222"/>
      <c r="IMT604" s="222"/>
      <c r="IMU604" s="222"/>
      <c r="IMV604" s="222"/>
      <c r="IMW604" s="222"/>
      <c r="IMX604" s="222"/>
      <c r="IMY604" s="223"/>
      <c r="IMZ604" s="224"/>
      <c r="INA604" s="222"/>
      <c r="INB604" s="222"/>
      <c r="INC604" s="222"/>
      <c r="IND604" s="222"/>
      <c r="INE604" s="222"/>
      <c r="INF604" s="222"/>
      <c r="ING604" s="223"/>
      <c r="INH604" s="224"/>
      <c r="INI604" s="222"/>
      <c r="INJ604" s="222"/>
      <c r="INK604" s="222"/>
      <c r="INL604" s="222"/>
      <c r="INM604" s="222"/>
      <c r="INN604" s="222"/>
      <c r="INO604" s="223"/>
      <c r="INP604" s="224"/>
      <c r="INQ604" s="222"/>
      <c r="INR604" s="222"/>
      <c r="INS604" s="222"/>
      <c r="INT604" s="222"/>
      <c r="INU604" s="222"/>
      <c r="INV604" s="222"/>
      <c r="INW604" s="223"/>
      <c r="INX604" s="224"/>
      <c r="INY604" s="222"/>
      <c r="INZ604" s="222"/>
      <c r="IOA604" s="222"/>
      <c r="IOB604" s="222"/>
      <c r="IOC604" s="222"/>
      <c r="IOD604" s="222"/>
      <c r="IOE604" s="223"/>
      <c r="IOF604" s="224"/>
      <c r="IOG604" s="222"/>
      <c r="IOH604" s="222"/>
      <c r="IOI604" s="222"/>
      <c r="IOJ604" s="222"/>
      <c r="IOK604" s="222"/>
      <c r="IOL604" s="222"/>
      <c r="IOM604" s="223"/>
      <c r="ION604" s="224"/>
      <c r="IOO604" s="222"/>
      <c r="IOP604" s="222"/>
      <c r="IOQ604" s="222"/>
      <c r="IOR604" s="222"/>
      <c r="IOS604" s="222"/>
      <c r="IOT604" s="222"/>
      <c r="IOU604" s="223"/>
      <c r="IOV604" s="224"/>
      <c r="IOW604" s="222"/>
      <c r="IOX604" s="222"/>
      <c r="IOY604" s="222"/>
      <c r="IOZ604" s="222"/>
      <c r="IPA604" s="222"/>
      <c r="IPB604" s="222"/>
      <c r="IPC604" s="223"/>
      <c r="IPD604" s="224"/>
      <c r="IPE604" s="222"/>
      <c r="IPF604" s="222"/>
      <c r="IPG604" s="222"/>
      <c r="IPH604" s="222"/>
      <c r="IPI604" s="222"/>
      <c r="IPJ604" s="222"/>
      <c r="IPK604" s="223"/>
      <c r="IPL604" s="224"/>
      <c r="IPM604" s="222"/>
      <c r="IPN604" s="222"/>
      <c r="IPO604" s="222"/>
      <c r="IPP604" s="222"/>
      <c r="IPQ604" s="222"/>
      <c r="IPR604" s="222"/>
      <c r="IPS604" s="223"/>
      <c r="IPT604" s="224"/>
      <c r="IPU604" s="222"/>
      <c r="IPV604" s="222"/>
      <c r="IPW604" s="222"/>
      <c r="IPX604" s="222"/>
      <c r="IPY604" s="222"/>
      <c r="IPZ604" s="222"/>
      <c r="IQA604" s="223"/>
      <c r="IQB604" s="224"/>
      <c r="IQC604" s="222"/>
      <c r="IQD604" s="222"/>
      <c r="IQE604" s="222"/>
      <c r="IQF604" s="222"/>
      <c r="IQG604" s="222"/>
      <c r="IQH604" s="222"/>
      <c r="IQI604" s="223"/>
      <c r="IQJ604" s="224"/>
      <c r="IQK604" s="222"/>
      <c r="IQL604" s="222"/>
      <c r="IQM604" s="222"/>
      <c r="IQN604" s="222"/>
      <c r="IQO604" s="222"/>
      <c r="IQP604" s="222"/>
      <c r="IQQ604" s="223"/>
      <c r="IQR604" s="224"/>
      <c r="IQS604" s="222"/>
      <c r="IQT604" s="222"/>
      <c r="IQU604" s="222"/>
      <c r="IQV604" s="222"/>
      <c r="IQW604" s="222"/>
      <c r="IQX604" s="222"/>
      <c r="IQY604" s="223"/>
      <c r="IQZ604" s="224"/>
      <c r="IRA604" s="222"/>
      <c r="IRB604" s="222"/>
      <c r="IRC604" s="222"/>
      <c r="IRD604" s="222"/>
      <c r="IRE604" s="222"/>
      <c r="IRF604" s="222"/>
      <c r="IRG604" s="223"/>
      <c r="IRH604" s="224"/>
      <c r="IRI604" s="222"/>
      <c r="IRJ604" s="222"/>
      <c r="IRK604" s="222"/>
      <c r="IRL604" s="222"/>
      <c r="IRM604" s="222"/>
      <c r="IRN604" s="222"/>
      <c r="IRO604" s="223"/>
      <c r="IRP604" s="224"/>
      <c r="IRQ604" s="222"/>
      <c r="IRR604" s="222"/>
      <c r="IRS604" s="222"/>
      <c r="IRT604" s="222"/>
      <c r="IRU604" s="222"/>
      <c r="IRV604" s="222"/>
      <c r="IRW604" s="223"/>
      <c r="IRX604" s="224"/>
      <c r="IRY604" s="222"/>
      <c r="IRZ604" s="222"/>
      <c r="ISA604" s="222"/>
      <c r="ISB604" s="222"/>
      <c r="ISC604" s="222"/>
      <c r="ISD604" s="222"/>
      <c r="ISE604" s="223"/>
      <c r="ISF604" s="224"/>
      <c r="ISG604" s="222"/>
      <c r="ISH604" s="222"/>
      <c r="ISI604" s="222"/>
      <c r="ISJ604" s="222"/>
      <c r="ISK604" s="222"/>
      <c r="ISL604" s="222"/>
      <c r="ISM604" s="223"/>
      <c r="ISN604" s="224"/>
      <c r="ISO604" s="222"/>
      <c r="ISP604" s="222"/>
      <c r="ISQ604" s="222"/>
      <c r="ISR604" s="222"/>
      <c r="ISS604" s="222"/>
      <c r="IST604" s="222"/>
      <c r="ISU604" s="223"/>
      <c r="ISV604" s="224"/>
      <c r="ISW604" s="222"/>
      <c r="ISX604" s="222"/>
      <c r="ISY604" s="222"/>
      <c r="ISZ604" s="222"/>
      <c r="ITA604" s="222"/>
      <c r="ITB604" s="222"/>
      <c r="ITC604" s="223"/>
      <c r="ITD604" s="224"/>
      <c r="ITE604" s="222"/>
      <c r="ITF604" s="222"/>
      <c r="ITG604" s="222"/>
      <c r="ITH604" s="222"/>
      <c r="ITI604" s="222"/>
      <c r="ITJ604" s="222"/>
      <c r="ITK604" s="223"/>
      <c r="ITL604" s="224"/>
      <c r="ITM604" s="222"/>
      <c r="ITN604" s="222"/>
      <c r="ITO604" s="222"/>
      <c r="ITP604" s="222"/>
      <c r="ITQ604" s="222"/>
      <c r="ITR604" s="222"/>
      <c r="ITS604" s="223"/>
      <c r="ITT604" s="224"/>
      <c r="ITU604" s="222"/>
      <c r="ITV604" s="222"/>
      <c r="ITW604" s="222"/>
      <c r="ITX604" s="222"/>
      <c r="ITY604" s="222"/>
      <c r="ITZ604" s="222"/>
      <c r="IUA604" s="223"/>
      <c r="IUB604" s="224"/>
      <c r="IUC604" s="222"/>
      <c r="IUD604" s="222"/>
      <c r="IUE604" s="222"/>
      <c r="IUF604" s="222"/>
      <c r="IUG604" s="222"/>
      <c r="IUH604" s="222"/>
      <c r="IUI604" s="223"/>
      <c r="IUJ604" s="224"/>
      <c r="IUK604" s="222"/>
      <c r="IUL604" s="222"/>
      <c r="IUM604" s="222"/>
      <c r="IUN604" s="222"/>
      <c r="IUO604" s="222"/>
      <c r="IUP604" s="222"/>
      <c r="IUQ604" s="223"/>
      <c r="IUR604" s="224"/>
      <c r="IUS604" s="222"/>
      <c r="IUT604" s="222"/>
      <c r="IUU604" s="222"/>
      <c r="IUV604" s="222"/>
      <c r="IUW604" s="222"/>
      <c r="IUX604" s="222"/>
      <c r="IUY604" s="223"/>
      <c r="IUZ604" s="224"/>
      <c r="IVA604" s="222"/>
      <c r="IVB604" s="222"/>
      <c r="IVC604" s="222"/>
      <c r="IVD604" s="222"/>
      <c r="IVE604" s="222"/>
      <c r="IVF604" s="222"/>
      <c r="IVG604" s="223"/>
      <c r="IVH604" s="224"/>
      <c r="IVI604" s="222"/>
      <c r="IVJ604" s="222"/>
      <c r="IVK604" s="222"/>
      <c r="IVL604" s="222"/>
      <c r="IVM604" s="222"/>
      <c r="IVN604" s="222"/>
      <c r="IVO604" s="223"/>
      <c r="IVP604" s="224"/>
      <c r="IVQ604" s="222"/>
      <c r="IVR604" s="222"/>
      <c r="IVS604" s="222"/>
      <c r="IVT604" s="222"/>
      <c r="IVU604" s="222"/>
      <c r="IVV604" s="222"/>
      <c r="IVW604" s="223"/>
      <c r="IVX604" s="224"/>
      <c r="IVY604" s="222"/>
      <c r="IVZ604" s="222"/>
      <c r="IWA604" s="222"/>
      <c r="IWB604" s="222"/>
      <c r="IWC604" s="222"/>
      <c r="IWD604" s="222"/>
      <c r="IWE604" s="223"/>
      <c r="IWF604" s="224"/>
      <c r="IWG604" s="222"/>
      <c r="IWH604" s="222"/>
      <c r="IWI604" s="222"/>
      <c r="IWJ604" s="222"/>
      <c r="IWK604" s="222"/>
      <c r="IWL604" s="222"/>
      <c r="IWM604" s="223"/>
      <c r="IWN604" s="224"/>
      <c r="IWO604" s="222"/>
      <c r="IWP604" s="222"/>
      <c r="IWQ604" s="222"/>
      <c r="IWR604" s="222"/>
      <c r="IWS604" s="222"/>
      <c r="IWT604" s="222"/>
      <c r="IWU604" s="223"/>
      <c r="IWV604" s="224"/>
      <c r="IWW604" s="222"/>
      <c r="IWX604" s="222"/>
      <c r="IWY604" s="222"/>
      <c r="IWZ604" s="222"/>
      <c r="IXA604" s="222"/>
      <c r="IXB604" s="222"/>
      <c r="IXC604" s="223"/>
      <c r="IXD604" s="224"/>
      <c r="IXE604" s="222"/>
      <c r="IXF604" s="222"/>
      <c r="IXG604" s="222"/>
      <c r="IXH604" s="222"/>
      <c r="IXI604" s="222"/>
      <c r="IXJ604" s="222"/>
      <c r="IXK604" s="223"/>
      <c r="IXL604" s="224"/>
      <c r="IXM604" s="222"/>
      <c r="IXN604" s="222"/>
      <c r="IXO604" s="222"/>
      <c r="IXP604" s="222"/>
      <c r="IXQ604" s="222"/>
      <c r="IXR604" s="222"/>
      <c r="IXS604" s="223"/>
      <c r="IXT604" s="224"/>
      <c r="IXU604" s="222"/>
      <c r="IXV604" s="222"/>
      <c r="IXW604" s="222"/>
      <c r="IXX604" s="222"/>
      <c r="IXY604" s="222"/>
      <c r="IXZ604" s="222"/>
      <c r="IYA604" s="223"/>
      <c r="IYB604" s="224"/>
      <c r="IYC604" s="222"/>
      <c r="IYD604" s="222"/>
      <c r="IYE604" s="222"/>
      <c r="IYF604" s="222"/>
      <c r="IYG604" s="222"/>
      <c r="IYH604" s="222"/>
      <c r="IYI604" s="223"/>
      <c r="IYJ604" s="224"/>
      <c r="IYK604" s="222"/>
      <c r="IYL604" s="222"/>
      <c r="IYM604" s="222"/>
      <c r="IYN604" s="222"/>
      <c r="IYO604" s="222"/>
      <c r="IYP604" s="222"/>
      <c r="IYQ604" s="223"/>
      <c r="IYR604" s="224"/>
      <c r="IYS604" s="222"/>
      <c r="IYT604" s="222"/>
      <c r="IYU604" s="222"/>
      <c r="IYV604" s="222"/>
      <c r="IYW604" s="222"/>
      <c r="IYX604" s="222"/>
      <c r="IYY604" s="223"/>
      <c r="IYZ604" s="224"/>
      <c r="IZA604" s="222"/>
      <c r="IZB604" s="222"/>
      <c r="IZC604" s="222"/>
      <c r="IZD604" s="222"/>
      <c r="IZE604" s="222"/>
      <c r="IZF604" s="222"/>
      <c r="IZG604" s="223"/>
      <c r="IZH604" s="224"/>
      <c r="IZI604" s="222"/>
      <c r="IZJ604" s="222"/>
      <c r="IZK604" s="222"/>
      <c r="IZL604" s="222"/>
      <c r="IZM604" s="222"/>
      <c r="IZN604" s="222"/>
      <c r="IZO604" s="223"/>
      <c r="IZP604" s="224"/>
      <c r="IZQ604" s="222"/>
      <c r="IZR604" s="222"/>
      <c r="IZS604" s="222"/>
      <c r="IZT604" s="222"/>
      <c r="IZU604" s="222"/>
      <c r="IZV604" s="222"/>
      <c r="IZW604" s="223"/>
      <c r="IZX604" s="224"/>
      <c r="IZY604" s="222"/>
      <c r="IZZ604" s="222"/>
      <c r="JAA604" s="222"/>
      <c r="JAB604" s="222"/>
      <c r="JAC604" s="222"/>
      <c r="JAD604" s="222"/>
      <c r="JAE604" s="223"/>
      <c r="JAF604" s="224"/>
      <c r="JAG604" s="222"/>
      <c r="JAH604" s="222"/>
      <c r="JAI604" s="222"/>
      <c r="JAJ604" s="222"/>
      <c r="JAK604" s="222"/>
      <c r="JAL604" s="222"/>
      <c r="JAM604" s="223"/>
      <c r="JAN604" s="224"/>
      <c r="JAO604" s="222"/>
      <c r="JAP604" s="222"/>
      <c r="JAQ604" s="222"/>
      <c r="JAR604" s="222"/>
      <c r="JAS604" s="222"/>
      <c r="JAT604" s="222"/>
      <c r="JAU604" s="223"/>
      <c r="JAV604" s="224"/>
      <c r="JAW604" s="222"/>
      <c r="JAX604" s="222"/>
      <c r="JAY604" s="222"/>
      <c r="JAZ604" s="222"/>
      <c r="JBA604" s="222"/>
      <c r="JBB604" s="222"/>
      <c r="JBC604" s="223"/>
      <c r="JBD604" s="224"/>
      <c r="JBE604" s="222"/>
      <c r="JBF604" s="222"/>
      <c r="JBG604" s="222"/>
      <c r="JBH604" s="222"/>
      <c r="JBI604" s="222"/>
      <c r="JBJ604" s="222"/>
      <c r="JBK604" s="223"/>
      <c r="JBL604" s="224"/>
      <c r="JBM604" s="222"/>
      <c r="JBN604" s="222"/>
      <c r="JBO604" s="222"/>
      <c r="JBP604" s="222"/>
      <c r="JBQ604" s="222"/>
      <c r="JBR604" s="222"/>
      <c r="JBS604" s="223"/>
      <c r="JBT604" s="224"/>
      <c r="JBU604" s="222"/>
      <c r="JBV604" s="222"/>
      <c r="JBW604" s="222"/>
      <c r="JBX604" s="222"/>
      <c r="JBY604" s="222"/>
      <c r="JBZ604" s="222"/>
      <c r="JCA604" s="223"/>
      <c r="JCB604" s="224"/>
      <c r="JCC604" s="222"/>
      <c r="JCD604" s="222"/>
      <c r="JCE604" s="222"/>
      <c r="JCF604" s="222"/>
      <c r="JCG604" s="222"/>
      <c r="JCH604" s="222"/>
      <c r="JCI604" s="223"/>
      <c r="JCJ604" s="224"/>
      <c r="JCK604" s="222"/>
      <c r="JCL604" s="222"/>
      <c r="JCM604" s="222"/>
      <c r="JCN604" s="222"/>
      <c r="JCO604" s="222"/>
      <c r="JCP604" s="222"/>
      <c r="JCQ604" s="223"/>
      <c r="JCR604" s="224"/>
      <c r="JCS604" s="222"/>
      <c r="JCT604" s="222"/>
      <c r="JCU604" s="222"/>
      <c r="JCV604" s="222"/>
      <c r="JCW604" s="222"/>
      <c r="JCX604" s="222"/>
      <c r="JCY604" s="223"/>
      <c r="JCZ604" s="224"/>
      <c r="JDA604" s="222"/>
      <c r="JDB604" s="222"/>
      <c r="JDC604" s="222"/>
      <c r="JDD604" s="222"/>
      <c r="JDE604" s="222"/>
      <c r="JDF604" s="222"/>
      <c r="JDG604" s="223"/>
      <c r="JDH604" s="224"/>
      <c r="JDI604" s="222"/>
      <c r="JDJ604" s="222"/>
      <c r="JDK604" s="222"/>
      <c r="JDL604" s="222"/>
      <c r="JDM604" s="222"/>
      <c r="JDN604" s="222"/>
      <c r="JDO604" s="223"/>
      <c r="JDP604" s="224"/>
      <c r="JDQ604" s="222"/>
      <c r="JDR604" s="222"/>
      <c r="JDS604" s="222"/>
      <c r="JDT604" s="222"/>
      <c r="JDU604" s="222"/>
      <c r="JDV604" s="222"/>
      <c r="JDW604" s="223"/>
      <c r="JDX604" s="224"/>
      <c r="JDY604" s="222"/>
      <c r="JDZ604" s="222"/>
      <c r="JEA604" s="222"/>
      <c r="JEB604" s="222"/>
      <c r="JEC604" s="222"/>
      <c r="JED604" s="222"/>
      <c r="JEE604" s="223"/>
      <c r="JEF604" s="224"/>
      <c r="JEG604" s="222"/>
      <c r="JEH604" s="222"/>
      <c r="JEI604" s="222"/>
      <c r="JEJ604" s="222"/>
      <c r="JEK604" s="222"/>
      <c r="JEL604" s="222"/>
      <c r="JEM604" s="223"/>
      <c r="JEN604" s="224"/>
      <c r="JEO604" s="222"/>
      <c r="JEP604" s="222"/>
      <c r="JEQ604" s="222"/>
      <c r="JER604" s="222"/>
      <c r="JES604" s="222"/>
      <c r="JET604" s="222"/>
      <c r="JEU604" s="223"/>
      <c r="JEV604" s="224"/>
      <c r="JEW604" s="222"/>
      <c r="JEX604" s="222"/>
      <c r="JEY604" s="222"/>
      <c r="JEZ604" s="222"/>
      <c r="JFA604" s="222"/>
      <c r="JFB604" s="222"/>
      <c r="JFC604" s="223"/>
      <c r="JFD604" s="224"/>
      <c r="JFE604" s="222"/>
      <c r="JFF604" s="222"/>
      <c r="JFG604" s="222"/>
      <c r="JFH604" s="222"/>
      <c r="JFI604" s="222"/>
      <c r="JFJ604" s="222"/>
      <c r="JFK604" s="223"/>
      <c r="JFL604" s="224"/>
      <c r="JFM604" s="222"/>
      <c r="JFN604" s="222"/>
      <c r="JFO604" s="222"/>
      <c r="JFP604" s="222"/>
      <c r="JFQ604" s="222"/>
      <c r="JFR604" s="222"/>
      <c r="JFS604" s="223"/>
      <c r="JFT604" s="224"/>
      <c r="JFU604" s="222"/>
      <c r="JFV604" s="222"/>
      <c r="JFW604" s="222"/>
      <c r="JFX604" s="222"/>
      <c r="JFY604" s="222"/>
      <c r="JFZ604" s="222"/>
      <c r="JGA604" s="223"/>
      <c r="JGB604" s="224"/>
      <c r="JGC604" s="222"/>
      <c r="JGD604" s="222"/>
      <c r="JGE604" s="222"/>
      <c r="JGF604" s="222"/>
      <c r="JGG604" s="222"/>
      <c r="JGH604" s="222"/>
      <c r="JGI604" s="223"/>
      <c r="JGJ604" s="224"/>
      <c r="JGK604" s="222"/>
      <c r="JGL604" s="222"/>
      <c r="JGM604" s="222"/>
      <c r="JGN604" s="222"/>
      <c r="JGO604" s="222"/>
      <c r="JGP604" s="222"/>
      <c r="JGQ604" s="223"/>
      <c r="JGR604" s="224"/>
      <c r="JGS604" s="222"/>
      <c r="JGT604" s="222"/>
      <c r="JGU604" s="222"/>
      <c r="JGV604" s="222"/>
      <c r="JGW604" s="222"/>
      <c r="JGX604" s="222"/>
      <c r="JGY604" s="223"/>
      <c r="JGZ604" s="224"/>
      <c r="JHA604" s="222"/>
      <c r="JHB604" s="222"/>
      <c r="JHC604" s="222"/>
      <c r="JHD604" s="222"/>
      <c r="JHE604" s="222"/>
      <c r="JHF604" s="222"/>
      <c r="JHG604" s="223"/>
      <c r="JHH604" s="224"/>
      <c r="JHI604" s="222"/>
      <c r="JHJ604" s="222"/>
      <c r="JHK604" s="222"/>
      <c r="JHL604" s="222"/>
      <c r="JHM604" s="222"/>
      <c r="JHN604" s="222"/>
      <c r="JHO604" s="223"/>
      <c r="JHP604" s="224"/>
      <c r="JHQ604" s="222"/>
      <c r="JHR604" s="222"/>
      <c r="JHS604" s="222"/>
      <c r="JHT604" s="222"/>
      <c r="JHU604" s="222"/>
      <c r="JHV604" s="222"/>
      <c r="JHW604" s="223"/>
      <c r="JHX604" s="224"/>
      <c r="JHY604" s="222"/>
      <c r="JHZ604" s="222"/>
      <c r="JIA604" s="222"/>
      <c r="JIB604" s="222"/>
      <c r="JIC604" s="222"/>
      <c r="JID604" s="222"/>
      <c r="JIE604" s="223"/>
      <c r="JIF604" s="224"/>
      <c r="JIG604" s="222"/>
      <c r="JIH604" s="222"/>
      <c r="JII604" s="222"/>
      <c r="JIJ604" s="222"/>
      <c r="JIK604" s="222"/>
      <c r="JIL604" s="222"/>
      <c r="JIM604" s="223"/>
      <c r="JIN604" s="224"/>
      <c r="JIO604" s="222"/>
      <c r="JIP604" s="222"/>
      <c r="JIQ604" s="222"/>
      <c r="JIR604" s="222"/>
      <c r="JIS604" s="222"/>
      <c r="JIT604" s="222"/>
      <c r="JIU604" s="223"/>
      <c r="JIV604" s="224"/>
      <c r="JIW604" s="222"/>
      <c r="JIX604" s="222"/>
      <c r="JIY604" s="222"/>
      <c r="JIZ604" s="222"/>
      <c r="JJA604" s="222"/>
      <c r="JJB604" s="222"/>
      <c r="JJC604" s="223"/>
      <c r="JJD604" s="224"/>
      <c r="JJE604" s="222"/>
      <c r="JJF604" s="222"/>
      <c r="JJG604" s="222"/>
      <c r="JJH604" s="222"/>
      <c r="JJI604" s="222"/>
      <c r="JJJ604" s="222"/>
      <c r="JJK604" s="223"/>
      <c r="JJL604" s="224"/>
      <c r="JJM604" s="222"/>
      <c r="JJN604" s="222"/>
      <c r="JJO604" s="222"/>
      <c r="JJP604" s="222"/>
      <c r="JJQ604" s="222"/>
      <c r="JJR604" s="222"/>
      <c r="JJS604" s="223"/>
      <c r="JJT604" s="224"/>
      <c r="JJU604" s="222"/>
      <c r="JJV604" s="222"/>
      <c r="JJW604" s="222"/>
      <c r="JJX604" s="222"/>
      <c r="JJY604" s="222"/>
      <c r="JJZ604" s="222"/>
      <c r="JKA604" s="223"/>
      <c r="JKB604" s="224"/>
      <c r="JKC604" s="222"/>
      <c r="JKD604" s="222"/>
      <c r="JKE604" s="222"/>
      <c r="JKF604" s="222"/>
      <c r="JKG604" s="222"/>
      <c r="JKH604" s="222"/>
      <c r="JKI604" s="223"/>
      <c r="JKJ604" s="224"/>
      <c r="JKK604" s="222"/>
      <c r="JKL604" s="222"/>
      <c r="JKM604" s="222"/>
      <c r="JKN604" s="222"/>
      <c r="JKO604" s="222"/>
      <c r="JKP604" s="222"/>
      <c r="JKQ604" s="223"/>
      <c r="JKR604" s="224"/>
      <c r="JKS604" s="222"/>
      <c r="JKT604" s="222"/>
      <c r="JKU604" s="222"/>
      <c r="JKV604" s="222"/>
      <c r="JKW604" s="222"/>
      <c r="JKX604" s="222"/>
      <c r="JKY604" s="223"/>
      <c r="JKZ604" s="224"/>
      <c r="JLA604" s="222"/>
      <c r="JLB604" s="222"/>
      <c r="JLC604" s="222"/>
      <c r="JLD604" s="222"/>
      <c r="JLE604" s="222"/>
      <c r="JLF604" s="222"/>
      <c r="JLG604" s="223"/>
      <c r="JLH604" s="224"/>
      <c r="JLI604" s="222"/>
      <c r="JLJ604" s="222"/>
      <c r="JLK604" s="222"/>
      <c r="JLL604" s="222"/>
      <c r="JLM604" s="222"/>
      <c r="JLN604" s="222"/>
      <c r="JLO604" s="223"/>
      <c r="JLP604" s="224"/>
      <c r="JLQ604" s="222"/>
      <c r="JLR604" s="222"/>
      <c r="JLS604" s="222"/>
      <c r="JLT604" s="222"/>
      <c r="JLU604" s="222"/>
      <c r="JLV604" s="222"/>
      <c r="JLW604" s="223"/>
      <c r="JLX604" s="224"/>
      <c r="JLY604" s="222"/>
      <c r="JLZ604" s="222"/>
      <c r="JMA604" s="222"/>
      <c r="JMB604" s="222"/>
      <c r="JMC604" s="222"/>
      <c r="JMD604" s="222"/>
      <c r="JME604" s="223"/>
      <c r="JMF604" s="224"/>
      <c r="JMG604" s="222"/>
      <c r="JMH604" s="222"/>
      <c r="JMI604" s="222"/>
      <c r="JMJ604" s="222"/>
      <c r="JMK604" s="222"/>
      <c r="JML604" s="222"/>
      <c r="JMM604" s="223"/>
      <c r="JMN604" s="224"/>
      <c r="JMO604" s="222"/>
      <c r="JMP604" s="222"/>
      <c r="JMQ604" s="222"/>
      <c r="JMR604" s="222"/>
      <c r="JMS604" s="222"/>
      <c r="JMT604" s="222"/>
      <c r="JMU604" s="223"/>
      <c r="JMV604" s="224"/>
      <c r="JMW604" s="222"/>
      <c r="JMX604" s="222"/>
      <c r="JMY604" s="222"/>
      <c r="JMZ604" s="222"/>
      <c r="JNA604" s="222"/>
      <c r="JNB604" s="222"/>
      <c r="JNC604" s="223"/>
      <c r="JND604" s="224"/>
      <c r="JNE604" s="222"/>
      <c r="JNF604" s="222"/>
      <c r="JNG604" s="222"/>
      <c r="JNH604" s="222"/>
      <c r="JNI604" s="222"/>
      <c r="JNJ604" s="222"/>
      <c r="JNK604" s="223"/>
      <c r="JNL604" s="224"/>
      <c r="JNM604" s="222"/>
      <c r="JNN604" s="222"/>
      <c r="JNO604" s="222"/>
      <c r="JNP604" s="222"/>
      <c r="JNQ604" s="222"/>
      <c r="JNR604" s="222"/>
      <c r="JNS604" s="223"/>
      <c r="JNT604" s="224"/>
      <c r="JNU604" s="222"/>
      <c r="JNV604" s="222"/>
      <c r="JNW604" s="222"/>
      <c r="JNX604" s="222"/>
      <c r="JNY604" s="222"/>
      <c r="JNZ604" s="222"/>
      <c r="JOA604" s="223"/>
      <c r="JOB604" s="224"/>
      <c r="JOC604" s="222"/>
      <c r="JOD604" s="222"/>
      <c r="JOE604" s="222"/>
      <c r="JOF604" s="222"/>
      <c r="JOG604" s="222"/>
      <c r="JOH604" s="222"/>
      <c r="JOI604" s="223"/>
      <c r="JOJ604" s="224"/>
      <c r="JOK604" s="222"/>
      <c r="JOL604" s="222"/>
      <c r="JOM604" s="222"/>
      <c r="JON604" s="222"/>
      <c r="JOO604" s="222"/>
      <c r="JOP604" s="222"/>
      <c r="JOQ604" s="223"/>
      <c r="JOR604" s="224"/>
      <c r="JOS604" s="222"/>
      <c r="JOT604" s="222"/>
      <c r="JOU604" s="222"/>
      <c r="JOV604" s="222"/>
      <c r="JOW604" s="222"/>
      <c r="JOX604" s="222"/>
      <c r="JOY604" s="223"/>
      <c r="JOZ604" s="224"/>
      <c r="JPA604" s="222"/>
      <c r="JPB604" s="222"/>
      <c r="JPC604" s="222"/>
      <c r="JPD604" s="222"/>
      <c r="JPE604" s="222"/>
      <c r="JPF604" s="222"/>
      <c r="JPG604" s="223"/>
      <c r="JPH604" s="224"/>
      <c r="JPI604" s="222"/>
      <c r="JPJ604" s="222"/>
      <c r="JPK604" s="222"/>
      <c r="JPL604" s="222"/>
      <c r="JPM604" s="222"/>
      <c r="JPN604" s="222"/>
      <c r="JPO604" s="223"/>
      <c r="JPP604" s="224"/>
      <c r="JPQ604" s="222"/>
      <c r="JPR604" s="222"/>
      <c r="JPS604" s="222"/>
      <c r="JPT604" s="222"/>
      <c r="JPU604" s="222"/>
      <c r="JPV604" s="222"/>
      <c r="JPW604" s="223"/>
      <c r="JPX604" s="224"/>
      <c r="JPY604" s="222"/>
      <c r="JPZ604" s="222"/>
      <c r="JQA604" s="222"/>
      <c r="JQB604" s="222"/>
      <c r="JQC604" s="222"/>
      <c r="JQD604" s="222"/>
      <c r="JQE604" s="223"/>
      <c r="JQF604" s="224"/>
      <c r="JQG604" s="222"/>
      <c r="JQH604" s="222"/>
      <c r="JQI604" s="222"/>
      <c r="JQJ604" s="222"/>
      <c r="JQK604" s="222"/>
      <c r="JQL604" s="222"/>
      <c r="JQM604" s="223"/>
      <c r="JQN604" s="224"/>
      <c r="JQO604" s="222"/>
      <c r="JQP604" s="222"/>
      <c r="JQQ604" s="222"/>
      <c r="JQR604" s="222"/>
      <c r="JQS604" s="222"/>
      <c r="JQT604" s="222"/>
      <c r="JQU604" s="223"/>
      <c r="JQV604" s="224"/>
      <c r="JQW604" s="222"/>
      <c r="JQX604" s="222"/>
      <c r="JQY604" s="222"/>
      <c r="JQZ604" s="222"/>
      <c r="JRA604" s="222"/>
      <c r="JRB604" s="222"/>
      <c r="JRC604" s="223"/>
      <c r="JRD604" s="224"/>
      <c r="JRE604" s="222"/>
      <c r="JRF604" s="222"/>
      <c r="JRG604" s="222"/>
      <c r="JRH604" s="222"/>
      <c r="JRI604" s="222"/>
      <c r="JRJ604" s="222"/>
      <c r="JRK604" s="223"/>
      <c r="JRL604" s="224"/>
      <c r="JRM604" s="222"/>
      <c r="JRN604" s="222"/>
      <c r="JRO604" s="222"/>
      <c r="JRP604" s="222"/>
      <c r="JRQ604" s="222"/>
      <c r="JRR604" s="222"/>
      <c r="JRS604" s="223"/>
      <c r="JRT604" s="224"/>
      <c r="JRU604" s="222"/>
      <c r="JRV604" s="222"/>
      <c r="JRW604" s="222"/>
      <c r="JRX604" s="222"/>
      <c r="JRY604" s="222"/>
      <c r="JRZ604" s="222"/>
      <c r="JSA604" s="223"/>
      <c r="JSB604" s="224"/>
      <c r="JSC604" s="222"/>
      <c r="JSD604" s="222"/>
      <c r="JSE604" s="222"/>
      <c r="JSF604" s="222"/>
      <c r="JSG604" s="222"/>
      <c r="JSH604" s="222"/>
      <c r="JSI604" s="223"/>
      <c r="JSJ604" s="224"/>
      <c r="JSK604" s="222"/>
      <c r="JSL604" s="222"/>
      <c r="JSM604" s="222"/>
      <c r="JSN604" s="222"/>
      <c r="JSO604" s="222"/>
      <c r="JSP604" s="222"/>
      <c r="JSQ604" s="223"/>
      <c r="JSR604" s="224"/>
      <c r="JSS604" s="222"/>
      <c r="JST604" s="222"/>
      <c r="JSU604" s="222"/>
      <c r="JSV604" s="222"/>
      <c r="JSW604" s="222"/>
      <c r="JSX604" s="222"/>
      <c r="JSY604" s="223"/>
      <c r="JSZ604" s="224"/>
      <c r="JTA604" s="222"/>
      <c r="JTB604" s="222"/>
      <c r="JTC604" s="222"/>
      <c r="JTD604" s="222"/>
      <c r="JTE604" s="222"/>
      <c r="JTF604" s="222"/>
      <c r="JTG604" s="223"/>
      <c r="JTH604" s="224"/>
      <c r="JTI604" s="222"/>
      <c r="JTJ604" s="222"/>
      <c r="JTK604" s="222"/>
      <c r="JTL604" s="222"/>
      <c r="JTM604" s="222"/>
      <c r="JTN604" s="222"/>
      <c r="JTO604" s="223"/>
      <c r="JTP604" s="224"/>
      <c r="JTQ604" s="222"/>
      <c r="JTR604" s="222"/>
      <c r="JTS604" s="222"/>
      <c r="JTT604" s="222"/>
      <c r="JTU604" s="222"/>
      <c r="JTV604" s="222"/>
      <c r="JTW604" s="223"/>
      <c r="JTX604" s="224"/>
      <c r="JTY604" s="222"/>
      <c r="JTZ604" s="222"/>
      <c r="JUA604" s="222"/>
      <c r="JUB604" s="222"/>
      <c r="JUC604" s="222"/>
      <c r="JUD604" s="222"/>
      <c r="JUE604" s="223"/>
      <c r="JUF604" s="224"/>
      <c r="JUG604" s="222"/>
      <c r="JUH604" s="222"/>
      <c r="JUI604" s="222"/>
      <c r="JUJ604" s="222"/>
      <c r="JUK604" s="222"/>
      <c r="JUL604" s="222"/>
      <c r="JUM604" s="223"/>
      <c r="JUN604" s="224"/>
      <c r="JUO604" s="222"/>
      <c r="JUP604" s="222"/>
      <c r="JUQ604" s="222"/>
      <c r="JUR604" s="222"/>
      <c r="JUS604" s="222"/>
      <c r="JUT604" s="222"/>
      <c r="JUU604" s="223"/>
      <c r="JUV604" s="224"/>
      <c r="JUW604" s="222"/>
      <c r="JUX604" s="222"/>
      <c r="JUY604" s="222"/>
      <c r="JUZ604" s="222"/>
      <c r="JVA604" s="222"/>
      <c r="JVB604" s="222"/>
      <c r="JVC604" s="223"/>
      <c r="JVD604" s="224"/>
      <c r="JVE604" s="222"/>
      <c r="JVF604" s="222"/>
      <c r="JVG604" s="222"/>
      <c r="JVH604" s="222"/>
      <c r="JVI604" s="222"/>
      <c r="JVJ604" s="222"/>
      <c r="JVK604" s="223"/>
      <c r="JVL604" s="224"/>
      <c r="JVM604" s="222"/>
      <c r="JVN604" s="222"/>
      <c r="JVO604" s="222"/>
      <c r="JVP604" s="222"/>
      <c r="JVQ604" s="222"/>
      <c r="JVR604" s="222"/>
      <c r="JVS604" s="223"/>
      <c r="JVT604" s="224"/>
      <c r="JVU604" s="222"/>
      <c r="JVV604" s="222"/>
      <c r="JVW604" s="222"/>
      <c r="JVX604" s="222"/>
      <c r="JVY604" s="222"/>
      <c r="JVZ604" s="222"/>
      <c r="JWA604" s="223"/>
      <c r="JWB604" s="224"/>
      <c r="JWC604" s="222"/>
      <c r="JWD604" s="222"/>
      <c r="JWE604" s="222"/>
      <c r="JWF604" s="222"/>
      <c r="JWG604" s="222"/>
      <c r="JWH604" s="222"/>
      <c r="JWI604" s="223"/>
      <c r="JWJ604" s="224"/>
      <c r="JWK604" s="222"/>
      <c r="JWL604" s="222"/>
      <c r="JWM604" s="222"/>
      <c r="JWN604" s="222"/>
      <c r="JWO604" s="222"/>
      <c r="JWP604" s="222"/>
      <c r="JWQ604" s="223"/>
      <c r="JWR604" s="224"/>
      <c r="JWS604" s="222"/>
      <c r="JWT604" s="222"/>
      <c r="JWU604" s="222"/>
      <c r="JWV604" s="222"/>
      <c r="JWW604" s="222"/>
      <c r="JWX604" s="222"/>
      <c r="JWY604" s="223"/>
      <c r="JWZ604" s="224"/>
      <c r="JXA604" s="222"/>
      <c r="JXB604" s="222"/>
      <c r="JXC604" s="222"/>
      <c r="JXD604" s="222"/>
      <c r="JXE604" s="222"/>
      <c r="JXF604" s="222"/>
      <c r="JXG604" s="223"/>
      <c r="JXH604" s="224"/>
      <c r="JXI604" s="222"/>
      <c r="JXJ604" s="222"/>
      <c r="JXK604" s="222"/>
      <c r="JXL604" s="222"/>
      <c r="JXM604" s="222"/>
      <c r="JXN604" s="222"/>
      <c r="JXO604" s="223"/>
      <c r="JXP604" s="224"/>
      <c r="JXQ604" s="222"/>
      <c r="JXR604" s="222"/>
      <c r="JXS604" s="222"/>
      <c r="JXT604" s="222"/>
      <c r="JXU604" s="222"/>
      <c r="JXV604" s="222"/>
      <c r="JXW604" s="223"/>
      <c r="JXX604" s="224"/>
      <c r="JXY604" s="222"/>
      <c r="JXZ604" s="222"/>
      <c r="JYA604" s="222"/>
      <c r="JYB604" s="222"/>
      <c r="JYC604" s="222"/>
      <c r="JYD604" s="222"/>
      <c r="JYE604" s="223"/>
      <c r="JYF604" s="224"/>
      <c r="JYG604" s="222"/>
      <c r="JYH604" s="222"/>
      <c r="JYI604" s="222"/>
      <c r="JYJ604" s="222"/>
      <c r="JYK604" s="222"/>
      <c r="JYL604" s="222"/>
      <c r="JYM604" s="223"/>
      <c r="JYN604" s="224"/>
      <c r="JYO604" s="222"/>
      <c r="JYP604" s="222"/>
      <c r="JYQ604" s="222"/>
      <c r="JYR604" s="222"/>
      <c r="JYS604" s="222"/>
      <c r="JYT604" s="222"/>
      <c r="JYU604" s="223"/>
      <c r="JYV604" s="224"/>
      <c r="JYW604" s="222"/>
      <c r="JYX604" s="222"/>
      <c r="JYY604" s="222"/>
      <c r="JYZ604" s="222"/>
      <c r="JZA604" s="222"/>
      <c r="JZB604" s="222"/>
      <c r="JZC604" s="223"/>
      <c r="JZD604" s="224"/>
      <c r="JZE604" s="222"/>
      <c r="JZF604" s="222"/>
      <c r="JZG604" s="222"/>
      <c r="JZH604" s="222"/>
      <c r="JZI604" s="222"/>
      <c r="JZJ604" s="222"/>
      <c r="JZK604" s="223"/>
      <c r="JZL604" s="224"/>
      <c r="JZM604" s="222"/>
      <c r="JZN604" s="222"/>
      <c r="JZO604" s="222"/>
      <c r="JZP604" s="222"/>
      <c r="JZQ604" s="222"/>
      <c r="JZR604" s="222"/>
      <c r="JZS604" s="223"/>
      <c r="JZT604" s="224"/>
      <c r="JZU604" s="222"/>
      <c r="JZV604" s="222"/>
      <c r="JZW604" s="222"/>
      <c r="JZX604" s="222"/>
      <c r="JZY604" s="222"/>
      <c r="JZZ604" s="222"/>
      <c r="KAA604" s="223"/>
      <c r="KAB604" s="224"/>
      <c r="KAC604" s="222"/>
      <c r="KAD604" s="222"/>
      <c r="KAE604" s="222"/>
      <c r="KAF604" s="222"/>
      <c r="KAG604" s="222"/>
      <c r="KAH604" s="222"/>
      <c r="KAI604" s="223"/>
      <c r="KAJ604" s="224"/>
      <c r="KAK604" s="222"/>
      <c r="KAL604" s="222"/>
      <c r="KAM604" s="222"/>
      <c r="KAN604" s="222"/>
      <c r="KAO604" s="222"/>
      <c r="KAP604" s="222"/>
      <c r="KAQ604" s="223"/>
      <c r="KAR604" s="224"/>
      <c r="KAS604" s="222"/>
      <c r="KAT604" s="222"/>
      <c r="KAU604" s="222"/>
      <c r="KAV604" s="222"/>
      <c r="KAW604" s="222"/>
      <c r="KAX604" s="222"/>
      <c r="KAY604" s="223"/>
      <c r="KAZ604" s="224"/>
      <c r="KBA604" s="222"/>
      <c r="KBB604" s="222"/>
      <c r="KBC604" s="222"/>
      <c r="KBD604" s="222"/>
      <c r="KBE604" s="222"/>
      <c r="KBF604" s="222"/>
      <c r="KBG604" s="223"/>
      <c r="KBH604" s="224"/>
      <c r="KBI604" s="222"/>
      <c r="KBJ604" s="222"/>
      <c r="KBK604" s="222"/>
      <c r="KBL604" s="222"/>
      <c r="KBM604" s="222"/>
      <c r="KBN604" s="222"/>
      <c r="KBO604" s="223"/>
      <c r="KBP604" s="224"/>
      <c r="KBQ604" s="222"/>
      <c r="KBR604" s="222"/>
      <c r="KBS604" s="222"/>
      <c r="KBT604" s="222"/>
      <c r="KBU604" s="222"/>
      <c r="KBV604" s="222"/>
      <c r="KBW604" s="223"/>
      <c r="KBX604" s="224"/>
      <c r="KBY604" s="222"/>
      <c r="KBZ604" s="222"/>
      <c r="KCA604" s="222"/>
      <c r="KCB604" s="222"/>
      <c r="KCC604" s="222"/>
      <c r="KCD604" s="222"/>
      <c r="KCE604" s="223"/>
      <c r="KCF604" s="224"/>
      <c r="KCG604" s="222"/>
      <c r="KCH604" s="222"/>
      <c r="KCI604" s="222"/>
      <c r="KCJ604" s="222"/>
      <c r="KCK604" s="222"/>
      <c r="KCL604" s="222"/>
      <c r="KCM604" s="223"/>
      <c r="KCN604" s="224"/>
      <c r="KCO604" s="222"/>
      <c r="KCP604" s="222"/>
      <c r="KCQ604" s="222"/>
      <c r="KCR604" s="222"/>
      <c r="KCS604" s="222"/>
      <c r="KCT604" s="222"/>
      <c r="KCU604" s="223"/>
      <c r="KCV604" s="224"/>
      <c r="KCW604" s="222"/>
      <c r="KCX604" s="222"/>
      <c r="KCY604" s="222"/>
      <c r="KCZ604" s="222"/>
      <c r="KDA604" s="222"/>
      <c r="KDB604" s="222"/>
      <c r="KDC604" s="223"/>
      <c r="KDD604" s="224"/>
      <c r="KDE604" s="222"/>
      <c r="KDF604" s="222"/>
      <c r="KDG604" s="222"/>
      <c r="KDH604" s="222"/>
      <c r="KDI604" s="222"/>
      <c r="KDJ604" s="222"/>
      <c r="KDK604" s="223"/>
      <c r="KDL604" s="224"/>
      <c r="KDM604" s="222"/>
      <c r="KDN604" s="222"/>
      <c r="KDO604" s="222"/>
      <c r="KDP604" s="222"/>
      <c r="KDQ604" s="222"/>
      <c r="KDR604" s="222"/>
      <c r="KDS604" s="223"/>
      <c r="KDT604" s="224"/>
      <c r="KDU604" s="222"/>
      <c r="KDV604" s="222"/>
      <c r="KDW604" s="222"/>
      <c r="KDX604" s="222"/>
      <c r="KDY604" s="222"/>
      <c r="KDZ604" s="222"/>
      <c r="KEA604" s="223"/>
      <c r="KEB604" s="224"/>
      <c r="KEC604" s="222"/>
      <c r="KED604" s="222"/>
      <c r="KEE604" s="222"/>
      <c r="KEF604" s="222"/>
      <c r="KEG604" s="222"/>
      <c r="KEH604" s="222"/>
      <c r="KEI604" s="223"/>
      <c r="KEJ604" s="224"/>
      <c r="KEK604" s="222"/>
      <c r="KEL604" s="222"/>
      <c r="KEM604" s="222"/>
      <c r="KEN604" s="222"/>
      <c r="KEO604" s="222"/>
      <c r="KEP604" s="222"/>
      <c r="KEQ604" s="223"/>
      <c r="KER604" s="224"/>
      <c r="KES604" s="222"/>
      <c r="KET604" s="222"/>
      <c r="KEU604" s="222"/>
      <c r="KEV604" s="222"/>
      <c r="KEW604" s="222"/>
      <c r="KEX604" s="222"/>
      <c r="KEY604" s="223"/>
      <c r="KEZ604" s="224"/>
      <c r="KFA604" s="222"/>
      <c r="KFB604" s="222"/>
      <c r="KFC604" s="222"/>
      <c r="KFD604" s="222"/>
      <c r="KFE604" s="222"/>
      <c r="KFF604" s="222"/>
      <c r="KFG604" s="223"/>
      <c r="KFH604" s="224"/>
      <c r="KFI604" s="222"/>
      <c r="KFJ604" s="222"/>
      <c r="KFK604" s="222"/>
      <c r="KFL604" s="222"/>
      <c r="KFM604" s="222"/>
      <c r="KFN604" s="222"/>
      <c r="KFO604" s="223"/>
      <c r="KFP604" s="224"/>
      <c r="KFQ604" s="222"/>
      <c r="KFR604" s="222"/>
      <c r="KFS604" s="222"/>
      <c r="KFT604" s="222"/>
      <c r="KFU604" s="222"/>
      <c r="KFV604" s="222"/>
      <c r="KFW604" s="223"/>
      <c r="KFX604" s="224"/>
      <c r="KFY604" s="222"/>
      <c r="KFZ604" s="222"/>
      <c r="KGA604" s="222"/>
      <c r="KGB604" s="222"/>
      <c r="KGC604" s="222"/>
      <c r="KGD604" s="222"/>
      <c r="KGE604" s="223"/>
      <c r="KGF604" s="224"/>
      <c r="KGG604" s="222"/>
      <c r="KGH604" s="222"/>
      <c r="KGI604" s="222"/>
      <c r="KGJ604" s="222"/>
      <c r="KGK604" s="222"/>
      <c r="KGL604" s="222"/>
      <c r="KGM604" s="223"/>
      <c r="KGN604" s="224"/>
      <c r="KGO604" s="222"/>
      <c r="KGP604" s="222"/>
      <c r="KGQ604" s="222"/>
      <c r="KGR604" s="222"/>
      <c r="KGS604" s="222"/>
      <c r="KGT604" s="222"/>
      <c r="KGU604" s="223"/>
      <c r="KGV604" s="224"/>
      <c r="KGW604" s="222"/>
      <c r="KGX604" s="222"/>
      <c r="KGY604" s="222"/>
      <c r="KGZ604" s="222"/>
      <c r="KHA604" s="222"/>
      <c r="KHB604" s="222"/>
      <c r="KHC604" s="223"/>
      <c r="KHD604" s="224"/>
      <c r="KHE604" s="222"/>
      <c r="KHF604" s="222"/>
      <c r="KHG604" s="222"/>
      <c r="KHH604" s="222"/>
      <c r="KHI604" s="222"/>
      <c r="KHJ604" s="222"/>
      <c r="KHK604" s="223"/>
      <c r="KHL604" s="224"/>
      <c r="KHM604" s="222"/>
      <c r="KHN604" s="222"/>
      <c r="KHO604" s="222"/>
      <c r="KHP604" s="222"/>
      <c r="KHQ604" s="222"/>
      <c r="KHR604" s="222"/>
      <c r="KHS604" s="223"/>
      <c r="KHT604" s="224"/>
      <c r="KHU604" s="222"/>
      <c r="KHV604" s="222"/>
      <c r="KHW604" s="222"/>
      <c r="KHX604" s="222"/>
      <c r="KHY604" s="222"/>
      <c r="KHZ604" s="222"/>
      <c r="KIA604" s="223"/>
      <c r="KIB604" s="224"/>
      <c r="KIC604" s="222"/>
      <c r="KID604" s="222"/>
      <c r="KIE604" s="222"/>
      <c r="KIF604" s="222"/>
      <c r="KIG604" s="222"/>
      <c r="KIH604" s="222"/>
      <c r="KII604" s="223"/>
      <c r="KIJ604" s="224"/>
      <c r="KIK604" s="222"/>
      <c r="KIL604" s="222"/>
      <c r="KIM604" s="222"/>
      <c r="KIN604" s="222"/>
      <c r="KIO604" s="222"/>
      <c r="KIP604" s="222"/>
      <c r="KIQ604" s="223"/>
      <c r="KIR604" s="224"/>
      <c r="KIS604" s="222"/>
      <c r="KIT604" s="222"/>
      <c r="KIU604" s="222"/>
      <c r="KIV604" s="222"/>
      <c r="KIW604" s="222"/>
      <c r="KIX604" s="222"/>
      <c r="KIY604" s="223"/>
      <c r="KIZ604" s="224"/>
      <c r="KJA604" s="222"/>
      <c r="KJB604" s="222"/>
      <c r="KJC604" s="222"/>
      <c r="KJD604" s="222"/>
      <c r="KJE604" s="222"/>
      <c r="KJF604" s="222"/>
      <c r="KJG604" s="223"/>
      <c r="KJH604" s="224"/>
      <c r="KJI604" s="222"/>
      <c r="KJJ604" s="222"/>
      <c r="KJK604" s="222"/>
      <c r="KJL604" s="222"/>
      <c r="KJM604" s="222"/>
      <c r="KJN604" s="222"/>
      <c r="KJO604" s="223"/>
      <c r="KJP604" s="224"/>
      <c r="KJQ604" s="222"/>
      <c r="KJR604" s="222"/>
      <c r="KJS604" s="222"/>
      <c r="KJT604" s="222"/>
      <c r="KJU604" s="222"/>
      <c r="KJV604" s="222"/>
      <c r="KJW604" s="223"/>
      <c r="KJX604" s="224"/>
      <c r="KJY604" s="222"/>
      <c r="KJZ604" s="222"/>
      <c r="KKA604" s="222"/>
      <c r="KKB604" s="222"/>
      <c r="KKC604" s="222"/>
      <c r="KKD604" s="222"/>
      <c r="KKE604" s="223"/>
      <c r="KKF604" s="224"/>
      <c r="KKG604" s="222"/>
      <c r="KKH604" s="222"/>
      <c r="KKI604" s="222"/>
      <c r="KKJ604" s="222"/>
      <c r="KKK604" s="222"/>
      <c r="KKL604" s="222"/>
      <c r="KKM604" s="223"/>
      <c r="KKN604" s="224"/>
      <c r="KKO604" s="222"/>
      <c r="KKP604" s="222"/>
      <c r="KKQ604" s="222"/>
      <c r="KKR604" s="222"/>
      <c r="KKS604" s="222"/>
      <c r="KKT604" s="222"/>
      <c r="KKU604" s="223"/>
      <c r="KKV604" s="224"/>
      <c r="KKW604" s="222"/>
      <c r="KKX604" s="222"/>
      <c r="KKY604" s="222"/>
      <c r="KKZ604" s="222"/>
      <c r="KLA604" s="222"/>
      <c r="KLB604" s="222"/>
      <c r="KLC604" s="223"/>
      <c r="KLD604" s="224"/>
      <c r="KLE604" s="222"/>
      <c r="KLF604" s="222"/>
      <c r="KLG604" s="222"/>
      <c r="KLH604" s="222"/>
      <c r="KLI604" s="222"/>
      <c r="KLJ604" s="222"/>
      <c r="KLK604" s="223"/>
      <c r="KLL604" s="224"/>
      <c r="KLM604" s="222"/>
      <c r="KLN604" s="222"/>
      <c r="KLO604" s="222"/>
      <c r="KLP604" s="222"/>
      <c r="KLQ604" s="222"/>
      <c r="KLR604" s="222"/>
      <c r="KLS604" s="223"/>
      <c r="KLT604" s="224"/>
      <c r="KLU604" s="222"/>
      <c r="KLV604" s="222"/>
      <c r="KLW604" s="222"/>
      <c r="KLX604" s="222"/>
      <c r="KLY604" s="222"/>
      <c r="KLZ604" s="222"/>
      <c r="KMA604" s="223"/>
      <c r="KMB604" s="224"/>
      <c r="KMC604" s="222"/>
      <c r="KMD604" s="222"/>
      <c r="KME604" s="222"/>
      <c r="KMF604" s="222"/>
      <c r="KMG604" s="222"/>
      <c r="KMH604" s="222"/>
      <c r="KMI604" s="223"/>
      <c r="KMJ604" s="224"/>
      <c r="KMK604" s="222"/>
      <c r="KML604" s="222"/>
      <c r="KMM604" s="222"/>
      <c r="KMN604" s="222"/>
      <c r="KMO604" s="222"/>
      <c r="KMP604" s="222"/>
      <c r="KMQ604" s="223"/>
      <c r="KMR604" s="224"/>
      <c r="KMS604" s="222"/>
      <c r="KMT604" s="222"/>
      <c r="KMU604" s="222"/>
      <c r="KMV604" s="222"/>
      <c r="KMW604" s="222"/>
      <c r="KMX604" s="222"/>
      <c r="KMY604" s="223"/>
      <c r="KMZ604" s="224"/>
      <c r="KNA604" s="222"/>
      <c r="KNB604" s="222"/>
      <c r="KNC604" s="222"/>
      <c r="KND604" s="222"/>
      <c r="KNE604" s="222"/>
      <c r="KNF604" s="222"/>
      <c r="KNG604" s="223"/>
      <c r="KNH604" s="224"/>
      <c r="KNI604" s="222"/>
      <c r="KNJ604" s="222"/>
      <c r="KNK604" s="222"/>
      <c r="KNL604" s="222"/>
      <c r="KNM604" s="222"/>
      <c r="KNN604" s="222"/>
      <c r="KNO604" s="223"/>
      <c r="KNP604" s="224"/>
      <c r="KNQ604" s="222"/>
      <c r="KNR604" s="222"/>
      <c r="KNS604" s="222"/>
      <c r="KNT604" s="222"/>
      <c r="KNU604" s="222"/>
      <c r="KNV604" s="222"/>
      <c r="KNW604" s="223"/>
      <c r="KNX604" s="224"/>
      <c r="KNY604" s="222"/>
      <c r="KNZ604" s="222"/>
      <c r="KOA604" s="222"/>
      <c r="KOB604" s="222"/>
      <c r="KOC604" s="222"/>
      <c r="KOD604" s="222"/>
      <c r="KOE604" s="223"/>
      <c r="KOF604" s="224"/>
      <c r="KOG604" s="222"/>
      <c r="KOH604" s="222"/>
      <c r="KOI604" s="222"/>
      <c r="KOJ604" s="222"/>
      <c r="KOK604" s="222"/>
      <c r="KOL604" s="222"/>
      <c r="KOM604" s="223"/>
      <c r="KON604" s="224"/>
      <c r="KOO604" s="222"/>
      <c r="KOP604" s="222"/>
      <c r="KOQ604" s="222"/>
      <c r="KOR604" s="222"/>
      <c r="KOS604" s="222"/>
      <c r="KOT604" s="222"/>
      <c r="KOU604" s="223"/>
      <c r="KOV604" s="224"/>
      <c r="KOW604" s="222"/>
      <c r="KOX604" s="222"/>
      <c r="KOY604" s="222"/>
      <c r="KOZ604" s="222"/>
      <c r="KPA604" s="222"/>
      <c r="KPB604" s="222"/>
      <c r="KPC604" s="223"/>
      <c r="KPD604" s="224"/>
      <c r="KPE604" s="222"/>
      <c r="KPF604" s="222"/>
      <c r="KPG604" s="222"/>
      <c r="KPH604" s="222"/>
      <c r="KPI604" s="222"/>
      <c r="KPJ604" s="222"/>
      <c r="KPK604" s="223"/>
      <c r="KPL604" s="224"/>
      <c r="KPM604" s="222"/>
      <c r="KPN604" s="222"/>
      <c r="KPO604" s="222"/>
      <c r="KPP604" s="222"/>
      <c r="KPQ604" s="222"/>
      <c r="KPR604" s="222"/>
      <c r="KPS604" s="223"/>
      <c r="KPT604" s="224"/>
      <c r="KPU604" s="222"/>
      <c r="KPV604" s="222"/>
      <c r="KPW604" s="222"/>
      <c r="KPX604" s="222"/>
      <c r="KPY604" s="222"/>
      <c r="KPZ604" s="222"/>
      <c r="KQA604" s="223"/>
      <c r="KQB604" s="224"/>
      <c r="KQC604" s="222"/>
      <c r="KQD604" s="222"/>
      <c r="KQE604" s="222"/>
      <c r="KQF604" s="222"/>
      <c r="KQG604" s="222"/>
      <c r="KQH604" s="222"/>
      <c r="KQI604" s="223"/>
      <c r="KQJ604" s="224"/>
      <c r="KQK604" s="222"/>
      <c r="KQL604" s="222"/>
      <c r="KQM604" s="222"/>
      <c r="KQN604" s="222"/>
      <c r="KQO604" s="222"/>
      <c r="KQP604" s="222"/>
      <c r="KQQ604" s="223"/>
      <c r="KQR604" s="224"/>
      <c r="KQS604" s="222"/>
      <c r="KQT604" s="222"/>
      <c r="KQU604" s="222"/>
      <c r="KQV604" s="222"/>
      <c r="KQW604" s="222"/>
      <c r="KQX604" s="222"/>
      <c r="KQY604" s="223"/>
      <c r="KQZ604" s="224"/>
      <c r="KRA604" s="222"/>
      <c r="KRB604" s="222"/>
      <c r="KRC604" s="222"/>
      <c r="KRD604" s="222"/>
      <c r="KRE604" s="222"/>
      <c r="KRF604" s="222"/>
      <c r="KRG604" s="223"/>
      <c r="KRH604" s="224"/>
      <c r="KRI604" s="222"/>
      <c r="KRJ604" s="222"/>
      <c r="KRK604" s="222"/>
      <c r="KRL604" s="222"/>
      <c r="KRM604" s="222"/>
      <c r="KRN604" s="222"/>
      <c r="KRO604" s="223"/>
      <c r="KRP604" s="224"/>
      <c r="KRQ604" s="222"/>
      <c r="KRR604" s="222"/>
      <c r="KRS604" s="222"/>
      <c r="KRT604" s="222"/>
      <c r="KRU604" s="222"/>
      <c r="KRV604" s="222"/>
      <c r="KRW604" s="223"/>
      <c r="KRX604" s="224"/>
      <c r="KRY604" s="222"/>
      <c r="KRZ604" s="222"/>
      <c r="KSA604" s="222"/>
      <c r="KSB604" s="222"/>
      <c r="KSC604" s="222"/>
      <c r="KSD604" s="222"/>
      <c r="KSE604" s="223"/>
      <c r="KSF604" s="224"/>
      <c r="KSG604" s="222"/>
      <c r="KSH604" s="222"/>
      <c r="KSI604" s="222"/>
      <c r="KSJ604" s="222"/>
      <c r="KSK604" s="222"/>
      <c r="KSL604" s="222"/>
      <c r="KSM604" s="223"/>
      <c r="KSN604" s="224"/>
      <c r="KSO604" s="222"/>
      <c r="KSP604" s="222"/>
      <c r="KSQ604" s="222"/>
      <c r="KSR604" s="222"/>
      <c r="KSS604" s="222"/>
      <c r="KST604" s="222"/>
      <c r="KSU604" s="223"/>
      <c r="KSV604" s="224"/>
      <c r="KSW604" s="222"/>
      <c r="KSX604" s="222"/>
      <c r="KSY604" s="222"/>
      <c r="KSZ604" s="222"/>
      <c r="KTA604" s="222"/>
      <c r="KTB604" s="222"/>
      <c r="KTC604" s="223"/>
      <c r="KTD604" s="224"/>
      <c r="KTE604" s="222"/>
      <c r="KTF604" s="222"/>
      <c r="KTG604" s="222"/>
      <c r="KTH604" s="222"/>
      <c r="KTI604" s="222"/>
      <c r="KTJ604" s="222"/>
      <c r="KTK604" s="223"/>
      <c r="KTL604" s="224"/>
      <c r="KTM604" s="222"/>
      <c r="KTN604" s="222"/>
      <c r="KTO604" s="222"/>
      <c r="KTP604" s="222"/>
      <c r="KTQ604" s="222"/>
      <c r="KTR604" s="222"/>
      <c r="KTS604" s="223"/>
      <c r="KTT604" s="224"/>
      <c r="KTU604" s="222"/>
      <c r="KTV604" s="222"/>
      <c r="KTW604" s="222"/>
      <c r="KTX604" s="222"/>
      <c r="KTY604" s="222"/>
      <c r="KTZ604" s="222"/>
      <c r="KUA604" s="223"/>
      <c r="KUB604" s="224"/>
      <c r="KUC604" s="222"/>
      <c r="KUD604" s="222"/>
      <c r="KUE604" s="222"/>
      <c r="KUF604" s="222"/>
      <c r="KUG604" s="222"/>
      <c r="KUH604" s="222"/>
      <c r="KUI604" s="223"/>
      <c r="KUJ604" s="224"/>
      <c r="KUK604" s="222"/>
      <c r="KUL604" s="222"/>
      <c r="KUM604" s="222"/>
      <c r="KUN604" s="222"/>
      <c r="KUO604" s="222"/>
      <c r="KUP604" s="222"/>
      <c r="KUQ604" s="223"/>
      <c r="KUR604" s="224"/>
      <c r="KUS604" s="222"/>
      <c r="KUT604" s="222"/>
      <c r="KUU604" s="222"/>
      <c r="KUV604" s="222"/>
      <c r="KUW604" s="222"/>
      <c r="KUX604" s="222"/>
      <c r="KUY604" s="223"/>
      <c r="KUZ604" s="224"/>
      <c r="KVA604" s="222"/>
      <c r="KVB604" s="222"/>
      <c r="KVC604" s="222"/>
      <c r="KVD604" s="222"/>
      <c r="KVE604" s="222"/>
      <c r="KVF604" s="222"/>
      <c r="KVG604" s="223"/>
      <c r="KVH604" s="224"/>
      <c r="KVI604" s="222"/>
      <c r="KVJ604" s="222"/>
      <c r="KVK604" s="222"/>
      <c r="KVL604" s="222"/>
      <c r="KVM604" s="222"/>
      <c r="KVN604" s="222"/>
      <c r="KVO604" s="223"/>
      <c r="KVP604" s="224"/>
      <c r="KVQ604" s="222"/>
      <c r="KVR604" s="222"/>
      <c r="KVS604" s="222"/>
      <c r="KVT604" s="222"/>
      <c r="KVU604" s="222"/>
      <c r="KVV604" s="222"/>
      <c r="KVW604" s="223"/>
      <c r="KVX604" s="224"/>
      <c r="KVY604" s="222"/>
      <c r="KVZ604" s="222"/>
      <c r="KWA604" s="222"/>
      <c r="KWB604" s="222"/>
      <c r="KWC604" s="222"/>
      <c r="KWD604" s="222"/>
      <c r="KWE604" s="223"/>
      <c r="KWF604" s="224"/>
      <c r="KWG604" s="222"/>
      <c r="KWH604" s="222"/>
      <c r="KWI604" s="222"/>
      <c r="KWJ604" s="222"/>
      <c r="KWK604" s="222"/>
      <c r="KWL604" s="222"/>
      <c r="KWM604" s="223"/>
      <c r="KWN604" s="224"/>
      <c r="KWO604" s="222"/>
      <c r="KWP604" s="222"/>
      <c r="KWQ604" s="222"/>
      <c r="KWR604" s="222"/>
      <c r="KWS604" s="222"/>
      <c r="KWT604" s="222"/>
      <c r="KWU604" s="223"/>
      <c r="KWV604" s="224"/>
      <c r="KWW604" s="222"/>
      <c r="KWX604" s="222"/>
      <c r="KWY604" s="222"/>
      <c r="KWZ604" s="222"/>
      <c r="KXA604" s="222"/>
      <c r="KXB604" s="222"/>
      <c r="KXC604" s="223"/>
      <c r="KXD604" s="224"/>
      <c r="KXE604" s="222"/>
      <c r="KXF604" s="222"/>
      <c r="KXG604" s="222"/>
      <c r="KXH604" s="222"/>
      <c r="KXI604" s="222"/>
      <c r="KXJ604" s="222"/>
      <c r="KXK604" s="223"/>
      <c r="KXL604" s="224"/>
      <c r="KXM604" s="222"/>
      <c r="KXN604" s="222"/>
      <c r="KXO604" s="222"/>
      <c r="KXP604" s="222"/>
      <c r="KXQ604" s="222"/>
      <c r="KXR604" s="222"/>
      <c r="KXS604" s="223"/>
      <c r="KXT604" s="224"/>
      <c r="KXU604" s="222"/>
      <c r="KXV604" s="222"/>
      <c r="KXW604" s="222"/>
      <c r="KXX604" s="222"/>
      <c r="KXY604" s="222"/>
      <c r="KXZ604" s="222"/>
      <c r="KYA604" s="223"/>
      <c r="KYB604" s="224"/>
      <c r="KYC604" s="222"/>
      <c r="KYD604" s="222"/>
      <c r="KYE604" s="222"/>
      <c r="KYF604" s="222"/>
      <c r="KYG604" s="222"/>
      <c r="KYH604" s="222"/>
      <c r="KYI604" s="223"/>
      <c r="KYJ604" s="224"/>
      <c r="KYK604" s="222"/>
      <c r="KYL604" s="222"/>
      <c r="KYM604" s="222"/>
      <c r="KYN604" s="222"/>
      <c r="KYO604" s="222"/>
      <c r="KYP604" s="222"/>
      <c r="KYQ604" s="223"/>
      <c r="KYR604" s="224"/>
      <c r="KYS604" s="222"/>
      <c r="KYT604" s="222"/>
      <c r="KYU604" s="222"/>
      <c r="KYV604" s="222"/>
      <c r="KYW604" s="222"/>
      <c r="KYX604" s="222"/>
      <c r="KYY604" s="223"/>
      <c r="KYZ604" s="224"/>
      <c r="KZA604" s="222"/>
      <c r="KZB604" s="222"/>
      <c r="KZC604" s="222"/>
      <c r="KZD604" s="222"/>
      <c r="KZE604" s="222"/>
      <c r="KZF604" s="222"/>
      <c r="KZG604" s="223"/>
      <c r="KZH604" s="224"/>
      <c r="KZI604" s="222"/>
      <c r="KZJ604" s="222"/>
      <c r="KZK604" s="222"/>
      <c r="KZL604" s="222"/>
      <c r="KZM604" s="222"/>
      <c r="KZN604" s="222"/>
      <c r="KZO604" s="223"/>
      <c r="KZP604" s="224"/>
      <c r="KZQ604" s="222"/>
      <c r="KZR604" s="222"/>
      <c r="KZS604" s="222"/>
      <c r="KZT604" s="222"/>
      <c r="KZU604" s="222"/>
      <c r="KZV604" s="222"/>
      <c r="KZW604" s="223"/>
      <c r="KZX604" s="224"/>
      <c r="KZY604" s="222"/>
      <c r="KZZ604" s="222"/>
      <c r="LAA604" s="222"/>
      <c r="LAB604" s="222"/>
      <c r="LAC604" s="222"/>
      <c r="LAD604" s="222"/>
      <c r="LAE604" s="223"/>
      <c r="LAF604" s="224"/>
      <c r="LAG604" s="222"/>
      <c r="LAH604" s="222"/>
      <c r="LAI604" s="222"/>
      <c r="LAJ604" s="222"/>
      <c r="LAK604" s="222"/>
      <c r="LAL604" s="222"/>
      <c r="LAM604" s="223"/>
      <c r="LAN604" s="224"/>
      <c r="LAO604" s="222"/>
      <c r="LAP604" s="222"/>
      <c r="LAQ604" s="222"/>
      <c r="LAR604" s="222"/>
      <c r="LAS604" s="222"/>
      <c r="LAT604" s="222"/>
      <c r="LAU604" s="223"/>
      <c r="LAV604" s="224"/>
      <c r="LAW604" s="222"/>
      <c r="LAX604" s="222"/>
      <c r="LAY604" s="222"/>
      <c r="LAZ604" s="222"/>
      <c r="LBA604" s="222"/>
      <c r="LBB604" s="222"/>
      <c r="LBC604" s="223"/>
      <c r="LBD604" s="224"/>
      <c r="LBE604" s="222"/>
      <c r="LBF604" s="222"/>
      <c r="LBG604" s="222"/>
      <c r="LBH604" s="222"/>
      <c r="LBI604" s="222"/>
      <c r="LBJ604" s="222"/>
      <c r="LBK604" s="223"/>
      <c r="LBL604" s="224"/>
      <c r="LBM604" s="222"/>
      <c r="LBN604" s="222"/>
      <c r="LBO604" s="222"/>
      <c r="LBP604" s="222"/>
      <c r="LBQ604" s="222"/>
      <c r="LBR604" s="222"/>
      <c r="LBS604" s="223"/>
      <c r="LBT604" s="224"/>
      <c r="LBU604" s="222"/>
      <c r="LBV604" s="222"/>
      <c r="LBW604" s="222"/>
      <c r="LBX604" s="222"/>
      <c r="LBY604" s="222"/>
      <c r="LBZ604" s="222"/>
      <c r="LCA604" s="223"/>
      <c r="LCB604" s="224"/>
      <c r="LCC604" s="222"/>
      <c r="LCD604" s="222"/>
      <c r="LCE604" s="222"/>
      <c r="LCF604" s="222"/>
      <c r="LCG604" s="222"/>
      <c r="LCH604" s="222"/>
      <c r="LCI604" s="223"/>
      <c r="LCJ604" s="224"/>
      <c r="LCK604" s="222"/>
      <c r="LCL604" s="222"/>
      <c r="LCM604" s="222"/>
      <c r="LCN604" s="222"/>
      <c r="LCO604" s="222"/>
      <c r="LCP604" s="222"/>
      <c r="LCQ604" s="223"/>
      <c r="LCR604" s="224"/>
      <c r="LCS604" s="222"/>
      <c r="LCT604" s="222"/>
      <c r="LCU604" s="222"/>
      <c r="LCV604" s="222"/>
      <c r="LCW604" s="222"/>
      <c r="LCX604" s="222"/>
      <c r="LCY604" s="223"/>
      <c r="LCZ604" s="224"/>
      <c r="LDA604" s="222"/>
      <c r="LDB604" s="222"/>
      <c r="LDC604" s="222"/>
      <c r="LDD604" s="222"/>
      <c r="LDE604" s="222"/>
      <c r="LDF604" s="222"/>
      <c r="LDG604" s="223"/>
      <c r="LDH604" s="224"/>
      <c r="LDI604" s="222"/>
      <c r="LDJ604" s="222"/>
      <c r="LDK604" s="222"/>
      <c r="LDL604" s="222"/>
      <c r="LDM604" s="222"/>
      <c r="LDN604" s="222"/>
      <c r="LDO604" s="223"/>
      <c r="LDP604" s="224"/>
      <c r="LDQ604" s="222"/>
      <c r="LDR604" s="222"/>
      <c r="LDS604" s="222"/>
      <c r="LDT604" s="222"/>
      <c r="LDU604" s="222"/>
      <c r="LDV604" s="222"/>
      <c r="LDW604" s="223"/>
      <c r="LDX604" s="224"/>
      <c r="LDY604" s="222"/>
      <c r="LDZ604" s="222"/>
      <c r="LEA604" s="222"/>
      <c r="LEB604" s="222"/>
      <c r="LEC604" s="222"/>
      <c r="LED604" s="222"/>
      <c r="LEE604" s="223"/>
      <c r="LEF604" s="224"/>
      <c r="LEG604" s="222"/>
      <c r="LEH604" s="222"/>
      <c r="LEI604" s="222"/>
      <c r="LEJ604" s="222"/>
      <c r="LEK604" s="222"/>
      <c r="LEL604" s="222"/>
      <c r="LEM604" s="223"/>
      <c r="LEN604" s="224"/>
      <c r="LEO604" s="222"/>
      <c r="LEP604" s="222"/>
      <c r="LEQ604" s="222"/>
      <c r="LER604" s="222"/>
      <c r="LES604" s="222"/>
      <c r="LET604" s="222"/>
      <c r="LEU604" s="223"/>
      <c r="LEV604" s="224"/>
      <c r="LEW604" s="222"/>
      <c r="LEX604" s="222"/>
      <c r="LEY604" s="222"/>
      <c r="LEZ604" s="222"/>
      <c r="LFA604" s="222"/>
      <c r="LFB604" s="222"/>
      <c r="LFC604" s="223"/>
      <c r="LFD604" s="224"/>
      <c r="LFE604" s="222"/>
      <c r="LFF604" s="222"/>
      <c r="LFG604" s="222"/>
      <c r="LFH604" s="222"/>
      <c r="LFI604" s="222"/>
      <c r="LFJ604" s="222"/>
      <c r="LFK604" s="223"/>
      <c r="LFL604" s="224"/>
      <c r="LFM604" s="222"/>
      <c r="LFN604" s="222"/>
      <c r="LFO604" s="222"/>
      <c r="LFP604" s="222"/>
      <c r="LFQ604" s="222"/>
      <c r="LFR604" s="222"/>
      <c r="LFS604" s="223"/>
      <c r="LFT604" s="224"/>
      <c r="LFU604" s="222"/>
      <c r="LFV604" s="222"/>
      <c r="LFW604" s="222"/>
      <c r="LFX604" s="222"/>
      <c r="LFY604" s="222"/>
      <c r="LFZ604" s="222"/>
      <c r="LGA604" s="223"/>
      <c r="LGB604" s="224"/>
      <c r="LGC604" s="222"/>
      <c r="LGD604" s="222"/>
      <c r="LGE604" s="222"/>
      <c r="LGF604" s="222"/>
      <c r="LGG604" s="222"/>
      <c r="LGH604" s="222"/>
      <c r="LGI604" s="223"/>
      <c r="LGJ604" s="224"/>
      <c r="LGK604" s="222"/>
      <c r="LGL604" s="222"/>
      <c r="LGM604" s="222"/>
      <c r="LGN604" s="222"/>
      <c r="LGO604" s="222"/>
      <c r="LGP604" s="222"/>
      <c r="LGQ604" s="223"/>
      <c r="LGR604" s="224"/>
      <c r="LGS604" s="222"/>
      <c r="LGT604" s="222"/>
      <c r="LGU604" s="222"/>
      <c r="LGV604" s="222"/>
      <c r="LGW604" s="222"/>
      <c r="LGX604" s="222"/>
      <c r="LGY604" s="223"/>
      <c r="LGZ604" s="224"/>
      <c r="LHA604" s="222"/>
      <c r="LHB604" s="222"/>
      <c r="LHC604" s="222"/>
      <c r="LHD604" s="222"/>
      <c r="LHE604" s="222"/>
      <c r="LHF604" s="222"/>
      <c r="LHG604" s="223"/>
      <c r="LHH604" s="224"/>
      <c r="LHI604" s="222"/>
      <c r="LHJ604" s="222"/>
      <c r="LHK604" s="222"/>
      <c r="LHL604" s="222"/>
      <c r="LHM604" s="222"/>
      <c r="LHN604" s="222"/>
      <c r="LHO604" s="223"/>
      <c r="LHP604" s="224"/>
      <c r="LHQ604" s="222"/>
      <c r="LHR604" s="222"/>
      <c r="LHS604" s="222"/>
      <c r="LHT604" s="222"/>
      <c r="LHU604" s="222"/>
      <c r="LHV604" s="222"/>
      <c r="LHW604" s="223"/>
      <c r="LHX604" s="224"/>
      <c r="LHY604" s="222"/>
      <c r="LHZ604" s="222"/>
      <c r="LIA604" s="222"/>
      <c r="LIB604" s="222"/>
      <c r="LIC604" s="222"/>
      <c r="LID604" s="222"/>
      <c r="LIE604" s="223"/>
      <c r="LIF604" s="224"/>
      <c r="LIG604" s="222"/>
      <c r="LIH604" s="222"/>
      <c r="LII604" s="222"/>
      <c r="LIJ604" s="222"/>
      <c r="LIK604" s="222"/>
      <c r="LIL604" s="222"/>
      <c r="LIM604" s="223"/>
      <c r="LIN604" s="224"/>
      <c r="LIO604" s="222"/>
      <c r="LIP604" s="222"/>
      <c r="LIQ604" s="222"/>
      <c r="LIR604" s="222"/>
      <c r="LIS604" s="222"/>
      <c r="LIT604" s="222"/>
      <c r="LIU604" s="223"/>
      <c r="LIV604" s="224"/>
      <c r="LIW604" s="222"/>
      <c r="LIX604" s="222"/>
      <c r="LIY604" s="222"/>
      <c r="LIZ604" s="222"/>
      <c r="LJA604" s="222"/>
      <c r="LJB604" s="222"/>
      <c r="LJC604" s="223"/>
      <c r="LJD604" s="224"/>
      <c r="LJE604" s="222"/>
      <c r="LJF604" s="222"/>
      <c r="LJG604" s="222"/>
      <c r="LJH604" s="222"/>
      <c r="LJI604" s="222"/>
      <c r="LJJ604" s="222"/>
      <c r="LJK604" s="223"/>
      <c r="LJL604" s="224"/>
      <c r="LJM604" s="222"/>
      <c r="LJN604" s="222"/>
      <c r="LJO604" s="222"/>
      <c r="LJP604" s="222"/>
      <c r="LJQ604" s="222"/>
      <c r="LJR604" s="222"/>
      <c r="LJS604" s="223"/>
      <c r="LJT604" s="224"/>
      <c r="LJU604" s="222"/>
      <c r="LJV604" s="222"/>
      <c r="LJW604" s="222"/>
      <c r="LJX604" s="222"/>
      <c r="LJY604" s="222"/>
      <c r="LJZ604" s="222"/>
      <c r="LKA604" s="223"/>
      <c r="LKB604" s="224"/>
      <c r="LKC604" s="222"/>
      <c r="LKD604" s="222"/>
      <c r="LKE604" s="222"/>
      <c r="LKF604" s="222"/>
      <c r="LKG604" s="222"/>
      <c r="LKH604" s="222"/>
      <c r="LKI604" s="223"/>
      <c r="LKJ604" s="224"/>
      <c r="LKK604" s="222"/>
      <c r="LKL604" s="222"/>
      <c r="LKM604" s="222"/>
      <c r="LKN604" s="222"/>
      <c r="LKO604" s="222"/>
      <c r="LKP604" s="222"/>
      <c r="LKQ604" s="223"/>
      <c r="LKR604" s="224"/>
      <c r="LKS604" s="222"/>
      <c r="LKT604" s="222"/>
      <c r="LKU604" s="222"/>
      <c r="LKV604" s="222"/>
      <c r="LKW604" s="222"/>
      <c r="LKX604" s="222"/>
      <c r="LKY604" s="223"/>
      <c r="LKZ604" s="224"/>
      <c r="LLA604" s="222"/>
      <c r="LLB604" s="222"/>
      <c r="LLC604" s="222"/>
      <c r="LLD604" s="222"/>
      <c r="LLE604" s="222"/>
      <c r="LLF604" s="222"/>
      <c r="LLG604" s="223"/>
      <c r="LLH604" s="224"/>
      <c r="LLI604" s="222"/>
      <c r="LLJ604" s="222"/>
      <c r="LLK604" s="222"/>
      <c r="LLL604" s="222"/>
      <c r="LLM604" s="222"/>
      <c r="LLN604" s="222"/>
      <c r="LLO604" s="223"/>
      <c r="LLP604" s="224"/>
      <c r="LLQ604" s="222"/>
      <c r="LLR604" s="222"/>
      <c r="LLS604" s="222"/>
      <c r="LLT604" s="222"/>
      <c r="LLU604" s="222"/>
      <c r="LLV604" s="222"/>
      <c r="LLW604" s="223"/>
      <c r="LLX604" s="224"/>
      <c r="LLY604" s="222"/>
      <c r="LLZ604" s="222"/>
      <c r="LMA604" s="222"/>
      <c r="LMB604" s="222"/>
      <c r="LMC604" s="222"/>
      <c r="LMD604" s="222"/>
      <c r="LME604" s="223"/>
      <c r="LMF604" s="224"/>
      <c r="LMG604" s="222"/>
      <c r="LMH604" s="222"/>
      <c r="LMI604" s="222"/>
      <c r="LMJ604" s="222"/>
      <c r="LMK604" s="222"/>
      <c r="LML604" s="222"/>
      <c r="LMM604" s="223"/>
      <c r="LMN604" s="224"/>
      <c r="LMO604" s="222"/>
      <c r="LMP604" s="222"/>
      <c r="LMQ604" s="222"/>
      <c r="LMR604" s="222"/>
      <c r="LMS604" s="222"/>
      <c r="LMT604" s="222"/>
      <c r="LMU604" s="223"/>
      <c r="LMV604" s="224"/>
      <c r="LMW604" s="222"/>
      <c r="LMX604" s="222"/>
      <c r="LMY604" s="222"/>
      <c r="LMZ604" s="222"/>
      <c r="LNA604" s="222"/>
      <c r="LNB604" s="222"/>
      <c r="LNC604" s="223"/>
      <c r="LND604" s="224"/>
      <c r="LNE604" s="222"/>
      <c r="LNF604" s="222"/>
      <c r="LNG604" s="222"/>
      <c r="LNH604" s="222"/>
      <c r="LNI604" s="222"/>
      <c r="LNJ604" s="222"/>
      <c r="LNK604" s="223"/>
      <c r="LNL604" s="224"/>
      <c r="LNM604" s="222"/>
      <c r="LNN604" s="222"/>
      <c r="LNO604" s="222"/>
      <c r="LNP604" s="222"/>
      <c r="LNQ604" s="222"/>
      <c r="LNR604" s="222"/>
      <c r="LNS604" s="223"/>
      <c r="LNT604" s="224"/>
      <c r="LNU604" s="222"/>
      <c r="LNV604" s="222"/>
      <c r="LNW604" s="222"/>
      <c r="LNX604" s="222"/>
      <c r="LNY604" s="222"/>
      <c r="LNZ604" s="222"/>
      <c r="LOA604" s="223"/>
      <c r="LOB604" s="224"/>
      <c r="LOC604" s="222"/>
      <c r="LOD604" s="222"/>
      <c r="LOE604" s="222"/>
      <c r="LOF604" s="222"/>
      <c r="LOG604" s="222"/>
      <c r="LOH604" s="222"/>
      <c r="LOI604" s="223"/>
      <c r="LOJ604" s="224"/>
      <c r="LOK604" s="222"/>
      <c r="LOL604" s="222"/>
      <c r="LOM604" s="222"/>
      <c r="LON604" s="222"/>
      <c r="LOO604" s="222"/>
      <c r="LOP604" s="222"/>
      <c r="LOQ604" s="223"/>
      <c r="LOR604" s="224"/>
      <c r="LOS604" s="222"/>
      <c r="LOT604" s="222"/>
      <c r="LOU604" s="222"/>
      <c r="LOV604" s="222"/>
      <c r="LOW604" s="222"/>
      <c r="LOX604" s="222"/>
      <c r="LOY604" s="223"/>
      <c r="LOZ604" s="224"/>
      <c r="LPA604" s="222"/>
      <c r="LPB604" s="222"/>
      <c r="LPC604" s="222"/>
      <c r="LPD604" s="222"/>
      <c r="LPE604" s="222"/>
      <c r="LPF604" s="222"/>
      <c r="LPG604" s="223"/>
      <c r="LPH604" s="224"/>
      <c r="LPI604" s="222"/>
      <c r="LPJ604" s="222"/>
      <c r="LPK604" s="222"/>
      <c r="LPL604" s="222"/>
      <c r="LPM604" s="222"/>
      <c r="LPN604" s="222"/>
      <c r="LPO604" s="223"/>
      <c r="LPP604" s="224"/>
      <c r="LPQ604" s="222"/>
      <c r="LPR604" s="222"/>
      <c r="LPS604" s="222"/>
      <c r="LPT604" s="222"/>
      <c r="LPU604" s="222"/>
      <c r="LPV604" s="222"/>
      <c r="LPW604" s="223"/>
      <c r="LPX604" s="224"/>
      <c r="LPY604" s="222"/>
      <c r="LPZ604" s="222"/>
      <c r="LQA604" s="222"/>
      <c r="LQB604" s="222"/>
      <c r="LQC604" s="222"/>
      <c r="LQD604" s="222"/>
      <c r="LQE604" s="223"/>
      <c r="LQF604" s="224"/>
      <c r="LQG604" s="222"/>
      <c r="LQH604" s="222"/>
      <c r="LQI604" s="222"/>
      <c r="LQJ604" s="222"/>
      <c r="LQK604" s="222"/>
      <c r="LQL604" s="222"/>
      <c r="LQM604" s="223"/>
      <c r="LQN604" s="224"/>
      <c r="LQO604" s="222"/>
      <c r="LQP604" s="222"/>
      <c r="LQQ604" s="222"/>
      <c r="LQR604" s="222"/>
      <c r="LQS604" s="222"/>
      <c r="LQT604" s="222"/>
      <c r="LQU604" s="223"/>
      <c r="LQV604" s="224"/>
      <c r="LQW604" s="222"/>
      <c r="LQX604" s="222"/>
      <c r="LQY604" s="222"/>
      <c r="LQZ604" s="222"/>
      <c r="LRA604" s="222"/>
      <c r="LRB604" s="222"/>
      <c r="LRC604" s="223"/>
      <c r="LRD604" s="224"/>
      <c r="LRE604" s="222"/>
      <c r="LRF604" s="222"/>
      <c r="LRG604" s="222"/>
      <c r="LRH604" s="222"/>
      <c r="LRI604" s="222"/>
      <c r="LRJ604" s="222"/>
      <c r="LRK604" s="223"/>
      <c r="LRL604" s="224"/>
      <c r="LRM604" s="222"/>
      <c r="LRN604" s="222"/>
      <c r="LRO604" s="222"/>
      <c r="LRP604" s="222"/>
      <c r="LRQ604" s="222"/>
      <c r="LRR604" s="222"/>
      <c r="LRS604" s="223"/>
      <c r="LRT604" s="224"/>
      <c r="LRU604" s="222"/>
      <c r="LRV604" s="222"/>
      <c r="LRW604" s="222"/>
      <c r="LRX604" s="222"/>
      <c r="LRY604" s="222"/>
      <c r="LRZ604" s="222"/>
      <c r="LSA604" s="223"/>
      <c r="LSB604" s="224"/>
      <c r="LSC604" s="222"/>
      <c r="LSD604" s="222"/>
      <c r="LSE604" s="222"/>
      <c r="LSF604" s="222"/>
      <c r="LSG604" s="222"/>
      <c r="LSH604" s="222"/>
      <c r="LSI604" s="223"/>
      <c r="LSJ604" s="224"/>
      <c r="LSK604" s="222"/>
      <c r="LSL604" s="222"/>
      <c r="LSM604" s="222"/>
      <c r="LSN604" s="222"/>
      <c r="LSO604" s="222"/>
      <c r="LSP604" s="222"/>
      <c r="LSQ604" s="223"/>
      <c r="LSR604" s="224"/>
      <c r="LSS604" s="222"/>
      <c r="LST604" s="222"/>
      <c r="LSU604" s="222"/>
      <c r="LSV604" s="222"/>
      <c r="LSW604" s="222"/>
      <c r="LSX604" s="222"/>
      <c r="LSY604" s="223"/>
      <c r="LSZ604" s="224"/>
      <c r="LTA604" s="222"/>
      <c r="LTB604" s="222"/>
      <c r="LTC604" s="222"/>
      <c r="LTD604" s="222"/>
      <c r="LTE604" s="222"/>
      <c r="LTF604" s="222"/>
      <c r="LTG604" s="223"/>
      <c r="LTH604" s="224"/>
      <c r="LTI604" s="222"/>
      <c r="LTJ604" s="222"/>
      <c r="LTK604" s="222"/>
      <c r="LTL604" s="222"/>
      <c r="LTM604" s="222"/>
      <c r="LTN604" s="222"/>
      <c r="LTO604" s="223"/>
      <c r="LTP604" s="224"/>
      <c r="LTQ604" s="222"/>
      <c r="LTR604" s="222"/>
      <c r="LTS604" s="222"/>
      <c r="LTT604" s="222"/>
      <c r="LTU604" s="222"/>
      <c r="LTV604" s="222"/>
      <c r="LTW604" s="223"/>
      <c r="LTX604" s="224"/>
      <c r="LTY604" s="222"/>
      <c r="LTZ604" s="222"/>
      <c r="LUA604" s="222"/>
      <c r="LUB604" s="222"/>
      <c r="LUC604" s="222"/>
      <c r="LUD604" s="222"/>
      <c r="LUE604" s="223"/>
      <c r="LUF604" s="224"/>
      <c r="LUG604" s="222"/>
      <c r="LUH604" s="222"/>
      <c r="LUI604" s="222"/>
      <c r="LUJ604" s="222"/>
      <c r="LUK604" s="222"/>
      <c r="LUL604" s="222"/>
      <c r="LUM604" s="223"/>
      <c r="LUN604" s="224"/>
      <c r="LUO604" s="222"/>
      <c r="LUP604" s="222"/>
      <c r="LUQ604" s="222"/>
      <c r="LUR604" s="222"/>
      <c r="LUS604" s="222"/>
      <c r="LUT604" s="222"/>
      <c r="LUU604" s="223"/>
      <c r="LUV604" s="224"/>
      <c r="LUW604" s="222"/>
      <c r="LUX604" s="222"/>
      <c r="LUY604" s="222"/>
      <c r="LUZ604" s="222"/>
      <c r="LVA604" s="222"/>
      <c r="LVB604" s="222"/>
      <c r="LVC604" s="223"/>
      <c r="LVD604" s="224"/>
      <c r="LVE604" s="222"/>
      <c r="LVF604" s="222"/>
      <c r="LVG604" s="222"/>
      <c r="LVH604" s="222"/>
      <c r="LVI604" s="222"/>
      <c r="LVJ604" s="222"/>
      <c r="LVK604" s="223"/>
      <c r="LVL604" s="224"/>
      <c r="LVM604" s="222"/>
      <c r="LVN604" s="222"/>
      <c r="LVO604" s="222"/>
      <c r="LVP604" s="222"/>
      <c r="LVQ604" s="222"/>
      <c r="LVR604" s="222"/>
      <c r="LVS604" s="223"/>
      <c r="LVT604" s="224"/>
      <c r="LVU604" s="222"/>
      <c r="LVV604" s="222"/>
      <c r="LVW604" s="222"/>
      <c r="LVX604" s="222"/>
      <c r="LVY604" s="222"/>
      <c r="LVZ604" s="222"/>
      <c r="LWA604" s="223"/>
      <c r="LWB604" s="224"/>
      <c r="LWC604" s="222"/>
      <c r="LWD604" s="222"/>
      <c r="LWE604" s="222"/>
      <c r="LWF604" s="222"/>
      <c r="LWG604" s="222"/>
      <c r="LWH604" s="222"/>
      <c r="LWI604" s="223"/>
      <c r="LWJ604" s="224"/>
      <c r="LWK604" s="222"/>
      <c r="LWL604" s="222"/>
      <c r="LWM604" s="222"/>
      <c r="LWN604" s="222"/>
      <c r="LWO604" s="222"/>
      <c r="LWP604" s="222"/>
      <c r="LWQ604" s="223"/>
      <c r="LWR604" s="224"/>
      <c r="LWS604" s="222"/>
      <c r="LWT604" s="222"/>
      <c r="LWU604" s="222"/>
      <c r="LWV604" s="222"/>
      <c r="LWW604" s="222"/>
      <c r="LWX604" s="222"/>
      <c r="LWY604" s="223"/>
      <c r="LWZ604" s="224"/>
      <c r="LXA604" s="222"/>
      <c r="LXB604" s="222"/>
      <c r="LXC604" s="222"/>
      <c r="LXD604" s="222"/>
      <c r="LXE604" s="222"/>
      <c r="LXF604" s="222"/>
      <c r="LXG604" s="223"/>
      <c r="LXH604" s="224"/>
      <c r="LXI604" s="222"/>
      <c r="LXJ604" s="222"/>
      <c r="LXK604" s="222"/>
      <c r="LXL604" s="222"/>
      <c r="LXM604" s="222"/>
      <c r="LXN604" s="222"/>
      <c r="LXO604" s="223"/>
      <c r="LXP604" s="224"/>
      <c r="LXQ604" s="222"/>
      <c r="LXR604" s="222"/>
      <c r="LXS604" s="222"/>
      <c r="LXT604" s="222"/>
      <c r="LXU604" s="222"/>
      <c r="LXV604" s="222"/>
      <c r="LXW604" s="223"/>
      <c r="LXX604" s="224"/>
      <c r="LXY604" s="222"/>
      <c r="LXZ604" s="222"/>
      <c r="LYA604" s="222"/>
      <c r="LYB604" s="222"/>
      <c r="LYC604" s="222"/>
      <c r="LYD604" s="222"/>
      <c r="LYE604" s="223"/>
      <c r="LYF604" s="224"/>
      <c r="LYG604" s="222"/>
      <c r="LYH604" s="222"/>
      <c r="LYI604" s="222"/>
      <c r="LYJ604" s="222"/>
      <c r="LYK604" s="222"/>
      <c r="LYL604" s="222"/>
      <c r="LYM604" s="223"/>
      <c r="LYN604" s="224"/>
      <c r="LYO604" s="222"/>
      <c r="LYP604" s="222"/>
      <c r="LYQ604" s="222"/>
      <c r="LYR604" s="222"/>
      <c r="LYS604" s="222"/>
      <c r="LYT604" s="222"/>
      <c r="LYU604" s="223"/>
      <c r="LYV604" s="224"/>
      <c r="LYW604" s="222"/>
      <c r="LYX604" s="222"/>
      <c r="LYY604" s="222"/>
      <c r="LYZ604" s="222"/>
      <c r="LZA604" s="222"/>
      <c r="LZB604" s="222"/>
      <c r="LZC604" s="223"/>
      <c r="LZD604" s="224"/>
      <c r="LZE604" s="222"/>
      <c r="LZF604" s="222"/>
      <c r="LZG604" s="222"/>
      <c r="LZH604" s="222"/>
      <c r="LZI604" s="222"/>
      <c r="LZJ604" s="222"/>
      <c r="LZK604" s="223"/>
      <c r="LZL604" s="224"/>
      <c r="LZM604" s="222"/>
      <c r="LZN604" s="222"/>
      <c r="LZO604" s="222"/>
      <c r="LZP604" s="222"/>
      <c r="LZQ604" s="222"/>
      <c r="LZR604" s="222"/>
      <c r="LZS604" s="223"/>
      <c r="LZT604" s="224"/>
      <c r="LZU604" s="222"/>
      <c r="LZV604" s="222"/>
      <c r="LZW604" s="222"/>
      <c r="LZX604" s="222"/>
      <c r="LZY604" s="222"/>
      <c r="LZZ604" s="222"/>
      <c r="MAA604" s="223"/>
      <c r="MAB604" s="224"/>
      <c r="MAC604" s="222"/>
      <c r="MAD604" s="222"/>
      <c r="MAE604" s="222"/>
      <c r="MAF604" s="222"/>
      <c r="MAG604" s="222"/>
      <c r="MAH604" s="222"/>
      <c r="MAI604" s="223"/>
      <c r="MAJ604" s="224"/>
      <c r="MAK604" s="222"/>
      <c r="MAL604" s="222"/>
      <c r="MAM604" s="222"/>
      <c r="MAN604" s="222"/>
      <c r="MAO604" s="222"/>
      <c r="MAP604" s="222"/>
      <c r="MAQ604" s="223"/>
      <c r="MAR604" s="224"/>
      <c r="MAS604" s="222"/>
      <c r="MAT604" s="222"/>
      <c r="MAU604" s="222"/>
      <c r="MAV604" s="222"/>
      <c r="MAW604" s="222"/>
      <c r="MAX604" s="222"/>
      <c r="MAY604" s="223"/>
      <c r="MAZ604" s="224"/>
      <c r="MBA604" s="222"/>
      <c r="MBB604" s="222"/>
      <c r="MBC604" s="222"/>
      <c r="MBD604" s="222"/>
      <c r="MBE604" s="222"/>
      <c r="MBF604" s="222"/>
      <c r="MBG604" s="223"/>
      <c r="MBH604" s="224"/>
      <c r="MBI604" s="222"/>
      <c r="MBJ604" s="222"/>
      <c r="MBK604" s="222"/>
      <c r="MBL604" s="222"/>
      <c r="MBM604" s="222"/>
      <c r="MBN604" s="222"/>
      <c r="MBO604" s="223"/>
      <c r="MBP604" s="224"/>
      <c r="MBQ604" s="222"/>
      <c r="MBR604" s="222"/>
      <c r="MBS604" s="222"/>
      <c r="MBT604" s="222"/>
      <c r="MBU604" s="222"/>
      <c r="MBV604" s="222"/>
      <c r="MBW604" s="223"/>
      <c r="MBX604" s="224"/>
      <c r="MBY604" s="222"/>
      <c r="MBZ604" s="222"/>
      <c r="MCA604" s="222"/>
      <c r="MCB604" s="222"/>
      <c r="MCC604" s="222"/>
      <c r="MCD604" s="222"/>
      <c r="MCE604" s="223"/>
      <c r="MCF604" s="224"/>
      <c r="MCG604" s="222"/>
      <c r="MCH604" s="222"/>
      <c r="MCI604" s="222"/>
      <c r="MCJ604" s="222"/>
      <c r="MCK604" s="222"/>
      <c r="MCL604" s="222"/>
      <c r="MCM604" s="223"/>
      <c r="MCN604" s="224"/>
      <c r="MCO604" s="222"/>
      <c r="MCP604" s="222"/>
      <c r="MCQ604" s="222"/>
      <c r="MCR604" s="222"/>
      <c r="MCS604" s="222"/>
      <c r="MCT604" s="222"/>
      <c r="MCU604" s="223"/>
      <c r="MCV604" s="224"/>
      <c r="MCW604" s="222"/>
      <c r="MCX604" s="222"/>
      <c r="MCY604" s="222"/>
      <c r="MCZ604" s="222"/>
      <c r="MDA604" s="222"/>
      <c r="MDB604" s="222"/>
      <c r="MDC604" s="223"/>
      <c r="MDD604" s="224"/>
      <c r="MDE604" s="222"/>
      <c r="MDF604" s="222"/>
      <c r="MDG604" s="222"/>
      <c r="MDH604" s="222"/>
      <c r="MDI604" s="222"/>
      <c r="MDJ604" s="222"/>
      <c r="MDK604" s="223"/>
      <c r="MDL604" s="224"/>
      <c r="MDM604" s="222"/>
      <c r="MDN604" s="222"/>
      <c r="MDO604" s="222"/>
      <c r="MDP604" s="222"/>
      <c r="MDQ604" s="222"/>
      <c r="MDR604" s="222"/>
      <c r="MDS604" s="223"/>
      <c r="MDT604" s="224"/>
      <c r="MDU604" s="222"/>
      <c r="MDV604" s="222"/>
      <c r="MDW604" s="222"/>
      <c r="MDX604" s="222"/>
      <c r="MDY604" s="222"/>
      <c r="MDZ604" s="222"/>
      <c r="MEA604" s="223"/>
      <c r="MEB604" s="224"/>
      <c r="MEC604" s="222"/>
      <c r="MED604" s="222"/>
      <c r="MEE604" s="222"/>
      <c r="MEF604" s="222"/>
      <c r="MEG604" s="222"/>
      <c r="MEH604" s="222"/>
      <c r="MEI604" s="223"/>
      <c r="MEJ604" s="224"/>
      <c r="MEK604" s="222"/>
      <c r="MEL604" s="222"/>
      <c r="MEM604" s="222"/>
      <c r="MEN604" s="222"/>
      <c r="MEO604" s="222"/>
      <c r="MEP604" s="222"/>
      <c r="MEQ604" s="223"/>
      <c r="MER604" s="224"/>
      <c r="MES604" s="222"/>
      <c r="MET604" s="222"/>
      <c r="MEU604" s="222"/>
      <c r="MEV604" s="222"/>
      <c r="MEW604" s="222"/>
      <c r="MEX604" s="222"/>
      <c r="MEY604" s="223"/>
      <c r="MEZ604" s="224"/>
      <c r="MFA604" s="222"/>
      <c r="MFB604" s="222"/>
      <c r="MFC604" s="222"/>
      <c r="MFD604" s="222"/>
      <c r="MFE604" s="222"/>
      <c r="MFF604" s="222"/>
      <c r="MFG604" s="223"/>
      <c r="MFH604" s="224"/>
      <c r="MFI604" s="222"/>
      <c r="MFJ604" s="222"/>
      <c r="MFK604" s="222"/>
      <c r="MFL604" s="222"/>
      <c r="MFM604" s="222"/>
      <c r="MFN604" s="222"/>
      <c r="MFO604" s="223"/>
      <c r="MFP604" s="224"/>
      <c r="MFQ604" s="222"/>
      <c r="MFR604" s="222"/>
      <c r="MFS604" s="222"/>
      <c r="MFT604" s="222"/>
      <c r="MFU604" s="222"/>
      <c r="MFV604" s="222"/>
      <c r="MFW604" s="223"/>
      <c r="MFX604" s="224"/>
      <c r="MFY604" s="222"/>
      <c r="MFZ604" s="222"/>
      <c r="MGA604" s="222"/>
      <c r="MGB604" s="222"/>
      <c r="MGC604" s="222"/>
      <c r="MGD604" s="222"/>
      <c r="MGE604" s="223"/>
      <c r="MGF604" s="224"/>
      <c r="MGG604" s="222"/>
      <c r="MGH604" s="222"/>
      <c r="MGI604" s="222"/>
      <c r="MGJ604" s="222"/>
      <c r="MGK604" s="222"/>
      <c r="MGL604" s="222"/>
      <c r="MGM604" s="223"/>
      <c r="MGN604" s="224"/>
      <c r="MGO604" s="222"/>
      <c r="MGP604" s="222"/>
      <c r="MGQ604" s="222"/>
      <c r="MGR604" s="222"/>
      <c r="MGS604" s="222"/>
      <c r="MGT604" s="222"/>
      <c r="MGU604" s="223"/>
      <c r="MGV604" s="224"/>
      <c r="MGW604" s="222"/>
      <c r="MGX604" s="222"/>
      <c r="MGY604" s="222"/>
      <c r="MGZ604" s="222"/>
      <c r="MHA604" s="222"/>
      <c r="MHB604" s="222"/>
      <c r="MHC604" s="223"/>
      <c r="MHD604" s="224"/>
      <c r="MHE604" s="222"/>
      <c r="MHF604" s="222"/>
      <c r="MHG604" s="222"/>
      <c r="MHH604" s="222"/>
      <c r="MHI604" s="222"/>
      <c r="MHJ604" s="222"/>
      <c r="MHK604" s="223"/>
      <c r="MHL604" s="224"/>
      <c r="MHM604" s="222"/>
      <c r="MHN604" s="222"/>
      <c r="MHO604" s="222"/>
      <c r="MHP604" s="222"/>
      <c r="MHQ604" s="222"/>
      <c r="MHR604" s="222"/>
      <c r="MHS604" s="223"/>
      <c r="MHT604" s="224"/>
      <c r="MHU604" s="222"/>
      <c r="MHV604" s="222"/>
      <c r="MHW604" s="222"/>
      <c r="MHX604" s="222"/>
      <c r="MHY604" s="222"/>
      <c r="MHZ604" s="222"/>
      <c r="MIA604" s="223"/>
      <c r="MIB604" s="224"/>
      <c r="MIC604" s="222"/>
      <c r="MID604" s="222"/>
      <c r="MIE604" s="222"/>
      <c r="MIF604" s="222"/>
      <c r="MIG604" s="222"/>
      <c r="MIH604" s="222"/>
      <c r="MII604" s="223"/>
      <c r="MIJ604" s="224"/>
      <c r="MIK604" s="222"/>
      <c r="MIL604" s="222"/>
      <c r="MIM604" s="222"/>
      <c r="MIN604" s="222"/>
      <c r="MIO604" s="222"/>
      <c r="MIP604" s="222"/>
      <c r="MIQ604" s="223"/>
      <c r="MIR604" s="224"/>
      <c r="MIS604" s="222"/>
      <c r="MIT604" s="222"/>
      <c r="MIU604" s="222"/>
      <c r="MIV604" s="222"/>
      <c r="MIW604" s="222"/>
      <c r="MIX604" s="222"/>
      <c r="MIY604" s="223"/>
      <c r="MIZ604" s="224"/>
      <c r="MJA604" s="222"/>
      <c r="MJB604" s="222"/>
      <c r="MJC604" s="222"/>
      <c r="MJD604" s="222"/>
      <c r="MJE604" s="222"/>
      <c r="MJF604" s="222"/>
      <c r="MJG604" s="223"/>
      <c r="MJH604" s="224"/>
      <c r="MJI604" s="222"/>
      <c r="MJJ604" s="222"/>
      <c r="MJK604" s="222"/>
      <c r="MJL604" s="222"/>
      <c r="MJM604" s="222"/>
      <c r="MJN604" s="222"/>
      <c r="MJO604" s="223"/>
      <c r="MJP604" s="224"/>
      <c r="MJQ604" s="222"/>
      <c r="MJR604" s="222"/>
      <c r="MJS604" s="222"/>
      <c r="MJT604" s="222"/>
      <c r="MJU604" s="222"/>
      <c r="MJV604" s="222"/>
      <c r="MJW604" s="223"/>
      <c r="MJX604" s="224"/>
      <c r="MJY604" s="222"/>
      <c r="MJZ604" s="222"/>
      <c r="MKA604" s="222"/>
      <c r="MKB604" s="222"/>
      <c r="MKC604" s="222"/>
      <c r="MKD604" s="222"/>
      <c r="MKE604" s="223"/>
      <c r="MKF604" s="224"/>
      <c r="MKG604" s="222"/>
      <c r="MKH604" s="222"/>
      <c r="MKI604" s="222"/>
      <c r="MKJ604" s="222"/>
      <c r="MKK604" s="222"/>
      <c r="MKL604" s="222"/>
      <c r="MKM604" s="223"/>
      <c r="MKN604" s="224"/>
      <c r="MKO604" s="222"/>
      <c r="MKP604" s="222"/>
      <c r="MKQ604" s="222"/>
      <c r="MKR604" s="222"/>
      <c r="MKS604" s="222"/>
      <c r="MKT604" s="222"/>
      <c r="MKU604" s="223"/>
      <c r="MKV604" s="224"/>
      <c r="MKW604" s="222"/>
      <c r="MKX604" s="222"/>
      <c r="MKY604" s="222"/>
      <c r="MKZ604" s="222"/>
      <c r="MLA604" s="222"/>
      <c r="MLB604" s="222"/>
      <c r="MLC604" s="223"/>
      <c r="MLD604" s="224"/>
      <c r="MLE604" s="222"/>
      <c r="MLF604" s="222"/>
      <c r="MLG604" s="222"/>
      <c r="MLH604" s="222"/>
      <c r="MLI604" s="222"/>
      <c r="MLJ604" s="222"/>
      <c r="MLK604" s="223"/>
      <c r="MLL604" s="224"/>
      <c r="MLM604" s="222"/>
      <c r="MLN604" s="222"/>
      <c r="MLO604" s="222"/>
      <c r="MLP604" s="222"/>
      <c r="MLQ604" s="222"/>
      <c r="MLR604" s="222"/>
      <c r="MLS604" s="223"/>
      <c r="MLT604" s="224"/>
      <c r="MLU604" s="222"/>
      <c r="MLV604" s="222"/>
      <c r="MLW604" s="222"/>
      <c r="MLX604" s="222"/>
      <c r="MLY604" s="222"/>
      <c r="MLZ604" s="222"/>
      <c r="MMA604" s="223"/>
      <c r="MMB604" s="224"/>
      <c r="MMC604" s="222"/>
      <c r="MMD604" s="222"/>
      <c r="MME604" s="222"/>
      <c r="MMF604" s="222"/>
      <c r="MMG604" s="222"/>
      <c r="MMH604" s="222"/>
      <c r="MMI604" s="223"/>
      <c r="MMJ604" s="224"/>
      <c r="MMK604" s="222"/>
      <c r="MML604" s="222"/>
      <c r="MMM604" s="222"/>
      <c r="MMN604" s="222"/>
      <c r="MMO604" s="222"/>
      <c r="MMP604" s="222"/>
      <c r="MMQ604" s="223"/>
      <c r="MMR604" s="224"/>
      <c r="MMS604" s="222"/>
      <c r="MMT604" s="222"/>
      <c r="MMU604" s="222"/>
      <c r="MMV604" s="222"/>
      <c r="MMW604" s="222"/>
      <c r="MMX604" s="222"/>
      <c r="MMY604" s="223"/>
      <c r="MMZ604" s="224"/>
      <c r="MNA604" s="222"/>
      <c r="MNB604" s="222"/>
      <c r="MNC604" s="222"/>
      <c r="MND604" s="222"/>
      <c r="MNE604" s="222"/>
      <c r="MNF604" s="222"/>
      <c r="MNG604" s="223"/>
      <c r="MNH604" s="224"/>
      <c r="MNI604" s="222"/>
      <c r="MNJ604" s="222"/>
      <c r="MNK604" s="222"/>
      <c r="MNL604" s="222"/>
      <c r="MNM604" s="222"/>
      <c r="MNN604" s="222"/>
      <c r="MNO604" s="223"/>
      <c r="MNP604" s="224"/>
      <c r="MNQ604" s="222"/>
      <c r="MNR604" s="222"/>
      <c r="MNS604" s="222"/>
      <c r="MNT604" s="222"/>
      <c r="MNU604" s="222"/>
      <c r="MNV604" s="222"/>
      <c r="MNW604" s="223"/>
      <c r="MNX604" s="224"/>
      <c r="MNY604" s="222"/>
      <c r="MNZ604" s="222"/>
      <c r="MOA604" s="222"/>
      <c r="MOB604" s="222"/>
      <c r="MOC604" s="222"/>
      <c r="MOD604" s="222"/>
      <c r="MOE604" s="223"/>
      <c r="MOF604" s="224"/>
      <c r="MOG604" s="222"/>
      <c r="MOH604" s="222"/>
      <c r="MOI604" s="222"/>
      <c r="MOJ604" s="222"/>
      <c r="MOK604" s="222"/>
      <c r="MOL604" s="222"/>
      <c r="MOM604" s="223"/>
      <c r="MON604" s="224"/>
      <c r="MOO604" s="222"/>
      <c r="MOP604" s="222"/>
      <c r="MOQ604" s="222"/>
      <c r="MOR604" s="222"/>
      <c r="MOS604" s="222"/>
      <c r="MOT604" s="222"/>
      <c r="MOU604" s="223"/>
      <c r="MOV604" s="224"/>
      <c r="MOW604" s="222"/>
      <c r="MOX604" s="222"/>
      <c r="MOY604" s="222"/>
      <c r="MOZ604" s="222"/>
      <c r="MPA604" s="222"/>
      <c r="MPB604" s="222"/>
      <c r="MPC604" s="223"/>
      <c r="MPD604" s="224"/>
      <c r="MPE604" s="222"/>
      <c r="MPF604" s="222"/>
      <c r="MPG604" s="222"/>
      <c r="MPH604" s="222"/>
      <c r="MPI604" s="222"/>
      <c r="MPJ604" s="222"/>
      <c r="MPK604" s="223"/>
      <c r="MPL604" s="224"/>
      <c r="MPM604" s="222"/>
      <c r="MPN604" s="222"/>
      <c r="MPO604" s="222"/>
      <c r="MPP604" s="222"/>
      <c r="MPQ604" s="222"/>
      <c r="MPR604" s="222"/>
      <c r="MPS604" s="223"/>
      <c r="MPT604" s="224"/>
      <c r="MPU604" s="222"/>
      <c r="MPV604" s="222"/>
      <c r="MPW604" s="222"/>
      <c r="MPX604" s="222"/>
      <c r="MPY604" s="222"/>
      <c r="MPZ604" s="222"/>
      <c r="MQA604" s="223"/>
      <c r="MQB604" s="224"/>
      <c r="MQC604" s="222"/>
      <c r="MQD604" s="222"/>
      <c r="MQE604" s="222"/>
      <c r="MQF604" s="222"/>
      <c r="MQG604" s="222"/>
      <c r="MQH604" s="222"/>
      <c r="MQI604" s="223"/>
      <c r="MQJ604" s="224"/>
      <c r="MQK604" s="222"/>
      <c r="MQL604" s="222"/>
      <c r="MQM604" s="222"/>
      <c r="MQN604" s="222"/>
      <c r="MQO604" s="222"/>
      <c r="MQP604" s="222"/>
      <c r="MQQ604" s="223"/>
      <c r="MQR604" s="224"/>
      <c r="MQS604" s="222"/>
      <c r="MQT604" s="222"/>
      <c r="MQU604" s="222"/>
      <c r="MQV604" s="222"/>
      <c r="MQW604" s="222"/>
      <c r="MQX604" s="222"/>
      <c r="MQY604" s="223"/>
      <c r="MQZ604" s="224"/>
      <c r="MRA604" s="222"/>
      <c r="MRB604" s="222"/>
      <c r="MRC604" s="222"/>
      <c r="MRD604" s="222"/>
      <c r="MRE604" s="222"/>
      <c r="MRF604" s="222"/>
      <c r="MRG604" s="223"/>
      <c r="MRH604" s="224"/>
      <c r="MRI604" s="222"/>
      <c r="MRJ604" s="222"/>
      <c r="MRK604" s="222"/>
      <c r="MRL604" s="222"/>
      <c r="MRM604" s="222"/>
      <c r="MRN604" s="222"/>
      <c r="MRO604" s="223"/>
      <c r="MRP604" s="224"/>
      <c r="MRQ604" s="222"/>
      <c r="MRR604" s="222"/>
      <c r="MRS604" s="222"/>
      <c r="MRT604" s="222"/>
      <c r="MRU604" s="222"/>
      <c r="MRV604" s="222"/>
      <c r="MRW604" s="223"/>
      <c r="MRX604" s="224"/>
      <c r="MRY604" s="222"/>
      <c r="MRZ604" s="222"/>
      <c r="MSA604" s="222"/>
      <c r="MSB604" s="222"/>
      <c r="MSC604" s="222"/>
      <c r="MSD604" s="222"/>
      <c r="MSE604" s="223"/>
      <c r="MSF604" s="224"/>
      <c r="MSG604" s="222"/>
      <c r="MSH604" s="222"/>
      <c r="MSI604" s="222"/>
      <c r="MSJ604" s="222"/>
      <c r="MSK604" s="222"/>
      <c r="MSL604" s="222"/>
      <c r="MSM604" s="223"/>
      <c r="MSN604" s="224"/>
      <c r="MSO604" s="222"/>
      <c r="MSP604" s="222"/>
      <c r="MSQ604" s="222"/>
      <c r="MSR604" s="222"/>
      <c r="MSS604" s="222"/>
      <c r="MST604" s="222"/>
      <c r="MSU604" s="223"/>
      <c r="MSV604" s="224"/>
      <c r="MSW604" s="222"/>
      <c r="MSX604" s="222"/>
      <c r="MSY604" s="222"/>
      <c r="MSZ604" s="222"/>
      <c r="MTA604" s="222"/>
      <c r="MTB604" s="222"/>
      <c r="MTC604" s="223"/>
      <c r="MTD604" s="224"/>
      <c r="MTE604" s="222"/>
      <c r="MTF604" s="222"/>
      <c r="MTG604" s="222"/>
      <c r="MTH604" s="222"/>
      <c r="MTI604" s="222"/>
      <c r="MTJ604" s="222"/>
      <c r="MTK604" s="223"/>
      <c r="MTL604" s="224"/>
      <c r="MTM604" s="222"/>
      <c r="MTN604" s="222"/>
      <c r="MTO604" s="222"/>
      <c r="MTP604" s="222"/>
      <c r="MTQ604" s="222"/>
      <c r="MTR604" s="222"/>
      <c r="MTS604" s="223"/>
      <c r="MTT604" s="224"/>
      <c r="MTU604" s="222"/>
      <c r="MTV604" s="222"/>
      <c r="MTW604" s="222"/>
      <c r="MTX604" s="222"/>
      <c r="MTY604" s="222"/>
      <c r="MTZ604" s="222"/>
      <c r="MUA604" s="223"/>
      <c r="MUB604" s="224"/>
      <c r="MUC604" s="222"/>
      <c r="MUD604" s="222"/>
      <c r="MUE604" s="222"/>
      <c r="MUF604" s="222"/>
      <c r="MUG604" s="222"/>
      <c r="MUH604" s="222"/>
      <c r="MUI604" s="223"/>
      <c r="MUJ604" s="224"/>
      <c r="MUK604" s="222"/>
      <c r="MUL604" s="222"/>
      <c r="MUM604" s="222"/>
      <c r="MUN604" s="222"/>
      <c r="MUO604" s="222"/>
      <c r="MUP604" s="222"/>
      <c r="MUQ604" s="223"/>
      <c r="MUR604" s="224"/>
      <c r="MUS604" s="222"/>
      <c r="MUT604" s="222"/>
      <c r="MUU604" s="222"/>
      <c r="MUV604" s="222"/>
      <c r="MUW604" s="222"/>
      <c r="MUX604" s="222"/>
      <c r="MUY604" s="223"/>
      <c r="MUZ604" s="224"/>
      <c r="MVA604" s="222"/>
      <c r="MVB604" s="222"/>
      <c r="MVC604" s="222"/>
      <c r="MVD604" s="222"/>
      <c r="MVE604" s="222"/>
      <c r="MVF604" s="222"/>
      <c r="MVG604" s="223"/>
      <c r="MVH604" s="224"/>
      <c r="MVI604" s="222"/>
      <c r="MVJ604" s="222"/>
      <c r="MVK604" s="222"/>
      <c r="MVL604" s="222"/>
      <c r="MVM604" s="222"/>
      <c r="MVN604" s="222"/>
      <c r="MVO604" s="223"/>
      <c r="MVP604" s="224"/>
      <c r="MVQ604" s="222"/>
      <c r="MVR604" s="222"/>
      <c r="MVS604" s="222"/>
      <c r="MVT604" s="222"/>
      <c r="MVU604" s="222"/>
      <c r="MVV604" s="222"/>
      <c r="MVW604" s="223"/>
      <c r="MVX604" s="224"/>
      <c r="MVY604" s="222"/>
      <c r="MVZ604" s="222"/>
      <c r="MWA604" s="222"/>
      <c r="MWB604" s="222"/>
      <c r="MWC604" s="222"/>
      <c r="MWD604" s="222"/>
      <c r="MWE604" s="223"/>
      <c r="MWF604" s="224"/>
      <c r="MWG604" s="222"/>
      <c r="MWH604" s="222"/>
      <c r="MWI604" s="222"/>
      <c r="MWJ604" s="222"/>
      <c r="MWK604" s="222"/>
      <c r="MWL604" s="222"/>
      <c r="MWM604" s="223"/>
      <c r="MWN604" s="224"/>
      <c r="MWO604" s="222"/>
      <c r="MWP604" s="222"/>
      <c r="MWQ604" s="222"/>
      <c r="MWR604" s="222"/>
      <c r="MWS604" s="222"/>
      <c r="MWT604" s="222"/>
      <c r="MWU604" s="223"/>
      <c r="MWV604" s="224"/>
      <c r="MWW604" s="222"/>
      <c r="MWX604" s="222"/>
      <c r="MWY604" s="222"/>
      <c r="MWZ604" s="222"/>
      <c r="MXA604" s="222"/>
      <c r="MXB604" s="222"/>
      <c r="MXC604" s="223"/>
      <c r="MXD604" s="224"/>
      <c r="MXE604" s="222"/>
      <c r="MXF604" s="222"/>
      <c r="MXG604" s="222"/>
      <c r="MXH604" s="222"/>
      <c r="MXI604" s="222"/>
      <c r="MXJ604" s="222"/>
      <c r="MXK604" s="223"/>
      <c r="MXL604" s="224"/>
      <c r="MXM604" s="222"/>
      <c r="MXN604" s="222"/>
      <c r="MXO604" s="222"/>
      <c r="MXP604" s="222"/>
      <c r="MXQ604" s="222"/>
      <c r="MXR604" s="222"/>
      <c r="MXS604" s="223"/>
      <c r="MXT604" s="224"/>
      <c r="MXU604" s="222"/>
      <c r="MXV604" s="222"/>
      <c r="MXW604" s="222"/>
      <c r="MXX604" s="222"/>
      <c r="MXY604" s="222"/>
      <c r="MXZ604" s="222"/>
      <c r="MYA604" s="223"/>
      <c r="MYB604" s="224"/>
      <c r="MYC604" s="222"/>
      <c r="MYD604" s="222"/>
      <c r="MYE604" s="222"/>
      <c r="MYF604" s="222"/>
      <c r="MYG604" s="222"/>
      <c r="MYH604" s="222"/>
      <c r="MYI604" s="223"/>
      <c r="MYJ604" s="224"/>
      <c r="MYK604" s="222"/>
      <c r="MYL604" s="222"/>
      <c r="MYM604" s="222"/>
      <c r="MYN604" s="222"/>
      <c r="MYO604" s="222"/>
      <c r="MYP604" s="222"/>
      <c r="MYQ604" s="223"/>
      <c r="MYR604" s="224"/>
      <c r="MYS604" s="222"/>
      <c r="MYT604" s="222"/>
      <c r="MYU604" s="222"/>
      <c r="MYV604" s="222"/>
      <c r="MYW604" s="222"/>
      <c r="MYX604" s="222"/>
      <c r="MYY604" s="223"/>
      <c r="MYZ604" s="224"/>
      <c r="MZA604" s="222"/>
      <c r="MZB604" s="222"/>
      <c r="MZC604" s="222"/>
      <c r="MZD604" s="222"/>
      <c r="MZE604" s="222"/>
      <c r="MZF604" s="222"/>
      <c r="MZG604" s="223"/>
      <c r="MZH604" s="224"/>
      <c r="MZI604" s="222"/>
      <c r="MZJ604" s="222"/>
      <c r="MZK604" s="222"/>
      <c r="MZL604" s="222"/>
      <c r="MZM604" s="222"/>
      <c r="MZN604" s="222"/>
      <c r="MZO604" s="223"/>
      <c r="MZP604" s="224"/>
      <c r="MZQ604" s="222"/>
      <c r="MZR604" s="222"/>
      <c r="MZS604" s="222"/>
      <c r="MZT604" s="222"/>
      <c r="MZU604" s="222"/>
      <c r="MZV604" s="222"/>
      <c r="MZW604" s="223"/>
      <c r="MZX604" s="224"/>
      <c r="MZY604" s="222"/>
      <c r="MZZ604" s="222"/>
      <c r="NAA604" s="222"/>
      <c r="NAB604" s="222"/>
      <c r="NAC604" s="222"/>
      <c r="NAD604" s="222"/>
      <c r="NAE604" s="223"/>
      <c r="NAF604" s="224"/>
      <c r="NAG604" s="222"/>
      <c r="NAH604" s="222"/>
      <c r="NAI604" s="222"/>
      <c r="NAJ604" s="222"/>
      <c r="NAK604" s="222"/>
      <c r="NAL604" s="222"/>
      <c r="NAM604" s="223"/>
      <c r="NAN604" s="224"/>
      <c r="NAO604" s="222"/>
      <c r="NAP604" s="222"/>
      <c r="NAQ604" s="222"/>
      <c r="NAR604" s="222"/>
      <c r="NAS604" s="222"/>
      <c r="NAT604" s="222"/>
      <c r="NAU604" s="223"/>
      <c r="NAV604" s="224"/>
      <c r="NAW604" s="222"/>
      <c r="NAX604" s="222"/>
      <c r="NAY604" s="222"/>
      <c r="NAZ604" s="222"/>
      <c r="NBA604" s="222"/>
      <c r="NBB604" s="222"/>
      <c r="NBC604" s="223"/>
      <c r="NBD604" s="224"/>
      <c r="NBE604" s="222"/>
      <c r="NBF604" s="222"/>
      <c r="NBG604" s="222"/>
      <c r="NBH604" s="222"/>
      <c r="NBI604" s="222"/>
      <c r="NBJ604" s="222"/>
      <c r="NBK604" s="223"/>
      <c r="NBL604" s="224"/>
      <c r="NBM604" s="222"/>
      <c r="NBN604" s="222"/>
      <c r="NBO604" s="222"/>
      <c r="NBP604" s="222"/>
      <c r="NBQ604" s="222"/>
      <c r="NBR604" s="222"/>
      <c r="NBS604" s="223"/>
      <c r="NBT604" s="224"/>
      <c r="NBU604" s="222"/>
      <c r="NBV604" s="222"/>
      <c r="NBW604" s="222"/>
      <c r="NBX604" s="222"/>
      <c r="NBY604" s="222"/>
      <c r="NBZ604" s="222"/>
      <c r="NCA604" s="223"/>
      <c r="NCB604" s="224"/>
      <c r="NCC604" s="222"/>
      <c r="NCD604" s="222"/>
      <c r="NCE604" s="222"/>
      <c r="NCF604" s="222"/>
      <c r="NCG604" s="222"/>
      <c r="NCH604" s="222"/>
      <c r="NCI604" s="223"/>
      <c r="NCJ604" s="224"/>
      <c r="NCK604" s="222"/>
      <c r="NCL604" s="222"/>
      <c r="NCM604" s="222"/>
      <c r="NCN604" s="222"/>
      <c r="NCO604" s="222"/>
      <c r="NCP604" s="222"/>
      <c r="NCQ604" s="223"/>
      <c r="NCR604" s="224"/>
      <c r="NCS604" s="222"/>
      <c r="NCT604" s="222"/>
      <c r="NCU604" s="222"/>
      <c r="NCV604" s="222"/>
      <c r="NCW604" s="222"/>
      <c r="NCX604" s="222"/>
      <c r="NCY604" s="223"/>
      <c r="NCZ604" s="224"/>
      <c r="NDA604" s="222"/>
      <c r="NDB604" s="222"/>
      <c r="NDC604" s="222"/>
      <c r="NDD604" s="222"/>
      <c r="NDE604" s="222"/>
      <c r="NDF604" s="222"/>
      <c r="NDG604" s="223"/>
      <c r="NDH604" s="224"/>
      <c r="NDI604" s="222"/>
      <c r="NDJ604" s="222"/>
      <c r="NDK604" s="222"/>
      <c r="NDL604" s="222"/>
      <c r="NDM604" s="222"/>
      <c r="NDN604" s="222"/>
      <c r="NDO604" s="223"/>
      <c r="NDP604" s="224"/>
      <c r="NDQ604" s="222"/>
      <c r="NDR604" s="222"/>
      <c r="NDS604" s="222"/>
      <c r="NDT604" s="222"/>
      <c r="NDU604" s="222"/>
      <c r="NDV604" s="222"/>
      <c r="NDW604" s="223"/>
      <c r="NDX604" s="224"/>
      <c r="NDY604" s="222"/>
      <c r="NDZ604" s="222"/>
      <c r="NEA604" s="222"/>
      <c r="NEB604" s="222"/>
      <c r="NEC604" s="222"/>
      <c r="NED604" s="222"/>
      <c r="NEE604" s="223"/>
      <c r="NEF604" s="224"/>
      <c r="NEG604" s="222"/>
      <c r="NEH604" s="222"/>
      <c r="NEI604" s="222"/>
      <c r="NEJ604" s="222"/>
      <c r="NEK604" s="222"/>
      <c r="NEL604" s="222"/>
      <c r="NEM604" s="223"/>
      <c r="NEN604" s="224"/>
      <c r="NEO604" s="222"/>
      <c r="NEP604" s="222"/>
      <c r="NEQ604" s="222"/>
      <c r="NER604" s="222"/>
      <c r="NES604" s="222"/>
      <c r="NET604" s="222"/>
      <c r="NEU604" s="223"/>
      <c r="NEV604" s="224"/>
      <c r="NEW604" s="222"/>
      <c r="NEX604" s="222"/>
      <c r="NEY604" s="222"/>
      <c r="NEZ604" s="222"/>
      <c r="NFA604" s="222"/>
      <c r="NFB604" s="222"/>
      <c r="NFC604" s="223"/>
      <c r="NFD604" s="224"/>
      <c r="NFE604" s="222"/>
      <c r="NFF604" s="222"/>
      <c r="NFG604" s="222"/>
      <c r="NFH604" s="222"/>
      <c r="NFI604" s="222"/>
      <c r="NFJ604" s="222"/>
      <c r="NFK604" s="223"/>
      <c r="NFL604" s="224"/>
      <c r="NFM604" s="222"/>
      <c r="NFN604" s="222"/>
      <c r="NFO604" s="222"/>
      <c r="NFP604" s="222"/>
      <c r="NFQ604" s="222"/>
      <c r="NFR604" s="222"/>
      <c r="NFS604" s="223"/>
      <c r="NFT604" s="224"/>
      <c r="NFU604" s="222"/>
      <c r="NFV604" s="222"/>
      <c r="NFW604" s="222"/>
      <c r="NFX604" s="222"/>
      <c r="NFY604" s="222"/>
      <c r="NFZ604" s="222"/>
      <c r="NGA604" s="223"/>
      <c r="NGB604" s="224"/>
      <c r="NGC604" s="222"/>
      <c r="NGD604" s="222"/>
      <c r="NGE604" s="222"/>
      <c r="NGF604" s="222"/>
      <c r="NGG604" s="222"/>
      <c r="NGH604" s="222"/>
      <c r="NGI604" s="223"/>
      <c r="NGJ604" s="224"/>
      <c r="NGK604" s="222"/>
      <c r="NGL604" s="222"/>
      <c r="NGM604" s="222"/>
      <c r="NGN604" s="222"/>
      <c r="NGO604" s="222"/>
      <c r="NGP604" s="222"/>
      <c r="NGQ604" s="223"/>
      <c r="NGR604" s="224"/>
      <c r="NGS604" s="222"/>
      <c r="NGT604" s="222"/>
      <c r="NGU604" s="222"/>
      <c r="NGV604" s="222"/>
      <c r="NGW604" s="222"/>
      <c r="NGX604" s="222"/>
      <c r="NGY604" s="223"/>
      <c r="NGZ604" s="224"/>
      <c r="NHA604" s="222"/>
      <c r="NHB604" s="222"/>
      <c r="NHC604" s="222"/>
      <c r="NHD604" s="222"/>
      <c r="NHE604" s="222"/>
      <c r="NHF604" s="222"/>
      <c r="NHG604" s="223"/>
      <c r="NHH604" s="224"/>
      <c r="NHI604" s="222"/>
      <c r="NHJ604" s="222"/>
      <c r="NHK604" s="222"/>
      <c r="NHL604" s="222"/>
      <c r="NHM604" s="222"/>
      <c r="NHN604" s="222"/>
      <c r="NHO604" s="223"/>
      <c r="NHP604" s="224"/>
      <c r="NHQ604" s="222"/>
      <c r="NHR604" s="222"/>
      <c r="NHS604" s="222"/>
      <c r="NHT604" s="222"/>
      <c r="NHU604" s="222"/>
      <c r="NHV604" s="222"/>
      <c r="NHW604" s="223"/>
      <c r="NHX604" s="224"/>
      <c r="NHY604" s="222"/>
      <c r="NHZ604" s="222"/>
      <c r="NIA604" s="222"/>
      <c r="NIB604" s="222"/>
      <c r="NIC604" s="222"/>
      <c r="NID604" s="222"/>
      <c r="NIE604" s="223"/>
      <c r="NIF604" s="224"/>
      <c r="NIG604" s="222"/>
      <c r="NIH604" s="222"/>
      <c r="NII604" s="222"/>
      <c r="NIJ604" s="222"/>
      <c r="NIK604" s="222"/>
      <c r="NIL604" s="222"/>
      <c r="NIM604" s="223"/>
      <c r="NIN604" s="224"/>
      <c r="NIO604" s="222"/>
      <c r="NIP604" s="222"/>
      <c r="NIQ604" s="222"/>
      <c r="NIR604" s="222"/>
      <c r="NIS604" s="222"/>
      <c r="NIT604" s="222"/>
      <c r="NIU604" s="223"/>
      <c r="NIV604" s="224"/>
      <c r="NIW604" s="222"/>
      <c r="NIX604" s="222"/>
      <c r="NIY604" s="222"/>
      <c r="NIZ604" s="222"/>
      <c r="NJA604" s="222"/>
      <c r="NJB604" s="222"/>
      <c r="NJC604" s="223"/>
      <c r="NJD604" s="224"/>
      <c r="NJE604" s="222"/>
      <c r="NJF604" s="222"/>
      <c r="NJG604" s="222"/>
      <c r="NJH604" s="222"/>
      <c r="NJI604" s="222"/>
      <c r="NJJ604" s="222"/>
      <c r="NJK604" s="223"/>
      <c r="NJL604" s="224"/>
      <c r="NJM604" s="222"/>
      <c r="NJN604" s="222"/>
      <c r="NJO604" s="222"/>
      <c r="NJP604" s="222"/>
      <c r="NJQ604" s="222"/>
      <c r="NJR604" s="222"/>
      <c r="NJS604" s="223"/>
      <c r="NJT604" s="224"/>
      <c r="NJU604" s="222"/>
      <c r="NJV604" s="222"/>
      <c r="NJW604" s="222"/>
      <c r="NJX604" s="222"/>
      <c r="NJY604" s="222"/>
      <c r="NJZ604" s="222"/>
      <c r="NKA604" s="223"/>
      <c r="NKB604" s="224"/>
      <c r="NKC604" s="222"/>
      <c r="NKD604" s="222"/>
      <c r="NKE604" s="222"/>
      <c r="NKF604" s="222"/>
      <c r="NKG604" s="222"/>
      <c r="NKH604" s="222"/>
      <c r="NKI604" s="223"/>
      <c r="NKJ604" s="224"/>
      <c r="NKK604" s="222"/>
      <c r="NKL604" s="222"/>
      <c r="NKM604" s="222"/>
      <c r="NKN604" s="222"/>
      <c r="NKO604" s="222"/>
      <c r="NKP604" s="222"/>
      <c r="NKQ604" s="223"/>
      <c r="NKR604" s="224"/>
      <c r="NKS604" s="222"/>
      <c r="NKT604" s="222"/>
      <c r="NKU604" s="222"/>
      <c r="NKV604" s="222"/>
      <c r="NKW604" s="222"/>
      <c r="NKX604" s="222"/>
      <c r="NKY604" s="223"/>
      <c r="NKZ604" s="224"/>
      <c r="NLA604" s="222"/>
      <c r="NLB604" s="222"/>
      <c r="NLC604" s="222"/>
      <c r="NLD604" s="222"/>
      <c r="NLE604" s="222"/>
      <c r="NLF604" s="222"/>
      <c r="NLG604" s="223"/>
      <c r="NLH604" s="224"/>
      <c r="NLI604" s="222"/>
      <c r="NLJ604" s="222"/>
      <c r="NLK604" s="222"/>
      <c r="NLL604" s="222"/>
      <c r="NLM604" s="222"/>
      <c r="NLN604" s="222"/>
      <c r="NLO604" s="223"/>
      <c r="NLP604" s="224"/>
      <c r="NLQ604" s="222"/>
      <c r="NLR604" s="222"/>
      <c r="NLS604" s="222"/>
      <c r="NLT604" s="222"/>
      <c r="NLU604" s="222"/>
      <c r="NLV604" s="222"/>
      <c r="NLW604" s="223"/>
      <c r="NLX604" s="224"/>
      <c r="NLY604" s="222"/>
      <c r="NLZ604" s="222"/>
      <c r="NMA604" s="222"/>
      <c r="NMB604" s="222"/>
      <c r="NMC604" s="222"/>
      <c r="NMD604" s="222"/>
      <c r="NME604" s="223"/>
      <c r="NMF604" s="224"/>
      <c r="NMG604" s="222"/>
      <c r="NMH604" s="222"/>
      <c r="NMI604" s="222"/>
      <c r="NMJ604" s="222"/>
      <c r="NMK604" s="222"/>
      <c r="NML604" s="222"/>
      <c r="NMM604" s="223"/>
      <c r="NMN604" s="224"/>
      <c r="NMO604" s="222"/>
      <c r="NMP604" s="222"/>
      <c r="NMQ604" s="222"/>
      <c r="NMR604" s="222"/>
      <c r="NMS604" s="222"/>
      <c r="NMT604" s="222"/>
      <c r="NMU604" s="223"/>
      <c r="NMV604" s="224"/>
      <c r="NMW604" s="222"/>
      <c r="NMX604" s="222"/>
      <c r="NMY604" s="222"/>
      <c r="NMZ604" s="222"/>
      <c r="NNA604" s="222"/>
      <c r="NNB604" s="222"/>
      <c r="NNC604" s="223"/>
      <c r="NND604" s="224"/>
      <c r="NNE604" s="222"/>
      <c r="NNF604" s="222"/>
      <c r="NNG604" s="222"/>
      <c r="NNH604" s="222"/>
      <c r="NNI604" s="222"/>
      <c r="NNJ604" s="222"/>
      <c r="NNK604" s="223"/>
      <c r="NNL604" s="224"/>
      <c r="NNM604" s="222"/>
      <c r="NNN604" s="222"/>
      <c r="NNO604" s="222"/>
      <c r="NNP604" s="222"/>
      <c r="NNQ604" s="222"/>
      <c r="NNR604" s="222"/>
      <c r="NNS604" s="223"/>
      <c r="NNT604" s="224"/>
      <c r="NNU604" s="222"/>
      <c r="NNV604" s="222"/>
      <c r="NNW604" s="222"/>
      <c r="NNX604" s="222"/>
      <c r="NNY604" s="222"/>
      <c r="NNZ604" s="222"/>
      <c r="NOA604" s="223"/>
      <c r="NOB604" s="224"/>
      <c r="NOC604" s="222"/>
      <c r="NOD604" s="222"/>
      <c r="NOE604" s="222"/>
      <c r="NOF604" s="222"/>
      <c r="NOG604" s="222"/>
      <c r="NOH604" s="222"/>
      <c r="NOI604" s="223"/>
      <c r="NOJ604" s="224"/>
      <c r="NOK604" s="222"/>
      <c r="NOL604" s="222"/>
      <c r="NOM604" s="222"/>
      <c r="NON604" s="222"/>
      <c r="NOO604" s="222"/>
      <c r="NOP604" s="222"/>
      <c r="NOQ604" s="223"/>
      <c r="NOR604" s="224"/>
      <c r="NOS604" s="222"/>
      <c r="NOT604" s="222"/>
      <c r="NOU604" s="222"/>
      <c r="NOV604" s="222"/>
      <c r="NOW604" s="222"/>
      <c r="NOX604" s="222"/>
      <c r="NOY604" s="223"/>
      <c r="NOZ604" s="224"/>
      <c r="NPA604" s="222"/>
      <c r="NPB604" s="222"/>
      <c r="NPC604" s="222"/>
      <c r="NPD604" s="222"/>
      <c r="NPE604" s="222"/>
      <c r="NPF604" s="222"/>
      <c r="NPG604" s="223"/>
      <c r="NPH604" s="224"/>
      <c r="NPI604" s="222"/>
      <c r="NPJ604" s="222"/>
      <c r="NPK604" s="222"/>
      <c r="NPL604" s="222"/>
      <c r="NPM604" s="222"/>
      <c r="NPN604" s="222"/>
      <c r="NPO604" s="223"/>
      <c r="NPP604" s="224"/>
      <c r="NPQ604" s="222"/>
      <c r="NPR604" s="222"/>
      <c r="NPS604" s="222"/>
      <c r="NPT604" s="222"/>
      <c r="NPU604" s="222"/>
      <c r="NPV604" s="222"/>
      <c r="NPW604" s="223"/>
      <c r="NPX604" s="224"/>
      <c r="NPY604" s="222"/>
      <c r="NPZ604" s="222"/>
      <c r="NQA604" s="222"/>
      <c r="NQB604" s="222"/>
      <c r="NQC604" s="222"/>
      <c r="NQD604" s="222"/>
      <c r="NQE604" s="223"/>
      <c r="NQF604" s="224"/>
      <c r="NQG604" s="222"/>
      <c r="NQH604" s="222"/>
      <c r="NQI604" s="222"/>
      <c r="NQJ604" s="222"/>
      <c r="NQK604" s="222"/>
      <c r="NQL604" s="222"/>
      <c r="NQM604" s="223"/>
      <c r="NQN604" s="224"/>
      <c r="NQO604" s="222"/>
      <c r="NQP604" s="222"/>
      <c r="NQQ604" s="222"/>
      <c r="NQR604" s="222"/>
      <c r="NQS604" s="222"/>
      <c r="NQT604" s="222"/>
      <c r="NQU604" s="223"/>
      <c r="NQV604" s="224"/>
      <c r="NQW604" s="222"/>
      <c r="NQX604" s="222"/>
      <c r="NQY604" s="222"/>
      <c r="NQZ604" s="222"/>
      <c r="NRA604" s="222"/>
      <c r="NRB604" s="222"/>
      <c r="NRC604" s="223"/>
      <c r="NRD604" s="224"/>
      <c r="NRE604" s="222"/>
      <c r="NRF604" s="222"/>
      <c r="NRG604" s="222"/>
      <c r="NRH604" s="222"/>
      <c r="NRI604" s="222"/>
      <c r="NRJ604" s="222"/>
      <c r="NRK604" s="223"/>
      <c r="NRL604" s="224"/>
      <c r="NRM604" s="222"/>
      <c r="NRN604" s="222"/>
      <c r="NRO604" s="222"/>
      <c r="NRP604" s="222"/>
      <c r="NRQ604" s="222"/>
      <c r="NRR604" s="222"/>
      <c r="NRS604" s="223"/>
      <c r="NRT604" s="224"/>
      <c r="NRU604" s="222"/>
      <c r="NRV604" s="222"/>
      <c r="NRW604" s="222"/>
      <c r="NRX604" s="222"/>
      <c r="NRY604" s="222"/>
      <c r="NRZ604" s="222"/>
      <c r="NSA604" s="223"/>
      <c r="NSB604" s="224"/>
      <c r="NSC604" s="222"/>
      <c r="NSD604" s="222"/>
      <c r="NSE604" s="222"/>
      <c r="NSF604" s="222"/>
      <c r="NSG604" s="222"/>
      <c r="NSH604" s="222"/>
      <c r="NSI604" s="223"/>
      <c r="NSJ604" s="224"/>
      <c r="NSK604" s="222"/>
      <c r="NSL604" s="222"/>
      <c r="NSM604" s="222"/>
      <c r="NSN604" s="222"/>
      <c r="NSO604" s="222"/>
      <c r="NSP604" s="222"/>
      <c r="NSQ604" s="223"/>
      <c r="NSR604" s="224"/>
      <c r="NSS604" s="222"/>
      <c r="NST604" s="222"/>
      <c r="NSU604" s="222"/>
      <c r="NSV604" s="222"/>
      <c r="NSW604" s="222"/>
      <c r="NSX604" s="222"/>
      <c r="NSY604" s="223"/>
      <c r="NSZ604" s="224"/>
      <c r="NTA604" s="222"/>
      <c r="NTB604" s="222"/>
      <c r="NTC604" s="222"/>
      <c r="NTD604" s="222"/>
      <c r="NTE604" s="222"/>
      <c r="NTF604" s="222"/>
      <c r="NTG604" s="223"/>
      <c r="NTH604" s="224"/>
      <c r="NTI604" s="222"/>
      <c r="NTJ604" s="222"/>
      <c r="NTK604" s="222"/>
      <c r="NTL604" s="222"/>
      <c r="NTM604" s="222"/>
      <c r="NTN604" s="222"/>
      <c r="NTO604" s="223"/>
      <c r="NTP604" s="224"/>
      <c r="NTQ604" s="222"/>
      <c r="NTR604" s="222"/>
      <c r="NTS604" s="222"/>
      <c r="NTT604" s="222"/>
      <c r="NTU604" s="222"/>
      <c r="NTV604" s="222"/>
      <c r="NTW604" s="223"/>
      <c r="NTX604" s="224"/>
      <c r="NTY604" s="222"/>
      <c r="NTZ604" s="222"/>
      <c r="NUA604" s="222"/>
      <c r="NUB604" s="222"/>
      <c r="NUC604" s="222"/>
      <c r="NUD604" s="222"/>
      <c r="NUE604" s="223"/>
      <c r="NUF604" s="224"/>
      <c r="NUG604" s="222"/>
      <c r="NUH604" s="222"/>
      <c r="NUI604" s="222"/>
      <c r="NUJ604" s="222"/>
      <c r="NUK604" s="222"/>
      <c r="NUL604" s="222"/>
      <c r="NUM604" s="223"/>
      <c r="NUN604" s="224"/>
      <c r="NUO604" s="222"/>
      <c r="NUP604" s="222"/>
      <c r="NUQ604" s="222"/>
      <c r="NUR604" s="222"/>
      <c r="NUS604" s="222"/>
      <c r="NUT604" s="222"/>
      <c r="NUU604" s="223"/>
      <c r="NUV604" s="224"/>
      <c r="NUW604" s="222"/>
      <c r="NUX604" s="222"/>
      <c r="NUY604" s="222"/>
      <c r="NUZ604" s="222"/>
      <c r="NVA604" s="222"/>
      <c r="NVB604" s="222"/>
      <c r="NVC604" s="223"/>
      <c r="NVD604" s="224"/>
      <c r="NVE604" s="222"/>
      <c r="NVF604" s="222"/>
      <c r="NVG604" s="222"/>
      <c r="NVH604" s="222"/>
      <c r="NVI604" s="222"/>
      <c r="NVJ604" s="222"/>
      <c r="NVK604" s="223"/>
      <c r="NVL604" s="224"/>
      <c r="NVM604" s="222"/>
      <c r="NVN604" s="222"/>
      <c r="NVO604" s="222"/>
      <c r="NVP604" s="222"/>
      <c r="NVQ604" s="222"/>
      <c r="NVR604" s="222"/>
      <c r="NVS604" s="223"/>
      <c r="NVT604" s="224"/>
      <c r="NVU604" s="222"/>
      <c r="NVV604" s="222"/>
      <c r="NVW604" s="222"/>
      <c r="NVX604" s="222"/>
      <c r="NVY604" s="222"/>
      <c r="NVZ604" s="222"/>
      <c r="NWA604" s="223"/>
      <c r="NWB604" s="224"/>
      <c r="NWC604" s="222"/>
      <c r="NWD604" s="222"/>
      <c r="NWE604" s="222"/>
      <c r="NWF604" s="222"/>
      <c r="NWG604" s="222"/>
      <c r="NWH604" s="222"/>
      <c r="NWI604" s="223"/>
      <c r="NWJ604" s="224"/>
      <c r="NWK604" s="222"/>
      <c r="NWL604" s="222"/>
      <c r="NWM604" s="222"/>
      <c r="NWN604" s="222"/>
      <c r="NWO604" s="222"/>
      <c r="NWP604" s="222"/>
      <c r="NWQ604" s="223"/>
      <c r="NWR604" s="224"/>
      <c r="NWS604" s="222"/>
      <c r="NWT604" s="222"/>
      <c r="NWU604" s="222"/>
      <c r="NWV604" s="222"/>
      <c r="NWW604" s="222"/>
      <c r="NWX604" s="222"/>
      <c r="NWY604" s="223"/>
      <c r="NWZ604" s="224"/>
      <c r="NXA604" s="222"/>
      <c r="NXB604" s="222"/>
      <c r="NXC604" s="222"/>
      <c r="NXD604" s="222"/>
      <c r="NXE604" s="222"/>
      <c r="NXF604" s="222"/>
      <c r="NXG604" s="223"/>
      <c r="NXH604" s="224"/>
      <c r="NXI604" s="222"/>
      <c r="NXJ604" s="222"/>
      <c r="NXK604" s="222"/>
      <c r="NXL604" s="222"/>
      <c r="NXM604" s="222"/>
      <c r="NXN604" s="222"/>
      <c r="NXO604" s="223"/>
      <c r="NXP604" s="224"/>
      <c r="NXQ604" s="222"/>
      <c r="NXR604" s="222"/>
      <c r="NXS604" s="222"/>
      <c r="NXT604" s="222"/>
      <c r="NXU604" s="222"/>
      <c r="NXV604" s="222"/>
      <c r="NXW604" s="223"/>
      <c r="NXX604" s="224"/>
      <c r="NXY604" s="222"/>
      <c r="NXZ604" s="222"/>
      <c r="NYA604" s="222"/>
      <c r="NYB604" s="222"/>
      <c r="NYC604" s="222"/>
      <c r="NYD604" s="222"/>
      <c r="NYE604" s="223"/>
      <c r="NYF604" s="224"/>
      <c r="NYG604" s="222"/>
      <c r="NYH604" s="222"/>
      <c r="NYI604" s="222"/>
      <c r="NYJ604" s="222"/>
      <c r="NYK604" s="222"/>
      <c r="NYL604" s="222"/>
      <c r="NYM604" s="223"/>
      <c r="NYN604" s="224"/>
      <c r="NYO604" s="222"/>
      <c r="NYP604" s="222"/>
      <c r="NYQ604" s="222"/>
      <c r="NYR604" s="222"/>
      <c r="NYS604" s="222"/>
      <c r="NYT604" s="222"/>
      <c r="NYU604" s="223"/>
      <c r="NYV604" s="224"/>
      <c r="NYW604" s="222"/>
      <c r="NYX604" s="222"/>
      <c r="NYY604" s="222"/>
      <c r="NYZ604" s="222"/>
      <c r="NZA604" s="222"/>
      <c r="NZB604" s="222"/>
      <c r="NZC604" s="223"/>
      <c r="NZD604" s="224"/>
      <c r="NZE604" s="222"/>
      <c r="NZF604" s="222"/>
      <c r="NZG604" s="222"/>
      <c r="NZH604" s="222"/>
      <c r="NZI604" s="222"/>
      <c r="NZJ604" s="222"/>
      <c r="NZK604" s="223"/>
      <c r="NZL604" s="224"/>
      <c r="NZM604" s="222"/>
      <c r="NZN604" s="222"/>
      <c r="NZO604" s="222"/>
      <c r="NZP604" s="222"/>
      <c r="NZQ604" s="222"/>
      <c r="NZR604" s="222"/>
      <c r="NZS604" s="223"/>
      <c r="NZT604" s="224"/>
      <c r="NZU604" s="222"/>
      <c r="NZV604" s="222"/>
      <c r="NZW604" s="222"/>
      <c r="NZX604" s="222"/>
      <c r="NZY604" s="222"/>
      <c r="NZZ604" s="222"/>
      <c r="OAA604" s="223"/>
      <c r="OAB604" s="224"/>
      <c r="OAC604" s="222"/>
      <c r="OAD604" s="222"/>
      <c r="OAE604" s="222"/>
      <c r="OAF604" s="222"/>
      <c r="OAG604" s="222"/>
      <c r="OAH604" s="222"/>
      <c r="OAI604" s="223"/>
      <c r="OAJ604" s="224"/>
      <c r="OAK604" s="222"/>
      <c r="OAL604" s="222"/>
      <c r="OAM604" s="222"/>
      <c r="OAN604" s="222"/>
      <c r="OAO604" s="222"/>
      <c r="OAP604" s="222"/>
      <c r="OAQ604" s="223"/>
      <c r="OAR604" s="224"/>
      <c r="OAS604" s="222"/>
      <c r="OAT604" s="222"/>
      <c r="OAU604" s="222"/>
      <c r="OAV604" s="222"/>
      <c r="OAW604" s="222"/>
      <c r="OAX604" s="222"/>
      <c r="OAY604" s="223"/>
      <c r="OAZ604" s="224"/>
      <c r="OBA604" s="222"/>
      <c r="OBB604" s="222"/>
      <c r="OBC604" s="222"/>
      <c r="OBD604" s="222"/>
      <c r="OBE604" s="222"/>
      <c r="OBF604" s="222"/>
      <c r="OBG604" s="223"/>
      <c r="OBH604" s="224"/>
      <c r="OBI604" s="222"/>
      <c r="OBJ604" s="222"/>
      <c r="OBK604" s="222"/>
      <c r="OBL604" s="222"/>
      <c r="OBM604" s="222"/>
      <c r="OBN604" s="222"/>
      <c r="OBO604" s="223"/>
      <c r="OBP604" s="224"/>
      <c r="OBQ604" s="222"/>
      <c r="OBR604" s="222"/>
      <c r="OBS604" s="222"/>
      <c r="OBT604" s="222"/>
      <c r="OBU604" s="222"/>
      <c r="OBV604" s="222"/>
      <c r="OBW604" s="223"/>
      <c r="OBX604" s="224"/>
      <c r="OBY604" s="222"/>
      <c r="OBZ604" s="222"/>
      <c r="OCA604" s="222"/>
      <c r="OCB604" s="222"/>
      <c r="OCC604" s="222"/>
      <c r="OCD604" s="222"/>
      <c r="OCE604" s="223"/>
      <c r="OCF604" s="224"/>
      <c r="OCG604" s="222"/>
      <c r="OCH604" s="222"/>
      <c r="OCI604" s="222"/>
      <c r="OCJ604" s="222"/>
      <c r="OCK604" s="222"/>
      <c r="OCL604" s="222"/>
      <c r="OCM604" s="223"/>
      <c r="OCN604" s="224"/>
      <c r="OCO604" s="222"/>
      <c r="OCP604" s="222"/>
      <c r="OCQ604" s="222"/>
      <c r="OCR604" s="222"/>
      <c r="OCS604" s="222"/>
      <c r="OCT604" s="222"/>
      <c r="OCU604" s="223"/>
      <c r="OCV604" s="224"/>
      <c r="OCW604" s="222"/>
      <c r="OCX604" s="222"/>
      <c r="OCY604" s="222"/>
      <c r="OCZ604" s="222"/>
      <c r="ODA604" s="222"/>
      <c r="ODB604" s="222"/>
      <c r="ODC604" s="223"/>
      <c r="ODD604" s="224"/>
      <c r="ODE604" s="222"/>
      <c r="ODF604" s="222"/>
      <c r="ODG604" s="222"/>
      <c r="ODH604" s="222"/>
      <c r="ODI604" s="222"/>
      <c r="ODJ604" s="222"/>
      <c r="ODK604" s="223"/>
      <c r="ODL604" s="224"/>
      <c r="ODM604" s="222"/>
      <c r="ODN604" s="222"/>
      <c r="ODO604" s="222"/>
      <c r="ODP604" s="222"/>
      <c r="ODQ604" s="222"/>
      <c r="ODR604" s="222"/>
      <c r="ODS604" s="223"/>
      <c r="ODT604" s="224"/>
      <c r="ODU604" s="222"/>
      <c r="ODV604" s="222"/>
      <c r="ODW604" s="222"/>
      <c r="ODX604" s="222"/>
      <c r="ODY604" s="222"/>
      <c r="ODZ604" s="222"/>
      <c r="OEA604" s="223"/>
      <c r="OEB604" s="224"/>
      <c r="OEC604" s="222"/>
      <c r="OED604" s="222"/>
      <c r="OEE604" s="222"/>
      <c r="OEF604" s="222"/>
      <c r="OEG604" s="222"/>
      <c r="OEH604" s="222"/>
      <c r="OEI604" s="223"/>
      <c r="OEJ604" s="224"/>
      <c r="OEK604" s="222"/>
      <c r="OEL604" s="222"/>
      <c r="OEM604" s="222"/>
      <c r="OEN604" s="222"/>
      <c r="OEO604" s="222"/>
      <c r="OEP604" s="222"/>
      <c r="OEQ604" s="223"/>
      <c r="OER604" s="224"/>
      <c r="OES604" s="222"/>
      <c r="OET604" s="222"/>
      <c r="OEU604" s="222"/>
      <c r="OEV604" s="222"/>
      <c r="OEW604" s="222"/>
      <c r="OEX604" s="222"/>
      <c r="OEY604" s="223"/>
      <c r="OEZ604" s="224"/>
      <c r="OFA604" s="222"/>
      <c r="OFB604" s="222"/>
      <c r="OFC604" s="222"/>
      <c r="OFD604" s="222"/>
      <c r="OFE604" s="222"/>
      <c r="OFF604" s="222"/>
      <c r="OFG604" s="223"/>
      <c r="OFH604" s="224"/>
      <c r="OFI604" s="222"/>
      <c r="OFJ604" s="222"/>
      <c r="OFK604" s="222"/>
      <c r="OFL604" s="222"/>
      <c r="OFM604" s="222"/>
      <c r="OFN604" s="222"/>
      <c r="OFO604" s="223"/>
      <c r="OFP604" s="224"/>
      <c r="OFQ604" s="222"/>
      <c r="OFR604" s="222"/>
      <c r="OFS604" s="222"/>
      <c r="OFT604" s="222"/>
      <c r="OFU604" s="222"/>
      <c r="OFV604" s="222"/>
      <c r="OFW604" s="223"/>
      <c r="OFX604" s="224"/>
      <c r="OFY604" s="222"/>
      <c r="OFZ604" s="222"/>
      <c r="OGA604" s="222"/>
      <c r="OGB604" s="222"/>
      <c r="OGC604" s="222"/>
      <c r="OGD604" s="222"/>
      <c r="OGE604" s="223"/>
      <c r="OGF604" s="224"/>
      <c r="OGG604" s="222"/>
      <c r="OGH604" s="222"/>
      <c r="OGI604" s="222"/>
      <c r="OGJ604" s="222"/>
      <c r="OGK604" s="222"/>
      <c r="OGL604" s="222"/>
      <c r="OGM604" s="223"/>
      <c r="OGN604" s="224"/>
      <c r="OGO604" s="222"/>
      <c r="OGP604" s="222"/>
      <c r="OGQ604" s="222"/>
      <c r="OGR604" s="222"/>
      <c r="OGS604" s="222"/>
      <c r="OGT604" s="222"/>
      <c r="OGU604" s="223"/>
      <c r="OGV604" s="224"/>
      <c r="OGW604" s="222"/>
      <c r="OGX604" s="222"/>
      <c r="OGY604" s="222"/>
      <c r="OGZ604" s="222"/>
      <c r="OHA604" s="222"/>
      <c r="OHB604" s="222"/>
      <c r="OHC604" s="223"/>
      <c r="OHD604" s="224"/>
      <c r="OHE604" s="222"/>
      <c r="OHF604" s="222"/>
      <c r="OHG604" s="222"/>
      <c r="OHH604" s="222"/>
      <c r="OHI604" s="222"/>
      <c r="OHJ604" s="222"/>
      <c r="OHK604" s="223"/>
      <c r="OHL604" s="224"/>
      <c r="OHM604" s="222"/>
      <c r="OHN604" s="222"/>
      <c r="OHO604" s="222"/>
      <c r="OHP604" s="222"/>
      <c r="OHQ604" s="222"/>
      <c r="OHR604" s="222"/>
      <c r="OHS604" s="223"/>
      <c r="OHT604" s="224"/>
      <c r="OHU604" s="222"/>
      <c r="OHV604" s="222"/>
      <c r="OHW604" s="222"/>
      <c r="OHX604" s="222"/>
      <c r="OHY604" s="222"/>
      <c r="OHZ604" s="222"/>
      <c r="OIA604" s="223"/>
      <c r="OIB604" s="224"/>
      <c r="OIC604" s="222"/>
      <c r="OID604" s="222"/>
      <c r="OIE604" s="222"/>
      <c r="OIF604" s="222"/>
      <c r="OIG604" s="222"/>
      <c r="OIH604" s="222"/>
      <c r="OII604" s="223"/>
      <c r="OIJ604" s="224"/>
      <c r="OIK604" s="222"/>
      <c r="OIL604" s="222"/>
      <c r="OIM604" s="222"/>
      <c r="OIN604" s="222"/>
      <c r="OIO604" s="222"/>
      <c r="OIP604" s="222"/>
      <c r="OIQ604" s="223"/>
      <c r="OIR604" s="224"/>
      <c r="OIS604" s="222"/>
      <c r="OIT604" s="222"/>
      <c r="OIU604" s="222"/>
      <c r="OIV604" s="222"/>
      <c r="OIW604" s="222"/>
      <c r="OIX604" s="222"/>
      <c r="OIY604" s="223"/>
      <c r="OIZ604" s="224"/>
      <c r="OJA604" s="222"/>
      <c r="OJB604" s="222"/>
      <c r="OJC604" s="222"/>
      <c r="OJD604" s="222"/>
      <c r="OJE604" s="222"/>
      <c r="OJF604" s="222"/>
      <c r="OJG604" s="223"/>
      <c r="OJH604" s="224"/>
      <c r="OJI604" s="222"/>
      <c r="OJJ604" s="222"/>
      <c r="OJK604" s="222"/>
      <c r="OJL604" s="222"/>
      <c r="OJM604" s="222"/>
      <c r="OJN604" s="222"/>
      <c r="OJO604" s="223"/>
      <c r="OJP604" s="224"/>
      <c r="OJQ604" s="222"/>
      <c r="OJR604" s="222"/>
      <c r="OJS604" s="222"/>
      <c r="OJT604" s="222"/>
      <c r="OJU604" s="222"/>
      <c r="OJV604" s="222"/>
      <c r="OJW604" s="223"/>
      <c r="OJX604" s="224"/>
      <c r="OJY604" s="222"/>
      <c r="OJZ604" s="222"/>
      <c r="OKA604" s="222"/>
      <c r="OKB604" s="222"/>
      <c r="OKC604" s="222"/>
      <c r="OKD604" s="222"/>
      <c r="OKE604" s="223"/>
      <c r="OKF604" s="224"/>
      <c r="OKG604" s="222"/>
      <c r="OKH604" s="222"/>
      <c r="OKI604" s="222"/>
      <c r="OKJ604" s="222"/>
      <c r="OKK604" s="222"/>
      <c r="OKL604" s="222"/>
      <c r="OKM604" s="223"/>
      <c r="OKN604" s="224"/>
      <c r="OKO604" s="222"/>
      <c r="OKP604" s="222"/>
      <c r="OKQ604" s="222"/>
      <c r="OKR604" s="222"/>
      <c r="OKS604" s="222"/>
      <c r="OKT604" s="222"/>
      <c r="OKU604" s="223"/>
      <c r="OKV604" s="224"/>
      <c r="OKW604" s="222"/>
      <c r="OKX604" s="222"/>
      <c r="OKY604" s="222"/>
      <c r="OKZ604" s="222"/>
      <c r="OLA604" s="222"/>
      <c r="OLB604" s="222"/>
      <c r="OLC604" s="223"/>
      <c r="OLD604" s="224"/>
      <c r="OLE604" s="222"/>
      <c r="OLF604" s="222"/>
      <c r="OLG604" s="222"/>
      <c r="OLH604" s="222"/>
      <c r="OLI604" s="222"/>
      <c r="OLJ604" s="222"/>
      <c r="OLK604" s="223"/>
      <c r="OLL604" s="224"/>
      <c r="OLM604" s="222"/>
      <c r="OLN604" s="222"/>
      <c r="OLO604" s="222"/>
      <c r="OLP604" s="222"/>
      <c r="OLQ604" s="222"/>
      <c r="OLR604" s="222"/>
      <c r="OLS604" s="223"/>
      <c r="OLT604" s="224"/>
      <c r="OLU604" s="222"/>
      <c r="OLV604" s="222"/>
      <c r="OLW604" s="222"/>
      <c r="OLX604" s="222"/>
      <c r="OLY604" s="222"/>
      <c r="OLZ604" s="222"/>
      <c r="OMA604" s="223"/>
      <c r="OMB604" s="224"/>
      <c r="OMC604" s="222"/>
      <c r="OMD604" s="222"/>
      <c r="OME604" s="222"/>
      <c r="OMF604" s="222"/>
      <c r="OMG604" s="222"/>
      <c r="OMH604" s="222"/>
      <c r="OMI604" s="223"/>
      <c r="OMJ604" s="224"/>
      <c r="OMK604" s="222"/>
      <c r="OML604" s="222"/>
      <c r="OMM604" s="222"/>
      <c r="OMN604" s="222"/>
      <c r="OMO604" s="222"/>
      <c r="OMP604" s="222"/>
      <c r="OMQ604" s="223"/>
      <c r="OMR604" s="224"/>
      <c r="OMS604" s="222"/>
      <c r="OMT604" s="222"/>
      <c r="OMU604" s="222"/>
      <c r="OMV604" s="222"/>
      <c r="OMW604" s="222"/>
      <c r="OMX604" s="222"/>
      <c r="OMY604" s="223"/>
      <c r="OMZ604" s="224"/>
      <c r="ONA604" s="222"/>
      <c r="ONB604" s="222"/>
      <c r="ONC604" s="222"/>
      <c r="OND604" s="222"/>
      <c r="ONE604" s="222"/>
      <c r="ONF604" s="222"/>
      <c r="ONG604" s="223"/>
      <c r="ONH604" s="224"/>
      <c r="ONI604" s="222"/>
      <c r="ONJ604" s="222"/>
      <c r="ONK604" s="222"/>
      <c r="ONL604" s="222"/>
      <c r="ONM604" s="222"/>
      <c r="ONN604" s="222"/>
      <c r="ONO604" s="223"/>
      <c r="ONP604" s="224"/>
      <c r="ONQ604" s="222"/>
      <c r="ONR604" s="222"/>
      <c r="ONS604" s="222"/>
      <c r="ONT604" s="222"/>
      <c r="ONU604" s="222"/>
      <c r="ONV604" s="222"/>
      <c r="ONW604" s="223"/>
      <c r="ONX604" s="224"/>
      <c r="ONY604" s="222"/>
      <c r="ONZ604" s="222"/>
      <c r="OOA604" s="222"/>
      <c r="OOB604" s="222"/>
      <c r="OOC604" s="222"/>
      <c r="OOD604" s="222"/>
      <c r="OOE604" s="223"/>
      <c r="OOF604" s="224"/>
      <c r="OOG604" s="222"/>
      <c r="OOH604" s="222"/>
      <c r="OOI604" s="222"/>
      <c r="OOJ604" s="222"/>
      <c r="OOK604" s="222"/>
      <c r="OOL604" s="222"/>
      <c r="OOM604" s="223"/>
      <c r="OON604" s="224"/>
      <c r="OOO604" s="222"/>
      <c r="OOP604" s="222"/>
      <c r="OOQ604" s="222"/>
      <c r="OOR604" s="222"/>
      <c r="OOS604" s="222"/>
      <c r="OOT604" s="222"/>
      <c r="OOU604" s="223"/>
      <c r="OOV604" s="224"/>
      <c r="OOW604" s="222"/>
      <c r="OOX604" s="222"/>
      <c r="OOY604" s="222"/>
      <c r="OOZ604" s="222"/>
      <c r="OPA604" s="222"/>
      <c r="OPB604" s="222"/>
      <c r="OPC604" s="223"/>
      <c r="OPD604" s="224"/>
      <c r="OPE604" s="222"/>
      <c r="OPF604" s="222"/>
      <c r="OPG604" s="222"/>
      <c r="OPH604" s="222"/>
      <c r="OPI604" s="222"/>
      <c r="OPJ604" s="222"/>
      <c r="OPK604" s="223"/>
      <c r="OPL604" s="224"/>
      <c r="OPM604" s="222"/>
      <c r="OPN604" s="222"/>
      <c r="OPO604" s="222"/>
      <c r="OPP604" s="222"/>
      <c r="OPQ604" s="222"/>
      <c r="OPR604" s="222"/>
      <c r="OPS604" s="223"/>
      <c r="OPT604" s="224"/>
      <c r="OPU604" s="222"/>
      <c r="OPV604" s="222"/>
      <c r="OPW604" s="222"/>
      <c r="OPX604" s="222"/>
      <c r="OPY604" s="222"/>
      <c r="OPZ604" s="222"/>
      <c r="OQA604" s="223"/>
      <c r="OQB604" s="224"/>
      <c r="OQC604" s="222"/>
      <c r="OQD604" s="222"/>
      <c r="OQE604" s="222"/>
      <c r="OQF604" s="222"/>
      <c r="OQG604" s="222"/>
      <c r="OQH604" s="222"/>
      <c r="OQI604" s="223"/>
      <c r="OQJ604" s="224"/>
      <c r="OQK604" s="222"/>
      <c r="OQL604" s="222"/>
      <c r="OQM604" s="222"/>
      <c r="OQN604" s="222"/>
      <c r="OQO604" s="222"/>
      <c r="OQP604" s="222"/>
      <c r="OQQ604" s="223"/>
      <c r="OQR604" s="224"/>
      <c r="OQS604" s="222"/>
      <c r="OQT604" s="222"/>
      <c r="OQU604" s="222"/>
      <c r="OQV604" s="222"/>
      <c r="OQW604" s="222"/>
      <c r="OQX604" s="222"/>
      <c r="OQY604" s="223"/>
      <c r="OQZ604" s="224"/>
      <c r="ORA604" s="222"/>
      <c r="ORB604" s="222"/>
      <c r="ORC604" s="222"/>
      <c r="ORD604" s="222"/>
      <c r="ORE604" s="222"/>
      <c r="ORF604" s="222"/>
      <c r="ORG604" s="223"/>
      <c r="ORH604" s="224"/>
      <c r="ORI604" s="222"/>
      <c r="ORJ604" s="222"/>
      <c r="ORK604" s="222"/>
      <c r="ORL604" s="222"/>
      <c r="ORM604" s="222"/>
      <c r="ORN604" s="222"/>
      <c r="ORO604" s="223"/>
      <c r="ORP604" s="224"/>
      <c r="ORQ604" s="222"/>
      <c r="ORR604" s="222"/>
      <c r="ORS604" s="222"/>
      <c r="ORT604" s="222"/>
      <c r="ORU604" s="222"/>
      <c r="ORV604" s="222"/>
      <c r="ORW604" s="223"/>
      <c r="ORX604" s="224"/>
      <c r="ORY604" s="222"/>
      <c r="ORZ604" s="222"/>
      <c r="OSA604" s="222"/>
      <c r="OSB604" s="222"/>
      <c r="OSC604" s="222"/>
      <c r="OSD604" s="222"/>
      <c r="OSE604" s="223"/>
      <c r="OSF604" s="224"/>
      <c r="OSG604" s="222"/>
      <c r="OSH604" s="222"/>
      <c r="OSI604" s="222"/>
      <c r="OSJ604" s="222"/>
      <c r="OSK604" s="222"/>
      <c r="OSL604" s="222"/>
      <c r="OSM604" s="223"/>
      <c r="OSN604" s="224"/>
      <c r="OSO604" s="222"/>
      <c r="OSP604" s="222"/>
      <c r="OSQ604" s="222"/>
      <c r="OSR604" s="222"/>
      <c r="OSS604" s="222"/>
      <c r="OST604" s="222"/>
      <c r="OSU604" s="223"/>
      <c r="OSV604" s="224"/>
      <c r="OSW604" s="222"/>
      <c r="OSX604" s="222"/>
      <c r="OSY604" s="222"/>
      <c r="OSZ604" s="222"/>
      <c r="OTA604" s="222"/>
      <c r="OTB604" s="222"/>
      <c r="OTC604" s="223"/>
      <c r="OTD604" s="224"/>
      <c r="OTE604" s="222"/>
      <c r="OTF604" s="222"/>
      <c r="OTG604" s="222"/>
      <c r="OTH604" s="222"/>
      <c r="OTI604" s="222"/>
      <c r="OTJ604" s="222"/>
      <c r="OTK604" s="223"/>
      <c r="OTL604" s="224"/>
      <c r="OTM604" s="222"/>
      <c r="OTN604" s="222"/>
      <c r="OTO604" s="222"/>
      <c r="OTP604" s="222"/>
      <c r="OTQ604" s="222"/>
      <c r="OTR604" s="222"/>
      <c r="OTS604" s="223"/>
      <c r="OTT604" s="224"/>
      <c r="OTU604" s="222"/>
      <c r="OTV604" s="222"/>
      <c r="OTW604" s="222"/>
      <c r="OTX604" s="222"/>
      <c r="OTY604" s="222"/>
      <c r="OTZ604" s="222"/>
      <c r="OUA604" s="223"/>
      <c r="OUB604" s="224"/>
      <c r="OUC604" s="222"/>
      <c r="OUD604" s="222"/>
      <c r="OUE604" s="222"/>
      <c r="OUF604" s="222"/>
      <c r="OUG604" s="222"/>
      <c r="OUH604" s="222"/>
      <c r="OUI604" s="223"/>
      <c r="OUJ604" s="224"/>
      <c r="OUK604" s="222"/>
      <c r="OUL604" s="222"/>
      <c r="OUM604" s="222"/>
      <c r="OUN604" s="222"/>
      <c r="OUO604" s="222"/>
      <c r="OUP604" s="222"/>
      <c r="OUQ604" s="223"/>
      <c r="OUR604" s="224"/>
      <c r="OUS604" s="222"/>
      <c r="OUT604" s="222"/>
      <c r="OUU604" s="222"/>
      <c r="OUV604" s="222"/>
      <c r="OUW604" s="222"/>
      <c r="OUX604" s="222"/>
      <c r="OUY604" s="223"/>
      <c r="OUZ604" s="224"/>
      <c r="OVA604" s="222"/>
      <c r="OVB604" s="222"/>
      <c r="OVC604" s="222"/>
      <c r="OVD604" s="222"/>
      <c r="OVE604" s="222"/>
      <c r="OVF604" s="222"/>
      <c r="OVG604" s="223"/>
      <c r="OVH604" s="224"/>
      <c r="OVI604" s="222"/>
      <c r="OVJ604" s="222"/>
      <c r="OVK604" s="222"/>
      <c r="OVL604" s="222"/>
      <c r="OVM604" s="222"/>
      <c r="OVN604" s="222"/>
      <c r="OVO604" s="223"/>
      <c r="OVP604" s="224"/>
      <c r="OVQ604" s="222"/>
      <c r="OVR604" s="222"/>
      <c r="OVS604" s="222"/>
      <c r="OVT604" s="222"/>
      <c r="OVU604" s="222"/>
      <c r="OVV604" s="222"/>
      <c r="OVW604" s="223"/>
      <c r="OVX604" s="224"/>
      <c r="OVY604" s="222"/>
      <c r="OVZ604" s="222"/>
      <c r="OWA604" s="222"/>
      <c r="OWB604" s="222"/>
      <c r="OWC604" s="222"/>
      <c r="OWD604" s="222"/>
      <c r="OWE604" s="223"/>
      <c r="OWF604" s="224"/>
      <c r="OWG604" s="222"/>
      <c r="OWH604" s="222"/>
      <c r="OWI604" s="222"/>
      <c r="OWJ604" s="222"/>
      <c r="OWK604" s="222"/>
      <c r="OWL604" s="222"/>
      <c r="OWM604" s="223"/>
      <c r="OWN604" s="224"/>
      <c r="OWO604" s="222"/>
      <c r="OWP604" s="222"/>
      <c r="OWQ604" s="222"/>
      <c r="OWR604" s="222"/>
      <c r="OWS604" s="222"/>
      <c r="OWT604" s="222"/>
      <c r="OWU604" s="223"/>
      <c r="OWV604" s="224"/>
      <c r="OWW604" s="222"/>
      <c r="OWX604" s="222"/>
      <c r="OWY604" s="222"/>
      <c r="OWZ604" s="222"/>
      <c r="OXA604" s="222"/>
      <c r="OXB604" s="222"/>
      <c r="OXC604" s="223"/>
      <c r="OXD604" s="224"/>
      <c r="OXE604" s="222"/>
      <c r="OXF604" s="222"/>
      <c r="OXG604" s="222"/>
      <c r="OXH604" s="222"/>
      <c r="OXI604" s="222"/>
      <c r="OXJ604" s="222"/>
      <c r="OXK604" s="223"/>
      <c r="OXL604" s="224"/>
      <c r="OXM604" s="222"/>
      <c r="OXN604" s="222"/>
      <c r="OXO604" s="222"/>
      <c r="OXP604" s="222"/>
      <c r="OXQ604" s="222"/>
      <c r="OXR604" s="222"/>
      <c r="OXS604" s="223"/>
      <c r="OXT604" s="224"/>
      <c r="OXU604" s="222"/>
      <c r="OXV604" s="222"/>
      <c r="OXW604" s="222"/>
      <c r="OXX604" s="222"/>
      <c r="OXY604" s="222"/>
      <c r="OXZ604" s="222"/>
      <c r="OYA604" s="223"/>
      <c r="OYB604" s="224"/>
      <c r="OYC604" s="222"/>
      <c r="OYD604" s="222"/>
      <c r="OYE604" s="222"/>
      <c r="OYF604" s="222"/>
      <c r="OYG604" s="222"/>
      <c r="OYH604" s="222"/>
      <c r="OYI604" s="223"/>
      <c r="OYJ604" s="224"/>
      <c r="OYK604" s="222"/>
      <c r="OYL604" s="222"/>
      <c r="OYM604" s="222"/>
      <c r="OYN604" s="222"/>
      <c r="OYO604" s="222"/>
      <c r="OYP604" s="222"/>
      <c r="OYQ604" s="223"/>
      <c r="OYR604" s="224"/>
      <c r="OYS604" s="222"/>
      <c r="OYT604" s="222"/>
      <c r="OYU604" s="222"/>
      <c r="OYV604" s="222"/>
      <c r="OYW604" s="222"/>
      <c r="OYX604" s="222"/>
      <c r="OYY604" s="223"/>
      <c r="OYZ604" s="224"/>
      <c r="OZA604" s="222"/>
      <c r="OZB604" s="222"/>
      <c r="OZC604" s="222"/>
      <c r="OZD604" s="222"/>
      <c r="OZE604" s="222"/>
      <c r="OZF604" s="222"/>
      <c r="OZG604" s="223"/>
      <c r="OZH604" s="224"/>
      <c r="OZI604" s="222"/>
      <c r="OZJ604" s="222"/>
      <c r="OZK604" s="222"/>
      <c r="OZL604" s="222"/>
      <c r="OZM604" s="222"/>
      <c r="OZN604" s="222"/>
      <c r="OZO604" s="223"/>
      <c r="OZP604" s="224"/>
      <c r="OZQ604" s="222"/>
      <c r="OZR604" s="222"/>
      <c r="OZS604" s="222"/>
      <c r="OZT604" s="222"/>
      <c r="OZU604" s="222"/>
      <c r="OZV604" s="222"/>
      <c r="OZW604" s="223"/>
      <c r="OZX604" s="224"/>
      <c r="OZY604" s="222"/>
      <c r="OZZ604" s="222"/>
      <c r="PAA604" s="222"/>
      <c r="PAB604" s="222"/>
      <c r="PAC604" s="222"/>
      <c r="PAD604" s="222"/>
      <c r="PAE604" s="223"/>
      <c r="PAF604" s="224"/>
      <c r="PAG604" s="222"/>
      <c r="PAH604" s="222"/>
      <c r="PAI604" s="222"/>
      <c r="PAJ604" s="222"/>
      <c r="PAK604" s="222"/>
      <c r="PAL604" s="222"/>
      <c r="PAM604" s="223"/>
      <c r="PAN604" s="224"/>
      <c r="PAO604" s="222"/>
      <c r="PAP604" s="222"/>
      <c r="PAQ604" s="222"/>
      <c r="PAR604" s="222"/>
      <c r="PAS604" s="222"/>
      <c r="PAT604" s="222"/>
      <c r="PAU604" s="223"/>
      <c r="PAV604" s="224"/>
      <c r="PAW604" s="222"/>
      <c r="PAX604" s="222"/>
      <c r="PAY604" s="222"/>
      <c r="PAZ604" s="222"/>
      <c r="PBA604" s="222"/>
      <c r="PBB604" s="222"/>
      <c r="PBC604" s="223"/>
      <c r="PBD604" s="224"/>
      <c r="PBE604" s="222"/>
      <c r="PBF604" s="222"/>
      <c r="PBG604" s="222"/>
      <c r="PBH604" s="222"/>
      <c r="PBI604" s="222"/>
      <c r="PBJ604" s="222"/>
      <c r="PBK604" s="223"/>
      <c r="PBL604" s="224"/>
      <c r="PBM604" s="222"/>
      <c r="PBN604" s="222"/>
      <c r="PBO604" s="222"/>
      <c r="PBP604" s="222"/>
      <c r="PBQ604" s="222"/>
      <c r="PBR604" s="222"/>
      <c r="PBS604" s="223"/>
      <c r="PBT604" s="224"/>
      <c r="PBU604" s="222"/>
      <c r="PBV604" s="222"/>
      <c r="PBW604" s="222"/>
      <c r="PBX604" s="222"/>
      <c r="PBY604" s="222"/>
      <c r="PBZ604" s="222"/>
      <c r="PCA604" s="223"/>
      <c r="PCB604" s="224"/>
      <c r="PCC604" s="222"/>
      <c r="PCD604" s="222"/>
      <c r="PCE604" s="222"/>
      <c r="PCF604" s="222"/>
      <c r="PCG604" s="222"/>
      <c r="PCH604" s="222"/>
      <c r="PCI604" s="223"/>
      <c r="PCJ604" s="224"/>
      <c r="PCK604" s="222"/>
      <c r="PCL604" s="222"/>
      <c r="PCM604" s="222"/>
      <c r="PCN604" s="222"/>
      <c r="PCO604" s="222"/>
      <c r="PCP604" s="222"/>
      <c r="PCQ604" s="223"/>
      <c r="PCR604" s="224"/>
      <c r="PCS604" s="222"/>
      <c r="PCT604" s="222"/>
      <c r="PCU604" s="222"/>
      <c r="PCV604" s="222"/>
      <c r="PCW604" s="222"/>
      <c r="PCX604" s="222"/>
      <c r="PCY604" s="223"/>
      <c r="PCZ604" s="224"/>
      <c r="PDA604" s="222"/>
      <c r="PDB604" s="222"/>
      <c r="PDC604" s="222"/>
      <c r="PDD604" s="222"/>
      <c r="PDE604" s="222"/>
      <c r="PDF604" s="222"/>
      <c r="PDG604" s="223"/>
      <c r="PDH604" s="224"/>
      <c r="PDI604" s="222"/>
      <c r="PDJ604" s="222"/>
      <c r="PDK604" s="222"/>
      <c r="PDL604" s="222"/>
      <c r="PDM604" s="222"/>
      <c r="PDN604" s="222"/>
      <c r="PDO604" s="223"/>
      <c r="PDP604" s="224"/>
      <c r="PDQ604" s="222"/>
      <c r="PDR604" s="222"/>
      <c r="PDS604" s="222"/>
      <c r="PDT604" s="222"/>
      <c r="PDU604" s="222"/>
      <c r="PDV604" s="222"/>
      <c r="PDW604" s="223"/>
      <c r="PDX604" s="224"/>
      <c r="PDY604" s="222"/>
      <c r="PDZ604" s="222"/>
      <c r="PEA604" s="222"/>
      <c r="PEB604" s="222"/>
      <c r="PEC604" s="222"/>
      <c r="PED604" s="222"/>
      <c r="PEE604" s="223"/>
      <c r="PEF604" s="224"/>
      <c r="PEG604" s="222"/>
      <c r="PEH604" s="222"/>
      <c r="PEI604" s="222"/>
      <c r="PEJ604" s="222"/>
      <c r="PEK604" s="222"/>
      <c r="PEL604" s="222"/>
      <c r="PEM604" s="223"/>
      <c r="PEN604" s="224"/>
      <c r="PEO604" s="222"/>
      <c r="PEP604" s="222"/>
      <c r="PEQ604" s="222"/>
      <c r="PER604" s="222"/>
      <c r="PES604" s="222"/>
      <c r="PET604" s="222"/>
      <c r="PEU604" s="223"/>
      <c r="PEV604" s="224"/>
      <c r="PEW604" s="222"/>
      <c r="PEX604" s="222"/>
      <c r="PEY604" s="222"/>
      <c r="PEZ604" s="222"/>
      <c r="PFA604" s="222"/>
      <c r="PFB604" s="222"/>
      <c r="PFC604" s="223"/>
      <c r="PFD604" s="224"/>
      <c r="PFE604" s="222"/>
      <c r="PFF604" s="222"/>
      <c r="PFG604" s="222"/>
      <c r="PFH604" s="222"/>
      <c r="PFI604" s="222"/>
      <c r="PFJ604" s="222"/>
      <c r="PFK604" s="223"/>
      <c r="PFL604" s="224"/>
      <c r="PFM604" s="222"/>
      <c r="PFN604" s="222"/>
      <c r="PFO604" s="222"/>
      <c r="PFP604" s="222"/>
      <c r="PFQ604" s="222"/>
      <c r="PFR604" s="222"/>
      <c r="PFS604" s="223"/>
      <c r="PFT604" s="224"/>
      <c r="PFU604" s="222"/>
      <c r="PFV604" s="222"/>
      <c r="PFW604" s="222"/>
      <c r="PFX604" s="222"/>
      <c r="PFY604" s="222"/>
      <c r="PFZ604" s="222"/>
      <c r="PGA604" s="223"/>
      <c r="PGB604" s="224"/>
      <c r="PGC604" s="222"/>
      <c r="PGD604" s="222"/>
      <c r="PGE604" s="222"/>
      <c r="PGF604" s="222"/>
      <c r="PGG604" s="222"/>
      <c r="PGH604" s="222"/>
      <c r="PGI604" s="223"/>
      <c r="PGJ604" s="224"/>
      <c r="PGK604" s="222"/>
      <c r="PGL604" s="222"/>
      <c r="PGM604" s="222"/>
      <c r="PGN604" s="222"/>
      <c r="PGO604" s="222"/>
      <c r="PGP604" s="222"/>
      <c r="PGQ604" s="223"/>
      <c r="PGR604" s="224"/>
      <c r="PGS604" s="222"/>
      <c r="PGT604" s="222"/>
      <c r="PGU604" s="222"/>
      <c r="PGV604" s="222"/>
      <c r="PGW604" s="222"/>
      <c r="PGX604" s="222"/>
      <c r="PGY604" s="223"/>
      <c r="PGZ604" s="224"/>
      <c r="PHA604" s="222"/>
      <c r="PHB604" s="222"/>
      <c r="PHC604" s="222"/>
      <c r="PHD604" s="222"/>
      <c r="PHE604" s="222"/>
      <c r="PHF604" s="222"/>
      <c r="PHG604" s="223"/>
      <c r="PHH604" s="224"/>
      <c r="PHI604" s="222"/>
      <c r="PHJ604" s="222"/>
      <c r="PHK604" s="222"/>
      <c r="PHL604" s="222"/>
      <c r="PHM604" s="222"/>
      <c r="PHN604" s="222"/>
      <c r="PHO604" s="223"/>
      <c r="PHP604" s="224"/>
      <c r="PHQ604" s="222"/>
      <c r="PHR604" s="222"/>
      <c r="PHS604" s="222"/>
      <c r="PHT604" s="222"/>
      <c r="PHU604" s="222"/>
      <c r="PHV604" s="222"/>
      <c r="PHW604" s="223"/>
      <c r="PHX604" s="224"/>
      <c r="PHY604" s="222"/>
      <c r="PHZ604" s="222"/>
      <c r="PIA604" s="222"/>
      <c r="PIB604" s="222"/>
      <c r="PIC604" s="222"/>
      <c r="PID604" s="222"/>
      <c r="PIE604" s="223"/>
      <c r="PIF604" s="224"/>
      <c r="PIG604" s="222"/>
      <c r="PIH604" s="222"/>
      <c r="PII604" s="222"/>
      <c r="PIJ604" s="222"/>
      <c r="PIK604" s="222"/>
      <c r="PIL604" s="222"/>
      <c r="PIM604" s="223"/>
      <c r="PIN604" s="224"/>
      <c r="PIO604" s="222"/>
      <c r="PIP604" s="222"/>
      <c r="PIQ604" s="222"/>
      <c r="PIR604" s="222"/>
      <c r="PIS604" s="222"/>
      <c r="PIT604" s="222"/>
      <c r="PIU604" s="223"/>
      <c r="PIV604" s="224"/>
      <c r="PIW604" s="222"/>
      <c r="PIX604" s="222"/>
      <c r="PIY604" s="222"/>
      <c r="PIZ604" s="222"/>
      <c r="PJA604" s="222"/>
      <c r="PJB604" s="222"/>
      <c r="PJC604" s="223"/>
      <c r="PJD604" s="224"/>
      <c r="PJE604" s="222"/>
      <c r="PJF604" s="222"/>
      <c r="PJG604" s="222"/>
      <c r="PJH604" s="222"/>
      <c r="PJI604" s="222"/>
      <c r="PJJ604" s="222"/>
      <c r="PJK604" s="223"/>
      <c r="PJL604" s="224"/>
      <c r="PJM604" s="222"/>
      <c r="PJN604" s="222"/>
      <c r="PJO604" s="222"/>
      <c r="PJP604" s="222"/>
      <c r="PJQ604" s="222"/>
      <c r="PJR604" s="222"/>
      <c r="PJS604" s="223"/>
      <c r="PJT604" s="224"/>
      <c r="PJU604" s="222"/>
      <c r="PJV604" s="222"/>
      <c r="PJW604" s="222"/>
      <c r="PJX604" s="222"/>
      <c r="PJY604" s="222"/>
      <c r="PJZ604" s="222"/>
      <c r="PKA604" s="223"/>
      <c r="PKB604" s="224"/>
      <c r="PKC604" s="222"/>
      <c r="PKD604" s="222"/>
      <c r="PKE604" s="222"/>
      <c r="PKF604" s="222"/>
      <c r="PKG604" s="222"/>
      <c r="PKH604" s="222"/>
      <c r="PKI604" s="223"/>
      <c r="PKJ604" s="224"/>
      <c r="PKK604" s="222"/>
      <c r="PKL604" s="222"/>
      <c r="PKM604" s="222"/>
      <c r="PKN604" s="222"/>
      <c r="PKO604" s="222"/>
      <c r="PKP604" s="222"/>
      <c r="PKQ604" s="223"/>
      <c r="PKR604" s="224"/>
      <c r="PKS604" s="222"/>
      <c r="PKT604" s="222"/>
      <c r="PKU604" s="222"/>
      <c r="PKV604" s="222"/>
      <c r="PKW604" s="222"/>
      <c r="PKX604" s="222"/>
      <c r="PKY604" s="223"/>
      <c r="PKZ604" s="224"/>
      <c r="PLA604" s="222"/>
      <c r="PLB604" s="222"/>
      <c r="PLC604" s="222"/>
      <c r="PLD604" s="222"/>
      <c r="PLE604" s="222"/>
      <c r="PLF604" s="222"/>
      <c r="PLG604" s="223"/>
      <c r="PLH604" s="224"/>
      <c r="PLI604" s="222"/>
      <c r="PLJ604" s="222"/>
      <c r="PLK604" s="222"/>
      <c r="PLL604" s="222"/>
      <c r="PLM604" s="222"/>
      <c r="PLN604" s="222"/>
      <c r="PLO604" s="223"/>
      <c r="PLP604" s="224"/>
      <c r="PLQ604" s="222"/>
      <c r="PLR604" s="222"/>
      <c r="PLS604" s="222"/>
      <c r="PLT604" s="222"/>
      <c r="PLU604" s="222"/>
      <c r="PLV604" s="222"/>
      <c r="PLW604" s="223"/>
      <c r="PLX604" s="224"/>
      <c r="PLY604" s="222"/>
      <c r="PLZ604" s="222"/>
      <c r="PMA604" s="222"/>
      <c r="PMB604" s="222"/>
      <c r="PMC604" s="222"/>
      <c r="PMD604" s="222"/>
      <c r="PME604" s="223"/>
      <c r="PMF604" s="224"/>
      <c r="PMG604" s="222"/>
      <c r="PMH604" s="222"/>
      <c r="PMI604" s="222"/>
      <c r="PMJ604" s="222"/>
      <c r="PMK604" s="222"/>
      <c r="PML604" s="222"/>
      <c r="PMM604" s="223"/>
      <c r="PMN604" s="224"/>
      <c r="PMO604" s="222"/>
      <c r="PMP604" s="222"/>
      <c r="PMQ604" s="222"/>
      <c r="PMR604" s="222"/>
      <c r="PMS604" s="222"/>
      <c r="PMT604" s="222"/>
      <c r="PMU604" s="223"/>
      <c r="PMV604" s="224"/>
      <c r="PMW604" s="222"/>
      <c r="PMX604" s="222"/>
      <c r="PMY604" s="222"/>
      <c r="PMZ604" s="222"/>
      <c r="PNA604" s="222"/>
      <c r="PNB604" s="222"/>
      <c r="PNC604" s="223"/>
      <c r="PND604" s="224"/>
      <c r="PNE604" s="222"/>
      <c r="PNF604" s="222"/>
      <c r="PNG604" s="222"/>
      <c r="PNH604" s="222"/>
      <c r="PNI604" s="222"/>
      <c r="PNJ604" s="222"/>
      <c r="PNK604" s="223"/>
      <c r="PNL604" s="224"/>
      <c r="PNM604" s="222"/>
      <c r="PNN604" s="222"/>
      <c r="PNO604" s="222"/>
      <c r="PNP604" s="222"/>
      <c r="PNQ604" s="222"/>
      <c r="PNR604" s="222"/>
      <c r="PNS604" s="223"/>
      <c r="PNT604" s="224"/>
      <c r="PNU604" s="222"/>
      <c r="PNV604" s="222"/>
      <c r="PNW604" s="222"/>
      <c r="PNX604" s="222"/>
      <c r="PNY604" s="222"/>
      <c r="PNZ604" s="222"/>
      <c r="POA604" s="223"/>
      <c r="POB604" s="224"/>
      <c r="POC604" s="222"/>
      <c r="POD604" s="222"/>
      <c r="POE604" s="222"/>
      <c r="POF604" s="222"/>
      <c r="POG604" s="222"/>
      <c r="POH604" s="222"/>
      <c r="POI604" s="223"/>
      <c r="POJ604" s="224"/>
      <c r="POK604" s="222"/>
      <c r="POL604" s="222"/>
      <c r="POM604" s="222"/>
      <c r="PON604" s="222"/>
      <c r="POO604" s="222"/>
      <c r="POP604" s="222"/>
      <c r="POQ604" s="223"/>
      <c r="POR604" s="224"/>
      <c r="POS604" s="222"/>
      <c r="POT604" s="222"/>
      <c r="POU604" s="222"/>
      <c r="POV604" s="222"/>
      <c r="POW604" s="222"/>
      <c r="POX604" s="222"/>
      <c r="POY604" s="223"/>
      <c r="POZ604" s="224"/>
      <c r="PPA604" s="222"/>
      <c r="PPB604" s="222"/>
      <c r="PPC604" s="222"/>
      <c r="PPD604" s="222"/>
      <c r="PPE604" s="222"/>
      <c r="PPF604" s="222"/>
      <c r="PPG604" s="223"/>
      <c r="PPH604" s="224"/>
      <c r="PPI604" s="222"/>
      <c r="PPJ604" s="222"/>
      <c r="PPK604" s="222"/>
      <c r="PPL604" s="222"/>
      <c r="PPM604" s="222"/>
      <c r="PPN604" s="222"/>
      <c r="PPO604" s="223"/>
      <c r="PPP604" s="224"/>
      <c r="PPQ604" s="222"/>
      <c r="PPR604" s="222"/>
      <c r="PPS604" s="222"/>
      <c r="PPT604" s="222"/>
      <c r="PPU604" s="222"/>
      <c r="PPV604" s="222"/>
      <c r="PPW604" s="223"/>
      <c r="PPX604" s="224"/>
      <c r="PPY604" s="222"/>
      <c r="PPZ604" s="222"/>
      <c r="PQA604" s="222"/>
      <c r="PQB604" s="222"/>
      <c r="PQC604" s="222"/>
      <c r="PQD604" s="222"/>
      <c r="PQE604" s="223"/>
      <c r="PQF604" s="224"/>
      <c r="PQG604" s="222"/>
      <c r="PQH604" s="222"/>
      <c r="PQI604" s="222"/>
      <c r="PQJ604" s="222"/>
      <c r="PQK604" s="222"/>
      <c r="PQL604" s="222"/>
      <c r="PQM604" s="223"/>
      <c r="PQN604" s="224"/>
      <c r="PQO604" s="222"/>
      <c r="PQP604" s="222"/>
      <c r="PQQ604" s="222"/>
      <c r="PQR604" s="222"/>
      <c r="PQS604" s="222"/>
      <c r="PQT604" s="222"/>
      <c r="PQU604" s="223"/>
      <c r="PQV604" s="224"/>
      <c r="PQW604" s="222"/>
      <c r="PQX604" s="222"/>
      <c r="PQY604" s="222"/>
      <c r="PQZ604" s="222"/>
      <c r="PRA604" s="222"/>
      <c r="PRB604" s="222"/>
      <c r="PRC604" s="223"/>
      <c r="PRD604" s="224"/>
      <c r="PRE604" s="222"/>
      <c r="PRF604" s="222"/>
      <c r="PRG604" s="222"/>
      <c r="PRH604" s="222"/>
      <c r="PRI604" s="222"/>
      <c r="PRJ604" s="222"/>
      <c r="PRK604" s="223"/>
      <c r="PRL604" s="224"/>
      <c r="PRM604" s="222"/>
      <c r="PRN604" s="222"/>
      <c r="PRO604" s="222"/>
      <c r="PRP604" s="222"/>
      <c r="PRQ604" s="222"/>
      <c r="PRR604" s="222"/>
      <c r="PRS604" s="223"/>
      <c r="PRT604" s="224"/>
      <c r="PRU604" s="222"/>
      <c r="PRV604" s="222"/>
      <c r="PRW604" s="222"/>
      <c r="PRX604" s="222"/>
      <c r="PRY604" s="222"/>
      <c r="PRZ604" s="222"/>
      <c r="PSA604" s="223"/>
      <c r="PSB604" s="224"/>
      <c r="PSC604" s="222"/>
      <c r="PSD604" s="222"/>
      <c r="PSE604" s="222"/>
      <c r="PSF604" s="222"/>
      <c r="PSG604" s="222"/>
      <c r="PSH604" s="222"/>
      <c r="PSI604" s="223"/>
      <c r="PSJ604" s="224"/>
      <c r="PSK604" s="222"/>
      <c r="PSL604" s="222"/>
      <c r="PSM604" s="222"/>
      <c r="PSN604" s="222"/>
      <c r="PSO604" s="222"/>
      <c r="PSP604" s="222"/>
      <c r="PSQ604" s="223"/>
      <c r="PSR604" s="224"/>
      <c r="PSS604" s="222"/>
      <c r="PST604" s="222"/>
      <c r="PSU604" s="222"/>
      <c r="PSV604" s="222"/>
      <c r="PSW604" s="222"/>
      <c r="PSX604" s="222"/>
      <c r="PSY604" s="223"/>
      <c r="PSZ604" s="224"/>
      <c r="PTA604" s="222"/>
      <c r="PTB604" s="222"/>
      <c r="PTC604" s="222"/>
      <c r="PTD604" s="222"/>
      <c r="PTE604" s="222"/>
      <c r="PTF604" s="222"/>
      <c r="PTG604" s="223"/>
      <c r="PTH604" s="224"/>
      <c r="PTI604" s="222"/>
      <c r="PTJ604" s="222"/>
      <c r="PTK604" s="222"/>
      <c r="PTL604" s="222"/>
      <c r="PTM604" s="222"/>
      <c r="PTN604" s="222"/>
      <c r="PTO604" s="223"/>
      <c r="PTP604" s="224"/>
      <c r="PTQ604" s="222"/>
      <c r="PTR604" s="222"/>
      <c r="PTS604" s="222"/>
      <c r="PTT604" s="222"/>
      <c r="PTU604" s="222"/>
      <c r="PTV604" s="222"/>
      <c r="PTW604" s="223"/>
      <c r="PTX604" s="224"/>
      <c r="PTY604" s="222"/>
      <c r="PTZ604" s="222"/>
      <c r="PUA604" s="222"/>
      <c r="PUB604" s="222"/>
      <c r="PUC604" s="222"/>
      <c r="PUD604" s="222"/>
      <c r="PUE604" s="223"/>
      <c r="PUF604" s="224"/>
      <c r="PUG604" s="222"/>
      <c r="PUH604" s="222"/>
      <c r="PUI604" s="222"/>
      <c r="PUJ604" s="222"/>
      <c r="PUK604" s="222"/>
      <c r="PUL604" s="222"/>
      <c r="PUM604" s="223"/>
      <c r="PUN604" s="224"/>
      <c r="PUO604" s="222"/>
      <c r="PUP604" s="222"/>
      <c r="PUQ604" s="222"/>
      <c r="PUR604" s="222"/>
      <c r="PUS604" s="222"/>
      <c r="PUT604" s="222"/>
      <c r="PUU604" s="223"/>
      <c r="PUV604" s="224"/>
      <c r="PUW604" s="222"/>
      <c r="PUX604" s="222"/>
      <c r="PUY604" s="222"/>
      <c r="PUZ604" s="222"/>
      <c r="PVA604" s="222"/>
      <c r="PVB604" s="222"/>
      <c r="PVC604" s="223"/>
      <c r="PVD604" s="224"/>
      <c r="PVE604" s="222"/>
      <c r="PVF604" s="222"/>
      <c r="PVG604" s="222"/>
      <c r="PVH604" s="222"/>
      <c r="PVI604" s="222"/>
      <c r="PVJ604" s="222"/>
      <c r="PVK604" s="223"/>
      <c r="PVL604" s="224"/>
      <c r="PVM604" s="222"/>
      <c r="PVN604" s="222"/>
      <c r="PVO604" s="222"/>
      <c r="PVP604" s="222"/>
      <c r="PVQ604" s="222"/>
      <c r="PVR604" s="222"/>
      <c r="PVS604" s="223"/>
      <c r="PVT604" s="224"/>
      <c r="PVU604" s="222"/>
      <c r="PVV604" s="222"/>
      <c r="PVW604" s="222"/>
      <c r="PVX604" s="222"/>
      <c r="PVY604" s="222"/>
      <c r="PVZ604" s="222"/>
      <c r="PWA604" s="223"/>
      <c r="PWB604" s="224"/>
      <c r="PWC604" s="222"/>
      <c r="PWD604" s="222"/>
      <c r="PWE604" s="222"/>
      <c r="PWF604" s="222"/>
      <c r="PWG604" s="222"/>
      <c r="PWH604" s="222"/>
      <c r="PWI604" s="223"/>
      <c r="PWJ604" s="224"/>
      <c r="PWK604" s="222"/>
      <c r="PWL604" s="222"/>
      <c r="PWM604" s="222"/>
      <c r="PWN604" s="222"/>
      <c r="PWO604" s="222"/>
      <c r="PWP604" s="222"/>
      <c r="PWQ604" s="223"/>
      <c r="PWR604" s="224"/>
      <c r="PWS604" s="222"/>
      <c r="PWT604" s="222"/>
      <c r="PWU604" s="222"/>
      <c r="PWV604" s="222"/>
      <c r="PWW604" s="222"/>
      <c r="PWX604" s="222"/>
      <c r="PWY604" s="223"/>
      <c r="PWZ604" s="224"/>
      <c r="PXA604" s="222"/>
      <c r="PXB604" s="222"/>
      <c r="PXC604" s="222"/>
      <c r="PXD604" s="222"/>
      <c r="PXE604" s="222"/>
      <c r="PXF604" s="222"/>
      <c r="PXG604" s="223"/>
      <c r="PXH604" s="224"/>
      <c r="PXI604" s="222"/>
      <c r="PXJ604" s="222"/>
      <c r="PXK604" s="222"/>
      <c r="PXL604" s="222"/>
      <c r="PXM604" s="222"/>
      <c r="PXN604" s="222"/>
      <c r="PXO604" s="223"/>
      <c r="PXP604" s="224"/>
      <c r="PXQ604" s="222"/>
      <c r="PXR604" s="222"/>
      <c r="PXS604" s="222"/>
      <c r="PXT604" s="222"/>
      <c r="PXU604" s="222"/>
      <c r="PXV604" s="222"/>
      <c r="PXW604" s="223"/>
      <c r="PXX604" s="224"/>
      <c r="PXY604" s="222"/>
      <c r="PXZ604" s="222"/>
      <c r="PYA604" s="222"/>
      <c r="PYB604" s="222"/>
      <c r="PYC604" s="222"/>
      <c r="PYD604" s="222"/>
      <c r="PYE604" s="223"/>
      <c r="PYF604" s="224"/>
      <c r="PYG604" s="222"/>
      <c r="PYH604" s="222"/>
      <c r="PYI604" s="222"/>
      <c r="PYJ604" s="222"/>
      <c r="PYK604" s="222"/>
      <c r="PYL604" s="222"/>
      <c r="PYM604" s="223"/>
      <c r="PYN604" s="224"/>
      <c r="PYO604" s="222"/>
      <c r="PYP604" s="222"/>
      <c r="PYQ604" s="222"/>
      <c r="PYR604" s="222"/>
      <c r="PYS604" s="222"/>
      <c r="PYT604" s="222"/>
      <c r="PYU604" s="223"/>
      <c r="PYV604" s="224"/>
      <c r="PYW604" s="222"/>
      <c r="PYX604" s="222"/>
      <c r="PYY604" s="222"/>
      <c r="PYZ604" s="222"/>
      <c r="PZA604" s="222"/>
      <c r="PZB604" s="222"/>
      <c r="PZC604" s="223"/>
      <c r="PZD604" s="224"/>
      <c r="PZE604" s="222"/>
      <c r="PZF604" s="222"/>
      <c r="PZG604" s="222"/>
      <c r="PZH604" s="222"/>
      <c r="PZI604" s="222"/>
      <c r="PZJ604" s="222"/>
      <c r="PZK604" s="223"/>
      <c r="PZL604" s="224"/>
      <c r="PZM604" s="222"/>
      <c r="PZN604" s="222"/>
      <c r="PZO604" s="222"/>
      <c r="PZP604" s="222"/>
      <c r="PZQ604" s="222"/>
      <c r="PZR604" s="222"/>
      <c r="PZS604" s="223"/>
      <c r="PZT604" s="224"/>
      <c r="PZU604" s="222"/>
      <c r="PZV604" s="222"/>
      <c r="PZW604" s="222"/>
      <c r="PZX604" s="222"/>
      <c r="PZY604" s="222"/>
      <c r="PZZ604" s="222"/>
      <c r="QAA604" s="223"/>
      <c r="QAB604" s="224"/>
      <c r="QAC604" s="222"/>
      <c r="QAD604" s="222"/>
      <c r="QAE604" s="222"/>
      <c r="QAF604" s="222"/>
      <c r="QAG604" s="222"/>
      <c r="QAH604" s="222"/>
      <c r="QAI604" s="223"/>
      <c r="QAJ604" s="224"/>
      <c r="QAK604" s="222"/>
      <c r="QAL604" s="222"/>
      <c r="QAM604" s="222"/>
      <c r="QAN604" s="222"/>
      <c r="QAO604" s="222"/>
      <c r="QAP604" s="222"/>
      <c r="QAQ604" s="223"/>
      <c r="QAR604" s="224"/>
      <c r="QAS604" s="222"/>
      <c r="QAT604" s="222"/>
      <c r="QAU604" s="222"/>
      <c r="QAV604" s="222"/>
      <c r="QAW604" s="222"/>
      <c r="QAX604" s="222"/>
      <c r="QAY604" s="223"/>
      <c r="QAZ604" s="224"/>
      <c r="QBA604" s="222"/>
      <c r="QBB604" s="222"/>
      <c r="QBC604" s="222"/>
      <c r="QBD604" s="222"/>
      <c r="QBE604" s="222"/>
      <c r="QBF604" s="222"/>
      <c r="QBG604" s="223"/>
      <c r="QBH604" s="224"/>
      <c r="QBI604" s="222"/>
      <c r="QBJ604" s="222"/>
      <c r="QBK604" s="222"/>
      <c r="QBL604" s="222"/>
      <c r="QBM604" s="222"/>
      <c r="QBN604" s="222"/>
      <c r="QBO604" s="223"/>
      <c r="QBP604" s="224"/>
      <c r="QBQ604" s="222"/>
      <c r="QBR604" s="222"/>
      <c r="QBS604" s="222"/>
      <c r="QBT604" s="222"/>
      <c r="QBU604" s="222"/>
      <c r="QBV604" s="222"/>
      <c r="QBW604" s="223"/>
      <c r="QBX604" s="224"/>
      <c r="QBY604" s="222"/>
      <c r="QBZ604" s="222"/>
      <c r="QCA604" s="222"/>
      <c r="QCB604" s="222"/>
      <c r="QCC604" s="222"/>
      <c r="QCD604" s="222"/>
      <c r="QCE604" s="223"/>
      <c r="QCF604" s="224"/>
      <c r="QCG604" s="222"/>
      <c r="QCH604" s="222"/>
      <c r="QCI604" s="222"/>
      <c r="QCJ604" s="222"/>
      <c r="QCK604" s="222"/>
      <c r="QCL604" s="222"/>
      <c r="QCM604" s="223"/>
      <c r="QCN604" s="224"/>
      <c r="QCO604" s="222"/>
      <c r="QCP604" s="222"/>
      <c r="QCQ604" s="222"/>
      <c r="QCR604" s="222"/>
      <c r="QCS604" s="222"/>
      <c r="QCT604" s="222"/>
      <c r="QCU604" s="223"/>
      <c r="QCV604" s="224"/>
      <c r="QCW604" s="222"/>
      <c r="QCX604" s="222"/>
      <c r="QCY604" s="222"/>
      <c r="QCZ604" s="222"/>
      <c r="QDA604" s="222"/>
      <c r="QDB604" s="222"/>
      <c r="QDC604" s="223"/>
      <c r="QDD604" s="224"/>
      <c r="QDE604" s="222"/>
      <c r="QDF604" s="222"/>
      <c r="QDG604" s="222"/>
      <c r="QDH604" s="222"/>
      <c r="QDI604" s="222"/>
      <c r="QDJ604" s="222"/>
      <c r="QDK604" s="223"/>
      <c r="QDL604" s="224"/>
      <c r="QDM604" s="222"/>
      <c r="QDN604" s="222"/>
      <c r="QDO604" s="222"/>
      <c r="QDP604" s="222"/>
      <c r="QDQ604" s="222"/>
      <c r="QDR604" s="222"/>
      <c r="QDS604" s="223"/>
      <c r="QDT604" s="224"/>
      <c r="QDU604" s="222"/>
      <c r="QDV604" s="222"/>
      <c r="QDW604" s="222"/>
      <c r="QDX604" s="222"/>
      <c r="QDY604" s="222"/>
      <c r="QDZ604" s="222"/>
      <c r="QEA604" s="223"/>
      <c r="QEB604" s="224"/>
      <c r="QEC604" s="222"/>
      <c r="QED604" s="222"/>
      <c r="QEE604" s="222"/>
      <c r="QEF604" s="222"/>
      <c r="QEG604" s="222"/>
      <c r="QEH604" s="222"/>
      <c r="QEI604" s="223"/>
      <c r="QEJ604" s="224"/>
      <c r="QEK604" s="222"/>
      <c r="QEL604" s="222"/>
      <c r="QEM604" s="222"/>
      <c r="QEN604" s="222"/>
      <c r="QEO604" s="222"/>
      <c r="QEP604" s="222"/>
      <c r="QEQ604" s="223"/>
      <c r="QER604" s="224"/>
      <c r="QES604" s="222"/>
      <c r="QET604" s="222"/>
      <c r="QEU604" s="222"/>
      <c r="QEV604" s="222"/>
      <c r="QEW604" s="222"/>
      <c r="QEX604" s="222"/>
      <c r="QEY604" s="223"/>
      <c r="QEZ604" s="224"/>
      <c r="QFA604" s="222"/>
      <c r="QFB604" s="222"/>
      <c r="QFC604" s="222"/>
      <c r="QFD604" s="222"/>
      <c r="QFE604" s="222"/>
      <c r="QFF604" s="222"/>
      <c r="QFG604" s="223"/>
      <c r="QFH604" s="224"/>
      <c r="QFI604" s="222"/>
      <c r="QFJ604" s="222"/>
      <c r="QFK604" s="222"/>
      <c r="QFL604" s="222"/>
      <c r="QFM604" s="222"/>
      <c r="QFN604" s="222"/>
      <c r="QFO604" s="223"/>
      <c r="QFP604" s="224"/>
      <c r="QFQ604" s="222"/>
      <c r="QFR604" s="222"/>
      <c r="QFS604" s="222"/>
      <c r="QFT604" s="222"/>
      <c r="QFU604" s="222"/>
      <c r="QFV604" s="222"/>
      <c r="QFW604" s="223"/>
      <c r="QFX604" s="224"/>
      <c r="QFY604" s="222"/>
      <c r="QFZ604" s="222"/>
      <c r="QGA604" s="222"/>
      <c r="QGB604" s="222"/>
      <c r="QGC604" s="222"/>
      <c r="QGD604" s="222"/>
      <c r="QGE604" s="223"/>
      <c r="QGF604" s="224"/>
      <c r="QGG604" s="222"/>
      <c r="QGH604" s="222"/>
      <c r="QGI604" s="222"/>
      <c r="QGJ604" s="222"/>
      <c r="QGK604" s="222"/>
      <c r="QGL604" s="222"/>
      <c r="QGM604" s="223"/>
      <c r="QGN604" s="224"/>
      <c r="QGO604" s="222"/>
      <c r="QGP604" s="222"/>
      <c r="QGQ604" s="222"/>
      <c r="QGR604" s="222"/>
      <c r="QGS604" s="222"/>
      <c r="QGT604" s="222"/>
      <c r="QGU604" s="223"/>
      <c r="QGV604" s="224"/>
      <c r="QGW604" s="222"/>
      <c r="QGX604" s="222"/>
      <c r="QGY604" s="222"/>
      <c r="QGZ604" s="222"/>
      <c r="QHA604" s="222"/>
      <c r="QHB604" s="222"/>
      <c r="QHC604" s="223"/>
      <c r="QHD604" s="224"/>
      <c r="QHE604" s="222"/>
      <c r="QHF604" s="222"/>
      <c r="QHG604" s="222"/>
      <c r="QHH604" s="222"/>
      <c r="QHI604" s="222"/>
      <c r="QHJ604" s="222"/>
      <c r="QHK604" s="223"/>
      <c r="QHL604" s="224"/>
      <c r="QHM604" s="222"/>
      <c r="QHN604" s="222"/>
      <c r="QHO604" s="222"/>
      <c r="QHP604" s="222"/>
      <c r="QHQ604" s="222"/>
      <c r="QHR604" s="222"/>
      <c r="QHS604" s="223"/>
      <c r="QHT604" s="224"/>
      <c r="QHU604" s="222"/>
      <c r="QHV604" s="222"/>
      <c r="QHW604" s="222"/>
      <c r="QHX604" s="222"/>
      <c r="QHY604" s="222"/>
      <c r="QHZ604" s="222"/>
      <c r="QIA604" s="223"/>
      <c r="QIB604" s="224"/>
      <c r="QIC604" s="222"/>
      <c r="QID604" s="222"/>
      <c r="QIE604" s="222"/>
      <c r="QIF604" s="222"/>
      <c r="QIG604" s="222"/>
      <c r="QIH604" s="222"/>
      <c r="QII604" s="223"/>
      <c r="QIJ604" s="224"/>
      <c r="QIK604" s="222"/>
      <c r="QIL604" s="222"/>
      <c r="QIM604" s="222"/>
      <c r="QIN604" s="222"/>
      <c r="QIO604" s="222"/>
      <c r="QIP604" s="222"/>
      <c r="QIQ604" s="223"/>
      <c r="QIR604" s="224"/>
      <c r="QIS604" s="222"/>
      <c r="QIT604" s="222"/>
      <c r="QIU604" s="222"/>
      <c r="QIV604" s="222"/>
      <c r="QIW604" s="222"/>
      <c r="QIX604" s="222"/>
      <c r="QIY604" s="223"/>
      <c r="QIZ604" s="224"/>
      <c r="QJA604" s="222"/>
      <c r="QJB604" s="222"/>
      <c r="QJC604" s="222"/>
      <c r="QJD604" s="222"/>
      <c r="QJE604" s="222"/>
      <c r="QJF604" s="222"/>
      <c r="QJG604" s="223"/>
      <c r="QJH604" s="224"/>
      <c r="QJI604" s="222"/>
      <c r="QJJ604" s="222"/>
      <c r="QJK604" s="222"/>
      <c r="QJL604" s="222"/>
      <c r="QJM604" s="222"/>
      <c r="QJN604" s="222"/>
      <c r="QJO604" s="223"/>
      <c r="QJP604" s="224"/>
      <c r="QJQ604" s="222"/>
      <c r="QJR604" s="222"/>
      <c r="QJS604" s="222"/>
      <c r="QJT604" s="222"/>
      <c r="QJU604" s="222"/>
      <c r="QJV604" s="222"/>
      <c r="QJW604" s="223"/>
      <c r="QJX604" s="224"/>
      <c r="QJY604" s="222"/>
      <c r="QJZ604" s="222"/>
      <c r="QKA604" s="222"/>
      <c r="QKB604" s="222"/>
      <c r="QKC604" s="222"/>
      <c r="QKD604" s="222"/>
      <c r="QKE604" s="223"/>
      <c r="QKF604" s="224"/>
      <c r="QKG604" s="222"/>
      <c r="QKH604" s="222"/>
      <c r="QKI604" s="222"/>
      <c r="QKJ604" s="222"/>
      <c r="QKK604" s="222"/>
      <c r="QKL604" s="222"/>
      <c r="QKM604" s="223"/>
      <c r="QKN604" s="224"/>
      <c r="QKO604" s="222"/>
      <c r="QKP604" s="222"/>
      <c r="QKQ604" s="222"/>
      <c r="QKR604" s="222"/>
      <c r="QKS604" s="222"/>
      <c r="QKT604" s="222"/>
      <c r="QKU604" s="223"/>
      <c r="QKV604" s="224"/>
      <c r="QKW604" s="222"/>
      <c r="QKX604" s="222"/>
      <c r="QKY604" s="222"/>
      <c r="QKZ604" s="222"/>
      <c r="QLA604" s="222"/>
      <c r="QLB604" s="222"/>
      <c r="QLC604" s="223"/>
      <c r="QLD604" s="224"/>
      <c r="QLE604" s="222"/>
      <c r="QLF604" s="222"/>
      <c r="QLG604" s="222"/>
      <c r="QLH604" s="222"/>
      <c r="QLI604" s="222"/>
      <c r="QLJ604" s="222"/>
      <c r="QLK604" s="223"/>
      <c r="QLL604" s="224"/>
      <c r="QLM604" s="222"/>
      <c r="QLN604" s="222"/>
      <c r="QLO604" s="222"/>
      <c r="QLP604" s="222"/>
      <c r="QLQ604" s="222"/>
      <c r="QLR604" s="222"/>
      <c r="QLS604" s="223"/>
      <c r="QLT604" s="224"/>
      <c r="QLU604" s="222"/>
      <c r="QLV604" s="222"/>
      <c r="QLW604" s="222"/>
      <c r="QLX604" s="222"/>
      <c r="QLY604" s="222"/>
      <c r="QLZ604" s="222"/>
      <c r="QMA604" s="223"/>
      <c r="QMB604" s="224"/>
      <c r="QMC604" s="222"/>
      <c r="QMD604" s="222"/>
      <c r="QME604" s="222"/>
      <c r="QMF604" s="222"/>
      <c r="QMG604" s="222"/>
      <c r="QMH604" s="222"/>
      <c r="QMI604" s="223"/>
      <c r="QMJ604" s="224"/>
      <c r="QMK604" s="222"/>
      <c r="QML604" s="222"/>
      <c r="QMM604" s="222"/>
      <c r="QMN604" s="222"/>
      <c r="QMO604" s="222"/>
      <c r="QMP604" s="222"/>
      <c r="QMQ604" s="223"/>
      <c r="QMR604" s="224"/>
      <c r="QMS604" s="222"/>
      <c r="QMT604" s="222"/>
      <c r="QMU604" s="222"/>
      <c r="QMV604" s="222"/>
      <c r="QMW604" s="222"/>
      <c r="QMX604" s="222"/>
      <c r="QMY604" s="223"/>
      <c r="QMZ604" s="224"/>
      <c r="QNA604" s="222"/>
      <c r="QNB604" s="222"/>
      <c r="QNC604" s="222"/>
      <c r="QND604" s="222"/>
      <c r="QNE604" s="222"/>
      <c r="QNF604" s="222"/>
      <c r="QNG604" s="223"/>
      <c r="QNH604" s="224"/>
      <c r="QNI604" s="222"/>
      <c r="QNJ604" s="222"/>
      <c r="QNK604" s="222"/>
      <c r="QNL604" s="222"/>
      <c r="QNM604" s="222"/>
      <c r="QNN604" s="222"/>
      <c r="QNO604" s="223"/>
      <c r="QNP604" s="224"/>
      <c r="QNQ604" s="222"/>
      <c r="QNR604" s="222"/>
      <c r="QNS604" s="222"/>
      <c r="QNT604" s="222"/>
      <c r="QNU604" s="222"/>
      <c r="QNV604" s="222"/>
      <c r="QNW604" s="223"/>
      <c r="QNX604" s="224"/>
      <c r="QNY604" s="222"/>
      <c r="QNZ604" s="222"/>
      <c r="QOA604" s="222"/>
      <c r="QOB604" s="222"/>
      <c r="QOC604" s="222"/>
      <c r="QOD604" s="222"/>
      <c r="QOE604" s="223"/>
      <c r="QOF604" s="224"/>
      <c r="QOG604" s="222"/>
      <c r="QOH604" s="222"/>
      <c r="QOI604" s="222"/>
      <c r="QOJ604" s="222"/>
      <c r="QOK604" s="222"/>
      <c r="QOL604" s="222"/>
      <c r="QOM604" s="223"/>
      <c r="QON604" s="224"/>
      <c r="QOO604" s="222"/>
      <c r="QOP604" s="222"/>
      <c r="QOQ604" s="222"/>
      <c r="QOR604" s="222"/>
      <c r="QOS604" s="222"/>
      <c r="QOT604" s="222"/>
      <c r="QOU604" s="223"/>
      <c r="QOV604" s="224"/>
      <c r="QOW604" s="222"/>
      <c r="QOX604" s="222"/>
      <c r="QOY604" s="222"/>
      <c r="QOZ604" s="222"/>
      <c r="QPA604" s="222"/>
      <c r="QPB604" s="222"/>
      <c r="QPC604" s="223"/>
      <c r="QPD604" s="224"/>
      <c r="QPE604" s="222"/>
      <c r="QPF604" s="222"/>
      <c r="QPG604" s="222"/>
      <c r="QPH604" s="222"/>
      <c r="QPI604" s="222"/>
      <c r="QPJ604" s="222"/>
      <c r="QPK604" s="223"/>
      <c r="QPL604" s="224"/>
      <c r="QPM604" s="222"/>
      <c r="QPN604" s="222"/>
      <c r="QPO604" s="222"/>
      <c r="QPP604" s="222"/>
      <c r="QPQ604" s="222"/>
      <c r="QPR604" s="222"/>
      <c r="QPS604" s="223"/>
      <c r="QPT604" s="224"/>
      <c r="QPU604" s="222"/>
      <c r="QPV604" s="222"/>
      <c r="QPW604" s="222"/>
      <c r="QPX604" s="222"/>
      <c r="QPY604" s="222"/>
      <c r="QPZ604" s="222"/>
      <c r="QQA604" s="223"/>
      <c r="QQB604" s="224"/>
      <c r="QQC604" s="222"/>
      <c r="QQD604" s="222"/>
      <c r="QQE604" s="222"/>
      <c r="QQF604" s="222"/>
      <c r="QQG604" s="222"/>
      <c r="QQH604" s="222"/>
      <c r="QQI604" s="223"/>
      <c r="QQJ604" s="224"/>
      <c r="QQK604" s="222"/>
      <c r="QQL604" s="222"/>
      <c r="QQM604" s="222"/>
      <c r="QQN604" s="222"/>
      <c r="QQO604" s="222"/>
      <c r="QQP604" s="222"/>
      <c r="QQQ604" s="223"/>
      <c r="QQR604" s="224"/>
      <c r="QQS604" s="222"/>
      <c r="QQT604" s="222"/>
      <c r="QQU604" s="222"/>
      <c r="QQV604" s="222"/>
      <c r="QQW604" s="222"/>
      <c r="QQX604" s="222"/>
      <c r="QQY604" s="223"/>
      <c r="QQZ604" s="224"/>
      <c r="QRA604" s="222"/>
      <c r="QRB604" s="222"/>
      <c r="QRC604" s="222"/>
      <c r="QRD604" s="222"/>
      <c r="QRE604" s="222"/>
      <c r="QRF604" s="222"/>
      <c r="QRG604" s="223"/>
      <c r="QRH604" s="224"/>
      <c r="QRI604" s="222"/>
      <c r="QRJ604" s="222"/>
      <c r="QRK604" s="222"/>
      <c r="QRL604" s="222"/>
      <c r="QRM604" s="222"/>
      <c r="QRN604" s="222"/>
      <c r="QRO604" s="223"/>
      <c r="QRP604" s="224"/>
      <c r="QRQ604" s="222"/>
      <c r="QRR604" s="222"/>
      <c r="QRS604" s="222"/>
      <c r="QRT604" s="222"/>
      <c r="QRU604" s="222"/>
      <c r="QRV604" s="222"/>
      <c r="QRW604" s="223"/>
      <c r="QRX604" s="224"/>
      <c r="QRY604" s="222"/>
      <c r="QRZ604" s="222"/>
      <c r="QSA604" s="222"/>
      <c r="QSB604" s="222"/>
      <c r="QSC604" s="222"/>
      <c r="QSD604" s="222"/>
      <c r="QSE604" s="223"/>
      <c r="QSF604" s="224"/>
      <c r="QSG604" s="222"/>
      <c r="QSH604" s="222"/>
      <c r="QSI604" s="222"/>
      <c r="QSJ604" s="222"/>
      <c r="QSK604" s="222"/>
      <c r="QSL604" s="222"/>
      <c r="QSM604" s="223"/>
      <c r="QSN604" s="224"/>
      <c r="QSO604" s="222"/>
      <c r="QSP604" s="222"/>
      <c r="QSQ604" s="222"/>
      <c r="QSR604" s="222"/>
      <c r="QSS604" s="222"/>
      <c r="QST604" s="222"/>
      <c r="QSU604" s="223"/>
      <c r="QSV604" s="224"/>
      <c r="QSW604" s="222"/>
      <c r="QSX604" s="222"/>
      <c r="QSY604" s="222"/>
      <c r="QSZ604" s="222"/>
      <c r="QTA604" s="222"/>
      <c r="QTB604" s="222"/>
      <c r="QTC604" s="223"/>
      <c r="QTD604" s="224"/>
      <c r="QTE604" s="222"/>
      <c r="QTF604" s="222"/>
      <c r="QTG604" s="222"/>
      <c r="QTH604" s="222"/>
      <c r="QTI604" s="222"/>
      <c r="QTJ604" s="222"/>
      <c r="QTK604" s="223"/>
      <c r="QTL604" s="224"/>
      <c r="QTM604" s="222"/>
      <c r="QTN604" s="222"/>
      <c r="QTO604" s="222"/>
      <c r="QTP604" s="222"/>
      <c r="QTQ604" s="222"/>
      <c r="QTR604" s="222"/>
      <c r="QTS604" s="223"/>
      <c r="QTT604" s="224"/>
      <c r="QTU604" s="222"/>
      <c r="QTV604" s="222"/>
      <c r="QTW604" s="222"/>
      <c r="QTX604" s="222"/>
      <c r="QTY604" s="222"/>
      <c r="QTZ604" s="222"/>
      <c r="QUA604" s="223"/>
      <c r="QUB604" s="224"/>
      <c r="QUC604" s="222"/>
      <c r="QUD604" s="222"/>
      <c r="QUE604" s="222"/>
      <c r="QUF604" s="222"/>
      <c r="QUG604" s="222"/>
      <c r="QUH604" s="222"/>
      <c r="QUI604" s="223"/>
      <c r="QUJ604" s="224"/>
      <c r="QUK604" s="222"/>
      <c r="QUL604" s="222"/>
      <c r="QUM604" s="222"/>
      <c r="QUN604" s="222"/>
      <c r="QUO604" s="222"/>
      <c r="QUP604" s="222"/>
      <c r="QUQ604" s="223"/>
      <c r="QUR604" s="224"/>
      <c r="QUS604" s="222"/>
      <c r="QUT604" s="222"/>
      <c r="QUU604" s="222"/>
      <c r="QUV604" s="222"/>
      <c r="QUW604" s="222"/>
      <c r="QUX604" s="222"/>
      <c r="QUY604" s="223"/>
      <c r="QUZ604" s="224"/>
      <c r="QVA604" s="222"/>
      <c r="QVB604" s="222"/>
      <c r="QVC604" s="222"/>
      <c r="QVD604" s="222"/>
      <c r="QVE604" s="222"/>
      <c r="QVF604" s="222"/>
      <c r="QVG604" s="223"/>
      <c r="QVH604" s="224"/>
      <c r="QVI604" s="222"/>
      <c r="QVJ604" s="222"/>
      <c r="QVK604" s="222"/>
      <c r="QVL604" s="222"/>
      <c r="QVM604" s="222"/>
      <c r="QVN604" s="222"/>
      <c r="QVO604" s="223"/>
      <c r="QVP604" s="224"/>
      <c r="QVQ604" s="222"/>
      <c r="QVR604" s="222"/>
      <c r="QVS604" s="222"/>
      <c r="QVT604" s="222"/>
      <c r="QVU604" s="222"/>
      <c r="QVV604" s="222"/>
      <c r="QVW604" s="223"/>
      <c r="QVX604" s="224"/>
      <c r="QVY604" s="222"/>
      <c r="QVZ604" s="222"/>
      <c r="QWA604" s="222"/>
      <c r="QWB604" s="222"/>
      <c r="QWC604" s="222"/>
      <c r="QWD604" s="222"/>
      <c r="QWE604" s="223"/>
      <c r="QWF604" s="224"/>
      <c r="QWG604" s="222"/>
      <c r="QWH604" s="222"/>
      <c r="QWI604" s="222"/>
      <c r="QWJ604" s="222"/>
      <c r="QWK604" s="222"/>
      <c r="QWL604" s="222"/>
      <c r="QWM604" s="223"/>
      <c r="QWN604" s="224"/>
      <c r="QWO604" s="222"/>
      <c r="QWP604" s="222"/>
      <c r="QWQ604" s="222"/>
      <c r="QWR604" s="222"/>
      <c r="QWS604" s="222"/>
      <c r="QWT604" s="222"/>
      <c r="QWU604" s="223"/>
      <c r="QWV604" s="224"/>
      <c r="QWW604" s="222"/>
      <c r="QWX604" s="222"/>
      <c r="QWY604" s="222"/>
      <c r="QWZ604" s="222"/>
      <c r="QXA604" s="222"/>
      <c r="QXB604" s="222"/>
      <c r="QXC604" s="223"/>
      <c r="QXD604" s="224"/>
      <c r="QXE604" s="222"/>
      <c r="QXF604" s="222"/>
      <c r="QXG604" s="222"/>
      <c r="QXH604" s="222"/>
      <c r="QXI604" s="222"/>
      <c r="QXJ604" s="222"/>
      <c r="QXK604" s="223"/>
      <c r="QXL604" s="224"/>
      <c r="QXM604" s="222"/>
      <c r="QXN604" s="222"/>
      <c r="QXO604" s="222"/>
      <c r="QXP604" s="222"/>
      <c r="QXQ604" s="222"/>
      <c r="QXR604" s="222"/>
      <c r="QXS604" s="223"/>
      <c r="QXT604" s="224"/>
      <c r="QXU604" s="222"/>
      <c r="QXV604" s="222"/>
      <c r="QXW604" s="222"/>
      <c r="QXX604" s="222"/>
      <c r="QXY604" s="222"/>
      <c r="QXZ604" s="222"/>
      <c r="QYA604" s="223"/>
      <c r="QYB604" s="224"/>
      <c r="QYC604" s="222"/>
      <c r="QYD604" s="222"/>
      <c r="QYE604" s="222"/>
      <c r="QYF604" s="222"/>
      <c r="QYG604" s="222"/>
      <c r="QYH604" s="222"/>
      <c r="QYI604" s="223"/>
      <c r="QYJ604" s="224"/>
      <c r="QYK604" s="222"/>
      <c r="QYL604" s="222"/>
      <c r="QYM604" s="222"/>
      <c r="QYN604" s="222"/>
      <c r="QYO604" s="222"/>
      <c r="QYP604" s="222"/>
      <c r="QYQ604" s="223"/>
      <c r="QYR604" s="224"/>
      <c r="QYS604" s="222"/>
      <c r="QYT604" s="222"/>
      <c r="QYU604" s="222"/>
      <c r="QYV604" s="222"/>
      <c r="QYW604" s="222"/>
      <c r="QYX604" s="222"/>
      <c r="QYY604" s="223"/>
      <c r="QYZ604" s="224"/>
      <c r="QZA604" s="222"/>
      <c r="QZB604" s="222"/>
      <c r="QZC604" s="222"/>
      <c r="QZD604" s="222"/>
      <c r="QZE604" s="222"/>
      <c r="QZF604" s="222"/>
      <c r="QZG604" s="223"/>
      <c r="QZH604" s="224"/>
      <c r="QZI604" s="222"/>
      <c r="QZJ604" s="222"/>
      <c r="QZK604" s="222"/>
      <c r="QZL604" s="222"/>
      <c r="QZM604" s="222"/>
      <c r="QZN604" s="222"/>
      <c r="QZO604" s="223"/>
      <c r="QZP604" s="224"/>
      <c r="QZQ604" s="222"/>
      <c r="QZR604" s="222"/>
      <c r="QZS604" s="222"/>
      <c r="QZT604" s="222"/>
      <c r="QZU604" s="222"/>
      <c r="QZV604" s="222"/>
      <c r="QZW604" s="223"/>
      <c r="QZX604" s="224"/>
      <c r="QZY604" s="222"/>
      <c r="QZZ604" s="222"/>
      <c r="RAA604" s="222"/>
      <c r="RAB604" s="222"/>
      <c r="RAC604" s="222"/>
      <c r="RAD604" s="222"/>
      <c r="RAE604" s="223"/>
      <c r="RAF604" s="224"/>
      <c r="RAG604" s="222"/>
      <c r="RAH604" s="222"/>
      <c r="RAI604" s="222"/>
      <c r="RAJ604" s="222"/>
      <c r="RAK604" s="222"/>
      <c r="RAL604" s="222"/>
      <c r="RAM604" s="223"/>
      <c r="RAN604" s="224"/>
      <c r="RAO604" s="222"/>
      <c r="RAP604" s="222"/>
      <c r="RAQ604" s="222"/>
      <c r="RAR604" s="222"/>
      <c r="RAS604" s="222"/>
      <c r="RAT604" s="222"/>
      <c r="RAU604" s="223"/>
      <c r="RAV604" s="224"/>
      <c r="RAW604" s="222"/>
      <c r="RAX604" s="222"/>
      <c r="RAY604" s="222"/>
      <c r="RAZ604" s="222"/>
      <c r="RBA604" s="222"/>
      <c r="RBB604" s="222"/>
      <c r="RBC604" s="223"/>
      <c r="RBD604" s="224"/>
      <c r="RBE604" s="222"/>
      <c r="RBF604" s="222"/>
      <c r="RBG604" s="222"/>
      <c r="RBH604" s="222"/>
      <c r="RBI604" s="222"/>
      <c r="RBJ604" s="222"/>
      <c r="RBK604" s="223"/>
      <c r="RBL604" s="224"/>
      <c r="RBM604" s="222"/>
      <c r="RBN604" s="222"/>
      <c r="RBO604" s="222"/>
      <c r="RBP604" s="222"/>
      <c r="RBQ604" s="222"/>
      <c r="RBR604" s="222"/>
      <c r="RBS604" s="223"/>
      <c r="RBT604" s="224"/>
      <c r="RBU604" s="222"/>
      <c r="RBV604" s="222"/>
      <c r="RBW604" s="222"/>
      <c r="RBX604" s="222"/>
      <c r="RBY604" s="222"/>
      <c r="RBZ604" s="222"/>
      <c r="RCA604" s="223"/>
      <c r="RCB604" s="224"/>
      <c r="RCC604" s="222"/>
      <c r="RCD604" s="222"/>
      <c r="RCE604" s="222"/>
      <c r="RCF604" s="222"/>
      <c r="RCG604" s="222"/>
      <c r="RCH604" s="222"/>
      <c r="RCI604" s="223"/>
      <c r="RCJ604" s="224"/>
      <c r="RCK604" s="222"/>
      <c r="RCL604" s="222"/>
      <c r="RCM604" s="222"/>
      <c r="RCN604" s="222"/>
      <c r="RCO604" s="222"/>
      <c r="RCP604" s="222"/>
      <c r="RCQ604" s="223"/>
      <c r="RCR604" s="224"/>
      <c r="RCS604" s="222"/>
      <c r="RCT604" s="222"/>
      <c r="RCU604" s="222"/>
      <c r="RCV604" s="222"/>
      <c r="RCW604" s="222"/>
      <c r="RCX604" s="222"/>
      <c r="RCY604" s="223"/>
      <c r="RCZ604" s="224"/>
      <c r="RDA604" s="222"/>
      <c r="RDB604" s="222"/>
      <c r="RDC604" s="222"/>
      <c r="RDD604" s="222"/>
      <c r="RDE604" s="222"/>
      <c r="RDF604" s="222"/>
      <c r="RDG604" s="223"/>
      <c r="RDH604" s="224"/>
      <c r="RDI604" s="222"/>
      <c r="RDJ604" s="222"/>
      <c r="RDK604" s="222"/>
      <c r="RDL604" s="222"/>
      <c r="RDM604" s="222"/>
      <c r="RDN604" s="222"/>
      <c r="RDO604" s="223"/>
      <c r="RDP604" s="224"/>
      <c r="RDQ604" s="222"/>
      <c r="RDR604" s="222"/>
      <c r="RDS604" s="222"/>
      <c r="RDT604" s="222"/>
      <c r="RDU604" s="222"/>
      <c r="RDV604" s="222"/>
      <c r="RDW604" s="223"/>
      <c r="RDX604" s="224"/>
      <c r="RDY604" s="222"/>
      <c r="RDZ604" s="222"/>
      <c r="REA604" s="222"/>
      <c r="REB604" s="222"/>
      <c r="REC604" s="222"/>
      <c r="RED604" s="222"/>
      <c r="REE604" s="223"/>
      <c r="REF604" s="224"/>
      <c r="REG604" s="222"/>
      <c r="REH604" s="222"/>
      <c r="REI604" s="222"/>
      <c r="REJ604" s="222"/>
      <c r="REK604" s="222"/>
      <c r="REL604" s="222"/>
      <c r="REM604" s="223"/>
      <c r="REN604" s="224"/>
      <c r="REO604" s="222"/>
      <c r="REP604" s="222"/>
      <c r="REQ604" s="222"/>
      <c r="RER604" s="222"/>
      <c r="RES604" s="222"/>
      <c r="RET604" s="222"/>
      <c r="REU604" s="223"/>
      <c r="REV604" s="224"/>
      <c r="REW604" s="222"/>
      <c r="REX604" s="222"/>
      <c r="REY604" s="222"/>
      <c r="REZ604" s="222"/>
      <c r="RFA604" s="222"/>
      <c r="RFB604" s="222"/>
      <c r="RFC604" s="223"/>
      <c r="RFD604" s="224"/>
      <c r="RFE604" s="222"/>
      <c r="RFF604" s="222"/>
      <c r="RFG604" s="222"/>
      <c r="RFH604" s="222"/>
      <c r="RFI604" s="222"/>
      <c r="RFJ604" s="222"/>
      <c r="RFK604" s="223"/>
      <c r="RFL604" s="224"/>
      <c r="RFM604" s="222"/>
      <c r="RFN604" s="222"/>
      <c r="RFO604" s="222"/>
      <c r="RFP604" s="222"/>
      <c r="RFQ604" s="222"/>
      <c r="RFR604" s="222"/>
      <c r="RFS604" s="223"/>
      <c r="RFT604" s="224"/>
      <c r="RFU604" s="222"/>
      <c r="RFV604" s="222"/>
      <c r="RFW604" s="222"/>
      <c r="RFX604" s="222"/>
      <c r="RFY604" s="222"/>
      <c r="RFZ604" s="222"/>
      <c r="RGA604" s="223"/>
      <c r="RGB604" s="224"/>
      <c r="RGC604" s="222"/>
      <c r="RGD604" s="222"/>
      <c r="RGE604" s="222"/>
      <c r="RGF604" s="222"/>
      <c r="RGG604" s="222"/>
      <c r="RGH604" s="222"/>
      <c r="RGI604" s="223"/>
      <c r="RGJ604" s="224"/>
      <c r="RGK604" s="222"/>
      <c r="RGL604" s="222"/>
      <c r="RGM604" s="222"/>
      <c r="RGN604" s="222"/>
      <c r="RGO604" s="222"/>
      <c r="RGP604" s="222"/>
      <c r="RGQ604" s="223"/>
      <c r="RGR604" s="224"/>
      <c r="RGS604" s="222"/>
      <c r="RGT604" s="222"/>
      <c r="RGU604" s="222"/>
      <c r="RGV604" s="222"/>
      <c r="RGW604" s="222"/>
      <c r="RGX604" s="222"/>
      <c r="RGY604" s="223"/>
      <c r="RGZ604" s="224"/>
      <c r="RHA604" s="222"/>
      <c r="RHB604" s="222"/>
      <c r="RHC604" s="222"/>
      <c r="RHD604" s="222"/>
      <c r="RHE604" s="222"/>
      <c r="RHF604" s="222"/>
      <c r="RHG604" s="223"/>
      <c r="RHH604" s="224"/>
      <c r="RHI604" s="222"/>
      <c r="RHJ604" s="222"/>
      <c r="RHK604" s="222"/>
      <c r="RHL604" s="222"/>
      <c r="RHM604" s="222"/>
      <c r="RHN604" s="222"/>
      <c r="RHO604" s="223"/>
      <c r="RHP604" s="224"/>
      <c r="RHQ604" s="222"/>
      <c r="RHR604" s="222"/>
      <c r="RHS604" s="222"/>
      <c r="RHT604" s="222"/>
      <c r="RHU604" s="222"/>
      <c r="RHV604" s="222"/>
      <c r="RHW604" s="223"/>
      <c r="RHX604" s="224"/>
      <c r="RHY604" s="222"/>
      <c r="RHZ604" s="222"/>
      <c r="RIA604" s="222"/>
      <c r="RIB604" s="222"/>
      <c r="RIC604" s="222"/>
      <c r="RID604" s="222"/>
      <c r="RIE604" s="223"/>
      <c r="RIF604" s="224"/>
      <c r="RIG604" s="222"/>
      <c r="RIH604" s="222"/>
      <c r="RII604" s="222"/>
      <c r="RIJ604" s="222"/>
      <c r="RIK604" s="222"/>
      <c r="RIL604" s="222"/>
      <c r="RIM604" s="223"/>
      <c r="RIN604" s="224"/>
      <c r="RIO604" s="222"/>
      <c r="RIP604" s="222"/>
      <c r="RIQ604" s="222"/>
      <c r="RIR604" s="222"/>
      <c r="RIS604" s="222"/>
      <c r="RIT604" s="222"/>
      <c r="RIU604" s="223"/>
      <c r="RIV604" s="224"/>
      <c r="RIW604" s="222"/>
      <c r="RIX604" s="222"/>
      <c r="RIY604" s="222"/>
      <c r="RIZ604" s="222"/>
      <c r="RJA604" s="222"/>
      <c r="RJB604" s="222"/>
      <c r="RJC604" s="223"/>
      <c r="RJD604" s="224"/>
      <c r="RJE604" s="222"/>
      <c r="RJF604" s="222"/>
      <c r="RJG604" s="222"/>
      <c r="RJH604" s="222"/>
      <c r="RJI604" s="222"/>
      <c r="RJJ604" s="222"/>
      <c r="RJK604" s="223"/>
      <c r="RJL604" s="224"/>
      <c r="RJM604" s="222"/>
      <c r="RJN604" s="222"/>
      <c r="RJO604" s="222"/>
      <c r="RJP604" s="222"/>
      <c r="RJQ604" s="222"/>
      <c r="RJR604" s="222"/>
      <c r="RJS604" s="223"/>
      <c r="RJT604" s="224"/>
      <c r="RJU604" s="222"/>
      <c r="RJV604" s="222"/>
      <c r="RJW604" s="222"/>
      <c r="RJX604" s="222"/>
      <c r="RJY604" s="222"/>
      <c r="RJZ604" s="222"/>
      <c r="RKA604" s="223"/>
      <c r="RKB604" s="224"/>
      <c r="RKC604" s="222"/>
      <c r="RKD604" s="222"/>
      <c r="RKE604" s="222"/>
      <c r="RKF604" s="222"/>
      <c r="RKG604" s="222"/>
      <c r="RKH604" s="222"/>
      <c r="RKI604" s="223"/>
      <c r="RKJ604" s="224"/>
      <c r="RKK604" s="222"/>
      <c r="RKL604" s="222"/>
      <c r="RKM604" s="222"/>
      <c r="RKN604" s="222"/>
      <c r="RKO604" s="222"/>
      <c r="RKP604" s="222"/>
      <c r="RKQ604" s="223"/>
      <c r="RKR604" s="224"/>
      <c r="RKS604" s="222"/>
      <c r="RKT604" s="222"/>
      <c r="RKU604" s="222"/>
      <c r="RKV604" s="222"/>
      <c r="RKW604" s="222"/>
      <c r="RKX604" s="222"/>
      <c r="RKY604" s="223"/>
      <c r="RKZ604" s="224"/>
      <c r="RLA604" s="222"/>
      <c r="RLB604" s="222"/>
      <c r="RLC604" s="222"/>
      <c r="RLD604" s="222"/>
      <c r="RLE604" s="222"/>
      <c r="RLF604" s="222"/>
      <c r="RLG604" s="223"/>
      <c r="RLH604" s="224"/>
      <c r="RLI604" s="222"/>
      <c r="RLJ604" s="222"/>
      <c r="RLK604" s="222"/>
      <c r="RLL604" s="222"/>
      <c r="RLM604" s="222"/>
      <c r="RLN604" s="222"/>
      <c r="RLO604" s="223"/>
      <c r="RLP604" s="224"/>
      <c r="RLQ604" s="222"/>
      <c r="RLR604" s="222"/>
      <c r="RLS604" s="222"/>
      <c r="RLT604" s="222"/>
      <c r="RLU604" s="222"/>
      <c r="RLV604" s="222"/>
      <c r="RLW604" s="223"/>
      <c r="RLX604" s="224"/>
      <c r="RLY604" s="222"/>
      <c r="RLZ604" s="222"/>
      <c r="RMA604" s="222"/>
      <c r="RMB604" s="222"/>
      <c r="RMC604" s="222"/>
      <c r="RMD604" s="222"/>
      <c r="RME604" s="223"/>
      <c r="RMF604" s="224"/>
      <c r="RMG604" s="222"/>
      <c r="RMH604" s="222"/>
      <c r="RMI604" s="222"/>
      <c r="RMJ604" s="222"/>
      <c r="RMK604" s="222"/>
      <c r="RML604" s="222"/>
      <c r="RMM604" s="223"/>
      <c r="RMN604" s="224"/>
      <c r="RMO604" s="222"/>
      <c r="RMP604" s="222"/>
      <c r="RMQ604" s="222"/>
      <c r="RMR604" s="222"/>
      <c r="RMS604" s="222"/>
      <c r="RMT604" s="222"/>
      <c r="RMU604" s="223"/>
      <c r="RMV604" s="224"/>
      <c r="RMW604" s="222"/>
      <c r="RMX604" s="222"/>
      <c r="RMY604" s="222"/>
      <c r="RMZ604" s="222"/>
      <c r="RNA604" s="222"/>
      <c r="RNB604" s="222"/>
      <c r="RNC604" s="223"/>
      <c r="RND604" s="224"/>
      <c r="RNE604" s="222"/>
      <c r="RNF604" s="222"/>
      <c r="RNG604" s="222"/>
      <c r="RNH604" s="222"/>
      <c r="RNI604" s="222"/>
      <c r="RNJ604" s="222"/>
      <c r="RNK604" s="223"/>
      <c r="RNL604" s="224"/>
      <c r="RNM604" s="222"/>
      <c r="RNN604" s="222"/>
      <c r="RNO604" s="222"/>
      <c r="RNP604" s="222"/>
      <c r="RNQ604" s="222"/>
      <c r="RNR604" s="222"/>
      <c r="RNS604" s="223"/>
      <c r="RNT604" s="224"/>
      <c r="RNU604" s="222"/>
      <c r="RNV604" s="222"/>
      <c r="RNW604" s="222"/>
      <c r="RNX604" s="222"/>
      <c r="RNY604" s="222"/>
      <c r="RNZ604" s="222"/>
      <c r="ROA604" s="223"/>
      <c r="ROB604" s="224"/>
      <c r="ROC604" s="222"/>
      <c r="ROD604" s="222"/>
      <c r="ROE604" s="222"/>
      <c r="ROF604" s="222"/>
      <c r="ROG604" s="222"/>
      <c r="ROH604" s="222"/>
      <c r="ROI604" s="223"/>
      <c r="ROJ604" s="224"/>
      <c r="ROK604" s="222"/>
      <c r="ROL604" s="222"/>
      <c r="ROM604" s="222"/>
      <c r="RON604" s="222"/>
      <c r="ROO604" s="222"/>
      <c r="ROP604" s="222"/>
      <c r="ROQ604" s="223"/>
      <c r="ROR604" s="224"/>
      <c r="ROS604" s="222"/>
      <c r="ROT604" s="222"/>
      <c r="ROU604" s="222"/>
      <c r="ROV604" s="222"/>
      <c r="ROW604" s="222"/>
      <c r="ROX604" s="222"/>
      <c r="ROY604" s="223"/>
      <c r="ROZ604" s="224"/>
      <c r="RPA604" s="222"/>
      <c r="RPB604" s="222"/>
      <c r="RPC604" s="222"/>
      <c r="RPD604" s="222"/>
      <c r="RPE604" s="222"/>
      <c r="RPF604" s="222"/>
      <c r="RPG604" s="223"/>
      <c r="RPH604" s="224"/>
      <c r="RPI604" s="222"/>
      <c r="RPJ604" s="222"/>
      <c r="RPK604" s="222"/>
      <c r="RPL604" s="222"/>
      <c r="RPM604" s="222"/>
      <c r="RPN604" s="222"/>
      <c r="RPO604" s="223"/>
      <c r="RPP604" s="224"/>
      <c r="RPQ604" s="222"/>
      <c r="RPR604" s="222"/>
      <c r="RPS604" s="222"/>
      <c r="RPT604" s="222"/>
      <c r="RPU604" s="222"/>
      <c r="RPV604" s="222"/>
      <c r="RPW604" s="223"/>
      <c r="RPX604" s="224"/>
      <c r="RPY604" s="222"/>
      <c r="RPZ604" s="222"/>
      <c r="RQA604" s="222"/>
      <c r="RQB604" s="222"/>
      <c r="RQC604" s="222"/>
      <c r="RQD604" s="222"/>
      <c r="RQE604" s="223"/>
      <c r="RQF604" s="224"/>
      <c r="RQG604" s="222"/>
      <c r="RQH604" s="222"/>
      <c r="RQI604" s="222"/>
      <c r="RQJ604" s="222"/>
      <c r="RQK604" s="222"/>
      <c r="RQL604" s="222"/>
      <c r="RQM604" s="223"/>
      <c r="RQN604" s="224"/>
      <c r="RQO604" s="222"/>
      <c r="RQP604" s="222"/>
      <c r="RQQ604" s="222"/>
      <c r="RQR604" s="222"/>
      <c r="RQS604" s="222"/>
      <c r="RQT604" s="222"/>
      <c r="RQU604" s="223"/>
      <c r="RQV604" s="224"/>
      <c r="RQW604" s="222"/>
      <c r="RQX604" s="222"/>
      <c r="RQY604" s="222"/>
      <c r="RQZ604" s="222"/>
      <c r="RRA604" s="222"/>
      <c r="RRB604" s="222"/>
      <c r="RRC604" s="223"/>
      <c r="RRD604" s="224"/>
      <c r="RRE604" s="222"/>
      <c r="RRF604" s="222"/>
      <c r="RRG604" s="222"/>
      <c r="RRH604" s="222"/>
      <c r="RRI604" s="222"/>
      <c r="RRJ604" s="222"/>
      <c r="RRK604" s="223"/>
      <c r="RRL604" s="224"/>
      <c r="RRM604" s="222"/>
      <c r="RRN604" s="222"/>
      <c r="RRO604" s="222"/>
      <c r="RRP604" s="222"/>
      <c r="RRQ604" s="222"/>
      <c r="RRR604" s="222"/>
      <c r="RRS604" s="223"/>
      <c r="RRT604" s="224"/>
      <c r="RRU604" s="222"/>
      <c r="RRV604" s="222"/>
      <c r="RRW604" s="222"/>
      <c r="RRX604" s="222"/>
      <c r="RRY604" s="222"/>
      <c r="RRZ604" s="222"/>
      <c r="RSA604" s="223"/>
      <c r="RSB604" s="224"/>
      <c r="RSC604" s="222"/>
      <c r="RSD604" s="222"/>
      <c r="RSE604" s="222"/>
      <c r="RSF604" s="222"/>
      <c r="RSG604" s="222"/>
      <c r="RSH604" s="222"/>
      <c r="RSI604" s="223"/>
      <c r="RSJ604" s="224"/>
      <c r="RSK604" s="222"/>
      <c r="RSL604" s="222"/>
      <c r="RSM604" s="222"/>
      <c r="RSN604" s="222"/>
      <c r="RSO604" s="222"/>
      <c r="RSP604" s="222"/>
      <c r="RSQ604" s="223"/>
      <c r="RSR604" s="224"/>
      <c r="RSS604" s="222"/>
      <c r="RST604" s="222"/>
      <c r="RSU604" s="222"/>
      <c r="RSV604" s="222"/>
      <c r="RSW604" s="222"/>
      <c r="RSX604" s="222"/>
      <c r="RSY604" s="223"/>
      <c r="RSZ604" s="224"/>
      <c r="RTA604" s="222"/>
      <c r="RTB604" s="222"/>
      <c r="RTC604" s="222"/>
      <c r="RTD604" s="222"/>
      <c r="RTE604" s="222"/>
      <c r="RTF604" s="222"/>
      <c r="RTG604" s="223"/>
      <c r="RTH604" s="224"/>
      <c r="RTI604" s="222"/>
      <c r="RTJ604" s="222"/>
      <c r="RTK604" s="222"/>
      <c r="RTL604" s="222"/>
      <c r="RTM604" s="222"/>
      <c r="RTN604" s="222"/>
      <c r="RTO604" s="223"/>
      <c r="RTP604" s="224"/>
      <c r="RTQ604" s="222"/>
      <c r="RTR604" s="222"/>
      <c r="RTS604" s="222"/>
      <c r="RTT604" s="222"/>
      <c r="RTU604" s="222"/>
      <c r="RTV604" s="222"/>
      <c r="RTW604" s="223"/>
      <c r="RTX604" s="224"/>
      <c r="RTY604" s="222"/>
      <c r="RTZ604" s="222"/>
      <c r="RUA604" s="222"/>
      <c r="RUB604" s="222"/>
      <c r="RUC604" s="222"/>
      <c r="RUD604" s="222"/>
      <c r="RUE604" s="223"/>
      <c r="RUF604" s="224"/>
      <c r="RUG604" s="222"/>
      <c r="RUH604" s="222"/>
      <c r="RUI604" s="222"/>
      <c r="RUJ604" s="222"/>
      <c r="RUK604" s="222"/>
      <c r="RUL604" s="222"/>
      <c r="RUM604" s="223"/>
      <c r="RUN604" s="224"/>
      <c r="RUO604" s="222"/>
      <c r="RUP604" s="222"/>
      <c r="RUQ604" s="222"/>
      <c r="RUR604" s="222"/>
      <c r="RUS604" s="222"/>
      <c r="RUT604" s="222"/>
      <c r="RUU604" s="223"/>
      <c r="RUV604" s="224"/>
      <c r="RUW604" s="222"/>
      <c r="RUX604" s="222"/>
      <c r="RUY604" s="222"/>
      <c r="RUZ604" s="222"/>
      <c r="RVA604" s="222"/>
      <c r="RVB604" s="222"/>
      <c r="RVC604" s="223"/>
      <c r="RVD604" s="224"/>
      <c r="RVE604" s="222"/>
      <c r="RVF604" s="222"/>
      <c r="RVG604" s="222"/>
      <c r="RVH604" s="222"/>
      <c r="RVI604" s="222"/>
      <c r="RVJ604" s="222"/>
      <c r="RVK604" s="223"/>
      <c r="RVL604" s="224"/>
      <c r="RVM604" s="222"/>
      <c r="RVN604" s="222"/>
      <c r="RVO604" s="222"/>
      <c r="RVP604" s="222"/>
      <c r="RVQ604" s="222"/>
      <c r="RVR604" s="222"/>
      <c r="RVS604" s="223"/>
      <c r="RVT604" s="224"/>
      <c r="RVU604" s="222"/>
      <c r="RVV604" s="222"/>
      <c r="RVW604" s="222"/>
      <c r="RVX604" s="222"/>
      <c r="RVY604" s="222"/>
      <c r="RVZ604" s="222"/>
      <c r="RWA604" s="223"/>
      <c r="RWB604" s="224"/>
      <c r="RWC604" s="222"/>
      <c r="RWD604" s="222"/>
      <c r="RWE604" s="222"/>
      <c r="RWF604" s="222"/>
      <c r="RWG604" s="222"/>
      <c r="RWH604" s="222"/>
      <c r="RWI604" s="223"/>
      <c r="RWJ604" s="224"/>
      <c r="RWK604" s="222"/>
      <c r="RWL604" s="222"/>
      <c r="RWM604" s="222"/>
      <c r="RWN604" s="222"/>
      <c r="RWO604" s="222"/>
      <c r="RWP604" s="222"/>
      <c r="RWQ604" s="223"/>
      <c r="RWR604" s="224"/>
      <c r="RWS604" s="222"/>
      <c r="RWT604" s="222"/>
      <c r="RWU604" s="222"/>
      <c r="RWV604" s="222"/>
      <c r="RWW604" s="222"/>
      <c r="RWX604" s="222"/>
      <c r="RWY604" s="223"/>
      <c r="RWZ604" s="224"/>
      <c r="RXA604" s="222"/>
      <c r="RXB604" s="222"/>
      <c r="RXC604" s="222"/>
      <c r="RXD604" s="222"/>
      <c r="RXE604" s="222"/>
      <c r="RXF604" s="222"/>
      <c r="RXG604" s="223"/>
      <c r="RXH604" s="224"/>
      <c r="RXI604" s="222"/>
      <c r="RXJ604" s="222"/>
      <c r="RXK604" s="222"/>
      <c r="RXL604" s="222"/>
      <c r="RXM604" s="222"/>
      <c r="RXN604" s="222"/>
      <c r="RXO604" s="223"/>
      <c r="RXP604" s="224"/>
      <c r="RXQ604" s="222"/>
      <c r="RXR604" s="222"/>
      <c r="RXS604" s="222"/>
      <c r="RXT604" s="222"/>
      <c r="RXU604" s="222"/>
      <c r="RXV604" s="222"/>
      <c r="RXW604" s="223"/>
      <c r="RXX604" s="224"/>
      <c r="RXY604" s="222"/>
      <c r="RXZ604" s="222"/>
      <c r="RYA604" s="222"/>
      <c r="RYB604" s="222"/>
      <c r="RYC604" s="222"/>
      <c r="RYD604" s="222"/>
      <c r="RYE604" s="223"/>
      <c r="RYF604" s="224"/>
      <c r="RYG604" s="222"/>
      <c r="RYH604" s="222"/>
      <c r="RYI604" s="222"/>
      <c r="RYJ604" s="222"/>
      <c r="RYK604" s="222"/>
      <c r="RYL604" s="222"/>
      <c r="RYM604" s="223"/>
      <c r="RYN604" s="224"/>
      <c r="RYO604" s="222"/>
      <c r="RYP604" s="222"/>
      <c r="RYQ604" s="222"/>
      <c r="RYR604" s="222"/>
      <c r="RYS604" s="222"/>
      <c r="RYT604" s="222"/>
      <c r="RYU604" s="223"/>
      <c r="RYV604" s="224"/>
      <c r="RYW604" s="222"/>
      <c r="RYX604" s="222"/>
      <c r="RYY604" s="222"/>
      <c r="RYZ604" s="222"/>
      <c r="RZA604" s="222"/>
      <c r="RZB604" s="222"/>
      <c r="RZC604" s="223"/>
      <c r="RZD604" s="224"/>
      <c r="RZE604" s="222"/>
      <c r="RZF604" s="222"/>
      <c r="RZG604" s="222"/>
      <c r="RZH604" s="222"/>
      <c r="RZI604" s="222"/>
      <c r="RZJ604" s="222"/>
      <c r="RZK604" s="223"/>
      <c r="RZL604" s="224"/>
      <c r="RZM604" s="222"/>
      <c r="RZN604" s="222"/>
      <c r="RZO604" s="222"/>
      <c r="RZP604" s="222"/>
      <c r="RZQ604" s="222"/>
      <c r="RZR604" s="222"/>
      <c r="RZS604" s="223"/>
      <c r="RZT604" s="224"/>
      <c r="RZU604" s="222"/>
      <c r="RZV604" s="222"/>
      <c r="RZW604" s="222"/>
      <c r="RZX604" s="222"/>
      <c r="RZY604" s="222"/>
      <c r="RZZ604" s="222"/>
      <c r="SAA604" s="223"/>
      <c r="SAB604" s="224"/>
      <c r="SAC604" s="222"/>
      <c r="SAD604" s="222"/>
      <c r="SAE604" s="222"/>
      <c r="SAF604" s="222"/>
      <c r="SAG604" s="222"/>
      <c r="SAH604" s="222"/>
      <c r="SAI604" s="223"/>
      <c r="SAJ604" s="224"/>
      <c r="SAK604" s="222"/>
      <c r="SAL604" s="222"/>
      <c r="SAM604" s="222"/>
      <c r="SAN604" s="222"/>
      <c r="SAO604" s="222"/>
      <c r="SAP604" s="222"/>
      <c r="SAQ604" s="223"/>
      <c r="SAR604" s="224"/>
      <c r="SAS604" s="222"/>
      <c r="SAT604" s="222"/>
      <c r="SAU604" s="222"/>
      <c r="SAV604" s="222"/>
      <c r="SAW604" s="222"/>
      <c r="SAX604" s="222"/>
      <c r="SAY604" s="223"/>
      <c r="SAZ604" s="224"/>
      <c r="SBA604" s="222"/>
      <c r="SBB604" s="222"/>
      <c r="SBC604" s="222"/>
      <c r="SBD604" s="222"/>
      <c r="SBE604" s="222"/>
      <c r="SBF604" s="222"/>
      <c r="SBG604" s="223"/>
      <c r="SBH604" s="224"/>
      <c r="SBI604" s="222"/>
      <c r="SBJ604" s="222"/>
      <c r="SBK604" s="222"/>
      <c r="SBL604" s="222"/>
      <c r="SBM604" s="222"/>
      <c r="SBN604" s="222"/>
      <c r="SBO604" s="223"/>
      <c r="SBP604" s="224"/>
      <c r="SBQ604" s="222"/>
      <c r="SBR604" s="222"/>
      <c r="SBS604" s="222"/>
      <c r="SBT604" s="222"/>
      <c r="SBU604" s="222"/>
      <c r="SBV604" s="222"/>
      <c r="SBW604" s="223"/>
      <c r="SBX604" s="224"/>
      <c r="SBY604" s="222"/>
      <c r="SBZ604" s="222"/>
      <c r="SCA604" s="222"/>
      <c r="SCB604" s="222"/>
      <c r="SCC604" s="222"/>
      <c r="SCD604" s="222"/>
      <c r="SCE604" s="223"/>
      <c r="SCF604" s="224"/>
      <c r="SCG604" s="222"/>
      <c r="SCH604" s="222"/>
      <c r="SCI604" s="222"/>
      <c r="SCJ604" s="222"/>
      <c r="SCK604" s="222"/>
      <c r="SCL604" s="222"/>
      <c r="SCM604" s="223"/>
      <c r="SCN604" s="224"/>
      <c r="SCO604" s="222"/>
      <c r="SCP604" s="222"/>
      <c r="SCQ604" s="222"/>
      <c r="SCR604" s="222"/>
      <c r="SCS604" s="222"/>
      <c r="SCT604" s="222"/>
      <c r="SCU604" s="223"/>
      <c r="SCV604" s="224"/>
      <c r="SCW604" s="222"/>
      <c r="SCX604" s="222"/>
      <c r="SCY604" s="222"/>
      <c r="SCZ604" s="222"/>
      <c r="SDA604" s="222"/>
      <c r="SDB604" s="222"/>
      <c r="SDC604" s="223"/>
      <c r="SDD604" s="224"/>
      <c r="SDE604" s="222"/>
      <c r="SDF604" s="222"/>
      <c r="SDG604" s="222"/>
      <c r="SDH604" s="222"/>
      <c r="SDI604" s="222"/>
      <c r="SDJ604" s="222"/>
      <c r="SDK604" s="223"/>
      <c r="SDL604" s="224"/>
      <c r="SDM604" s="222"/>
      <c r="SDN604" s="222"/>
      <c r="SDO604" s="222"/>
      <c r="SDP604" s="222"/>
      <c r="SDQ604" s="222"/>
      <c r="SDR604" s="222"/>
      <c r="SDS604" s="223"/>
      <c r="SDT604" s="224"/>
      <c r="SDU604" s="222"/>
      <c r="SDV604" s="222"/>
      <c r="SDW604" s="222"/>
      <c r="SDX604" s="222"/>
      <c r="SDY604" s="222"/>
      <c r="SDZ604" s="222"/>
      <c r="SEA604" s="223"/>
      <c r="SEB604" s="224"/>
      <c r="SEC604" s="222"/>
      <c r="SED604" s="222"/>
      <c r="SEE604" s="222"/>
      <c r="SEF604" s="222"/>
      <c r="SEG604" s="222"/>
      <c r="SEH604" s="222"/>
      <c r="SEI604" s="223"/>
      <c r="SEJ604" s="224"/>
      <c r="SEK604" s="222"/>
      <c r="SEL604" s="222"/>
      <c r="SEM604" s="222"/>
      <c r="SEN604" s="222"/>
      <c r="SEO604" s="222"/>
      <c r="SEP604" s="222"/>
      <c r="SEQ604" s="223"/>
      <c r="SER604" s="224"/>
      <c r="SES604" s="222"/>
      <c r="SET604" s="222"/>
      <c r="SEU604" s="222"/>
      <c r="SEV604" s="222"/>
      <c r="SEW604" s="222"/>
      <c r="SEX604" s="222"/>
      <c r="SEY604" s="223"/>
      <c r="SEZ604" s="224"/>
      <c r="SFA604" s="222"/>
      <c r="SFB604" s="222"/>
      <c r="SFC604" s="222"/>
      <c r="SFD604" s="222"/>
      <c r="SFE604" s="222"/>
      <c r="SFF604" s="222"/>
      <c r="SFG604" s="223"/>
      <c r="SFH604" s="224"/>
      <c r="SFI604" s="222"/>
      <c r="SFJ604" s="222"/>
      <c r="SFK604" s="222"/>
      <c r="SFL604" s="222"/>
      <c r="SFM604" s="222"/>
      <c r="SFN604" s="222"/>
      <c r="SFO604" s="223"/>
      <c r="SFP604" s="224"/>
      <c r="SFQ604" s="222"/>
      <c r="SFR604" s="222"/>
      <c r="SFS604" s="222"/>
      <c r="SFT604" s="222"/>
      <c r="SFU604" s="222"/>
      <c r="SFV604" s="222"/>
      <c r="SFW604" s="223"/>
      <c r="SFX604" s="224"/>
      <c r="SFY604" s="222"/>
      <c r="SFZ604" s="222"/>
      <c r="SGA604" s="222"/>
      <c r="SGB604" s="222"/>
      <c r="SGC604" s="222"/>
      <c r="SGD604" s="222"/>
      <c r="SGE604" s="223"/>
      <c r="SGF604" s="224"/>
      <c r="SGG604" s="222"/>
      <c r="SGH604" s="222"/>
      <c r="SGI604" s="222"/>
      <c r="SGJ604" s="222"/>
      <c r="SGK604" s="222"/>
      <c r="SGL604" s="222"/>
      <c r="SGM604" s="223"/>
      <c r="SGN604" s="224"/>
      <c r="SGO604" s="222"/>
      <c r="SGP604" s="222"/>
      <c r="SGQ604" s="222"/>
      <c r="SGR604" s="222"/>
      <c r="SGS604" s="222"/>
      <c r="SGT604" s="222"/>
      <c r="SGU604" s="223"/>
      <c r="SGV604" s="224"/>
      <c r="SGW604" s="222"/>
      <c r="SGX604" s="222"/>
      <c r="SGY604" s="222"/>
      <c r="SGZ604" s="222"/>
      <c r="SHA604" s="222"/>
      <c r="SHB604" s="222"/>
      <c r="SHC604" s="223"/>
      <c r="SHD604" s="224"/>
      <c r="SHE604" s="222"/>
      <c r="SHF604" s="222"/>
      <c r="SHG604" s="222"/>
      <c r="SHH604" s="222"/>
      <c r="SHI604" s="222"/>
      <c r="SHJ604" s="222"/>
      <c r="SHK604" s="223"/>
      <c r="SHL604" s="224"/>
      <c r="SHM604" s="222"/>
      <c r="SHN604" s="222"/>
      <c r="SHO604" s="222"/>
      <c r="SHP604" s="222"/>
      <c r="SHQ604" s="222"/>
      <c r="SHR604" s="222"/>
      <c r="SHS604" s="223"/>
      <c r="SHT604" s="224"/>
      <c r="SHU604" s="222"/>
      <c r="SHV604" s="222"/>
      <c r="SHW604" s="222"/>
      <c r="SHX604" s="222"/>
      <c r="SHY604" s="222"/>
      <c r="SHZ604" s="222"/>
      <c r="SIA604" s="223"/>
      <c r="SIB604" s="224"/>
      <c r="SIC604" s="222"/>
      <c r="SID604" s="222"/>
      <c r="SIE604" s="222"/>
      <c r="SIF604" s="222"/>
      <c r="SIG604" s="222"/>
      <c r="SIH604" s="222"/>
      <c r="SII604" s="223"/>
      <c r="SIJ604" s="224"/>
      <c r="SIK604" s="222"/>
      <c r="SIL604" s="222"/>
      <c r="SIM604" s="222"/>
      <c r="SIN604" s="222"/>
      <c r="SIO604" s="222"/>
      <c r="SIP604" s="222"/>
      <c r="SIQ604" s="223"/>
      <c r="SIR604" s="224"/>
      <c r="SIS604" s="222"/>
      <c r="SIT604" s="222"/>
      <c r="SIU604" s="222"/>
      <c r="SIV604" s="222"/>
      <c r="SIW604" s="222"/>
      <c r="SIX604" s="222"/>
      <c r="SIY604" s="223"/>
      <c r="SIZ604" s="224"/>
      <c r="SJA604" s="222"/>
      <c r="SJB604" s="222"/>
      <c r="SJC604" s="222"/>
      <c r="SJD604" s="222"/>
      <c r="SJE604" s="222"/>
      <c r="SJF604" s="222"/>
      <c r="SJG604" s="223"/>
      <c r="SJH604" s="224"/>
      <c r="SJI604" s="222"/>
      <c r="SJJ604" s="222"/>
      <c r="SJK604" s="222"/>
      <c r="SJL604" s="222"/>
      <c r="SJM604" s="222"/>
      <c r="SJN604" s="222"/>
      <c r="SJO604" s="223"/>
      <c r="SJP604" s="224"/>
      <c r="SJQ604" s="222"/>
      <c r="SJR604" s="222"/>
      <c r="SJS604" s="222"/>
      <c r="SJT604" s="222"/>
      <c r="SJU604" s="222"/>
      <c r="SJV604" s="222"/>
      <c r="SJW604" s="223"/>
      <c r="SJX604" s="224"/>
      <c r="SJY604" s="222"/>
      <c r="SJZ604" s="222"/>
      <c r="SKA604" s="222"/>
      <c r="SKB604" s="222"/>
      <c r="SKC604" s="222"/>
      <c r="SKD604" s="222"/>
      <c r="SKE604" s="223"/>
      <c r="SKF604" s="224"/>
      <c r="SKG604" s="222"/>
      <c r="SKH604" s="222"/>
      <c r="SKI604" s="222"/>
      <c r="SKJ604" s="222"/>
      <c r="SKK604" s="222"/>
      <c r="SKL604" s="222"/>
      <c r="SKM604" s="223"/>
      <c r="SKN604" s="224"/>
      <c r="SKO604" s="222"/>
      <c r="SKP604" s="222"/>
      <c r="SKQ604" s="222"/>
      <c r="SKR604" s="222"/>
      <c r="SKS604" s="222"/>
      <c r="SKT604" s="222"/>
      <c r="SKU604" s="223"/>
      <c r="SKV604" s="224"/>
      <c r="SKW604" s="222"/>
      <c r="SKX604" s="222"/>
      <c r="SKY604" s="222"/>
      <c r="SKZ604" s="222"/>
      <c r="SLA604" s="222"/>
      <c r="SLB604" s="222"/>
      <c r="SLC604" s="223"/>
      <c r="SLD604" s="224"/>
      <c r="SLE604" s="222"/>
      <c r="SLF604" s="222"/>
      <c r="SLG604" s="222"/>
      <c r="SLH604" s="222"/>
      <c r="SLI604" s="222"/>
      <c r="SLJ604" s="222"/>
      <c r="SLK604" s="223"/>
      <c r="SLL604" s="224"/>
      <c r="SLM604" s="222"/>
      <c r="SLN604" s="222"/>
      <c r="SLO604" s="222"/>
      <c r="SLP604" s="222"/>
      <c r="SLQ604" s="222"/>
      <c r="SLR604" s="222"/>
      <c r="SLS604" s="223"/>
      <c r="SLT604" s="224"/>
      <c r="SLU604" s="222"/>
      <c r="SLV604" s="222"/>
      <c r="SLW604" s="222"/>
      <c r="SLX604" s="222"/>
      <c r="SLY604" s="222"/>
      <c r="SLZ604" s="222"/>
      <c r="SMA604" s="223"/>
      <c r="SMB604" s="224"/>
      <c r="SMC604" s="222"/>
      <c r="SMD604" s="222"/>
      <c r="SME604" s="222"/>
      <c r="SMF604" s="222"/>
      <c r="SMG604" s="222"/>
      <c r="SMH604" s="222"/>
      <c r="SMI604" s="223"/>
      <c r="SMJ604" s="224"/>
      <c r="SMK604" s="222"/>
      <c r="SML604" s="222"/>
      <c r="SMM604" s="222"/>
      <c r="SMN604" s="222"/>
      <c r="SMO604" s="222"/>
      <c r="SMP604" s="222"/>
      <c r="SMQ604" s="223"/>
      <c r="SMR604" s="224"/>
      <c r="SMS604" s="222"/>
      <c r="SMT604" s="222"/>
      <c r="SMU604" s="222"/>
      <c r="SMV604" s="222"/>
      <c r="SMW604" s="222"/>
      <c r="SMX604" s="222"/>
      <c r="SMY604" s="223"/>
      <c r="SMZ604" s="224"/>
      <c r="SNA604" s="222"/>
      <c r="SNB604" s="222"/>
      <c r="SNC604" s="222"/>
      <c r="SND604" s="222"/>
      <c r="SNE604" s="222"/>
      <c r="SNF604" s="222"/>
      <c r="SNG604" s="223"/>
      <c r="SNH604" s="224"/>
      <c r="SNI604" s="222"/>
      <c r="SNJ604" s="222"/>
      <c r="SNK604" s="222"/>
      <c r="SNL604" s="222"/>
      <c r="SNM604" s="222"/>
      <c r="SNN604" s="222"/>
      <c r="SNO604" s="223"/>
      <c r="SNP604" s="224"/>
      <c r="SNQ604" s="222"/>
      <c r="SNR604" s="222"/>
      <c r="SNS604" s="222"/>
      <c r="SNT604" s="222"/>
      <c r="SNU604" s="222"/>
      <c r="SNV604" s="222"/>
      <c r="SNW604" s="223"/>
      <c r="SNX604" s="224"/>
      <c r="SNY604" s="222"/>
      <c r="SNZ604" s="222"/>
      <c r="SOA604" s="222"/>
      <c r="SOB604" s="222"/>
      <c r="SOC604" s="222"/>
      <c r="SOD604" s="222"/>
      <c r="SOE604" s="223"/>
      <c r="SOF604" s="224"/>
      <c r="SOG604" s="222"/>
      <c r="SOH604" s="222"/>
      <c r="SOI604" s="222"/>
      <c r="SOJ604" s="222"/>
      <c r="SOK604" s="222"/>
      <c r="SOL604" s="222"/>
      <c r="SOM604" s="223"/>
      <c r="SON604" s="224"/>
      <c r="SOO604" s="222"/>
      <c r="SOP604" s="222"/>
      <c r="SOQ604" s="222"/>
      <c r="SOR604" s="222"/>
      <c r="SOS604" s="222"/>
      <c r="SOT604" s="222"/>
      <c r="SOU604" s="223"/>
      <c r="SOV604" s="224"/>
      <c r="SOW604" s="222"/>
      <c r="SOX604" s="222"/>
      <c r="SOY604" s="222"/>
      <c r="SOZ604" s="222"/>
      <c r="SPA604" s="222"/>
      <c r="SPB604" s="222"/>
      <c r="SPC604" s="223"/>
      <c r="SPD604" s="224"/>
      <c r="SPE604" s="222"/>
      <c r="SPF604" s="222"/>
      <c r="SPG604" s="222"/>
      <c r="SPH604" s="222"/>
      <c r="SPI604" s="222"/>
      <c r="SPJ604" s="222"/>
      <c r="SPK604" s="223"/>
      <c r="SPL604" s="224"/>
      <c r="SPM604" s="222"/>
      <c r="SPN604" s="222"/>
      <c r="SPO604" s="222"/>
      <c r="SPP604" s="222"/>
      <c r="SPQ604" s="222"/>
      <c r="SPR604" s="222"/>
      <c r="SPS604" s="223"/>
      <c r="SPT604" s="224"/>
      <c r="SPU604" s="222"/>
      <c r="SPV604" s="222"/>
      <c r="SPW604" s="222"/>
      <c r="SPX604" s="222"/>
      <c r="SPY604" s="222"/>
      <c r="SPZ604" s="222"/>
      <c r="SQA604" s="223"/>
      <c r="SQB604" s="224"/>
      <c r="SQC604" s="222"/>
      <c r="SQD604" s="222"/>
      <c r="SQE604" s="222"/>
      <c r="SQF604" s="222"/>
      <c r="SQG604" s="222"/>
      <c r="SQH604" s="222"/>
      <c r="SQI604" s="223"/>
      <c r="SQJ604" s="224"/>
      <c r="SQK604" s="222"/>
      <c r="SQL604" s="222"/>
      <c r="SQM604" s="222"/>
      <c r="SQN604" s="222"/>
      <c r="SQO604" s="222"/>
      <c r="SQP604" s="222"/>
      <c r="SQQ604" s="223"/>
      <c r="SQR604" s="224"/>
      <c r="SQS604" s="222"/>
      <c r="SQT604" s="222"/>
      <c r="SQU604" s="222"/>
      <c r="SQV604" s="222"/>
      <c r="SQW604" s="222"/>
      <c r="SQX604" s="222"/>
      <c r="SQY604" s="223"/>
      <c r="SQZ604" s="224"/>
      <c r="SRA604" s="222"/>
      <c r="SRB604" s="222"/>
      <c r="SRC604" s="222"/>
      <c r="SRD604" s="222"/>
      <c r="SRE604" s="222"/>
      <c r="SRF604" s="222"/>
      <c r="SRG604" s="223"/>
      <c r="SRH604" s="224"/>
      <c r="SRI604" s="222"/>
      <c r="SRJ604" s="222"/>
      <c r="SRK604" s="222"/>
      <c r="SRL604" s="222"/>
      <c r="SRM604" s="222"/>
      <c r="SRN604" s="222"/>
      <c r="SRO604" s="223"/>
      <c r="SRP604" s="224"/>
      <c r="SRQ604" s="222"/>
      <c r="SRR604" s="222"/>
      <c r="SRS604" s="222"/>
      <c r="SRT604" s="222"/>
      <c r="SRU604" s="222"/>
      <c r="SRV604" s="222"/>
      <c r="SRW604" s="223"/>
      <c r="SRX604" s="224"/>
      <c r="SRY604" s="222"/>
      <c r="SRZ604" s="222"/>
      <c r="SSA604" s="222"/>
      <c r="SSB604" s="222"/>
      <c r="SSC604" s="222"/>
      <c r="SSD604" s="222"/>
      <c r="SSE604" s="223"/>
      <c r="SSF604" s="224"/>
      <c r="SSG604" s="222"/>
      <c r="SSH604" s="222"/>
      <c r="SSI604" s="222"/>
      <c r="SSJ604" s="222"/>
      <c r="SSK604" s="222"/>
      <c r="SSL604" s="222"/>
      <c r="SSM604" s="223"/>
      <c r="SSN604" s="224"/>
      <c r="SSO604" s="222"/>
      <c r="SSP604" s="222"/>
      <c r="SSQ604" s="222"/>
      <c r="SSR604" s="222"/>
      <c r="SSS604" s="222"/>
      <c r="SST604" s="222"/>
      <c r="SSU604" s="223"/>
      <c r="SSV604" s="224"/>
      <c r="SSW604" s="222"/>
      <c r="SSX604" s="222"/>
      <c r="SSY604" s="222"/>
      <c r="SSZ604" s="222"/>
      <c r="STA604" s="222"/>
      <c r="STB604" s="222"/>
      <c r="STC604" s="223"/>
      <c r="STD604" s="224"/>
      <c r="STE604" s="222"/>
      <c r="STF604" s="222"/>
      <c r="STG604" s="222"/>
      <c r="STH604" s="222"/>
      <c r="STI604" s="222"/>
      <c r="STJ604" s="222"/>
      <c r="STK604" s="223"/>
      <c r="STL604" s="224"/>
      <c r="STM604" s="222"/>
      <c r="STN604" s="222"/>
      <c r="STO604" s="222"/>
      <c r="STP604" s="222"/>
      <c r="STQ604" s="222"/>
      <c r="STR604" s="222"/>
      <c r="STS604" s="223"/>
      <c r="STT604" s="224"/>
      <c r="STU604" s="222"/>
      <c r="STV604" s="222"/>
      <c r="STW604" s="222"/>
      <c r="STX604" s="222"/>
      <c r="STY604" s="222"/>
      <c r="STZ604" s="222"/>
      <c r="SUA604" s="223"/>
      <c r="SUB604" s="224"/>
      <c r="SUC604" s="222"/>
      <c r="SUD604" s="222"/>
      <c r="SUE604" s="222"/>
      <c r="SUF604" s="222"/>
      <c r="SUG604" s="222"/>
      <c r="SUH604" s="222"/>
      <c r="SUI604" s="223"/>
      <c r="SUJ604" s="224"/>
      <c r="SUK604" s="222"/>
      <c r="SUL604" s="222"/>
      <c r="SUM604" s="222"/>
      <c r="SUN604" s="222"/>
      <c r="SUO604" s="222"/>
      <c r="SUP604" s="222"/>
      <c r="SUQ604" s="223"/>
      <c r="SUR604" s="224"/>
      <c r="SUS604" s="222"/>
      <c r="SUT604" s="222"/>
      <c r="SUU604" s="222"/>
      <c r="SUV604" s="222"/>
      <c r="SUW604" s="222"/>
      <c r="SUX604" s="222"/>
      <c r="SUY604" s="223"/>
      <c r="SUZ604" s="224"/>
      <c r="SVA604" s="222"/>
      <c r="SVB604" s="222"/>
      <c r="SVC604" s="222"/>
      <c r="SVD604" s="222"/>
      <c r="SVE604" s="222"/>
      <c r="SVF604" s="222"/>
      <c r="SVG604" s="223"/>
      <c r="SVH604" s="224"/>
      <c r="SVI604" s="222"/>
      <c r="SVJ604" s="222"/>
      <c r="SVK604" s="222"/>
      <c r="SVL604" s="222"/>
      <c r="SVM604" s="222"/>
      <c r="SVN604" s="222"/>
      <c r="SVO604" s="223"/>
      <c r="SVP604" s="224"/>
      <c r="SVQ604" s="222"/>
      <c r="SVR604" s="222"/>
      <c r="SVS604" s="222"/>
      <c r="SVT604" s="222"/>
      <c r="SVU604" s="222"/>
      <c r="SVV604" s="222"/>
      <c r="SVW604" s="223"/>
      <c r="SVX604" s="224"/>
      <c r="SVY604" s="222"/>
      <c r="SVZ604" s="222"/>
      <c r="SWA604" s="222"/>
      <c r="SWB604" s="222"/>
      <c r="SWC604" s="222"/>
      <c r="SWD604" s="222"/>
      <c r="SWE604" s="223"/>
      <c r="SWF604" s="224"/>
      <c r="SWG604" s="222"/>
      <c r="SWH604" s="222"/>
      <c r="SWI604" s="222"/>
      <c r="SWJ604" s="222"/>
      <c r="SWK604" s="222"/>
      <c r="SWL604" s="222"/>
      <c r="SWM604" s="223"/>
      <c r="SWN604" s="224"/>
      <c r="SWO604" s="222"/>
      <c r="SWP604" s="222"/>
      <c r="SWQ604" s="222"/>
      <c r="SWR604" s="222"/>
      <c r="SWS604" s="222"/>
      <c r="SWT604" s="222"/>
      <c r="SWU604" s="223"/>
      <c r="SWV604" s="224"/>
      <c r="SWW604" s="222"/>
      <c r="SWX604" s="222"/>
      <c r="SWY604" s="222"/>
      <c r="SWZ604" s="222"/>
      <c r="SXA604" s="222"/>
      <c r="SXB604" s="222"/>
      <c r="SXC604" s="223"/>
      <c r="SXD604" s="224"/>
      <c r="SXE604" s="222"/>
      <c r="SXF604" s="222"/>
      <c r="SXG604" s="222"/>
      <c r="SXH604" s="222"/>
      <c r="SXI604" s="222"/>
      <c r="SXJ604" s="222"/>
      <c r="SXK604" s="223"/>
      <c r="SXL604" s="224"/>
      <c r="SXM604" s="222"/>
      <c r="SXN604" s="222"/>
      <c r="SXO604" s="222"/>
      <c r="SXP604" s="222"/>
      <c r="SXQ604" s="222"/>
      <c r="SXR604" s="222"/>
      <c r="SXS604" s="223"/>
      <c r="SXT604" s="224"/>
      <c r="SXU604" s="222"/>
      <c r="SXV604" s="222"/>
      <c r="SXW604" s="222"/>
      <c r="SXX604" s="222"/>
      <c r="SXY604" s="222"/>
      <c r="SXZ604" s="222"/>
      <c r="SYA604" s="223"/>
      <c r="SYB604" s="224"/>
      <c r="SYC604" s="222"/>
      <c r="SYD604" s="222"/>
      <c r="SYE604" s="222"/>
      <c r="SYF604" s="222"/>
      <c r="SYG604" s="222"/>
      <c r="SYH604" s="222"/>
      <c r="SYI604" s="223"/>
      <c r="SYJ604" s="224"/>
      <c r="SYK604" s="222"/>
      <c r="SYL604" s="222"/>
      <c r="SYM604" s="222"/>
      <c r="SYN604" s="222"/>
      <c r="SYO604" s="222"/>
      <c r="SYP604" s="222"/>
      <c r="SYQ604" s="223"/>
      <c r="SYR604" s="224"/>
      <c r="SYS604" s="222"/>
      <c r="SYT604" s="222"/>
      <c r="SYU604" s="222"/>
      <c r="SYV604" s="222"/>
      <c r="SYW604" s="222"/>
      <c r="SYX604" s="222"/>
      <c r="SYY604" s="223"/>
      <c r="SYZ604" s="224"/>
      <c r="SZA604" s="222"/>
      <c r="SZB604" s="222"/>
      <c r="SZC604" s="222"/>
      <c r="SZD604" s="222"/>
      <c r="SZE604" s="222"/>
      <c r="SZF604" s="222"/>
      <c r="SZG604" s="223"/>
      <c r="SZH604" s="224"/>
      <c r="SZI604" s="222"/>
      <c r="SZJ604" s="222"/>
      <c r="SZK604" s="222"/>
      <c r="SZL604" s="222"/>
      <c r="SZM604" s="222"/>
      <c r="SZN604" s="222"/>
      <c r="SZO604" s="223"/>
      <c r="SZP604" s="224"/>
      <c r="SZQ604" s="222"/>
      <c r="SZR604" s="222"/>
      <c r="SZS604" s="222"/>
      <c r="SZT604" s="222"/>
      <c r="SZU604" s="222"/>
      <c r="SZV604" s="222"/>
      <c r="SZW604" s="223"/>
      <c r="SZX604" s="224"/>
      <c r="SZY604" s="222"/>
      <c r="SZZ604" s="222"/>
      <c r="TAA604" s="222"/>
      <c r="TAB604" s="222"/>
      <c r="TAC604" s="222"/>
      <c r="TAD604" s="222"/>
      <c r="TAE604" s="223"/>
      <c r="TAF604" s="224"/>
      <c r="TAG604" s="222"/>
      <c r="TAH604" s="222"/>
      <c r="TAI604" s="222"/>
      <c r="TAJ604" s="222"/>
      <c r="TAK604" s="222"/>
      <c r="TAL604" s="222"/>
      <c r="TAM604" s="223"/>
      <c r="TAN604" s="224"/>
      <c r="TAO604" s="222"/>
      <c r="TAP604" s="222"/>
      <c r="TAQ604" s="222"/>
      <c r="TAR604" s="222"/>
      <c r="TAS604" s="222"/>
      <c r="TAT604" s="222"/>
      <c r="TAU604" s="223"/>
      <c r="TAV604" s="224"/>
      <c r="TAW604" s="222"/>
      <c r="TAX604" s="222"/>
      <c r="TAY604" s="222"/>
      <c r="TAZ604" s="222"/>
      <c r="TBA604" s="222"/>
      <c r="TBB604" s="222"/>
      <c r="TBC604" s="223"/>
      <c r="TBD604" s="224"/>
      <c r="TBE604" s="222"/>
      <c r="TBF604" s="222"/>
      <c r="TBG604" s="222"/>
      <c r="TBH604" s="222"/>
      <c r="TBI604" s="222"/>
      <c r="TBJ604" s="222"/>
      <c r="TBK604" s="223"/>
      <c r="TBL604" s="224"/>
      <c r="TBM604" s="222"/>
      <c r="TBN604" s="222"/>
      <c r="TBO604" s="222"/>
      <c r="TBP604" s="222"/>
      <c r="TBQ604" s="222"/>
      <c r="TBR604" s="222"/>
      <c r="TBS604" s="223"/>
      <c r="TBT604" s="224"/>
      <c r="TBU604" s="222"/>
      <c r="TBV604" s="222"/>
      <c r="TBW604" s="222"/>
      <c r="TBX604" s="222"/>
      <c r="TBY604" s="222"/>
      <c r="TBZ604" s="222"/>
      <c r="TCA604" s="223"/>
      <c r="TCB604" s="224"/>
      <c r="TCC604" s="222"/>
      <c r="TCD604" s="222"/>
      <c r="TCE604" s="222"/>
      <c r="TCF604" s="222"/>
      <c r="TCG604" s="222"/>
      <c r="TCH604" s="222"/>
      <c r="TCI604" s="223"/>
      <c r="TCJ604" s="224"/>
      <c r="TCK604" s="222"/>
      <c r="TCL604" s="222"/>
      <c r="TCM604" s="222"/>
      <c r="TCN604" s="222"/>
      <c r="TCO604" s="222"/>
      <c r="TCP604" s="222"/>
      <c r="TCQ604" s="223"/>
      <c r="TCR604" s="224"/>
      <c r="TCS604" s="222"/>
      <c r="TCT604" s="222"/>
      <c r="TCU604" s="222"/>
      <c r="TCV604" s="222"/>
      <c r="TCW604" s="222"/>
      <c r="TCX604" s="222"/>
      <c r="TCY604" s="223"/>
      <c r="TCZ604" s="224"/>
      <c r="TDA604" s="222"/>
      <c r="TDB604" s="222"/>
      <c r="TDC604" s="222"/>
      <c r="TDD604" s="222"/>
      <c r="TDE604" s="222"/>
      <c r="TDF604" s="222"/>
      <c r="TDG604" s="223"/>
      <c r="TDH604" s="224"/>
      <c r="TDI604" s="222"/>
      <c r="TDJ604" s="222"/>
      <c r="TDK604" s="222"/>
      <c r="TDL604" s="222"/>
      <c r="TDM604" s="222"/>
      <c r="TDN604" s="222"/>
      <c r="TDO604" s="223"/>
      <c r="TDP604" s="224"/>
      <c r="TDQ604" s="222"/>
      <c r="TDR604" s="222"/>
      <c r="TDS604" s="222"/>
      <c r="TDT604" s="222"/>
      <c r="TDU604" s="222"/>
      <c r="TDV604" s="222"/>
      <c r="TDW604" s="223"/>
      <c r="TDX604" s="224"/>
      <c r="TDY604" s="222"/>
      <c r="TDZ604" s="222"/>
      <c r="TEA604" s="222"/>
      <c r="TEB604" s="222"/>
      <c r="TEC604" s="222"/>
      <c r="TED604" s="222"/>
      <c r="TEE604" s="223"/>
      <c r="TEF604" s="224"/>
      <c r="TEG604" s="222"/>
      <c r="TEH604" s="222"/>
      <c r="TEI604" s="222"/>
      <c r="TEJ604" s="222"/>
      <c r="TEK604" s="222"/>
      <c r="TEL604" s="222"/>
      <c r="TEM604" s="223"/>
      <c r="TEN604" s="224"/>
      <c r="TEO604" s="222"/>
      <c r="TEP604" s="222"/>
      <c r="TEQ604" s="222"/>
      <c r="TER604" s="222"/>
      <c r="TES604" s="222"/>
      <c r="TET604" s="222"/>
      <c r="TEU604" s="223"/>
      <c r="TEV604" s="224"/>
      <c r="TEW604" s="222"/>
      <c r="TEX604" s="222"/>
      <c r="TEY604" s="222"/>
      <c r="TEZ604" s="222"/>
      <c r="TFA604" s="222"/>
      <c r="TFB604" s="222"/>
      <c r="TFC604" s="223"/>
      <c r="TFD604" s="224"/>
      <c r="TFE604" s="222"/>
      <c r="TFF604" s="222"/>
      <c r="TFG604" s="222"/>
      <c r="TFH604" s="222"/>
      <c r="TFI604" s="222"/>
      <c r="TFJ604" s="222"/>
      <c r="TFK604" s="223"/>
      <c r="TFL604" s="224"/>
      <c r="TFM604" s="222"/>
      <c r="TFN604" s="222"/>
      <c r="TFO604" s="222"/>
      <c r="TFP604" s="222"/>
      <c r="TFQ604" s="222"/>
      <c r="TFR604" s="222"/>
      <c r="TFS604" s="223"/>
      <c r="TFT604" s="224"/>
      <c r="TFU604" s="222"/>
      <c r="TFV604" s="222"/>
      <c r="TFW604" s="222"/>
      <c r="TFX604" s="222"/>
      <c r="TFY604" s="222"/>
      <c r="TFZ604" s="222"/>
      <c r="TGA604" s="223"/>
      <c r="TGB604" s="224"/>
      <c r="TGC604" s="222"/>
      <c r="TGD604" s="222"/>
      <c r="TGE604" s="222"/>
      <c r="TGF604" s="222"/>
      <c r="TGG604" s="222"/>
      <c r="TGH604" s="222"/>
      <c r="TGI604" s="223"/>
      <c r="TGJ604" s="224"/>
      <c r="TGK604" s="222"/>
      <c r="TGL604" s="222"/>
      <c r="TGM604" s="222"/>
      <c r="TGN604" s="222"/>
      <c r="TGO604" s="222"/>
      <c r="TGP604" s="222"/>
      <c r="TGQ604" s="223"/>
      <c r="TGR604" s="224"/>
      <c r="TGS604" s="222"/>
      <c r="TGT604" s="222"/>
      <c r="TGU604" s="222"/>
      <c r="TGV604" s="222"/>
      <c r="TGW604" s="222"/>
      <c r="TGX604" s="222"/>
      <c r="TGY604" s="223"/>
      <c r="TGZ604" s="224"/>
      <c r="THA604" s="222"/>
      <c r="THB604" s="222"/>
      <c r="THC604" s="222"/>
      <c r="THD604" s="222"/>
      <c r="THE604" s="222"/>
      <c r="THF604" s="222"/>
      <c r="THG604" s="223"/>
      <c r="THH604" s="224"/>
      <c r="THI604" s="222"/>
      <c r="THJ604" s="222"/>
      <c r="THK604" s="222"/>
      <c r="THL604" s="222"/>
      <c r="THM604" s="222"/>
      <c r="THN604" s="222"/>
      <c r="THO604" s="223"/>
      <c r="THP604" s="224"/>
      <c r="THQ604" s="222"/>
      <c r="THR604" s="222"/>
      <c r="THS604" s="222"/>
      <c r="THT604" s="222"/>
      <c r="THU604" s="222"/>
      <c r="THV604" s="222"/>
      <c r="THW604" s="223"/>
      <c r="THX604" s="224"/>
      <c r="THY604" s="222"/>
      <c r="THZ604" s="222"/>
      <c r="TIA604" s="222"/>
      <c r="TIB604" s="222"/>
      <c r="TIC604" s="222"/>
      <c r="TID604" s="222"/>
      <c r="TIE604" s="223"/>
      <c r="TIF604" s="224"/>
      <c r="TIG604" s="222"/>
      <c r="TIH604" s="222"/>
      <c r="TII604" s="222"/>
      <c r="TIJ604" s="222"/>
      <c r="TIK604" s="222"/>
      <c r="TIL604" s="222"/>
      <c r="TIM604" s="223"/>
      <c r="TIN604" s="224"/>
      <c r="TIO604" s="222"/>
      <c r="TIP604" s="222"/>
      <c r="TIQ604" s="222"/>
      <c r="TIR604" s="222"/>
      <c r="TIS604" s="222"/>
      <c r="TIT604" s="222"/>
      <c r="TIU604" s="223"/>
      <c r="TIV604" s="224"/>
      <c r="TIW604" s="222"/>
      <c r="TIX604" s="222"/>
      <c r="TIY604" s="222"/>
      <c r="TIZ604" s="222"/>
      <c r="TJA604" s="222"/>
      <c r="TJB604" s="222"/>
      <c r="TJC604" s="223"/>
      <c r="TJD604" s="224"/>
      <c r="TJE604" s="222"/>
      <c r="TJF604" s="222"/>
      <c r="TJG604" s="222"/>
      <c r="TJH604" s="222"/>
      <c r="TJI604" s="222"/>
      <c r="TJJ604" s="222"/>
      <c r="TJK604" s="223"/>
      <c r="TJL604" s="224"/>
      <c r="TJM604" s="222"/>
      <c r="TJN604" s="222"/>
      <c r="TJO604" s="222"/>
      <c r="TJP604" s="222"/>
      <c r="TJQ604" s="222"/>
      <c r="TJR604" s="222"/>
      <c r="TJS604" s="223"/>
      <c r="TJT604" s="224"/>
      <c r="TJU604" s="222"/>
      <c r="TJV604" s="222"/>
      <c r="TJW604" s="222"/>
      <c r="TJX604" s="222"/>
      <c r="TJY604" s="222"/>
      <c r="TJZ604" s="222"/>
      <c r="TKA604" s="223"/>
      <c r="TKB604" s="224"/>
      <c r="TKC604" s="222"/>
      <c r="TKD604" s="222"/>
      <c r="TKE604" s="222"/>
      <c r="TKF604" s="222"/>
      <c r="TKG604" s="222"/>
      <c r="TKH604" s="222"/>
      <c r="TKI604" s="223"/>
      <c r="TKJ604" s="224"/>
      <c r="TKK604" s="222"/>
      <c r="TKL604" s="222"/>
      <c r="TKM604" s="222"/>
      <c r="TKN604" s="222"/>
      <c r="TKO604" s="222"/>
      <c r="TKP604" s="222"/>
      <c r="TKQ604" s="223"/>
      <c r="TKR604" s="224"/>
      <c r="TKS604" s="222"/>
      <c r="TKT604" s="222"/>
      <c r="TKU604" s="222"/>
      <c r="TKV604" s="222"/>
      <c r="TKW604" s="222"/>
      <c r="TKX604" s="222"/>
      <c r="TKY604" s="223"/>
      <c r="TKZ604" s="224"/>
      <c r="TLA604" s="222"/>
      <c r="TLB604" s="222"/>
      <c r="TLC604" s="222"/>
      <c r="TLD604" s="222"/>
      <c r="TLE604" s="222"/>
      <c r="TLF604" s="222"/>
      <c r="TLG604" s="223"/>
      <c r="TLH604" s="224"/>
      <c r="TLI604" s="222"/>
      <c r="TLJ604" s="222"/>
      <c r="TLK604" s="222"/>
      <c r="TLL604" s="222"/>
      <c r="TLM604" s="222"/>
      <c r="TLN604" s="222"/>
      <c r="TLO604" s="223"/>
      <c r="TLP604" s="224"/>
      <c r="TLQ604" s="222"/>
      <c r="TLR604" s="222"/>
      <c r="TLS604" s="222"/>
      <c r="TLT604" s="222"/>
      <c r="TLU604" s="222"/>
      <c r="TLV604" s="222"/>
      <c r="TLW604" s="223"/>
      <c r="TLX604" s="224"/>
      <c r="TLY604" s="222"/>
      <c r="TLZ604" s="222"/>
      <c r="TMA604" s="222"/>
      <c r="TMB604" s="222"/>
      <c r="TMC604" s="222"/>
      <c r="TMD604" s="222"/>
      <c r="TME604" s="223"/>
      <c r="TMF604" s="224"/>
      <c r="TMG604" s="222"/>
      <c r="TMH604" s="222"/>
      <c r="TMI604" s="222"/>
      <c r="TMJ604" s="222"/>
      <c r="TMK604" s="222"/>
      <c r="TML604" s="222"/>
      <c r="TMM604" s="223"/>
      <c r="TMN604" s="224"/>
      <c r="TMO604" s="222"/>
      <c r="TMP604" s="222"/>
      <c r="TMQ604" s="222"/>
      <c r="TMR604" s="222"/>
      <c r="TMS604" s="222"/>
      <c r="TMT604" s="222"/>
      <c r="TMU604" s="223"/>
      <c r="TMV604" s="224"/>
      <c r="TMW604" s="222"/>
      <c r="TMX604" s="222"/>
      <c r="TMY604" s="222"/>
      <c r="TMZ604" s="222"/>
      <c r="TNA604" s="222"/>
      <c r="TNB604" s="222"/>
      <c r="TNC604" s="223"/>
      <c r="TND604" s="224"/>
      <c r="TNE604" s="222"/>
      <c r="TNF604" s="222"/>
      <c r="TNG604" s="222"/>
      <c r="TNH604" s="222"/>
      <c r="TNI604" s="222"/>
      <c r="TNJ604" s="222"/>
      <c r="TNK604" s="223"/>
      <c r="TNL604" s="224"/>
      <c r="TNM604" s="222"/>
      <c r="TNN604" s="222"/>
      <c r="TNO604" s="222"/>
      <c r="TNP604" s="222"/>
      <c r="TNQ604" s="222"/>
      <c r="TNR604" s="222"/>
      <c r="TNS604" s="223"/>
      <c r="TNT604" s="224"/>
      <c r="TNU604" s="222"/>
      <c r="TNV604" s="222"/>
      <c r="TNW604" s="222"/>
      <c r="TNX604" s="222"/>
      <c r="TNY604" s="222"/>
      <c r="TNZ604" s="222"/>
      <c r="TOA604" s="223"/>
      <c r="TOB604" s="224"/>
      <c r="TOC604" s="222"/>
      <c r="TOD604" s="222"/>
      <c r="TOE604" s="222"/>
      <c r="TOF604" s="222"/>
      <c r="TOG604" s="222"/>
      <c r="TOH604" s="222"/>
      <c r="TOI604" s="223"/>
      <c r="TOJ604" s="224"/>
      <c r="TOK604" s="222"/>
      <c r="TOL604" s="222"/>
      <c r="TOM604" s="222"/>
      <c r="TON604" s="222"/>
      <c r="TOO604" s="222"/>
      <c r="TOP604" s="222"/>
      <c r="TOQ604" s="223"/>
      <c r="TOR604" s="224"/>
      <c r="TOS604" s="222"/>
      <c r="TOT604" s="222"/>
      <c r="TOU604" s="222"/>
      <c r="TOV604" s="222"/>
      <c r="TOW604" s="222"/>
      <c r="TOX604" s="222"/>
      <c r="TOY604" s="223"/>
      <c r="TOZ604" s="224"/>
      <c r="TPA604" s="222"/>
      <c r="TPB604" s="222"/>
      <c r="TPC604" s="222"/>
      <c r="TPD604" s="222"/>
      <c r="TPE604" s="222"/>
      <c r="TPF604" s="222"/>
      <c r="TPG604" s="223"/>
      <c r="TPH604" s="224"/>
      <c r="TPI604" s="222"/>
      <c r="TPJ604" s="222"/>
      <c r="TPK604" s="222"/>
      <c r="TPL604" s="222"/>
      <c r="TPM604" s="222"/>
      <c r="TPN604" s="222"/>
      <c r="TPO604" s="223"/>
      <c r="TPP604" s="224"/>
      <c r="TPQ604" s="222"/>
      <c r="TPR604" s="222"/>
      <c r="TPS604" s="222"/>
      <c r="TPT604" s="222"/>
      <c r="TPU604" s="222"/>
      <c r="TPV604" s="222"/>
      <c r="TPW604" s="223"/>
      <c r="TPX604" s="224"/>
      <c r="TPY604" s="222"/>
      <c r="TPZ604" s="222"/>
      <c r="TQA604" s="222"/>
      <c r="TQB604" s="222"/>
      <c r="TQC604" s="222"/>
      <c r="TQD604" s="222"/>
      <c r="TQE604" s="223"/>
      <c r="TQF604" s="224"/>
      <c r="TQG604" s="222"/>
      <c r="TQH604" s="222"/>
      <c r="TQI604" s="222"/>
      <c r="TQJ604" s="222"/>
      <c r="TQK604" s="222"/>
      <c r="TQL604" s="222"/>
      <c r="TQM604" s="223"/>
      <c r="TQN604" s="224"/>
      <c r="TQO604" s="222"/>
      <c r="TQP604" s="222"/>
      <c r="TQQ604" s="222"/>
      <c r="TQR604" s="222"/>
      <c r="TQS604" s="222"/>
      <c r="TQT604" s="222"/>
      <c r="TQU604" s="223"/>
      <c r="TQV604" s="224"/>
      <c r="TQW604" s="222"/>
      <c r="TQX604" s="222"/>
      <c r="TQY604" s="222"/>
      <c r="TQZ604" s="222"/>
      <c r="TRA604" s="222"/>
      <c r="TRB604" s="222"/>
      <c r="TRC604" s="223"/>
      <c r="TRD604" s="224"/>
      <c r="TRE604" s="222"/>
      <c r="TRF604" s="222"/>
      <c r="TRG604" s="222"/>
      <c r="TRH604" s="222"/>
      <c r="TRI604" s="222"/>
      <c r="TRJ604" s="222"/>
      <c r="TRK604" s="223"/>
      <c r="TRL604" s="224"/>
      <c r="TRM604" s="222"/>
      <c r="TRN604" s="222"/>
      <c r="TRO604" s="222"/>
      <c r="TRP604" s="222"/>
      <c r="TRQ604" s="222"/>
      <c r="TRR604" s="222"/>
      <c r="TRS604" s="223"/>
      <c r="TRT604" s="224"/>
      <c r="TRU604" s="222"/>
      <c r="TRV604" s="222"/>
      <c r="TRW604" s="222"/>
      <c r="TRX604" s="222"/>
      <c r="TRY604" s="222"/>
      <c r="TRZ604" s="222"/>
      <c r="TSA604" s="223"/>
      <c r="TSB604" s="224"/>
      <c r="TSC604" s="222"/>
      <c r="TSD604" s="222"/>
      <c r="TSE604" s="222"/>
      <c r="TSF604" s="222"/>
      <c r="TSG604" s="222"/>
      <c r="TSH604" s="222"/>
      <c r="TSI604" s="223"/>
      <c r="TSJ604" s="224"/>
      <c r="TSK604" s="222"/>
      <c r="TSL604" s="222"/>
      <c r="TSM604" s="222"/>
      <c r="TSN604" s="222"/>
      <c r="TSO604" s="222"/>
      <c r="TSP604" s="222"/>
      <c r="TSQ604" s="223"/>
      <c r="TSR604" s="224"/>
      <c r="TSS604" s="222"/>
      <c r="TST604" s="222"/>
      <c r="TSU604" s="222"/>
      <c r="TSV604" s="222"/>
      <c r="TSW604" s="222"/>
      <c r="TSX604" s="222"/>
      <c r="TSY604" s="223"/>
      <c r="TSZ604" s="224"/>
      <c r="TTA604" s="222"/>
      <c r="TTB604" s="222"/>
      <c r="TTC604" s="222"/>
      <c r="TTD604" s="222"/>
      <c r="TTE604" s="222"/>
      <c r="TTF604" s="222"/>
      <c r="TTG604" s="223"/>
      <c r="TTH604" s="224"/>
      <c r="TTI604" s="222"/>
      <c r="TTJ604" s="222"/>
      <c r="TTK604" s="222"/>
      <c r="TTL604" s="222"/>
      <c r="TTM604" s="222"/>
      <c r="TTN604" s="222"/>
      <c r="TTO604" s="223"/>
      <c r="TTP604" s="224"/>
      <c r="TTQ604" s="222"/>
      <c r="TTR604" s="222"/>
      <c r="TTS604" s="222"/>
      <c r="TTT604" s="222"/>
      <c r="TTU604" s="222"/>
      <c r="TTV604" s="222"/>
      <c r="TTW604" s="223"/>
      <c r="TTX604" s="224"/>
      <c r="TTY604" s="222"/>
      <c r="TTZ604" s="222"/>
      <c r="TUA604" s="222"/>
      <c r="TUB604" s="222"/>
      <c r="TUC604" s="222"/>
      <c r="TUD604" s="222"/>
      <c r="TUE604" s="223"/>
      <c r="TUF604" s="224"/>
      <c r="TUG604" s="222"/>
      <c r="TUH604" s="222"/>
      <c r="TUI604" s="222"/>
      <c r="TUJ604" s="222"/>
      <c r="TUK604" s="222"/>
      <c r="TUL604" s="222"/>
      <c r="TUM604" s="223"/>
      <c r="TUN604" s="224"/>
      <c r="TUO604" s="222"/>
      <c r="TUP604" s="222"/>
      <c r="TUQ604" s="222"/>
      <c r="TUR604" s="222"/>
      <c r="TUS604" s="222"/>
      <c r="TUT604" s="222"/>
      <c r="TUU604" s="223"/>
      <c r="TUV604" s="224"/>
      <c r="TUW604" s="222"/>
      <c r="TUX604" s="222"/>
      <c r="TUY604" s="222"/>
      <c r="TUZ604" s="222"/>
      <c r="TVA604" s="222"/>
      <c r="TVB604" s="222"/>
      <c r="TVC604" s="223"/>
      <c r="TVD604" s="224"/>
      <c r="TVE604" s="222"/>
      <c r="TVF604" s="222"/>
      <c r="TVG604" s="222"/>
      <c r="TVH604" s="222"/>
      <c r="TVI604" s="222"/>
      <c r="TVJ604" s="222"/>
      <c r="TVK604" s="223"/>
      <c r="TVL604" s="224"/>
      <c r="TVM604" s="222"/>
      <c r="TVN604" s="222"/>
      <c r="TVO604" s="222"/>
      <c r="TVP604" s="222"/>
      <c r="TVQ604" s="222"/>
      <c r="TVR604" s="222"/>
      <c r="TVS604" s="223"/>
      <c r="TVT604" s="224"/>
      <c r="TVU604" s="222"/>
      <c r="TVV604" s="222"/>
      <c r="TVW604" s="222"/>
      <c r="TVX604" s="222"/>
      <c r="TVY604" s="222"/>
      <c r="TVZ604" s="222"/>
      <c r="TWA604" s="223"/>
      <c r="TWB604" s="224"/>
      <c r="TWC604" s="222"/>
      <c r="TWD604" s="222"/>
      <c r="TWE604" s="222"/>
      <c r="TWF604" s="222"/>
      <c r="TWG604" s="222"/>
      <c r="TWH604" s="222"/>
      <c r="TWI604" s="223"/>
      <c r="TWJ604" s="224"/>
      <c r="TWK604" s="222"/>
      <c r="TWL604" s="222"/>
      <c r="TWM604" s="222"/>
      <c r="TWN604" s="222"/>
      <c r="TWO604" s="222"/>
      <c r="TWP604" s="222"/>
      <c r="TWQ604" s="223"/>
      <c r="TWR604" s="224"/>
      <c r="TWS604" s="222"/>
      <c r="TWT604" s="222"/>
      <c r="TWU604" s="222"/>
      <c r="TWV604" s="222"/>
      <c r="TWW604" s="222"/>
      <c r="TWX604" s="222"/>
      <c r="TWY604" s="223"/>
      <c r="TWZ604" s="224"/>
      <c r="TXA604" s="222"/>
      <c r="TXB604" s="222"/>
      <c r="TXC604" s="222"/>
      <c r="TXD604" s="222"/>
      <c r="TXE604" s="222"/>
      <c r="TXF604" s="222"/>
      <c r="TXG604" s="223"/>
      <c r="TXH604" s="224"/>
      <c r="TXI604" s="222"/>
      <c r="TXJ604" s="222"/>
      <c r="TXK604" s="222"/>
      <c r="TXL604" s="222"/>
      <c r="TXM604" s="222"/>
      <c r="TXN604" s="222"/>
      <c r="TXO604" s="223"/>
      <c r="TXP604" s="224"/>
      <c r="TXQ604" s="222"/>
      <c r="TXR604" s="222"/>
      <c r="TXS604" s="222"/>
      <c r="TXT604" s="222"/>
      <c r="TXU604" s="222"/>
      <c r="TXV604" s="222"/>
      <c r="TXW604" s="223"/>
      <c r="TXX604" s="224"/>
      <c r="TXY604" s="222"/>
      <c r="TXZ604" s="222"/>
      <c r="TYA604" s="222"/>
      <c r="TYB604" s="222"/>
      <c r="TYC604" s="222"/>
      <c r="TYD604" s="222"/>
      <c r="TYE604" s="223"/>
      <c r="TYF604" s="224"/>
      <c r="TYG604" s="222"/>
      <c r="TYH604" s="222"/>
      <c r="TYI604" s="222"/>
      <c r="TYJ604" s="222"/>
      <c r="TYK604" s="222"/>
      <c r="TYL604" s="222"/>
      <c r="TYM604" s="223"/>
      <c r="TYN604" s="224"/>
      <c r="TYO604" s="222"/>
      <c r="TYP604" s="222"/>
      <c r="TYQ604" s="222"/>
      <c r="TYR604" s="222"/>
      <c r="TYS604" s="222"/>
      <c r="TYT604" s="222"/>
      <c r="TYU604" s="223"/>
      <c r="TYV604" s="224"/>
      <c r="TYW604" s="222"/>
      <c r="TYX604" s="222"/>
      <c r="TYY604" s="222"/>
      <c r="TYZ604" s="222"/>
      <c r="TZA604" s="222"/>
      <c r="TZB604" s="222"/>
      <c r="TZC604" s="223"/>
      <c r="TZD604" s="224"/>
      <c r="TZE604" s="222"/>
      <c r="TZF604" s="222"/>
      <c r="TZG604" s="222"/>
      <c r="TZH604" s="222"/>
      <c r="TZI604" s="222"/>
      <c r="TZJ604" s="222"/>
      <c r="TZK604" s="223"/>
      <c r="TZL604" s="224"/>
      <c r="TZM604" s="222"/>
      <c r="TZN604" s="222"/>
      <c r="TZO604" s="222"/>
      <c r="TZP604" s="222"/>
      <c r="TZQ604" s="222"/>
      <c r="TZR604" s="222"/>
      <c r="TZS604" s="223"/>
      <c r="TZT604" s="224"/>
      <c r="TZU604" s="222"/>
      <c r="TZV604" s="222"/>
      <c r="TZW604" s="222"/>
      <c r="TZX604" s="222"/>
      <c r="TZY604" s="222"/>
      <c r="TZZ604" s="222"/>
      <c r="UAA604" s="223"/>
      <c r="UAB604" s="224"/>
      <c r="UAC604" s="222"/>
      <c r="UAD604" s="222"/>
      <c r="UAE604" s="222"/>
      <c r="UAF604" s="222"/>
      <c r="UAG604" s="222"/>
      <c r="UAH604" s="222"/>
      <c r="UAI604" s="223"/>
      <c r="UAJ604" s="224"/>
      <c r="UAK604" s="222"/>
      <c r="UAL604" s="222"/>
      <c r="UAM604" s="222"/>
      <c r="UAN604" s="222"/>
      <c r="UAO604" s="222"/>
      <c r="UAP604" s="222"/>
      <c r="UAQ604" s="223"/>
      <c r="UAR604" s="224"/>
      <c r="UAS604" s="222"/>
      <c r="UAT604" s="222"/>
      <c r="UAU604" s="222"/>
      <c r="UAV604" s="222"/>
      <c r="UAW604" s="222"/>
      <c r="UAX604" s="222"/>
      <c r="UAY604" s="223"/>
      <c r="UAZ604" s="224"/>
      <c r="UBA604" s="222"/>
      <c r="UBB604" s="222"/>
      <c r="UBC604" s="222"/>
      <c r="UBD604" s="222"/>
      <c r="UBE604" s="222"/>
      <c r="UBF604" s="222"/>
      <c r="UBG604" s="223"/>
      <c r="UBH604" s="224"/>
      <c r="UBI604" s="222"/>
      <c r="UBJ604" s="222"/>
      <c r="UBK604" s="222"/>
      <c r="UBL604" s="222"/>
      <c r="UBM604" s="222"/>
      <c r="UBN604" s="222"/>
      <c r="UBO604" s="223"/>
      <c r="UBP604" s="224"/>
      <c r="UBQ604" s="222"/>
      <c r="UBR604" s="222"/>
      <c r="UBS604" s="222"/>
      <c r="UBT604" s="222"/>
      <c r="UBU604" s="222"/>
      <c r="UBV604" s="222"/>
      <c r="UBW604" s="223"/>
      <c r="UBX604" s="224"/>
      <c r="UBY604" s="222"/>
      <c r="UBZ604" s="222"/>
      <c r="UCA604" s="222"/>
      <c r="UCB604" s="222"/>
      <c r="UCC604" s="222"/>
      <c r="UCD604" s="222"/>
      <c r="UCE604" s="223"/>
      <c r="UCF604" s="224"/>
      <c r="UCG604" s="222"/>
      <c r="UCH604" s="222"/>
      <c r="UCI604" s="222"/>
      <c r="UCJ604" s="222"/>
      <c r="UCK604" s="222"/>
      <c r="UCL604" s="222"/>
      <c r="UCM604" s="223"/>
      <c r="UCN604" s="224"/>
      <c r="UCO604" s="222"/>
      <c r="UCP604" s="222"/>
      <c r="UCQ604" s="222"/>
      <c r="UCR604" s="222"/>
      <c r="UCS604" s="222"/>
      <c r="UCT604" s="222"/>
      <c r="UCU604" s="223"/>
      <c r="UCV604" s="224"/>
      <c r="UCW604" s="222"/>
      <c r="UCX604" s="222"/>
      <c r="UCY604" s="222"/>
      <c r="UCZ604" s="222"/>
      <c r="UDA604" s="222"/>
      <c r="UDB604" s="222"/>
      <c r="UDC604" s="223"/>
      <c r="UDD604" s="224"/>
      <c r="UDE604" s="222"/>
      <c r="UDF604" s="222"/>
      <c r="UDG604" s="222"/>
      <c r="UDH604" s="222"/>
      <c r="UDI604" s="222"/>
      <c r="UDJ604" s="222"/>
      <c r="UDK604" s="223"/>
      <c r="UDL604" s="224"/>
      <c r="UDM604" s="222"/>
      <c r="UDN604" s="222"/>
      <c r="UDO604" s="222"/>
      <c r="UDP604" s="222"/>
      <c r="UDQ604" s="222"/>
      <c r="UDR604" s="222"/>
      <c r="UDS604" s="223"/>
      <c r="UDT604" s="224"/>
      <c r="UDU604" s="222"/>
      <c r="UDV604" s="222"/>
      <c r="UDW604" s="222"/>
      <c r="UDX604" s="222"/>
      <c r="UDY604" s="222"/>
      <c r="UDZ604" s="222"/>
      <c r="UEA604" s="223"/>
      <c r="UEB604" s="224"/>
      <c r="UEC604" s="222"/>
      <c r="UED604" s="222"/>
      <c r="UEE604" s="222"/>
      <c r="UEF604" s="222"/>
      <c r="UEG604" s="222"/>
      <c r="UEH604" s="222"/>
      <c r="UEI604" s="223"/>
      <c r="UEJ604" s="224"/>
      <c r="UEK604" s="222"/>
      <c r="UEL604" s="222"/>
      <c r="UEM604" s="222"/>
      <c r="UEN604" s="222"/>
      <c r="UEO604" s="222"/>
      <c r="UEP604" s="222"/>
      <c r="UEQ604" s="223"/>
      <c r="UER604" s="224"/>
      <c r="UES604" s="222"/>
      <c r="UET604" s="222"/>
      <c r="UEU604" s="222"/>
      <c r="UEV604" s="222"/>
      <c r="UEW604" s="222"/>
      <c r="UEX604" s="222"/>
      <c r="UEY604" s="223"/>
      <c r="UEZ604" s="224"/>
      <c r="UFA604" s="222"/>
      <c r="UFB604" s="222"/>
      <c r="UFC604" s="222"/>
      <c r="UFD604" s="222"/>
      <c r="UFE604" s="222"/>
      <c r="UFF604" s="222"/>
      <c r="UFG604" s="223"/>
      <c r="UFH604" s="224"/>
      <c r="UFI604" s="222"/>
      <c r="UFJ604" s="222"/>
      <c r="UFK604" s="222"/>
      <c r="UFL604" s="222"/>
      <c r="UFM604" s="222"/>
      <c r="UFN604" s="222"/>
      <c r="UFO604" s="223"/>
      <c r="UFP604" s="224"/>
      <c r="UFQ604" s="222"/>
      <c r="UFR604" s="222"/>
      <c r="UFS604" s="222"/>
      <c r="UFT604" s="222"/>
      <c r="UFU604" s="222"/>
      <c r="UFV604" s="222"/>
      <c r="UFW604" s="223"/>
      <c r="UFX604" s="224"/>
      <c r="UFY604" s="222"/>
      <c r="UFZ604" s="222"/>
      <c r="UGA604" s="222"/>
      <c r="UGB604" s="222"/>
      <c r="UGC604" s="222"/>
      <c r="UGD604" s="222"/>
      <c r="UGE604" s="223"/>
      <c r="UGF604" s="224"/>
      <c r="UGG604" s="222"/>
      <c r="UGH604" s="222"/>
      <c r="UGI604" s="222"/>
      <c r="UGJ604" s="222"/>
      <c r="UGK604" s="222"/>
      <c r="UGL604" s="222"/>
      <c r="UGM604" s="223"/>
      <c r="UGN604" s="224"/>
      <c r="UGO604" s="222"/>
      <c r="UGP604" s="222"/>
      <c r="UGQ604" s="222"/>
      <c r="UGR604" s="222"/>
      <c r="UGS604" s="222"/>
      <c r="UGT604" s="222"/>
      <c r="UGU604" s="223"/>
      <c r="UGV604" s="224"/>
      <c r="UGW604" s="222"/>
      <c r="UGX604" s="222"/>
      <c r="UGY604" s="222"/>
      <c r="UGZ604" s="222"/>
      <c r="UHA604" s="222"/>
      <c r="UHB604" s="222"/>
      <c r="UHC604" s="223"/>
      <c r="UHD604" s="224"/>
      <c r="UHE604" s="222"/>
      <c r="UHF604" s="222"/>
      <c r="UHG604" s="222"/>
      <c r="UHH604" s="222"/>
      <c r="UHI604" s="222"/>
      <c r="UHJ604" s="222"/>
      <c r="UHK604" s="223"/>
      <c r="UHL604" s="224"/>
      <c r="UHM604" s="222"/>
      <c r="UHN604" s="222"/>
      <c r="UHO604" s="222"/>
      <c r="UHP604" s="222"/>
      <c r="UHQ604" s="222"/>
      <c r="UHR604" s="222"/>
      <c r="UHS604" s="223"/>
      <c r="UHT604" s="224"/>
      <c r="UHU604" s="222"/>
      <c r="UHV604" s="222"/>
      <c r="UHW604" s="222"/>
      <c r="UHX604" s="222"/>
      <c r="UHY604" s="222"/>
      <c r="UHZ604" s="222"/>
      <c r="UIA604" s="223"/>
      <c r="UIB604" s="224"/>
      <c r="UIC604" s="222"/>
      <c r="UID604" s="222"/>
      <c r="UIE604" s="222"/>
      <c r="UIF604" s="222"/>
      <c r="UIG604" s="222"/>
      <c r="UIH604" s="222"/>
      <c r="UII604" s="223"/>
      <c r="UIJ604" s="224"/>
      <c r="UIK604" s="222"/>
      <c r="UIL604" s="222"/>
      <c r="UIM604" s="222"/>
      <c r="UIN604" s="222"/>
      <c r="UIO604" s="222"/>
      <c r="UIP604" s="222"/>
      <c r="UIQ604" s="223"/>
      <c r="UIR604" s="224"/>
      <c r="UIS604" s="222"/>
      <c r="UIT604" s="222"/>
      <c r="UIU604" s="222"/>
      <c r="UIV604" s="222"/>
      <c r="UIW604" s="222"/>
      <c r="UIX604" s="222"/>
      <c r="UIY604" s="223"/>
      <c r="UIZ604" s="224"/>
      <c r="UJA604" s="222"/>
      <c r="UJB604" s="222"/>
      <c r="UJC604" s="222"/>
      <c r="UJD604" s="222"/>
      <c r="UJE604" s="222"/>
      <c r="UJF604" s="222"/>
      <c r="UJG604" s="223"/>
      <c r="UJH604" s="224"/>
      <c r="UJI604" s="222"/>
      <c r="UJJ604" s="222"/>
      <c r="UJK604" s="222"/>
      <c r="UJL604" s="222"/>
      <c r="UJM604" s="222"/>
      <c r="UJN604" s="222"/>
      <c r="UJO604" s="223"/>
      <c r="UJP604" s="224"/>
      <c r="UJQ604" s="222"/>
      <c r="UJR604" s="222"/>
      <c r="UJS604" s="222"/>
      <c r="UJT604" s="222"/>
      <c r="UJU604" s="222"/>
      <c r="UJV604" s="222"/>
      <c r="UJW604" s="223"/>
      <c r="UJX604" s="224"/>
      <c r="UJY604" s="222"/>
      <c r="UJZ604" s="222"/>
      <c r="UKA604" s="222"/>
      <c r="UKB604" s="222"/>
      <c r="UKC604" s="222"/>
      <c r="UKD604" s="222"/>
      <c r="UKE604" s="223"/>
      <c r="UKF604" s="224"/>
      <c r="UKG604" s="222"/>
      <c r="UKH604" s="222"/>
      <c r="UKI604" s="222"/>
      <c r="UKJ604" s="222"/>
      <c r="UKK604" s="222"/>
      <c r="UKL604" s="222"/>
      <c r="UKM604" s="223"/>
      <c r="UKN604" s="224"/>
      <c r="UKO604" s="222"/>
      <c r="UKP604" s="222"/>
      <c r="UKQ604" s="222"/>
      <c r="UKR604" s="222"/>
      <c r="UKS604" s="222"/>
      <c r="UKT604" s="222"/>
      <c r="UKU604" s="223"/>
      <c r="UKV604" s="224"/>
      <c r="UKW604" s="222"/>
      <c r="UKX604" s="222"/>
      <c r="UKY604" s="222"/>
      <c r="UKZ604" s="222"/>
      <c r="ULA604" s="222"/>
      <c r="ULB604" s="222"/>
      <c r="ULC604" s="223"/>
      <c r="ULD604" s="224"/>
      <c r="ULE604" s="222"/>
      <c r="ULF604" s="222"/>
      <c r="ULG604" s="222"/>
      <c r="ULH604" s="222"/>
      <c r="ULI604" s="222"/>
      <c r="ULJ604" s="222"/>
      <c r="ULK604" s="223"/>
      <c r="ULL604" s="224"/>
      <c r="ULM604" s="222"/>
      <c r="ULN604" s="222"/>
      <c r="ULO604" s="222"/>
      <c r="ULP604" s="222"/>
      <c r="ULQ604" s="222"/>
      <c r="ULR604" s="222"/>
      <c r="ULS604" s="223"/>
      <c r="ULT604" s="224"/>
      <c r="ULU604" s="222"/>
      <c r="ULV604" s="222"/>
      <c r="ULW604" s="222"/>
      <c r="ULX604" s="222"/>
      <c r="ULY604" s="222"/>
      <c r="ULZ604" s="222"/>
      <c r="UMA604" s="223"/>
      <c r="UMB604" s="224"/>
      <c r="UMC604" s="222"/>
      <c r="UMD604" s="222"/>
      <c r="UME604" s="222"/>
      <c r="UMF604" s="222"/>
      <c r="UMG604" s="222"/>
      <c r="UMH604" s="222"/>
      <c r="UMI604" s="223"/>
      <c r="UMJ604" s="224"/>
      <c r="UMK604" s="222"/>
      <c r="UML604" s="222"/>
      <c r="UMM604" s="222"/>
      <c r="UMN604" s="222"/>
      <c r="UMO604" s="222"/>
      <c r="UMP604" s="222"/>
      <c r="UMQ604" s="223"/>
      <c r="UMR604" s="224"/>
      <c r="UMS604" s="222"/>
      <c r="UMT604" s="222"/>
      <c r="UMU604" s="222"/>
      <c r="UMV604" s="222"/>
      <c r="UMW604" s="222"/>
      <c r="UMX604" s="222"/>
      <c r="UMY604" s="223"/>
      <c r="UMZ604" s="224"/>
      <c r="UNA604" s="222"/>
      <c r="UNB604" s="222"/>
      <c r="UNC604" s="222"/>
      <c r="UND604" s="222"/>
      <c r="UNE604" s="222"/>
      <c r="UNF604" s="222"/>
      <c r="UNG604" s="223"/>
      <c r="UNH604" s="224"/>
      <c r="UNI604" s="222"/>
      <c r="UNJ604" s="222"/>
      <c r="UNK604" s="222"/>
      <c r="UNL604" s="222"/>
      <c r="UNM604" s="222"/>
      <c r="UNN604" s="222"/>
      <c r="UNO604" s="223"/>
      <c r="UNP604" s="224"/>
      <c r="UNQ604" s="222"/>
      <c r="UNR604" s="222"/>
      <c r="UNS604" s="222"/>
      <c r="UNT604" s="222"/>
      <c r="UNU604" s="222"/>
      <c r="UNV604" s="222"/>
      <c r="UNW604" s="223"/>
      <c r="UNX604" s="224"/>
      <c r="UNY604" s="222"/>
      <c r="UNZ604" s="222"/>
      <c r="UOA604" s="222"/>
      <c r="UOB604" s="222"/>
      <c r="UOC604" s="222"/>
      <c r="UOD604" s="222"/>
      <c r="UOE604" s="223"/>
      <c r="UOF604" s="224"/>
      <c r="UOG604" s="222"/>
      <c r="UOH604" s="222"/>
      <c r="UOI604" s="222"/>
      <c r="UOJ604" s="222"/>
      <c r="UOK604" s="222"/>
      <c r="UOL604" s="222"/>
      <c r="UOM604" s="223"/>
      <c r="UON604" s="224"/>
      <c r="UOO604" s="222"/>
      <c r="UOP604" s="222"/>
      <c r="UOQ604" s="222"/>
      <c r="UOR604" s="222"/>
      <c r="UOS604" s="222"/>
      <c r="UOT604" s="222"/>
      <c r="UOU604" s="223"/>
      <c r="UOV604" s="224"/>
      <c r="UOW604" s="222"/>
      <c r="UOX604" s="222"/>
      <c r="UOY604" s="222"/>
      <c r="UOZ604" s="222"/>
      <c r="UPA604" s="222"/>
      <c r="UPB604" s="222"/>
      <c r="UPC604" s="223"/>
      <c r="UPD604" s="224"/>
      <c r="UPE604" s="222"/>
      <c r="UPF604" s="222"/>
      <c r="UPG604" s="222"/>
      <c r="UPH604" s="222"/>
      <c r="UPI604" s="222"/>
      <c r="UPJ604" s="222"/>
      <c r="UPK604" s="223"/>
      <c r="UPL604" s="224"/>
      <c r="UPM604" s="222"/>
      <c r="UPN604" s="222"/>
      <c r="UPO604" s="222"/>
      <c r="UPP604" s="222"/>
      <c r="UPQ604" s="222"/>
      <c r="UPR604" s="222"/>
      <c r="UPS604" s="223"/>
      <c r="UPT604" s="224"/>
      <c r="UPU604" s="222"/>
      <c r="UPV604" s="222"/>
      <c r="UPW604" s="222"/>
      <c r="UPX604" s="222"/>
      <c r="UPY604" s="222"/>
      <c r="UPZ604" s="222"/>
      <c r="UQA604" s="223"/>
      <c r="UQB604" s="224"/>
      <c r="UQC604" s="222"/>
      <c r="UQD604" s="222"/>
      <c r="UQE604" s="222"/>
      <c r="UQF604" s="222"/>
      <c r="UQG604" s="222"/>
      <c r="UQH604" s="222"/>
      <c r="UQI604" s="223"/>
      <c r="UQJ604" s="224"/>
      <c r="UQK604" s="222"/>
      <c r="UQL604" s="222"/>
      <c r="UQM604" s="222"/>
      <c r="UQN604" s="222"/>
      <c r="UQO604" s="222"/>
      <c r="UQP604" s="222"/>
      <c r="UQQ604" s="223"/>
      <c r="UQR604" s="224"/>
      <c r="UQS604" s="222"/>
      <c r="UQT604" s="222"/>
      <c r="UQU604" s="222"/>
      <c r="UQV604" s="222"/>
      <c r="UQW604" s="222"/>
      <c r="UQX604" s="222"/>
      <c r="UQY604" s="223"/>
      <c r="UQZ604" s="224"/>
      <c r="URA604" s="222"/>
      <c r="URB604" s="222"/>
      <c r="URC604" s="222"/>
      <c r="URD604" s="222"/>
      <c r="URE604" s="222"/>
      <c r="URF604" s="222"/>
      <c r="URG604" s="223"/>
      <c r="URH604" s="224"/>
      <c r="URI604" s="222"/>
      <c r="URJ604" s="222"/>
      <c r="URK604" s="222"/>
      <c r="URL604" s="222"/>
      <c r="URM604" s="222"/>
      <c r="URN604" s="222"/>
      <c r="URO604" s="223"/>
      <c r="URP604" s="224"/>
      <c r="URQ604" s="222"/>
      <c r="URR604" s="222"/>
      <c r="URS604" s="222"/>
      <c r="URT604" s="222"/>
      <c r="URU604" s="222"/>
      <c r="URV604" s="222"/>
      <c r="URW604" s="223"/>
      <c r="URX604" s="224"/>
      <c r="URY604" s="222"/>
      <c r="URZ604" s="222"/>
      <c r="USA604" s="222"/>
      <c r="USB604" s="222"/>
      <c r="USC604" s="222"/>
      <c r="USD604" s="222"/>
      <c r="USE604" s="223"/>
      <c r="USF604" s="224"/>
      <c r="USG604" s="222"/>
      <c r="USH604" s="222"/>
      <c r="USI604" s="222"/>
      <c r="USJ604" s="222"/>
      <c r="USK604" s="222"/>
      <c r="USL604" s="222"/>
      <c r="USM604" s="223"/>
      <c r="USN604" s="224"/>
      <c r="USO604" s="222"/>
      <c r="USP604" s="222"/>
      <c r="USQ604" s="222"/>
      <c r="USR604" s="222"/>
      <c r="USS604" s="222"/>
      <c r="UST604" s="222"/>
      <c r="USU604" s="223"/>
      <c r="USV604" s="224"/>
      <c r="USW604" s="222"/>
      <c r="USX604" s="222"/>
      <c r="USY604" s="222"/>
      <c r="USZ604" s="222"/>
      <c r="UTA604" s="222"/>
      <c r="UTB604" s="222"/>
      <c r="UTC604" s="223"/>
      <c r="UTD604" s="224"/>
      <c r="UTE604" s="222"/>
      <c r="UTF604" s="222"/>
      <c r="UTG604" s="222"/>
      <c r="UTH604" s="222"/>
      <c r="UTI604" s="222"/>
      <c r="UTJ604" s="222"/>
      <c r="UTK604" s="223"/>
      <c r="UTL604" s="224"/>
      <c r="UTM604" s="222"/>
      <c r="UTN604" s="222"/>
      <c r="UTO604" s="222"/>
      <c r="UTP604" s="222"/>
      <c r="UTQ604" s="222"/>
      <c r="UTR604" s="222"/>
      <c r="UTS604" s="223"/>
      <c r="UTT604" s="224"/>
      <c r="UTU604" s="222"/>
      <c r="UTV604" s="222"/>
      <c r="UTW604" s="222"/>
      <c r="UTX604" s="222"/>
      <c r="UTY604" s="222"/>
      <c r="UTZ604" s="222"/>
      <c r="UUA604" s="223"/>
      <c r="UUB604" s="224"/>
      <c r="UUC604" s="222"/>
      <c r="UUD604" s="222"/>
      <c r="UUE604" s="222"/>
      <c r="UUF604" s="222"/>
      <c r="UUG604" s="222"/>
      <c r="UUH604" s="222"/>
      <c r="UUI604" s="223"/>
      <c r="UUJ604" s="224"/>
      <c r="UUK604" s="222"/>
      <c r="UUL604" s="222"/>
      <c r="UUM604" s="222"/>
      <c r="UUN604" s="222"/>
      <c r="UUO604" s="222"/>
      <c r="UUP604" s="222"/>
      <c r="UUQ604" s="223"/>
      <c r="UUR604" s="224"/>
      <c r="UUS604" s="222"/>
      <c r="UUT604" s="222"/>
      <c r="UUU604" s="222"/>
      <c r="UUV604" s="222"/>
      <c r="UUW604" s="222"/>
      <c r="UUX604" s="222"/>
      <c r="UUY604" s="223"/>
      <c r="UUZ604" s="224"/>
      <c r="UVA604" s="222"/>
      <c r="UVB604" s="222"/>
      <c r="UVC604" s="222"/>
      <c r="UVD604" s="222"/>
      <c r="UVE604" s="222"/>
      <c r="UVF604" s="222"/>
      <c r="UVG604" s="223"/>
      <c r="UVH604" s="224"/>
      <c r="UVI604" s="222"/>
      <c r="UVJ604" s="222"/>
      <c r="UVK604" s="222"/>
      <c r="UVL604" s="222"/>
      <c r="UVM604" s="222"/>
      <c r="UVN604" s="222"/>
      <c r="UVO604" s="223"/>
      <c r="UVP604" s="224"/>
      <c r="UVQ604" s="222"/>
      <c r="UVR604" s="222"/>
      <c r="UVS604" s="222"/>
      <c r="UVT604" s="222"/>
      <c r="UVU604" s="222"/>
      <c r="UVV604" s="222"/>
      <c r="UVW604" s="223"/>
      <c r="UVX604" s="224"/>
      <c r="UVY604" s="222"/>
      <c r="UVZ604" s="222"/>
      <c r="UWA604" s="222"/>
      <c r="UWB604" s="222"/>
      <c r="UWC604" s="222"/>
      <c r="UWD604" s="222"/>
      <c r="UWE604" s="223"/>
      <c r="UWF604" s="224"/>
      <c r="UWG604" s="222"/>
      <c r="UWH604" s="222"/>
      <c r="UWI604" s="222"/>
      <c r="UWJ604" s="222"/>
      <c r="UWK604" s="222"/>
      <c r="UWL604" s="222"/>
      <c r="UWM604" s="223"/>
      <c r="UWN604" s="224"/>
      <c r="UWO604" s="222"/>
      <c r="UWP604" s="222"/>
      <c r="UWQ604" s="222"/>
      <c r="UWR604" s="222"/>
      <c r="UWS604" s="222"/>
      <c r="UWT604" s="222"/>
      <c r="UWU604" s="223"/>
      <c r="UWV604" s="224"/>
      <c r="UWW604" s="222"/>
      <c r="UWX604" s="222"/>
      <c r="UWY604" s="222"/>
      <c r="UWZ604" s="222"/>
      <c r="UXA604" s="222"/>
      <c r="UXB604" s="222"/>
      <c r="UXC604" s="223"/>
      <c r="UXD604" s="224"/>
      <c r="UXE604" s="222"/>
      <c r="UXF604" s="222"/>
      <c r="UXG604" s="222"/>
      <c r="UXH604" s="222"/>
      <c r="UXI604" s="222"/>
      <c r="UXJ604" s="222"/>
      <c r="UXK604" s="223"/>
      <c r="UXL604" s="224"/>
      <c r="UXM604" s="222"/>
      <c r="UXN604" s="222"/>
      <c r="UXO604" s="222"/>
      <c r="UXP604" s="222"/>
      <c r="UXQ604" s="222"/>
      <c r="UXR604" s="222"/>
      <c r="UXS604" s="223"/>
      <c r="UXT604" s="224"/>
      <c r="UXU604" s="222"/>
      <c r="UXV604" s="222"/>
      <c r="UXW604" s="222"/>
      <c r="UXX604" s="222"/>
      <c r="UXY604" s="222"/>
      <c r="UXZ604" s="222"/>
      <c r="UYA604" s="223"/>
      <c r="UYB604" s="224"/>
      <c r="UYC604" s="222"/>
      <c r="UYD604" s="222"/>
      <c r="UYE604" s="222"/>
      <c r="UYF604" s="222"/>
      <c r="UYG604" s="222"/>
      <c r="UYH604" s="222"/>
      <c r="UYI604" s="223"/>
      <c r="UYJ604" s="224"/>
      <c r="UYK604" s="222"/>
      <c r="UYL604" s="222"/>
      <c r="UYM604" s="222"/>
      <c r="UYN604" s="222"/>
      <c r="UYO604" s="222"/>
      <c r="UYP604" s="222"/>
      <c r="UYQ604" s="223"/>
      <c r="UYR604" s="224"/>
      <c r="UYS604" s="222"/>
      <c r="UYT604" s="222"/>
      <c r="UYU604" s="222"/>
      <c r="UYV604" s="222"/>
      <c r="UYW604" s="222"/>
      <c r="UYX604" s="222"/>
      <c r="UYY604" s="223"/>
      <c r="UYZ604" s="224"/>
      <c r="UZA604" s="222"/>
      <c r="UZB604" s="222"/>
      <c r="UZC604" s="222"/>
      <c r="UZD604" s="222"/>
      <c r="UZE604" s="222"/>
      <c r="UZF604" s="222"/>
      <c r="UZG604" s="223"/>
      <c r="UZH604" s="224"/>
      <c r="UZI604" s="222"/>
      <c r="UZJ604" s="222"/>
      <c r="UZK604" s="222"/>
      <c r="UZL604" s="222"/>
      <c r="UZM604" s="222"/>
      <c r="UZN604" s="222"/>
      <c r="UZO604" s="223"/>
      <c r="UZP604" s="224"/>
      <c r="UZQ604" s="222"/>
      <c r="UZR604" s="222"/>
      <c r="UZS604" s="222"/>
      <c r="UZT604" s="222"/>
      <c r="UZU604" s="222"/>
      <c r="UZV604" s="222"/>
      <c r="UZW604" s="223"/>
      <c r="UZX604" s="224"/>
      <c r="UZY604" s="222"/>
      <c r="UZZ604" s="222"/>
      <c r="VAA604" s="222"/>
      <c r="VAB604" s="222"/>
      <c r="VAC604" s="222"/>
      <c r="VAD604" s="222"/>
      <c r="VAE604" s="223"/>
      <c r="VAF604" s="224"/>
      <c r="VAG604" s="222"/>
      <c r="VAH604" s="222"/>
      <c r="VAI604" s="222"/>
      <c r="VAJ604" s="222"/>
      <c r="VAK604" s="222"/>
      <c r="VAL604" s="222"/>
      <c r="VAM604" s="223"/>
      <c r="VAN604" s="224"/>
      <c r="VAO604" s="222"/>
      <c r="VAP604" s="222"/>
      <c r="VAQ604" s="222"/>
      <c r="VAR604" s="222"/>
      <c r="VAS604" s="222"/>
      <c r="VAT604" s="222"/>
      <c r="VAU604" s="223"/>
      <c r="VAV604" s="224"/>
      <c r="VAW604" s="222"/>
      <c r="VAX604" s="222"/>
      <c r="VAY604" s="222"/>
      <c r="VAZ604" s="222"/>
      <c r="VBA604" s="222"/>
      <c r="VBB604" s="222"/>
      <c r="VBC604" s="223"/>
      <c r="VBD604" s="224"/>
      <c r="VBE604" s="222"/>
      <c r="VBF604" s="222"/>
      <c r="VBG604" s="222"/>
      <c r="VBH604" s="222"/>
      <c r="VBI604" s="222"/>
      <c r="VBJ604" s="222"/>
      <c r="VBK604" s="223"/>
      <c r="VBL604" s="224"/>
      <c r="VBM604" s="222"/>
      <c r="VBN604" s="222"/>
      <c r="VBO604" s="222"/>
      <c r="VBP604" s="222"/>
      <c r="VBQ604" s="222"/>
      <c r="VBR604" s="222"/>
      <c r="VBS604" s="223"/>
      <c r="VBT604" s="224"/>
      <c r="VBU604" s="222"/>
      <c r="VBV604" s="222"/>
      <c r="VBW604" s="222"/>
      <c r="VBX604" s="222"/>
      <c r="VBY604" s="222"/>
      <c r="VBZ604" s="222"/>
      <c r="VCA604" s="223"/>
      <c r="VCB604" s="224"/>
      <c r="VCC604" s="222"/>
      <c r="VCD604" s="222"/>
      <c r="VCE604" s="222"/>
      <c r="VCF604" s="222"/>
      <c r="VCG604" s="222"/>
      <c r="VCH604" s="222"/>
      <c r="VCI604" s="223"/>
      <c r="VCJ604" s="224"/>
      <c r="VCK604" s="222"/>
      <c r="VCL604" s="222"/>
      <c r="VCM604" s="222"/>
      <c r="VCN604" s="222"/>
      <c r="VCO604" s="222"/>
      <c r="VCP604" s="222"/>
      <c r="VCQ604" s="223"/>
      <c r="VCR604" s="224"/>
      <c r="VCS604" s="222"/>
      <c r="VCT604" s="222"/>
      <c r="VCU604" s="222"/>
      <c r="VCV604" s="222"/>
      <c r="VCW604" s="222"/>
      <c r="VCX604" s="222"/>
      <c r="VCY604" s="223"/>
      <c r="VCZ604" s="224"/>
      <c r="VDA604" s="222"/>
      <c r="VDB604" s="222"/>
      <c r="VDC604" s="222"/>
      <c r="VDD604" s="222"/>
      <c r="VDE604" s="222"/>
      <c r="VDF604" s="222"/>
      <c r="VDG604" s="223"/>
      <c r="VDH604" s="224"/>
      <c r="VDI604" s="222"/>
      <c r="VDJ604" s="222"/>
      <c r="VDK604" s="222"/>
      <c r="VDL604" s="222"/>
      <c r="VDM604" s="222"/>
      <c r="VDN604" s="222"/>
      <c r="VDO604" s="223"/>
      <c r="VDP604" s="224"/>
      <c r="VDQ604" s="222"/>
      <c r="VDR604" s="222"/>
      <c r="VDS604" s="222"/>
      <c r="VDT604" s="222"/>
      <c r="VDU604" s="222"/>
      <c r="VDV604" s="222"/>
      <c r="VDW604" s="223"/>
      <c r="VDX604" s="224"/>
      <c r="VDY604" s="222"/>
      <c r="VDZ604" s="222"/>
      <c r="VEA604" s="222"/>
      <c r="VEB604" s="222"/>
      <c r="VEC604" s="222"/>
      <c r="VED604" s="222"/>
      <c r="VEE604" s="223"/>
      <c r="VEF604" s="224"/>
      <c r="VEG604" s="222"/>
      <c r="VEH604" s="222"/>
      <c r="VEI604" s="222"/>
      <c r="VEJ604" s="222"/>
      <c r="VEK604" s="222"/>
      <c r="VEL604" s="222"/>
      <c r="VEM604" s="223"/>
      <c r="VEN604" s="224"/>
      <c r="VEO604" s="222"/>
      <c r="VEP604" s="222"/>
      <c r="VEQ604" s="222"/>
      <c r="VER604" s="222"/>
      <c r="VES604" s="222"/>
      <c r="VET604" s="222"/>
      <c r="VEU604" s="223"/>
      <c r="VEV604" s="224"/>
      <c r="VEW604" s="222"/>
      <c r="VEX604" s="222"/>
      <c r="VEY604" s="222"/>
      <c r="VEZ604" s="222"/>
      <c r="VFA604" s="222"/>
      <c r="VFB604" s="222"/>
      <c r="VFC604" s="223"/>
      <c r="VFD604" s="224"/>
      <c r="VFE604" s="222"/>
      <c r="VFF604" s="222"/>
      <c r="VFG604" s="222"/>
      <c r="VFH604" s="222"/>
      <c r="VFI604" s="222"/>
      <c r="VFJ604" s="222"/>
      <c r="VFK604" s="223"/>
      <c r="VFL604" s="224"/>
      <c r="VFM604" s="222"/>
      <c r="VFN604" s="222"/>
      <c r="VFO604" s="222"/>
      <c r="VFP604" s="222"/>
      <c r="VFQ604" s="222"/>
      <c r="VFR604" s="222"/>
      <c r="VFS604" s="223"/>
      <c r="VFT604" s="224"/>
      <c r="VFU604" s="222"/>
      <c r="VFV604" s="222"/>
      <c r="VFW604" s="222"/>
      <c r="VFX604" s="222"/>
      <c r="VFY604" s="222"/>
      <c r="VFZ604" s="222"/>
      <c r="VGA604" s="223"/>
      <c r="VGB604" s="224"/>
      <c r="VGC604" s="222"/>
      <c r="VGD604" s="222"/>
      <c r="VGE604" s="222"/>
      <c r="VGF604" s="222"/>
      <c r="VGG604" s="222"/>
      <c r="VGH604" s="222"/>
      <c r="VGI604" s="223"/>
      <c r="VGJ604" s="224"/>
      <c r="VGK604" s="222"/>
      <c r="VGL604" s="222"/>
      <c r="VGM604" s="222"/>
      <c r="VGN604" s="222"/>
      <c r="VGO604" s="222"/>
      <c r="VGP604" s="222"/>
      <c r="VGQ604" s="223"/>
      <c r="VGR604" s="224"/>
      <c r="VGS604" s="222"/>
      <c r="VGT604" s="222"/>
      <c r="VGU604" s="222"/>
      <c r="VGV604" s="222"/>
      <c r="VGW604" s="222"/>
      <c r="VGX604" s="222"/>
      <c r="VGY604" s="223"/>
      <c r="VGZ604" s="224"/>
      <c r="VHA604" s="222"/>
      <c r="VHB604" s="222"/>
      <c r="VHC604" s="222"/>
      <c r="VHD604" s="222"/>
      <c r="VHE604" s="222"/>
      <c r="VHF604" s="222"/>
      <c r="VHG604" s="223"/>
      <c r="VHH604" s="224"/>
      <c r="VHI604" s="222"/>
      <c r="VHJ604" s="222"/>
      <c r="VHK604" s="222"/>
      <c r="VHL604" s="222"/>
      <c r="VHM604" s="222"/>
      <c r="VHN604" s="222"/>
      <c r="VHO604" s="223"/>
      <c r="VHP604" s="224"/>
      <c r="VHQ604" s="222"/>
      <c r="VHR604" s="222"/>
      <c r="VHS604" s="222"/>
      <c r="VHT604" s="222"/>
      <c r="VHU604" s="222"/>
      <c r="VHV604" s="222"/>
      <c r="VHW604" s="223"/>
      <c r="VHX604" s="224"/>
      <c r="VHY604" s="222"/>
      <c r="VHZ604" s="222"/>
      <c r="VIA604" s="222"/>
      <c r="VIB604" s="222"/>
      <c r="VIC604" s="222"/>
      <c r="VID604" s="222"/>
      <c r="VIE604" s="223"/>
      <c r="VIF604" s="224"/>
      <c r="VIG604" s="222"/>
      <c r="VIH604" s="222"/>
      <c r="VII604" s="222"/>
      <c r="VIJ604" s="222"/>
      <c r="VIK604" s="222"/>
      <c r="VIL604" s="222"/>
      <c r="VIM604" s="223"/>
      <c r="VIN604" s="224"/>
      <c r="VIO604" s="222"/>
      <c r="VIP604" s="222"/>
      <c r="VIQ604" s="222"/>
      <c r="VIR604" s="222"/>
      <c r="VIS604" s="222"/>
      <c r="VIT604" s="222"/>
      <c r="VIU604" s="223"/>
      <c r="VIV604" s="224"/>
      <c r="VIW604" s="222"/>
      <c r="VIX604" s="222"/>
      <c r="VIY604" s="222"/>
      <c r="VIZ604" s="222"/>
      <c r="VJA604" s="222"/>
      <c r="VJB604" s="222"/>
      <c r="VJC604" s="223"/>
      <c r="VJD604" s="224"/>
      <c r="VJE604" s="222"/>
      <c r="VJF604" s="222"/>
      <c r="VJG604" s="222"/>
      <c r="VJH604" s="222"/>
      <c r="VJI604" s="222"/>
      <c r="VJJ604" s="222"/>
      <c r="VJK604" s="223"/>
      <c r="VJL604" s="224"/>
      <c r="VJM604" s="222"/>
      <c r="VJN604" s="222"/>
      <c r="VJO604" s="222"/>
      <c r="VJP604" s="222"/>
      <c r="VJQ604" s="222"/>
      <c r="VJR604" s="222"/>
      <c r="VJS604" s="223"/>
      <c r="VJT604" s="224"/>
      <c r="VJU604" s="222"/>
      <c r="VJV604" s="222"/>
      <c r="VJW604" s="222"/>
      <c r="VJX604" s="222"/>
      <c r="VJY604" s="222"/>
      <c r="VJZ604" s="222"/>
      <c r="VKA604" s="223"/>
      <c r="VKB604" s="224"/>
      <c r="VKC604" s="222"/>
      <c r="VKD604" s="222"/>
      <c r="VKE604" s="222"/>
      <c r="VKF604" s="222"/>
      <c r="VKG604" s="222"/>
      <c r="VKH604" s="222"/>
      <c r="VKI604" s="223"/>
      <c r="VKJ604" s="224"/>
      <c r="VKK604" s="222"/>
      <c r="VKL604" s="222"/>
      <c r="VKM604" s="222"/>
      <c r="VKN604" s="222"/>
      <c r="VKO604" s="222"/>
      <c r="VKP604" s="222"/>
      <c r="VKQ604" s="223"/>
      <c r="VKR604" s="224"/>
      <c r="VKS604" s="222"/>
      <c r="VKT604" s="222"/>
      <c r="VKU604" s="222"/>
      <c r="VKV604" s="222"/>
      <c r="VKW604" s="222"/>
      <c r="VKX604" s="222"/>
      <c r="VKY604" s="223"/>
      <c r="VKZ604" s="224"/>
      <c r="VLA604" s="222"/>
      <c r="VLB604" s="222"/>
      <c r="VLC604" s="222"/>
      <c r="VLD604" s="222"/>
      <c r="VLE604" s="222"/>
      <c r="VLF604" s="222"/>
      <c r="VLG604" s="223"/>
      <c r="VLH604" s="224"/>
      <c r="VLI604" s="222"/>
      <c r="VLJ604" s="222"/>
      <c r="VLK604" s="222"/>
      <c r="VLL604" s="222"/>
      <c r="VLM604" s="222"/>
      <c r="VLN604" s="222"/>
      <c r="VLO604" s="223"/>
      <c r="VLP604" s="224"/>
      <c r="VLQ604" s="222"/>
      <c r="VLR604" s="222"/>
      <c r="VLS604" s="222"/>
      <c r="VLT604" s="222"/>
      <c r="VLU604" s="222"/>
      <c r="VLV604" s="222"/>
      <c r="VLW604" s="223"/>
      <c r="VLX604" s="224"/>
      <c r="VLY604" s="222"/>
      <c r="VLZ604" s="222"/>
      <c r="VMA604" s="222"/>
      <c r="VMB604" s="222"/>
      <c r="VMC604" s="222"/>
      <c r="VMD604" s="222"/>
      <c r="VME604" s="223"/>
      <c r="VMF604" s="224"/>
      <c r="VMG604" s="222"/>
      <c r="VMH604" s="222"/>
      <c r="VMI604" s="222"/>
      <c r="VMJ604" s="222"/>
      <c r="VMK604" s="222"/>
      <c r="VML604" s="222"/>
      <c r="VMM604" s="223"/>
      <c r="VMN604" s="224"/>
      <c r="VMO604" s="222"/>
      <c r="VMP604" s="222"/>
      <c r="VMQ604" s="222"/>
      <c r="VMR604" s="222"/>
      <c r="VMS604" s="222"/>
      <c r="VMT604" s="222"/>
      <c r="VMU604" s="223"/>
      <c r="VMV604" s="224"/>
      <c r="VMW604" s="222"/>
      <c r="VMX604" s="222"/>
      <c r="VMY604" s="222"/>
      <c r="VMZ604" s="222"/>
      <c r="VNA604" s="222"/>
      <c r="VNB604" s="222"/>
      <c r="VNC604" s="223"/>
      <c r="VND604" s="224"/>
      <c r="VNE604" s="222"/>
      <c r="VNF604" s="222"/>
      <c r="VNG604" s="222"/>
      <c r="VNH604" s="222"/>
      <c r="VNI604" s="222"/>
      <c r="VNJ604" s="222"/>
      <c r="VNK604" s="223"/>
      <c r="VNL604" s="224"/>
      <c r="VNM604" s="222"/>
      <c r="VNN604" s="222"/>
      <c r="VNO604" s="222"/>
      <c r="VNP604" s="222"/>
      <c r="VNQ604" s="222"/>
      <c r="VNR604" s="222"/>
      <c r="VNS604" s="223"/>
      <c r="VNT604" s="224"/>
      <c r="VNU604" s="222"/>
      <c r="VNV604" s="222"/>
      <c r="VNW604" s="222"/>
      <c r="VNX604" s="222"/>
      <c r="VNY604" s="222"/>
      <c r="VNZ604" s="222"/>
      <c r="VOA604" s="223"/>
      <c r="VOB604" s="224"/>
      <c r="VOC604" s="222"/>
      <c r="VOD604" s="222"/>
      <c r="VOE604" s="222"/>
      <c r="VOF604" s="222"/>
      <c r="VOG604" s="222"/>
      <c r="VOH604" s="222"/>
      <c r="VOI604" s="223"/>
      <c r="VOJ604" s="224"/>
      <c r="VOK604" s="222"/>
      <c r="VOL604" s="222"/>
      <c r="VOM604" s="222"/>
      <c r="VON604" s="222"/>
      <c r="VOO604" s="222"/>
      <c r="VOP604" s="222"/>
      <c r="VOQ604" s="223"/>
      <c r="VOR604" s="224"/>
      <c r="VOS604" s="222"/>
      <c r="VOT604" s="222"/>
      <c r="VOU604" s="222"/>
      <c r="VOV604" s="222"/>
      <c r="VOW604" s="222"/>
      <c r="VOX604" s="222"/>
      <c r="VOY604" s="223"/>
      <c r="VOZ604" s="224"/>
      <c r="VPA604" s="222"/>
      <c r="VPB604" s="222"/>
      <c r="VPC604" s="222"/>
      <c r="VPD604" s="222"/>
      <c r="VPE604" s="222"/>
      <c r="VPF604" s="222"/>
      <c r="VPG604" s="223"/>
      <c r="VPH604" s="224"/>
      <c r="VPI604" s="222"/>
      <c r="VPJ604" s="222"/>
      <c r="VPK604" s="222"/>
      <c r="VPL604" s="222"/>
      <c r="VPM604" s="222"/>
      <c r="VPN604" s="222"/>
      <c r="VPO604" s="223"/>
      <c r="VPP604" s="224"/>
      <c r="VPQ604" s="222"/>
      <c r="VPR604" s="222"/>
      <c r="VPS604" s="222"/>
      <c r="VPT604" s="222"/>
      <c r="VPU604" s="222"/>
      <c r="VPV604" s="222"/>
      <c r="VPW604" s="223"/>
      <c r="VPX604" s="224"/>
      <c r="VPY604" s="222"/>
      <c r="VPZ604" s="222"/>
      <c r="VQA604" s="222"/>
      <c r="VQB604" s="222"/>
      <c r="VQC604" s="222"/>
      <c r="VQD604" s="222"/>
      <c r="VQE604" s="223"/>
      <c r="VQF604" s="224"/>
      <c r="VQG604" s="222"/>
      <c r="VQH604" s="222"/>
      <c r="VQI604" s="222"/>
      <c r="VQJ604" s="222"/>
      <c r="VQK604" s="222"/>
      <c r="VQL604" s="222"/>
      <c r="VQM604" s="223"/>
      <c r="VQN604" s="224"/>
      <c r="VQO604" s="222"/>
      <c r="VQP604" s="222"/>
      <c r="VQQ604" s="222"/>
      <c r="VQR604" s="222"/>
      <c r="VQS604" s="222"/>
      <c r="VQT604" s="222"/>
      <c r="VQU604" s="223"/>
      <c r="VQV604" s="224"/>
      <c r="VQW604" s="222"/>
      <c r="VQX604" s="222"/>
      <c r="VQY604" s="222"/>
      <c r="VQZ604" s="222"/>
      <c r="VRA604" s="222"/>
      <c r="VRB604" s="222"/>
      <c r="VRC604" s="223"/>
      <c r="VRD604" s="224"/>
      <c r="VRE604" s="222"/>
      <c r="VRF604" s="222"/>
      <c r="VRG604" s="222"/>
      <c r="VRH604" s="222"/>
      <c r="VRI604" s="222"/>
      <c r="VRJ604" s="222"/>
      <c r="VRK604" s="223"/>
      <c r="VRL604" s="224"/>
      <c r="VRM604" s="222"/>
      <c r="VRN604" s="222"/>
      <c r="VRO604" s="222"/>
      <c r="VRP604" s="222"/>
      <c r="VRQ604" s="222"/>
      <c r="VRR604" s="222"/>
      <c r="VRS604" s="223"/>
      <c r="VRT604" s="224"/>
      <c r="VRU604" s="222"/>
      <c r="VRV604" s="222"/>
      <c r="VRW604" s="222"/>
      <c r="VRX604" s="222"/>
      <c r="VRY604" s="222"/>
      <c r="VRZ604" s="222"/>
      <c r="VSA604" s="223"/>
      <c r="VSB604" s="224"/>
      <c r="VSC604" s="222"/>
      <c r="VSD604" s="222"/>
      <c r="VSE604" s="222"/>
      <c r="VSF604" s="222"/>
      <c r="VSG604" s="222"/>
      <c r="VSH604" s="222"/>
      <c r="VSI604" s="223"/>
      <c r="VSJ604" s="224"/>
      <c r="VSK604" s="222"/>
      <c r="VSL604" s="222"/>
      <c r="VSM604" s="222"/>
      <c r="VSN604" s="222"/>
      <c r="VSO604" s="222"/>
      <c r="VSP604" s="222"/>
      <c r="VSQ604" s="223"/>
      <c r="VSR604" s="224"/>
      <c r="VSS604" s="222"/>
      <c r="VST604" s="222"/>
      <c r="VSU604" s="222"/>
      <c r="VSV604" s="222"/>
      <c r="VSW604" s="222"/>
      <c r="VSX604" s="222"/>
      <c r="VSY604" s="223"/>
      <c r="VSZ604" s="224"/>
      <c r="VTA604" s="222"/>
      <c r="VTB604" s="222"/>
      <c r="VTC604" s="222"/>
      <c r="VTD604" s="222"/>
      <c r="VTE604" s="222"/>
      <c r="VTF604" s="222"/>
      <c r="VTG604" s="223"/>
      <c r="VTH604" s="224"/>
      <c r="VTI604" s="222"/>
      <c r="VTJ604" s="222"/>
      <c r="VTK604" s="222"/>
      <c r="VTL604" s="222"/>
      <c r="VTM604" s="222"/>
      <c r="VTN604" s="222"/>
      <c r="VTO604" s="223"/>
      <c r="VTP604" s="224"/>
      <c r="VTQ604" s="222"/>
      <c r="VTR604" s="222"/>
      <c r="VTS604" s="222"/>
      <c r="VTT604" s="222"/>
      <c r="VTU604" s="222"/>
      <c r="VTV604" s="222"/>
      <c r="VTW604" s="223"/>
      <c r="VTX604" s="224"/>
      <c r="VTY604" s="222"/>
      <c r="VTZ604" s="222"/>
      <c r="VUA604" s="222"/>
      <c r="VUB604" s="222"/>
      <c r="VUC604" s="222"/>
      <c r="VUD604" s="222"/>
      <c r="VUE604" s="223"/>
      <c r="VUF604" s="224"/>
      <c r="VUG604" s="222"/>
      <c r="VUH604" s="222"/>
      <c r="VUI604" s="222"/>
      <c r="VUJ604" s="222"/>
      <c r="VUK604" s="222"/>
      <c r="VUL604" s="222"/>
      <c r="VUM604" s="223"/>
      <c r="VUN604" s="224"/>
      <c r="VUO604" s="222"/>
      <c r="VUP604" s="222"/>
      <c r="VUQ604" s="222"/>
      <c r="VUR604" s="222"/>
      <c r="VUS604" s="222"/>
      <c r="VUT604" s="222"/>
      <c r="VUU604" s="223"/>
      <c r="VUV604" s="224"/>
      <c r="VUW604" s="222"/>
      <c r="VUX604" s="222"/>
      <c r="VUY604" s="222"/>
      <c r="VUZ604" s="222"/>
      <c r="VVA604" s="222"/>
      <c r="VVB604" s="222"/>
      <c r="VVC604" s="223"/>
      <c r="VVD604" s="224"/>
      <c r="VVE604" s="222"/>
      <c r="VVF604" s="222"/>
      <c r="VVG604" s="222"/>
      <c r="VVH604" s="222"/>
      <c r="VVI604" s="222"/>
      <c r="VVJ604" s="222"/>
      <c r="VVK604" s="223"/>
      <c r="VVL604" s="224"/>
      <c r="VVM604" s="222"/>
      <c r="VVN604" s="222"/>
      <c r="VVO604" s="222"/>
      <c r="VVP604" s="222"/>
      <c r="VVQ604" s="222"/>
      <c r="VVR604" s="222"/>
      <c r="VVS604" s="223"/>
      <c r="VVT604" s="224"/>
      <c r="VVU604" s="222"/>
      <c r="VVV604" s="222"/>
      <c r="VVW604" s="222"/>
      <c r="VVX604" s="222"/>
      <c r="VVY604" s="222"/>
      <c r="VVZ604" s="222"/>
      <c r="VWA604" s="223"/>
      <c r="VWB604" s="224"/>
      <c r="VWC604" s="222"/>
      <c r="VWD604" s="222"/>
      <c r="VWE604" s="222"/>
      <c r="VWF604" s="222"/>
      <c r="VWG604" s="222"/>
      <c r="VWH604" s="222"/>
      <c r="VWI604" s="223"/>
      <c r="VWJ604" s="224"/>
      <c r="VWK604" s="222"/>
      <c r="VWL604" s="222"/>
      <c r="VWM604" s="222"/>
      <c r="VWN604" s="222"/>
      <c r="VWO604" s="222"/>
      <c r="VWP604" s="222"/>
      <c r="VWQ604" s="223"/>
      <c r="VWR604" s="224"/>
      <c r="VWS604" s="222"/>
      <c r="VWT604" s="222"/>
      <c r="VWU604" s="222"/>
      <c r="VWV604" s="222"/>
      <c r="VWW604" s="222"/>
      <c r="VWX604" s="222"/>
      <c r="VWY604" s="223"/>
      <c r="VWZ604" s="224"/>
      <c r="VXA604" s="222"/>
      <c r="VXB604" s="222"/>
      <c r="VXC604" s="222"/>
      <c r="VXD604" s="222"/>
      <c r="VXE604" s="222"/>
      <c r="VXF604" s="222"/>
      <c r="VXG604" s="223"/>
      <c r="VXH604" s="224"/>
      <c r="VXI604" s="222"/>
      <c r="VXJ604" s="222"/>
      <c r="VXK604" s="222"/>
      <c r="VXL604" s="222"/>
      <c r="VXM604" s="222"/>
      <c r="VXN604" s="222"/>
      <c r="VXO604" s="223"/>
      <c r="VXP604" s="224"/>
      <c r="VXQ604" s="222"/>
      <c r="VXR604" s="222"/>
      <c r="VXS604" s="222"/>
      <c r="VXT604" s="222"/>
      <c r="VXU604" s="222"/>
      <c r="VXV604" s="222"/>
      <c r="VXW604" s="223"/>
      <c r="VXX604" s="224"/>
      <c r="VXY604" s="222"/>
      <c r="VXZ604" s="222"/>
      <c r="VYA604" s="222"/>
      <c r="VYB604" s="222"/>
      <c r="VYC604" s="222"/>
      <c r="VYD604" s="222"/>
      <c r="VYE604" s="223"/>
      <c r="VYF604" s="224"/>
      <c r="VYG604" s="222"/>
      <c r="VYH604" s="222"/>
      <c r="VYI604" s="222"/>
      <c r="VYJ604" s="222"/>
      <c r="VYK604" s="222"/>
      <c r="VYL604" s="222"/>
      <c r="VYM604" s="223"/>
      <c r="VYN604" s="224"/>
      <c r="VYO604" s="222"/>
      <c r="VYP604" s="222"/>
      <c r="VYQ604" s="222"/>
      <c r="VYR604" s="222"/>
      <c r="VYS604" s="222"/>
      <c r="VYT604" s="222"/>
      <c r="VYU604" s="223"/>
      <c r="VYV604" s="224"/>
      <c r="VYW604" s="222"/>
      <c r="VYX604" s="222"/>
      <c r="VYY604" s="222"/>
      <c r="VYZ604" s="222"/>
      <c r="VZA604" s="222"/>
      <c r="VZB604" s="222"/>
      <c r="VZC604" s="223"/>
      <c r="VZD604" s="224"/>
      <c r="VZE604" s="222"/>
      <c r="VZF604" s="222"/>
      <c r="VZG604" s="222"/>
      <c r="VZH604" s="222"/>
      <c r="VZI604" s="222"/>
      <c r="VZJ604" s="222"/>
      <c r="VZK604" s="223"/>
      <c r="VZL604" s="224"/>
      <c r="VZM604" s="222"/>
      <c r="VZN604" s="222"/>
      <c r="VZO604" s="222"/>
      <c r="VZP604" s="222"/>
      <c r="VZQ604" s="222"/>
      <c r="VZR604" s="222"/>
      <c r="VZS604" s="223"/>
      <c r="VZT604" s="224"/>
      <c r="VZU604" s="222"/>
      <c r="VZV604" s="222"/>
      <c r="VZW604" s="222"/>
      <c r="VZX604" s="222"/>
      <c r="VZY604" s="222"/>
      <c r="VZZ604" s="222"/>
      <c r="WAA604" s="223"/>
      <c r="WAB604" s="224"/>
      <c r="WAC604" s="222"/>
      <c r="WAD604" s="222"/>
      <c r="WAE604" s="222"/>
      <c r="WAF604" s="222"/>
      <c r="WAG604" s="222"/>
      <c r="WAH604" s="222"/>
      <c r="WAI604" s="223"/>
      <c r="WAJ604" s="224"/>
      <c r="WAK604" s="222"/>
      <c r="WAL604" s="222"/>
      <c r="WAM604" s="222"/>
      <c r="WAN604" s="222"/>
      <c r="WAO604" s="222"/>
      <c r="WAP604" s="222"/>
      <c r="WAQ604" s="223"/>
      <c r="WAR604" s="224"/>
      <c r="WAS604" s="222"/>
      <c r="WAT604" s="222"/>
      <c r="WAU604" s="222"/>
      <c r="WAV604" s="222"/>
      <c r="WAW604" s="222"/>
      <c r="WAX604" s="222"/>
      <c r="WAY604" s="223"/>
      <c r="WAZ604" s="224"/>
      <c r="WBA604" s="222"/>
      <c r="WBB604" s="222"/>
      <c r="WBC604" s="222"/>
      <c r="WBD604" s="222"/>
      <c r="WBE604" s="222"/>
      <c r="WBF604" s="222"/>
      <c r="WBG604" s="223"/>
      <c r="WBH604" s="224"/>
      <c r="WBI604" s="222"/>
      <c r="WBJ604" s="222"/>
      <c r="WBK604" s="222"/>
      <c r="WBL604" s="222"/>
      <c r="WBM604" s="222"/>
      <c r="WBN604" s="222"/>
      <c r="WBO604" s="223"/>
      <c r="WBP604" s="224"/>
      <c r="WBQ604" s="222"/>
      <c r="WBR604" s="222"/>
      <c r="WBS604" s="222"/>
      <c r="WBT604" s="222"/>
      <c r="WBU604" s="222"/>
      <c r="WBV604" s="222"/>
      <c r="WBW604" s="223"/>
      <c r="WBX604" s="224"/>
      <c r="WBY604" s="222"/>
      <c r="WBZ604" s="222"/>
      <c r="WCA604" s="222"/>
      <c r="WCB604" s="222"/>
      <c r="WCC604" s="222"/>
      <c r="WCD604" s="222"/>
      <c r="WCE604" s="223"/>
      <c r="WCF604" s="224"/>
      <c r="WCG604" s="222"/>
      <c r="WCH604" s="222"/>
      <c r="WCI604" s="222"/>
      <c r="WCJ604" s="222"/>
      <c r="WCK604" s="222"/>
      <c r="WCL604" s="222"/>
      <c r="WCM604" s="223"/>
      <c r="WCN604" s="224"/>
      <c r="WCO604" s="222"/>
      <c r="WCP604" s="222"/>
      <c r="WCQ604" s="222"/>
      <c r="WCR604" s="222"/>
      <c r="WCS604" s="222"/>
      <c r="WCT604" s="222"/>
      <c r="WCU604" s="223"/>
      <c r="WCV604" s="224"/>
      <c r="WCW604" s="222"/>
      <c r="WCX604" s="222"/>
      <c r="WCY604" s="222"/>
      <c r="WCZ604" s="222"/>
      <c r="WDA604" s="222"/>
      <c r="WDB604" s="222"/>
      <c r="WDC604" s="223"/>
      <c r="WDD604" s="224"/>
      <c r="WDE604" s="222"/>
      <c r="WDF604" s="222"/>
      <c r="WDG604" s="222"/>
      <c r="WDH604" s="222"/>
      <c r="WDI604" s="222"/>
      <c r="WDJ604" s="222"/>
      <c r="WDK604" s="223"/>
      <c r="WDL604" s="224"/>
      <c r="WDM604" s="222"/>
      <c r="WDN604" s="222"/>
      <c r="WDO604" s="222"/>
      <c r="WDP604" s="222"/>
      <c r="WDQ604" s="222"/>
      <c r="WDR604" s="222"/>
      <c r="WDS604" s="223"/>
      <c r="WDT604" s="224"/>
      <c r="WDU604" s="222"/>
      <c r="WDV604" s="222"/>
      <c r="WDW604" s="222"/>
      <c r="WDX604" s="222"/>
      <c r="WDY604" s="222"/>
      <c r="WDZ604" s="222"/>
      <c r="WEA604" s="223"/>
      <c r="WEB604" s="224"/>
      <c r="WEC604" s="222"/>
      <c r="WED604" s="222"/>
      <c r="WEE604" s="222"/>
      <c r="WEF604" s="222"/>
      <c r="WEG604" s="222"/>
      <c r="WEH604" s="222"/>
      <c r="WEI604" s="223"/>
      <c r="WEJ604" s="224"/>
      <c r="WEK604" s="222"/>
      <c r="WEL604" s="222"/>
      <c r="WEM604" s="222"/>
      <c r="WEN604" s="222"/>
      <c r="WEO604" s="222"/>
      <c r="WEP604" s="222"/>
      <c r="WEQ604" s="223"/>
      <c r="WER604" s="224"/>
      <c r="WES604" s="222"/>
      <c r="WET604" s="222"/>
      <c r="WEU604" s="222"/>
      <c r="WEV604" s="222"/>
      <c r="WEW604" s="222"/>
      <c r="WEX604" s="222"/>
      <c r="WEY604" s="223"/>
      <c r="WEZ604" s="224"/>
      <c r="WFA604" s="222"/>
      <c r="WFB604" s="222"/>
      <c r="WFC604" s="222"/>
      <c r="WFD604" s="222"/>
      <c r="WFE604" s="222"/>
      <c r="WFF604" s="222"/>
      <c r="WFG604" s="223"/>
      <c r="WFH604" s="224"/>
      <c r="WFI604" s="222"/>
      <c r="WFJ604" s="222"/>
      <c r="WFK604" s="222"/>
      <c r="WFL604" s="222"/>
      <c r="WFM604" s="222"/>
      <c r="WFN604" s="222"/>
      <c r="WFO604" s="223"/>
      <c r="WFP604" s="224"/>
      <c r="WFQ604" s="222"/>
      <c r="WFR604" s="222"/>
      <c r="WFS604" s="222"/>
      <c r="WFT604" s="222"/>
      <c r="WFU604" s="222"/>
      <c r="WFV604" s="222"/>
      <c r="WFW604" s="223"/>
      <c r="WFX604" s="224"/>
      <c r="WFY604" s="222"/>
      <c r="WFZ604" s="222"/>
      <c r="WGA604" s="222"/>
      <c r="WGB604" s="222"/>
      <c r="WGC604" s="222"/>
      <c r="WGD604" s="222"/>
      <c r="WGE604" s="223"/>
      <c r="WGF604" s="224"/>
      <c r="WGG604" s="222"/>
      <c r="WGH604" s="222"/>
      <c r="WGI604" s="222"/>
      <c r="WGJ604" s="222"/>
      <c r="WGK604" s="222"/>
      <c r="WGL604" s="222"/>
      <c r="WGM604" s="223"/>
      <c r="WGN604" s="224"/>
      <c r="WGO604" s="222"/>
      <c r="WGP604" s="222"/>
      <c r="WGQ604" s="222"/>
      <c r="WGR604" s="222"/>
      <c r="WGS604" s="222"/>
      <c r="WGT604" s="222"/>
      <c r="WGU604" s="223"/>
      <c r="WGV604" s="224"/>
      <c r="WGW604" s="222"/>
      <c r="WGX604" s="222"/>
      <c r="WGY604" s="222"/>
      <c r="WGZ604" s="222"/>
      <c r="WHA604" s="222"/>
      <c r="WHB604" s="222"/>
      <c r="WHC604" s="223"/>
      <c r="WHD604" s="224"/>
      <c r="WHE604" s="222"/>
      <c r="WHF604" s="222"/>
      <c r="WHG604" s="222"/>
      <c r="WHH604" s="222"/>
      <c r="WHI604" s="222"/>
      <c r="WHJ604" s="222"/>
      <c r="WHK604" s="223"/>
      <c r="WHL604" s="224"/>
      <c r="WHM604" s="222"/>
      <c r="WHN604" s="222"/>
      <c r="WHO604" s="222"/>
      <c r="WHP604" s="222"/>
      <c r="WHQ604" s="222"/>
      <c r="WHR604" s="222"/>
      <c r="WHS604" s="223"/>
      <c r="WHT604" s="224"/>
      <c r="WHU604" s="222"/>
      <c r="WHV604" s="222"/>
      <c r="WHW604" s="222"/>
      <c r="WHX604" s="222"/>
      <c r="WHY604" s="222"/>
      <c r="WHZ604" s="222"/>
      <c r="WIA604" s="223"/>
      <c r="WIB604" s="224"/>
      <c r="WIC604" s="222"/>
      <c r="WID604" s="222"/>
      <c r="WIE604" s="222"/>
      <c r="WIF604" s="222"/>
      <c r="WIG604" s="222"/>
      <c r="WIH604" s="222"/>
      <c r="WII604" s="223"/>
      <c r="WIJ604" s="224"/>
      <c r="WIK604" s="222"/>
      <c r="WIL604" s="222"/>
      <c r="WIM604" s="222"/>
      <c r="WIN604" s="222"/>
      <c r="WIO604" s="222"/>
      <c r="WIP604" s="222"/>
      <c r="WIQ604" s="223"/>
      <c r="WIR604" s="224"/>
      <c r="WIS604" s="222"/>
      <c r="WIT604" s="222"/>
      <c r="WIU604" s="222"/>
      <c r="WIV604" s="222"/>
      <c r="WIW604" s="222"/>
      <c r="WIX604" s="222"/>
      <c r="WIY604" s="223"/>
      <c r="WIZ604" s="224"/>
      <c r="WJA604" s="222"/>
      <c r="WJB604" s="222"/>
      <c r="WJC604" s="222"/>
      <c r="WJD604" s="222"/>
      <c r="WJE604" s="222"/>
      <c r="WJF604" s="222"/>
      <c r="WJG604" s="223"/>
      <c r="WJH604" s="224"/>
      <c r="WJI604" s="222"/>
      <c r="WJJ604" s="222"/>
      <c r="WJK604" s="222"/>
      <c r="WJL604" s="222"/>
      <c r="WJM604" s="222"/>
      <c r="WJN604" s="222"/>
      <c r="WJO604" s="223"/>
      <c r="WJP604" s="224"/>
      <c r="WJQ604" s="222"/>
      <c r="WJR604" s="222"/>
      <c r="WJS604" s="222"/>
      <c r="WJT604" s="222"/>
      <c r="WJU604" s="222"/>
      <c r="WJV604" s="222"/>
      <c r="WJW604" s="223"/>
      <c r="WJX604" s="224"/>
      <c r="WJY604" s="222"/>
      <c r="WJZ604" s="222"/>
      <c r="WKA604" s="222"/>
      <c r="WKB604" s="222"/>
      <c r="WKC604" s="222"/>
      <c r="WKD604" s="222"/>
      <c r="WKE604" s="223"/>
      <c r="WKF604" s="224"/>
      <c r="WKG604" s="222"/>
      <c r="WKH604" s="222"/>
      <c r="WKI604" s="222"/>
      <c r="WKJ604" s="222"/>
      <c r="WKK604" s="222"/>
      <c r="WKL604" s="222"/>
      <c r="WKM604" s="223"/>
      <c r="WKN604" s="224"/>
      <c r="WKO604" s="222"/>
      <c r="WKP604" s="222"/>
      <c r="WKQ604" s="222"/>
      <c r="WKR604" s="222"/>
      <c r="WKS604" s="222"/>
      <c r="WKT604" s="222"/>
      <c r="WKU604" s="223"/>
      <c r="WKV604" s="224"/>
      <c r="WKW604" s="222"/>
      <c r="WKX604" s="222"/>
      <c r="WKY604" s="222"/>
      <c r="WKZ604" s="222"/>
      <c r="WLA604" s="222"/>
      <c r="WLB604" s="222"/>
      <c r="WLC604" s="223"/>
      <c r="WLD604" s="224"/>
      <c r="WLE604" s="222"/>
      <c r="WLF604" s="222"/>
      <c r="WLG604" s="222"/>
      <c r="WLH604" s="222"/>
      <c r="WLI604" s="222"/>
      <c r="WLJ604" s="222"/>
      <c r="WLK604" s="223"/>
      <c r="WLL604" s="224"/>
      <c r="WLM604" s="222"/>
      <c r="WLN604" s="222"/>
      <c r="WLO604" s="222"/>
      <c r="WLP604" s="222"/>
      <c r="WLQ604" s="222"/>
      <c r="WLR604" s="222"/>
      <c r="WLS604" s="223"/>
      <c r="WLT604" s="224"/>
      <c r="WLU604" s="222"/>
      <c r="WLV604" s="222"/>
      <c r="WLW604" s="222"/>
      <c r="WLX604" s="222"/>
      <c r="WLY604" s="222"/>
      <c r="WLZ604" s="222"/>
      <c r="WMA604" s="223"/>
      <c r="WMB604" s="224"/>
      <c r="WMC604" s="222"/>
      <c r="WMD604" s="222"/>
      <c r="WME604" s="222"/>
      <c r="WMF604" s="222"/>
      <c r="WMG604" s="222"/>
      <c r="WMH604" s="222"/>
      <c r="WMI604" s="223"/>
      <c r="WMJ604" s="224"/>
      <c r="WMK604" s="222"/>
      <c r="WML604" s="222"/>
      <c r="WMM604" s="222"/>
      <c r="WMN604" s="222"/>
      <c r="WMO604" s="222"/>
      <c r="WMP604" s="222"/>
      <c r="WMQ604" s="223"/>
      <c r="WMR604" s="224"/>
      <c r="WMS604" s="222"/>
      <c r="WMT604" s="222"/>
      <c r="WMU604" s="222"/>
      <c r="WMV604" s="222"/>
      <c r="WMW604" s="222"/>
      <c r="WMX604" s="222"/>
      <c r="WMY604" s="223"/>
      <c r="WMZ604" s="224"/>
      <c r="WNA604" s="222"/>
      <c r="WNB604" s="222"/>
      <c r="WNC604" s="222"/>
      <c r="WND604" s="222"/>
      <c r="WNE604" s="222"/>
      <c r="WNF604" s="222"/>
      <c r="WNG604" s="223"/>
      <c r="WNH604" s="224"/>
      <c r="WNI604" s="222"/>
      <c r="WNJ604" s="222"/>
      <c r="WNK604" s="222"/>
      <c r="WNL604" s="222"/>
      <c r="WNM604" s="222"/>
      <c r="WNN604" s="222"/>
      <c r="WNO604" s="223"/>
      <c r="WNP604" s="224"/>
      <c r="WNQ604" s="222"/>
      <c r="WNR604" s="222"/>
      <c r="WNS604" s="222"/>
      <c r="WNT604" s="222"/>
      <c r="WNU604" s="222"/>
      <c r="WNV604" s="222"/>
      <c r="WNW604" s="223"/>
      <c r="WNX604" s="224"/>
      <c r="WNY604" s="222"/>
      <c r="WNZ604" s="222"/>
      <c r="WOA604" s="222"/>
      <c r="WOB604" s="222"/>
      <c r="WOC604" s="222"/>
      <c r="WOD604" s="222"/>
      <c r="WOE604" s="223"/>
      <c r="WOF604" s="224"/>
      <c r="WOG604" s="222"/>
      <c r="WOH604" s="222"/>
      <c r="WOI604" s="222"/>
      <c r="WOJ604" s="222"/>
      <c r="WOK604" s="222"/>
      <c r="WOL604" s="222"/>
      <c r="WOM604" s="223"/>
      <c r="WON604" s="224"/>
      <c r="WOO604" s="222"/>
      <c r="WOP604" s="222"/>
      <c r="WOQ604" s="222"/>
      <c r="WOR604" s="222"/>
      <c r="WOS604" s="222"/>
      <c r="WOT604" s="222"/>
      <c r="WOU604" s="223"/>
      <c r="WOV604" s="224"/>
      <c r="WOW604" s="222"/>
      <c r="WOX604" s="222"/>
      <c r="WOY604" s="222"/>
      <c r="WOZ604" s="222"/>
      <c r="WPA604" s="222"/>
      <c r="WPB604" s="222"/>
      <c r="WPC604" s="223"/>
      <c r="WPD604" s="224"/>
      <c r="WPE604" s="222"/>
      <c r="WPF604" s="222"/>
      <c r="WPG604" s="222"/>
      <c r="WPH604" s="222"/>
      <c r="WPI604" s="222"/>
      <c r="WPJ604" s="222"/>
      <c r="WPK604" s="223"/>
      <c r="WPL604" s="224"/>
      <c r="WPM604" s="222"/>
      <c r="WPN604" s="222"/>
      <c r="WPO604" s="222"/>
      <c r="WPP604" s="222"/>
      <c r="WPQ604" s="222"/>
      <c r="WPR604" s="222"/>
      <c r="WPS604" s="223"/>
      <c r="WPT604" s="224"/>
      <c r="WPU604" s="222"/>
      <c r="WPV604" s="222"/>
      <c r="WPW604" s="222"/>
      <c r="WPX604" s="222"/>
      <c r="WPY604" s="222"/>
      <c r="WPZ604" s="222"/>
      <c r="WQA604" s="223"/>
      <c r="WQB604" s="224"/>
      <c r="WQC604" s="222"/>
      <c r="WQD604" s="222"/>
      <c r="WQE604" s="222"/>
      <c r="WQF604" s="222"/>
      <c r="WQG604" s="222"/>
      <c r="WQH604" s="222"/>
      <c r="WQI604" s="223"/>
      <c r="WQJ604" s="224"/>
      <c r="WQK604" s="222"/>
      <c r="WQL604" s="222"/>
      <c r="WQM604" s="222"/>
      <c r="WQN604" s="222"/>
      <c r="WQO604" s="222"/>
      <c r="WQP604" s="222"/>
      <c r="WQQ604" s="223"/>
      <c r="WQR604" s="224"/>
      <c r="WQS604" s="222"/>
      <c r="WQT604" s="222"/>
      <c r="WQU604" s="222"/>
      <c r="WQV604" s="222"/>
      <c r="WQW604" s="222"/>
      <c r="WQX604" s="222"/>
      <c r="WQY604" s="223"/>
      <c r="WQZ604" s="224"/>
      <c r="WRA604" s="222"/>
      <c r="WRB604" s="222"/>
      <c r="WRC604" s="222"/>
      <c r="WRD604" s="222"/>
      <c r="WRE604" s="222"/>
      <c r="WRF604" s="222"/>
      <c r="WRG604" s="223"/>
      <c r="WRH604" s="224"/>
      <c r="WRI604" s="222"/>
      <c r="WRJ604" s="222"/>
      <c r="WRK604" s="222"/>
      <c r="WRL604" s="222"/>
      <c r="WRM604" s="222"/>
      <c r="WRN604" s="222"/>
      <c r="WRO604" s="223"/>
      <c r="WRP604" s="224"/>
      <c r="WRQ604" s="222"/>
      <c r="WRR604" s="222"/>
      <c r="WRS604" s="222"/>
      <c r="WRT604" s="222"/>
      <c r="WRU604" s="222"/>
      <c r="WRV604" s="222"/>
      <c r="WRW604" s="223"/>
      <c r="WRX604" s="224"/>
      <c r="WRY604" s="222"/>
      <c r="WRZ604" s="222"/>
      <c r="WSA604" s="222"/>
      <c r="WSB604" s="222"/>
      <c r="WSC604" s="222"/>
      <c r="WSD604" s="222"/>
      <c r="WSE604" s="223"/>
      <c r="WSF604" s="224"/>
      <c r="WSG604" s="222"/>
      <c r="WSH604" s="222"/>
      <c r="WSI604" s="222"/>
      <c r="WSJ604" s="222"/>
      <c r="WSK604" s="222"/>
      <c r="WSL604" s="222"/>
      <c r="WSM604" s="223"/>
      <c r="WSN604" s="224"/>
      <c r="WSO604" s="222"/>
      <c r="WSP604" s="222"/>
      <c r="WSQ604" s="222"/>
      <c r="WSR604" s="222"/>
      <c r="WSS604" s="222"/>
      <c r="WST604" s="222"/>
      <c r="WSU604" s="223"/>
      <c r="WSV604" s="224"/>
      <c r="WSW604" s="222"/>
      <c r="WSX604" s="222"/>
      <c r="WSY604" s="222"/>
      <c r="WSZ604" s="222"/>
      <c r="WTA604" s="222"/>
      <c r="WTB604" s="222"/>
      <c r="WTC604" s="223"/>
      <c r="WTD604" s="224"/>
      <c r="WTE604" s="222"/>
      <c r="WTF604" s="222"/>
      <c r="WTG604" s="222"/>
      <c r="WTH604" s="222"/>
      <c r="WTI604" s="222"/>
      <c r="WTJ604" s="222"/>
      <c r="WTK604" s="223"/>
      <c r="WTL604" s="224"/>
      <c r="WTM604" s="222"/>
      <c r="WTN604" s="222"/>
      <c r="WTO604" s="222"/>
      <c r="WTP604" s="222"/>
      <c r="WTQ604" s="222"/>
      <c r="WTR604" s="222"/>
      <c r="WTS604" s="223"/>
      <c r="WTT604" s="224"/>
      <c r="WTU604" s="222"/>
      <c r="WTV604" s="222"/>
      <c r="WTW604" s="222"/>
      <c r="WTX604" s="222"/>
      <c r="WTY604" s="222"/>
      <c r="WTZ604" s="222"/>
      <c r="WUA604" s="223"/>
      <c r="WUB604" s="224"/>
      <c r="WUC604" s="222"/>
      <c r="WUD604" s="222"/>
      <c r="WUE604" s="222"/>
      <c r="WUF604" s="222"/>
      <c r="WUG604" s="222"/>
      <c r="WUH604" s="222"/>
      <c r="WUI604" s="223"/>
      <c r="WUJ604" s="224"/>
      <c r="WUK604" s="222"/>
      <c r="WUL604" s="222"/>
      <c r="WUM604" s="222"/>
      <c r="WUN604" s="222"/>
      <c r="WUO604" s="222"/>
      <c r="WUP604" s="222"/>
      <c r="WUQ604" s="223"/>
      <c r="WUR604" s="224"/>
      <c r="WUS604" s="222"/>
      <c r="WUT604" s="222"/>
      <c r="WUU604" s="222"/>
      <c r="WUV604" s="222"/>
      <c r="WUW604" s="222"/>
      <c r="WUX604" s="222"/>
      <c r="WUY604" s="223"/>
      <c r="WUZ604" s="224"/>
      <c r="WVA604" s="222"/>
      <c r="WVB604" s="222"/>
      <c r="WVC604" s="222"/>
      <c r="WVD604" s="222"/>
      <c r="WVE604" s="222"/>
      <c r="WVF604" s="222"/>
      <c r="WVG604" s="223"/>
      <c r="WVH604" s="224"/>
      <c r="WVI604" s="222"/>
      <c r="WVJ604" s="222"/>
      <c r="WVK604" s="222"/>
      <c r="WVL604" s="222"/>
      <c r="WVM604" s="222"/>
      <c r="WVN604" s="222"/>
      <c r="WVO604" s="223"/>
      <c r="WVP604" s="224"/>
      <c r="WVQ604" s="222"/>
      <c r="WVR604" s="222"/>
      <c r="WVS604" s="222"/>
      <c r="WVT604" s="222"/>
      <c r="WVU604" s="222"/>
      <c r="WVV604" s="222"/>
      <c r="WVW604" s="223"/>
      <c r="WVX604" s="224"/>
      <c r="WVY604" s="222"/>
      <c r="WVZ604" s="222"/>
      <c r="WWA604" s="222"/>
      <c r="WWB604" s="222"/>
      <c r="WWC604" s="222"/>
      <c r="WWD604" s="222"/>
      <c r="WWE604" s="223"/>
      <c r="WWF604" s="224"/>
      <c r="WWG604" s="222"/>
      <c r="WWH604" s="222"/>
      <c r="WWI604" s="222"/>
      <c r="WWJ604" s="222"/>
      <c r="WWK604" s="222"/>
      <c r="WWL604" s="222"/>
      <c r="WWM604" s="223"/>
      <c r="WWN604" s="224"/>
      <c r="WWO604" s="222"/>
      <c r="WWP604" s="222"/>
      <c r="WWQ604" s="222"/>
      <c r="WWR604" s="222"/>
      <c r="WWS604" s="222"/>
      <c r="WWT604" s="222"/>
      <c r="WWU604" s="223"/>
      <c r="WWV604" s="224"/>
      <c r="WWW604" s="222"/>
      <c r="WWX604" s="222"/>
      <c r="WWY604" s="222"/>
      <c r="WWZ604" s="222"/>
      <c r="WXA604" s="222"/>
      <c r="WXB604" s="222"/>
      <c r="WXC604" s="223"/>
      <c r="WXD604" s="224"/>
      <c r="WXE604" s="222"/>
      <c r="WXF604" s="222"/>
      <c r="WXG604" s="222"/>
      <c r="WXH604" s="222"/>
      <c r="WXI604" s="222"/>
      <c r="WXJ604" s="222"/>
      <c r="WXK604" s="223"/>
      <c r="WXL604" s="224"/>
      <c r="WXM604" s="222"/>
      <c r="WXN604" s="222"/>
      <c r="WXO604" s="222"/>
      <c r="WXP604" s="222"/>
      <c r="WXQ604" s="222"/>
      <c r="WXR604" s="222"/>
      <c r="WXS604" s="223"/>
      <c r="WXT604" s="224"/>
      <c r="WXU604" s="222"/>
      <c r="WXV604" s="222"/>
      <c r="WXW604" s="222"/>
      <c r="WXX604" s="222"/>
      <c r="WXY604" s="222"/>
      <c r="WXZ604" s="222"/>
      <c r="WYA604" s="223"/>
      <c r="WYB604" s="224"/>
      <c r="WYC604" s="222"/>
      <c r="WYD604" s="222"/>
      <c r="WYE604" s="222"/>
      <c r="WYF604" s="222"/>
      <c r="WYG604" s="222"/>
      <c r="WYH604" s="222"/>
      <c r="WYI604" s="223"/>
      <c r="WYJ604" s="224"/>
      <c r="WYK604" s="222"/>
      <c r="WYL604" s="222"/>
      <c r="WYM604" s="222"/>
      <c r="WYN604" s="222"/>
      <c r="WYO604" s="222"/>
      <c r="WYP604" s="222"/>
      <c r="WYQ604" s="223"/>
      <c r="WYR604" s="224"/>
      <c r="WYS604" s="222"/>
      <c r="WYT604" s="222"/>
      <c r="WYU604" s="222"/>
      <c r="WYV604" s="222"/>
      <c r="WYW604" s="222"/>
      <c r="WYX604" s="222"/>
      <c r="WYY604" s="223"/>
      <c r="WYZ604" s="224"/>
      <c r="WZA604" s="222"/>
      <c r="WZB604" s="222"/>
      <c r="WZC604" s="222"/>
      <c r="WZD604" s="222"/>
      <c r="WZE604" s="222"/>
      <c r="WZF604" s="222"/>
      <c r="WZG604" s="223"/>
      <c r="WZH604" s="224"/>
      <c r="WZI604" s="222"/>
      <c r="WZJ604" s="222"/>
      <c r="WZK604" s="222"/>
      <c r="WZL604" s="222"/>
      <c r="WZM604" s="222"/>
      <c r="WZN604" s="222"/>
      <c r="WZO604" s="223"/>
      <c r="WZP604" s="224"/>
      <c r="WZQ604" s="222"/>
      <c r="WZR604" s="222"/>
      <c r="WZS604" s="222"/>
      <c r="WZT604" s="222"/>
      <c r="WZU604" s="222"/>
      <c r="WZV604" s="222"/>
      <c r="WZW604" s="223"/>
      <c r="WZX604" s="224"/>
      <c r="WZY604" s="222"/>
      <c r="WZZ604" s="222"/>
      <c r="XAA604" s="222"/>
      <c r="XAB604" s="222"/>
      <c r="XAC604" s="222"/>
      <c r="XAD604" s="222"/>
      <c r="XAE604" s="223"/>
      <c r="XAF604" s="224"/>
      <c r="XAG604" s="222"/>
      <c r="XAH604" s="222"/>
      <c r="XAI604" s="222"/>
      <c r="XAJ604" s="222"/>
      <c r="XAK604" s="222"/>
      <c r="XAL604" s="222"/>
      <c r="XAM604" s="223"/>
      <c r="XAN604" s="224"/>
      <c r="XAO604" s="222"/>
      <c r="XAP604" s="222"/>
      <c r="XAQ604" s="222"/>
      <c r="XAR604" s="222"/>
      <c r="XAS604" s="222"/>
      <c r="XAT604" s="222"/>
      <c r="XAU604" s="223"/>
      <c r="XAV604" s="224"/>
      <c r="XAW604" s="222"/>
      <c r="XAX604" s="222"/>
      <c r="XAY604" s="222"/>
      <c r="XAZ604" s="222"/>
      <c r="XBA604" s="222"/>
      <c r="XBB604" s="222"/>
      <c r="XBC604" s="223"/>
      <c r="XBD604" s="224"/>
      <c r="XBE604" s="222"/>
      <c r="XBF604" s="222"/>
      <c r="XBG604" s="222"/>
      <c r="XBH604" s="222"/>
      <c r="XBI604" s="222"/>
      <c r="XBJ604" s="222"/>
      <c r="XBK604" s="223"/>
      <c r="XBL604" s="224"/>
      <c r="XBM604" s="222"/>
      <c r="XBN604" s="222"/>
      <c r="XBO604" s="222"/>
      <c r="XBP604" s="222"/>
      <c r="XBQ604" s="222"/>
      <c r="XBR604" s="222"/>
      <c r="XBS604" s="223"/>
      <c r="XBT604" s="224"/>
      <c r="XBU604" s="222"/>
      <c r="XBV604" s="222"/>
      <c r="XBW604" s="222"/>
      <c r="XBX604" s="222"/>
      <c r="XBY604" s="222"/>
      <c r="XBZ604" s="222"/>
      <c r="XCA604" s="223"/>
      <c r="XCB604" s="224"/>
      <c r="XCC604" s="222"/>
      <c r="XCD604" s="222"/>
      <c r="XCE604" s="222"/>
      <c r="XCF604" s="222"/>
      <c r="XCG604" s="222"/>
      <c r="XCH604" s="222"/>
      <c r="XCI604" s="223"/>
      <c r="XCJ604" s="224"/>
      <c r="XCK604" s="222"/>
      <c r="XCL604" s="222"/>
      <c r="XCM604" s="222"/>
      <c r="XCN604" s="222"/>
      <c r="XCO604" s="222"/>
      <c r="XCP604" s="222"/>
      <c r="XCQ604" s="223"/>
      <c r="XCR604" s="224"/>
      <c r="XCS604" s="222"/>
      <c r="XCT604" s="222"/>
      <c r="XCU604" s="222"/>
      <c r="XCV604" s="222"/>
      <c r="XCW604" s="222"/>
      <c r="XCX604" s="222"/>
      <c r="XCY604" s="223"/>
      <c r="XCZ604" s="224"/>
      <c r="XDA604" s="222"/>
      <c r="XDB604" s="222"/>
      <c r="XDC604" s="222"/>
      <c r="XDD604" s="222"/>
      <c r="XDE604" s="222"/>
      <c r="XDF604" s="222"/>
      <c r="XDG604" s="223"/>
      <c r="XDH604" s="224"/>
      <c r="XDI604" s="222"/>
      <c r="XDJ604" s="222"/>
      <c r="XDK604" s="222"/>
      <c r="XDL604" s="222"/>
      <c r="XDM604" s="222"/>
      <c r="XDN604" s="222"/>
      <c r="XDO604" s="223"/>
      <c r="XDP604" s="224"/>
      <c r="XDQ604" s="222"/>
      <c r="XDR604" s="222"/>
      <c r="XDS604" s="222"/>
      <c r="XDT604" s="222"/>
      <c r="XDU604" s="222"/>
      <c r="XDV604" s="222"/>
      <c r="XDW604" s="223"/>
      <c r="XDX604" s="224"/>
      <c r="XDY604" s="222"/>
      <c r="XDZ604" s="222"/>
      <c r="XEA604" s="222"/>
      <c r="XEB604" s="222"/>
      <c r="XEC604" s="222"/>
      <c r="XED604" s="222"/>
      <c r="XEE604" s="223"/>
      <c r="XEF604" s="224"/>
      <c r="XEG604" s="222"/>
      <c r="XEH604" s="222"/>
      <c r="XEI604" s="222"/>
      <c r="XEJ604" s="222"/>
      <c r="XEK604" s="222"/>
      <c r="XEL604" s="222"/>
      <c r="XEM604" s="223"/>
      <c r="XEN604" s="224"/>
      <c r="XEO604" s="222"/>
      <c r="XEP604" s="222"/>
      <c r="XEQ604" s="222"/>
      <c r="XER604" s="222"/>
      <c r="XES604" s="222"/>
      <c r="XET604" s="222"/>
      <c r="XEU604" s="223"/>
      <c r="XEV604" s="224"/>
      <c r="XEW604" s="222"/>
      <c r="XEX604" s="222"/>
      <c r="XEY604" s="222"/>
      <c r="XEZ604" s="222"/>
      <c r="XFA604" s="222"/>
      <c r="XFB604" s="222"/>
      <c r="XFC604" s="223"/>
      <c r="XFD604" s="224"/>
    </row>
    <row r="605" spans="1:16384" x14ac:dyDescent="0.2">
      <c r="A605" s="181">
        <f t="shared" si="10"/>
        <v>604</v>
      </c>
      <c r="B605" s="182">
        <v>41533</v>
      </c>
      <c r="C605" s="182">
        <v>41549</v>
      </c>
      <c r="D605" s="201" t="s">
        <v>1092</v>
      </c>
      <c r="E605" s="201" t="s">
        <v>392</v>
      </c>
      <c r="F605" s="201" t="s">
        <v>1257</v>
      </c>
      <c r="G605" s="201" t="s">
        <v>1251</v>
      </c>
      <c r="H605" s="201" t="s">
        <v>1252</v>
      </c>
      <c r="I605" s="353">
        <v>100237.5</v>
      </c>
      <c r="J605" s="222"/>
      <c r="K605" s="222"/>
      <c r="L605" s="222"/>
      <c r="M605" s="222"/>
      <c r="N605" s="222"/>
      <c r="O605" s="223"/>
      <c r="P605" s="224"/>
      <c r="Q605" s="222"/>
      <c r="R605" s="222"/>
      <c r="S605" s="222"/>
      <c r="T605" s="222"/>
      <c r="U605" s="222"/>
      <c r="V605" s="222"/>
      <c r="W605" s="223"/>
      <c r="X605" s="224"/>
      <c r="Y605" s="222"/>
      <c r="Z605" s="222"/>
      <c r="AA605" s="222"/>
      <c r="AB605" s="222"/>
      <c r="AC605" s="222"/>
      <c r="AD605" s="222"/>
      <c r="AE605" s="223"/>
      <c r="AF605" s="224"/>
      <c r="AG605" s="222"/>
      <c r="AH605" s="222"/>
      <c r="AI605" s="222"/>
      <c r="AJ605" s="222"/>
      <c r="AK605" s="222"/>
      <c r="AL605" s="222"/>
      <c r="AM605" s="223"/>
      <c r="AN605" s="224"/>
      <c r="AO605" s="222"/>
      <c r="AP605" s="222"/>
      <c r="AQ605" s="222"/>
      <c r="AR605" s="222"/>
      <c r="AS605" s="222"/>
      <c r="AT605" s="222"/>
      <c r="AU605" s="223"/>
      <c r="AV605" s="224"/>
      <c r="AW605" s="222"/>
      <c r="AX605" s="222"/>
      <c r="AY605" s="222"/>
      <c r="AZ605" s="222"/>
      <c r="BA605" s="222"/>
      <c r="BB605" s="222"/>
      <c r="BC605" s="223"/>
      <c r="BD605" s="224"/>
      <c r="BE605" s="222"/>
      <c r="BF605" s="222"/>
      <c r="BG605" s="222"/>
      <c r="BH605" s="222"/>
      <c r="BI605" s="222"/>
      <c r="BJ605" s="222"/>
      <c r="BK605" s="223"/>
      <c r="BL605" s="224"/>
      <c r="BM605" s="222"/>
      <c r="BN605" s="222"/>
      <c r="BO605" s="222"/>
      <c r="BP605" s="222"/>
      <c r="BQ605" s="222"/>
      <c r="BR605" s="222"/>
      <c r="BS605" s="223"/>
      <c r="BT605" s="224"/>
      <c r="BU605" s="222"/>
      <c r="BV605" s="222"/>
      <c r="BW605" s="222"/>
      <c r="BX605" s="222"/>
      <c r="BY605" s="222"/>
      <c r="BZ605" s="222"/>
      <c r="CA605" s="223"/>
      <c r="CB605" s="224"/>
      <c r="CC605" s="222"/>
      <c r="CD605" s="222"/>
      <c r="CE605" s="222"/>
      <c r="CF605" s="222"/>
      <c r="CG605" s="222"/>
      <c r="CH605" s="222"/>
      <c r="CI605" s="223"/>
      <c r="CJ605" s="224"/>
      <c r="CK605" s="222"/>
      <c r="CL605" s="222"/>
      <c r="CM605" s="222"/>
      <c r="CN605" s="222"/>
      <c r="CO605" s="222"/>
      <c r="CP605" s="222"/>
      <c r="CQ605" s="223"/>
      <c r="CR605" s="224"/>
      <c r="CS605" s="222"/>
      <c r="CT605" s="222"/>
      <c r="CU605" s="222"/>
      <c r="CV605" s="222"/>
      <c r="CW605" s="222"/>
      <c r="CX605" s="222"/>
      <c r="CY605" s="223"/>
      <c r="CZ605" s="224"/>
      <c r="DA605" s="222"/>
      <c r="DB605" s="222"/>
      <c r="DC605" s="222"/>
      <c r="DD605" s="222"/>
      <c r="DE605" s="222"/>
      <c r="DF605" s="222"/>
      <c r="DG605" s="223"/>
      <c r="DH605" s="224"/>
      <c r="DI605" s="222"/>
      <c r="DJ605" s="222"/>
      <c r="DK605" s="222"/>
      <c r="DL605" s="222"/>
      <c r="DM605" s="222"/>
      <c r="DN605" s="222"/>
      <c r="DO605" s="223"/>
      <c r="DP605" s="224"/>
      <c r="DQ605" s="222"/>
      <c r="DR605" s="222"/>
      <c r="DS605" s="222"/>
      <c r="DT605" s="222"/>
      <c r="DU605" s="222"/>
      <c r="DV605" s="222"/>
      <c r="DW605" s="223"/>
      <c r="DX605" s="224"/>
      <c r="DY605" s="222"/>
      <c r="DZ605" s="222"/>
      <c r="EA605" s="222"/>
      <c r="EB605" s="222"/>
      <c r="EC605" s="222"/>
      <c r="ED605" s="222"/>
      <c r="EE605" s="223"/>
      <c r="EF605" s="224"/>
      <c r="EG605" s="222"/>
      <c r="EH605" s="222"/>
      <c r="EI605" s="222"/>
      <c r="EJ605" s="222"/>
      <c r="EK605" s="222"/>
      <c r="EL605" s="222"/>
      <c r="EM605" s="223"/>
      <c r="EN605" s="224"/>
      <c r="EO605" s="222"/>
      <c r="EP605" s="222"/>
      <c r="EQ605" s="222"/>
      <c r="ER605" s="222"/>
      <c r="ES605" s="222"/>
      <c r="ET605" s="222"/>
      <c r="EU605" s="223"/>
      <c r="EV605" s="224"/>
      <c r="EW605" s="222"/>
      <c r="EX605" s="222"/>
      <c r="EY605" s="222"/>
      <c r="EZ605" s="222"/>
      <c r="FA605" s="222"/>
      <c r="FB605" s="222"/>
      <c r="FC605" s="223"/>
      <c r="FD605" s="224"/>
      <c r="FE605" s="222"/>
      <c r="FF605" s="222"/>
      <c r="FG605" s="222"/>
      <c r="FH605" s="222"/>
      <c r="FI605" s="222"/>
      <c r="FJ605" s="222"/>
      <c r="FK605" s="223"/>
      <c r="FL605" s="224"/>
      <c r="FM605" s="222"/>
      <c r="FN605" s="222"/>
      <c r="FO605" s="222"/>
      <c r="FP605" s="222"/>
      <c r="FQ605" s="222"/>
      <c r="FR605" s="222"/>
      <c r="FS605" s="223"/>
      <c r="FT605" s="224"/>
      <c r="FU605" s="222"/>
      <c r="FV605" s="222"/>
      <c r="FW605" s="222"/>
      <c r="FX605" s="222"/>
      <c r="FY605" s="222"/>
      <c r="FZ605" s="222"/>
      <c r="GA605" s="223"/>
      <c r="GB605" s="224"/>
      <c r="GC605" s="222"/>
      <c r="GD605" s="222"/>
      <c r="GE605" s="222"/>
      <c r="GF605" s="222"/>
      <c r="GG605" s="222"/>
      <c r="GH605" s="222"/>
      <c r="GI605" s="223"/>
      <c r="GJ605" s="224"/>
      <c r="GK605" s="222"/>
      <c r="GL605" s="222"/>
      <c r="GM605" s="222"/>
      <c r="GN605" s="222"/>
      <c r="GO605" s="222"/>
      <c r="GP605" s="222"/>
      <c r="GQ605" s="223"/>
      <c r="GR605" s="224"/>
      <c r="GS605" s="222"/>
      <c r="GT605" s="222"/>
      <c r="GU605" s="222"/>
      <c r="GV605" s="222"/>
      <c r="GW605" s="222"/>
      <c r="GX605" s="222"/>
      <c r="GY605" s="223"/>
      <c r="GZ605" s="224"/>
      <c r="HA605" s="222"/>
      <c r="HB605" s="222"/>
      <c r="HC605" s="222"/>
      <c r="HD605" s="222"/>
      <c r="HE605" s="222"/>
      <c r="HF605" s="222"/>
      <c r="HG605" s="223"/>
      <c r="HH605" s="224"/>
      <c r="HI605" s="222"/>
      <c r="HJ605" s="222"/>
      <c r="HK605" s="222"/>
      <c r="HL605" s="222"/>
      <c r="HM605" s="222"/>
      <c r="HN605" s="222"/>
      <c r="HO605" s="223"/>
      <c r="HP605" s="224"/>
      <c r="HQ605" s="222"/>
      <c r="HR605" s="222"/>
      <c r="HS605" s="222"/>
      <c r="HT605" s="222"/>
      <c r="HU605" s="222"/>
      <c r="HV605" s="222"/>
      <c r="HW605" s="223"/>
      <c r="HX605" s="224"/>
      <c r="HY605" s="222"/>
      <c r="HZ605" s="222"/>
      <c r="IA605" s="222"/>
      <c r="IB605" s="222"/>
      <c r="IC605" s="222"/>
      <c r="ID605" s="222"/>
      <c r="IE605" s="223"/>
      <c r="IF605" s="224"/>
      <c r="IG605" s="222"/>
      <c r="IH605" s="222"/>
      <c r="II605" s="222"/>
      <c r="IJ605" s="222"/>
      <c r="IK605" s="222"/>
      <c r="IL605" s="222"/>
      <c r="IM605" s="223"/>
      <c r="IN605" s="224"/>
      <c r="IO605" s="222"/>
      <c r="IP605" s="222"/>
      <c r="IQ605" s="222"/>
      <c r="IR605" s="222"/>
      <c r="IS605" s="222"/>
      <c r="IT605" s="222"/>
      <c r="IU605" s="223"/>
      <c r="IV605" s="224"/>
      <c r="IW605" s="222"/>
      <c r="IX605" s="222"/>
      <c r="IY605" s="222"/>
      <c r="IZ605" s="222"/>
      <c r="JA605" s="222"/>
      <c r="JB605" s="222"/>
      <c r="JC605" s="223"/>
      <c r="JD605" s="224"/>
      <c r="JE605" s="222"/>
      <c r="JF605" s="222"/>
      <c r="JG605" s="222"/>
      <c r="JH605" s="222"/>
      <c r="JI605" s="222"/>
      <c r="JJ605" s="222"/>
      <c r="JK605" s="223"/>
      <c r="JL605" s="224"/>
      <c r="JM605" s="222"/>
      <c r="JN605" s="222"/>
      <c r="JO605" s="222"/>
      <c r="JP605" s="222"/>
      <c r="JQ605" s="222"/>
      <c r="JR605" s="222"/>
      <c r="JS605" s="223"/>
      <c r="JT605" s="224"/>
      <c r="JU605" s="222"/>
      <c r="JV605" s="222"/>
      <c r="JW605" s="222"/>
      <c r="JX605" s="222"/>
      <c r="JY605" s="222"/>
      <c r="JZ605" s="222"/>
      <c r="KA605" s="223"/>
      <c r="KB605" s="224"/>
      <c r="KC605" s="222"/>
      <c r="KD605" s="222"/>
      <c r="KE605" s="222"/>
      <c r="KF605" s="222"/>
      <c r="KG605" s="222"/>
      <c r="KH605" s="222"/>
      <c r="KI605" s="223"/>
      <c r="KJ605" s="224"/>
      <c r="KK605" s="222"/>
      <c r="KL605" s="222"/>
      <c r="KM605" s="222"/>
      <c r="KN605" s="222"/>
      <c r="KO605" s="222"/>
      <c r="KP605" s="222"/>
      <c r="KQ605" s="223"/>
      <c r="KR605" s="224"/>
      <c r="KS605" s="222"/>
      <c r="KT605" s="222"/>
      <c r="KU605" s="222"/>
      <c r="KV605" s="222"/>
      <c r="KW605" s="222"/>
      <c r="KX605" s="222"/>
      <c r="KY605" s="223"/>
      <c r="KZ605" s="224"/>
      <c r="LA605" s="222"/>
      <c r="LB605" s="222"/>
      <c r="LC605" s="222"/>
      <c r="LD605" s="222"/>
      <c r="LE605" s="222"/>
      <c r="LF605" s="222"/>
      <c r="LG605" s="223"/>
      <c r="LH605" s="224"/>
      <c r="LI605" s="222"/>
      <c r="LJ605" s="222"/>
      <c r="LK605" s="222"/>
      <c r="LL605" s="222"/>
      <c r="LM605" s="222"/>
      <c r="LN605" s="222"/>
      <c r="LO605" s="223"/>
      <c r="LP605" s="224"/>
      <c r="LQ605" s="222"/>
      <c r="LR605" s="222"/>
      <c r="LS605" s="222"/>
      <c r="LT605" s="222"/>
      <c r="LU605" s="222"/>
      <c r="LV605" s="222"/>
      <c r="LW605" s="223"/>
      <c r="LX605" s="224"/>
      <c r="LY605" s="222"/>
      <c r="LZ605" s="222"/>
      <c r="MA605" s="222"/>
      <c r="MB605" s="222"/>
      <c r="MC605" s="222"/>
      <c r="MD605" s="222"/>
      <c r="ME605" s="223"/>
      <c r="MF605" s="224"/>
      <c r="MG605" s="222"/>
      <c r="MH605" s="222"/>
      <c r="MI605" s="222"/>
      <c r="MJ605" s="222"/>
      <c r="MK605" s="222"/>
      <c r="ML605" s="222"/>
      <c r="MM605" s="223"/>
      <c r="MN605" s="224"/>
      <c r="MO605" s="222"/>
      <c r="MP605" s="222"/>
      <c r="MQ605" s="222"/>
      <c r="MR605" s="222"/>
      <c r="MS605" s="222"/>
      <c r="MT605" s="222"/>
      <c r="MU605" s="223"/>
      <c r="MV605" s="224"/>
      <c r="MW605" s="222"/>
      <c r="MX605" s="222"/>
      <c r="MY605" s="222"/>
      <c r="MZ605" s="222"/>
      <c r="NA605" s="222"/>
      <c r="NB605" s="222"/>
      <c r="NC605" s="223"/>
      <c r="ND605" s="224"/>
      <c r="NE605" s="222"/>
      <c r="NF605" s="222"/>
      <c r="NG605" s="222"/>
      <c r="NH605" s="222"/>
      <c r="NI605" s="222"/>
      <c r="NJ605" s="222"/>
      <c r="NK605" s="223"/>
      <c r="NL605" s="224"/>
      <c r="NM605" s="222"/>
      <c r="NN605" s="222"/>
      <c r="NO605" s="222"/>
      <c r="NP605" s="222"/>
      <c r="NQ605" s="222"/>
      <c r="NR605" s="222"/>
      <c r="NS605" s="223"/>
      <c r="NT605" s="224"/>
      <c r="NU605" s="222"/>
      <c r="NV605" s="222"/>
      <c r="NW605" s="222"/>
      <c r="NX605" s="222"/>
      <c r="NY605" s="222"/>
      <c r="NZ605" s="222"/>
      <c r="OA605" s="223"/>
      <c r="OB605" s="224"/>
      <c r="OC605" s="222"/>
      <c r="OD605" s="222"/>
      <c r="OE605" s="222"/>
      <c r="OF605" s="222"/>
      <c r="OG605" s="222"/>
      <c r="OH605" s="222"/>
      <c r="OI605" s="223"/>
      <c r="OJ605" s="224"/>
      <c r="OK605" s="222"/>
      <c r="OL605" s="222"/>
      <c r="OM605" s="222"/>
      <c r="ON605" s="222"/>
      <c r="OO605" s="222"/>
      <c r="OP605" s="222"/>
      <c r="OQ605" s="223"/>
      <c r="OR605" s="224"/>
      <c r="OS605" s="222"/>
      <c r="OT605" s="222"/>
      <c r="OU605" s="222"/>
      <c r="OV605" s="222"/>
      <c r="OW605" s="222"/>
      <c r="OX605" s="222"/>
      <c r="OY605" s="223"/>
      <c r="OZ605" s="224"/>
      <c r="PA605" s="222"/>
      <c r="PB605" s="222"/>
      <c r="PC605" s="222"/>
      <c r="PD605" s="222"/>
      <c r="PE605" s="222"/>
      <c r="PF605" s="222"/>
      <c r="PG605" s="223"/>
      <c r="PH605" s="224"/>
      <c r="PI605" s="222"/>
      <c r="PJ605" s="222"/>
      <c r="PK605" s="222"/>
      <c r="PL605" s="222"/>
      <c r="PM605" s="222"/>
      <c r="PN605" s="222"/>
      <c r="PO605" s="223"/>
      <c r="PP605" s="224"/>
      <c r="PQ605" s="222"/>
      <c r="PR605" s="222"/>
      <c r="PS605" s="222"/>
      <c r="PT605" s="222"/>
      <c r="PU605" s="222"/>
      <c r="PV605" s="222"/>
      <c r="PW605" s="223"/>
      <c r="PX605" s="224"/>
      <c r="PY605" s="222"/>
      <c r="PZ605" s="222"/>
      <c r="QA605" s="222"/>
      <c r="QB605" s="222"/>
      <c r="QC605" s="222"/>
      <c r="QD605" s="222"/>
      <c r="QE605" s="223"/>
      <c r="QF605" s="224"/>
      <c r="QG605" s="222"/>
      <c r="QH605" s="222"/>
      <c r="QI605" s="222"/>
      <c r="QJ605" s="222"/>
      <c r="QK605" s="222"/>
      <c r="QL605" s="222"/>
      <c r="QM605" s="223"/>
      <c r="QN605" s="224"/>
      <c r="QO605" s="222"/>
      <c r="QP605" s="222"/>
      <c r="QQ605" s="222"/>
      <c r="QR605" s="222"/>
      <c r="QS605" s="222"/>
      <c r="QT605" s="222"/>
      <c r="QU605" s="223"/>
      <c r="QV605" s="224"/>
      <c r="QW605" s="222"/>
      <c r="QX605" s="222"/>
      <c r="QY605" s="222"/>
      <c r="QZ605" s="222"/>
      <c r="RA605" s="222"/>
      <c r="RB605" s="222"/>
      <c r="RC605" s="223"/>
      <c r="RD605" s="224"/>
      <c r="RE605" s="222"/>
      <c r="RF605" s="222"/>
      <c r="RG605" s="222"/>
      <c r="RH605" s="222"/>
      <c r="RI605" s="222"/>
      <c r="RJ605" s="222"/>
      <c r="RK605" s="223"/>
      <c r="RL605" s="224"/>
      <c r="RM605" s="222"/>
      <c r="RN605" s="222"/>
      <c r="RO605" s="222"/>
      <c r="RP605" s="222"/>
      <c r="RQ605" s="222"/>
      <c r="RR605" s="222"/>
      <c r="RS605" s="223"/>
      <c r="RT605" s="224"/>
      <c r="RU605" s="222"/>
      <c r="RV605" s="222"/>
      <c r="RW605" s="222"/>
      <c r="RX605" s="222"/>
      <c r="RY605" s="222"/>
      <c r="RZ605" s="222"/>
      <c r="SA605" s="223"/>
      <c r="SB605" s="224"/>
      <c r="SC605" s="222"/>
      <c r="SD605" s="222"/>
      <c r="SE605" s="222"/>
      <c r="SF605" s="222"/>
      <c r="SG605" s="222"/>
      <c r="SH605" s="222"/>
      <c r="SI605" s="223"/>
      <c r="SJ605" s="224"/>
      <c r="SK605" s="222"/>
      <c r="SL605" s="222"/>
      <c r="SM605" s="222"/>
      <c r="SN605" s="222"/>
      <c r="SO605" s="222"/>
      <c r="SP605" s="222"/>
      <c r="SQ605" s="223"/>
      <c r="SR605" s="224"/>
      <c r="SS605" s="222"/>
      <c r="ST605" s="222"/>
      <c r="SU605" s="222"/>
      <c r="SV605" s="222"/>
      <c r="SW605" s="222"/>
      <c r="SX605" s="222"/>
      <c r="SY605" s="223"/>
      <c r="SZ605" s="224"/>
      <c r="TA605" s="222"/>
      <c r="TB605" s="222"/>
      <c r="TC605" s="222"/>
      <c r="TD605" s="222"/>
      <c r="TE605" s="222"/>
      <c r="TF605" s="222"/>
      <c r="TG605" s="223"/>
      <c r="TH605" s="224"/>
      <c r="TI605" s="222"/>
      <c r="TJ605" s="222"/>
      <c r="TK605" s="222"/>
      <c r="TL605" s="222"/>
      <c r="TM605" s="222"/>
      <c r="TN605" s="222"/>
      <c r="TO605" s="223"/>
      <c r="TP605" s="224"/>
      <c r="TQ605" s="222"/>
      <c r="TR605" s="222"/>
      <c r="TS605" s="222"/>
      <c r="TT605" s="222"/>
      <c r="TU605" s="222"/>
      <c r="TV605" s="222"/>
      <c r="TW605" s="223"/>
      <c r="TX605" s="224"/>
      <c r="TY605" s="222"/>
      <c r="TZ605" s="222"/>
      <c r="UA605" s="222"/>
      <c r="UB605" s="222"/>
      <c r="UC605" s="222"/>
      <c r="UD605" s="222"/>
      <c r="UE605" s="223"/>
      <c r="UF605" s="224"/>
      <c r="UG605" s="222"/>
      <c r="UH605" s="222"/>
      <c r="UI605" s="222"/>
      <c r="UJ605" s="222"/>
      <c r="UK605" s="222"/>
      <c r="UL605" s="222"/>
      <c r="UM605" s="223"/>
      <c r="UN605" s="224"/>
      <c r="UO605" s="222"/>
      <c r="UP605" s="222"/>
      <c r="UQ605" s="222"/>
      <c r="UR605" s="222"/>
      <c r="US605" s="222"/>
      <c r="UT605" s="222"/>
      <c r="UU605" s="223"/>
      <c r="UV605" s="224"/>
      <c r="UW605" s="222"/>
      <c r="UX605" s="222"/>
      <c r="UY605" s="222"/>
      <c r="UZ605" s="222"/>
      <c r="VA605" s="222"/>
      <c r="VB605" s="222"/>
      <c r="VC605" s="223"/>
      <c r="VD605" s="224"/>
      <c r="VE605" s="222"/>
      <c r="VF605" s="222"/>
      <c r="VG605" s="222"/>
      <c r="VH605" s="222"/>
      <c r="VI605" s="222"/>
      <c r="VJ605" s="222"/>
      <c r="VK605" s="223"/>
      <c r="VL605" s="224"/>
      <c r="VM605" s="222"/>
      <c r="VN605" s="222"/>
      <c r="VO605" s="222"/>
      <c r="VP605" s="222"/>
      <c r="VQ605" s="222"/>
      <c r="VR605" s="222"/>
      <c r="VS605" s="223"/>
      <c r="VT605" s="224"/>
      <c r="VU605" s="222"/>
      <c r="VV605" s="222"/>
      <c r="VW605" s="222"/>
      <c r="VX605" s="222"/>
      <c r="VY605" s="222"/>
      <c r="VZ605" s="222"/>
      <c r="WA605" s="223"/>
      <c r="WB605" s="224"/>
      <c r="WC605" s="222"/>
      <c r="WD605" s="222"/>
      <c r="WE605" s="222"/>
      <c r="WF605" s="222"/>
      <c r="WG605" s="222"/>
      <c r="WH605" s="222"/>
      <c r="WI605" s="223"/>
      <c r="WJ605" s="224"/>
      <c r="WK605" s="222"/>
      <c r="WL605" s="222"/>
      <c r="WM605" s="222"/>
      <c r="WN605" s="222"/>
      <c r="WO605" s="222"/>
      <c r="WP605" s="222"/>
      <c r="WQ605" s="223"/>
      <c r="WR605" s="224"/>
      <c r="WS605" s="222"/>
      <c r="WT605" s="222"/>
      <c r="WU605" s="222"/>
      <c r="WV605" s="222"/>
      <c r="WW605" s="222"/>
      <c r="WX605" s="222"/>
      <c r="WY605" s="223"/>
      <c r="WZ605" s="224"/>
      <c r="XA605" s="222"/>
      <c r="XB605" s="222"/>
      <c r="XC605" s="222"/>
      <c r="XD605" s="222"/>
      <c r="XE605" s="222"/>
      <c r="XF605" s="222"/>
      <c r="XG605" s="223"/>
      <c r="XH605" s="224"/>
      <c r="XI605" s="222"/>
      <c r="XJ605" s="222"/>
      <c r="XK605" s="222"/>
      <c r="XL605" s="222"/>
      <c r="XM605" s="222"/>
      <c r="XN605" s="222"/>
      <c r="XO605" s="223"/>
      <c r="XP605" s="224"/>
      <c r="XQ605" s="222"/>
      <c r="XR605" s="222"/>
      <c r="XS605" s="222"/>
      <c r="XT605" s="222"/>
      <c r="XU605" s="222"/>
      <c r="XV605" s="222"/>
      <c r="XW605" s="223"/>
      <c r="XX605" s="224"/>
      <c r="XY605" s="222"/>
      <c r="XZ605" s="222"/>
      <c r="YA605" s="222"/>
      <c r="YB605" s="222"/>
      <c r="YC605" s="222"/>
      <c r="YD605" s="222"/>
      <c r="YE605" s="223"/>
      <c r="YF605" s="224"/>
      <c r="YG605" s="222"/>
      <c r="YH605" s="222"/>
      <c r="YI605" s="222"/>
      <c r="YJ605" s="222"/>
      <c r="YK605" s="222"/>
      <c r="YL605" s="222"/>
      <c r="YM605" s="223"/>
      <c r="YN605" s="224"/>
      <c r="YO605" s="222"/>
      <c r="YP605" s="222"/>
      <c r="YQ605" s="222"/>
      <c r="YR605" s="222"/>
      <c r="YS605" s="222"/>
      <c r="YT605" s="222"/>
      <c r="YU605" s="223"/>
      <c r="YV605" s="224"/>
      <c r="YW605" s="222"/>
      <c r="YX605" s="222"/>
      <c r="YY605" s="222"/>
      <c r="YZ605" s="222"/>
      <c r="ZA605" s="222"/>
      <c r="ZB605" s="222"/>
      <c r="ZC605" s="223"/>
      <c r="ZD605" s="224"/>
      <c r="ZE605" s="222"/>
      <c r="ZF605" s="222"/>
      <c r="ZG605" s="222"/>
      <c r="ZH605" s="222"/>
      <c r="ZI605" s="222"/>
      <c r="ZJ605" s="222"/>
      <c r="ZK605" s="223"/>
      <c r="ZL605" s="224"/>
      <c r="ZM605" s="222"/>
      <c r="ZN605" s="222"/>
      <c r="ZO605" s="222"/>
      <c r="ZP605" s="222"/>
      <c r="ZQ605" s="222"/>
      <c r="ZR605" s="222"/>
      <c r="ZS605" s="223"/>
      <c r="ZT605" s="224"/>
      <c r="ZU605" s="222"/>
      <c r="ZV605" s="222"/>
      <c r="ZW605" s="222"/>
      <c r="ZX605" s="222"/>
      <c r="ZY605" s="222"/>
      <c r="ZZ605" s="222"/>
      <c r="AAA605" s="223"/>
      <c r="AAB605" s="224"/>
      <c r="AAC605" s="222"/>
      <c r="AAD605" s="222"/>
      <c r="AAE605" s="222"/>
      <c r="AAF605" s="222"/>
      <c r="AAG605" s="222"/>
      <c r="AAH605" s="222"/>
      <c r="AAI605" s="223"/>
      <c r="AAJ605" s="224"/>
      <c r="AAK605" s="222"/>
      <c r="AAL605" s="222"/>
      <c r="AAM605" s="222"/>
      <c r="AAN605" s="222"/>
      <c r="AAO605" s="222"/>
      <c r="AAP605" s="222"/>
      <c r="AAQ605" s="223"/>
      <c r="AAR605" s="224"/>
      <c r="AAS605" s="222"/>
      <c r="AAT605" s="222"/>
      <c r="AAU605" s="222"/>
      <c r="AAV605" s="222"/>
      <c r="AAW605" s="222"/>
      <c r="AAX605" s="222"/>
      <c r="AAY605" s="223"/>
      <c r="AAZ605" s="224"/>
      <c r="ABA605" s="222"/>
      <c r="ABB605" s="222"/>
      <c r="ABC605" s="222"/>
      <c r="ABD605" s="222"/>
      <c r="ABE605" s="222"/>
      <c r="ABF605" s="222"/>
      <c r="ABG605" s="223"/>
      <c r="ABH605" s="224"/>
      <c r="ABI605" s="222"/>
      <c r="ABJ605" s="222"/>
      <c r="ABK605" s="222"/>
      <c r="ABL605" s="222"/>
      <c r="ABM605" s="222"/>
      <c r="ABN605" s="222"/>
      <c r="ABO605" s="223"/>
      <c r="ABP605" s="224"/>
      <c r="ABQ605" s="222"/>
      <c r="ABR605" s="222"/>
      <c r="ABS605" s="222"/>
      <c r="ABT605" s="222"/>
      <c r="ABU605" s="222"/>
      <c r="ABV605" s="222"/>
      <c r="ABW605" s="223"/>
      <c r="ABX605" s="224"/>
      <c r="ABY605" s="222"/>
      <c r="ABZ605" s="222"/>
      <c r="ACA605" s="222"/>
      <c r="ACB605" s="222"/>
      <c r="ACC605" s="222"/>
      <c r="ACD605" s="222"/>
      <c r="ACE605" s="223"/>
      <c r="ACF605" s="224"/>
      <c r="ACG605" s="222"/>
      <c r="ACH605" s="222"/>
      <c r="ACI605" s="222"/>
      <c r="ACJ605" s="222"/>
      <c r="ACK605" s="222"/>
      <c r="ACL605" s="222"/>
      <c r="ACM605" s="223"/>
      <c r="ACN605" s="224"/>
      <c r="ACO605" s="222"/>
      <c r="ACP605" s="222"/>
      <c r="ACQ605" s="222"/>
      <c r="ACR605" s="222"/>
      <c r="ACS605" s="222"/>
      <c r="ACT605" s="222"/>
      <c r="ACU605" s="223"/>
      <c r="ACV605" s="224"/>
      <c r="ACW605" s="222"/>
      <c r="ACX605" s="222"/>
      <c r="ACY605" s="222"/>
      <c r="ACZ605" s="222"/>
      <c r="ADA605" s="222"/>
      <c r="ADB605" s="222"/>
      <c r="ADC605" s="223"/>
      <c r="ADD605" s="224"/>
      <c r="ADE605" s="222"/>
      <c r="ADF605" s="222"/>
      <c r="ADG605" s="222"/>
      <c r="ADH605" s="222"/>
      <c r="ADI605" s="222"/>
      <c r="ADJ605" s="222"/>
      <c r="ADK605" s="223"/>
      <c r="ADL605" s="224"/>
      <c r="ADM605" s="222"/>
      <c r="ADN605" s="222"/>
      <c r="ADO605" s="222"/>
      <c r="ADP605" s="222"/>
      <c r="ADQ605" s="222"/>
      <c r="ADR605" s="222"/>
      <c r="ADS605" s="223"/>
      <c r="ADT605" s="224"/>
      <c r="ADU605" s="222"/>
      <c r="ADV605" s="222"/>
      <c r="ADW605" s="222"/>
      <c r="ADX605" s="222"/>
      <c r="ADY605" s="222"/>
      <c r="ADZ605" s="222"/>
      <c r="AEA605" s="223"/>
      <c r="AEB605" s="224"/>
      <c r="AEC605" s="222"/>
      <c r="AED605" s="222"/>
      <c r="AEE605" s="222"/>
      <c r="AEF605" s="222"/>
      <c r="AEG605" s="222"/>
      <c r="AEH605" s="222"/>
      <c r="AEI605" s="223"/>
      <c r="AEJ605" s="224"/>
      <c r="AEK605" s="222"/>
      <c r="AEL605" s="222"/>
      <c r="AEM605" s="222"/>
      <c r="AEN605" s="222"/>
      <c r="AEO605" s="222"/>
      <c r="AEP605" s="222"/>
      <c r="AEQ605" s="223"/>
      <c r="AER605" s="224"/>
      <c r="AES605" s="222"/>
      <c r="AET605" s="222"/>
      <c r="AEU605" s="222"/>
      <c r="AEV605" s="222"/>
      <c r="AEW605" s="222"/>
      <c r="AEX605" s="222"/>
      <c r="AEY605" s="223"/>
      <c r="AEZ605" s="224"/>
      <c r="AFA605" s="222"/>
      <c r="AFB605" s="222"/>
      <c r="AFC605" s="222"/>
      <c r="AFD605" s="222"/>
      <c r="AFE605" s="222"/>
      <c r="AFF605" s="222"/>
      <c r="AFG605" s="223"/>
      <c r="AFH605" s="224"/>
      <c r="AFI605" s="222"/>
      <c r="AFJ605" s="222"/>
      <c r="AFK605" s="222"/>
      <c r="AFL605" s="222"/>
      <c r="AFM605" s="222"/>
      <c r="AFN605" s="222"/>
      <c r="AFO605" s="223"/>
      <c r="AFP605" s="224"/>
      <c r="AFQ605" s="222"/>
      <c r="AFR605" s="222"/>
      <c r="AFS605" s="222"/>
      <c r="AFT605" s="222"/>
      <c r="AFU605" s="222"/>
      <c r="AFV605" s="222"/>
      <c r="AFW605" s="223"/>
      <c r="AFX605" s="224"/>
      <c r="AFY605" s="222"/>
      <c r="AFZ605" s="222"/>
      <c r="AGA605" s="222"/>
      <c r="AGB605" s="222"/>
      <c r="AGC605" s="222"/>
      <c r="AGD605" s="222"/>
      <c r="AGE605" s="223"/>
      <c r="AGF605" s="224"/>
      <c r="AGG605" s="222"/>
      <c r="AGH605" s="222"/>
      <c r="AGI605" s="222"/>
      <c r="AGJ605" s="222"/>
      <c r="AGK605" s="222"/>
      <c r="AGL605" s="222"/>
      <c r="AGM605" s="223"/>
      <c r="AGN605" s="224"/>
      <c r="AGO605" s="222"/>
      <c r="AGP605" s="222"/>
      <c r="AGQ605" s="222"/>
      <c r="AGR605" s="222"/>
      <c r="AGS605" s="222"/>
      <c r="AGT605" s="222"/>
      <c r="AGU605" s="223"/>
      <c r="AGV605" s="224"/>
      <c r="AGW605" s="222"/>
      <c r="AGX605" s="222"/>
      <c r="AGY605" s="222"/>
      <c r="AGZ605" s="222"/>
      <c r="AHA605" s="222"/>
      <c r="AHB605" s="222"/>
      <c r="AHC605" s="223"/>
      <c r="AHD605" s="224"/>
      <c r="AHE605" s="222"/>
      <c r="AHF605" s="222"/>
      <c r="AHG605" s="222"/>
      <c r="AHH605" s="222"/>
      <c r="AHI605" s="222"/>
      <c r="AHJ605" s="222"/>
      <c r="AHK605" s="223"/>
      <c r="AHL605" s="224"/>
      <c r="AHM605" s="222"/>
      <c r="AHN605" s="222"/>
      <c r="AHO605" s="222"/>
      <c r="AHP605" s="222"/>
      <c r="AHQ605" s="222"/>
      <c r="AHR605" s="222"/>
      <c r="AHS605" s="223"/>
      <c r="AHT605" s="224"/>
      <c r="AHU605" s="222"/>
      <c r="AHV605" s="222"/>
      <c r="AHW605" s="222"/>
      <c r="AHX605" s="222"/>
      <c r="AHY605" s="222"/>
      <c r="AHZ605" s="222"/>
      <c r="AIA605" s="223"/>
      <c r="AIB605" s="224"/>
      <c r="AIC605" s="222"/>
      <c r="AID605" s="222"/>
      <c r="AIE605" s="222"/>
      <c r="AIF605" s="222"/>
      <c r="AIG605" s="222"/>
      <c r="AIH605" s="222"/>
      <c r="AII605" s="223"/>
      <c r="AIJ605" s="224"/>
      <c r="AIK605" s="222"/>
      <c r="AIL605" s="222"/>
      <c r="AIM605" s="222"/>
      <c r="AIN605" s="222"/>
      <c r="AIO605" s="222"/>
      <c r="AIP605" s="222"/>
      <c r="AIQ605" s="223"/>
      <c r="AIR605" s="224"/>
      <c r="AIS605" s="222"/>
      <c r="AIT605" s="222"/>
      <c r="AIU605" s="222"/>
      <c r="AIV605" s="222"/>
      <c r="AIW605" s="222"/>
      <c r="AIX605" s="222"/>
      <c r="AIY605" s="223"/>
      <c r="AIZ605" s="224"/>
      <c r="AJA605" s="222"/>
      <c r="AJB605" s="222"/>
      <c r="AJC605" s="222"/>
      <c r="AJD605" s="222"/>
      <c r="AJE605" s="222"/>
      <c r="AJF605" s="222"/>
      <c r="AJG605" s="223"/>
      <c r="AJH605" s="224"/>
      <c r="AJI605" s="222"/>
      <c r="AJJ605" s="222"/>
      <c r="AJK605" s="222"/>
      <c r="AJL605" s="222"/>
      <c r="AJM605" s="222"/>
      <c r="AJN605" s="222"/>
      <c r="AJO605" s="223"/>
      <c r="AJP605" s="224"/>
      <c r="AJQ605" s="222"/>
      <c r="AJR605" s="222"/>
      <c r="AJS605" s="222"/>
      <c r="AJT605" s="222"/>
      <c r="AJU605" s="222"/>
      <c r="AJV605" s="222"/>
      <c r="AJW605" s="223"/>
      <c r="AJX605" s="224"/>
      <c r="AJY605" s="222"/>
      <c r="AJZ605" s="222"/>
      <c r="AKA605" s="222"/>
      <c r="AKB605" s="222"/>
      <c r="AKC605" s="222"/>
      <c r="AKD605" s="222"/>
      <c r="AKE605" s="223"/>
      <c r="AKF605" s="224"/>
      <c r="AKG605" s="222"/>
      <c r="AKH605" s="222"/>
      <c r="AKI605" s="222"/>
      <c r="AKJ605" s="222"/>
      <c r="AKK605" s="222"/>
      <c r="AKL605" s="222"/>
      <c r="AKM605" s="223"/>
      <c r="AKN605" s="224"/>
      <c r="AKO605" s="222"/>
      <c r="AKP605" s="222"/>
      <c r="AKQ605" s="222"/>
      <c r="AKR605" s="222"/>
      <c r="AKS605" s="222"/>
      <c r="AKT605" s="222"/>
      <c r="AKU605" s="223"/>
      <c r="AKV605" s="224"/>
      <c r="AKW605" s="222"/>
      <c r="AKX605" s="222"/>
      <c r="AKY605" s="222"/>
      <c r="AKZ605" s="222"/>
      <c r="ALA605" s="222"/>
      <c r="ALB605" s="222"/>
      <c r="ALC605" s="223"/>
      <c r="ALD605" s="224"/>
      <c r="ALE605" s="222"/>
      <c r="ALF605" s="222"/>
      <c r="ALG605" s="222"/>
      <c r="ALH605" s="222"/>
      <c r="ALI605" s="222"/>
      <c r="ALJ605" s="222"/>
      <c r="ALK605" s="223"/>
      <c r="ALL605" s="224"/>
      <c r="ALM605" s="222"/>
      <c r="ALN605" s="222"/>
      <c r="ALO605" s="222"/>
      <c r="ALP605" s="222"/>
      <c r="ALQ605" s="222"/>
      <c r="ALR605" s="222"/>
      <c r="ALS605" s="223"/>
      <c r="ALT605" s="224"/>
      <c r="ALU605" s="222"/>
      <c r="ALV605" s="222"/>
      <c r="ALW605" s="222"/>
      <c r="ALX605" s="222"/>
      <c r="ALY605" s="222"/>
      <c r="ALZ605" s="222"/>
      <c r="AMA605" s="223"/>
      <c r="AMB605" s="224"/>
      <c r="AMC605" s="222"/>
      <c r="AMD605" s="222"/>
      <c r="AME605" s="222"/>
      <c r="AMF605" s="222"/>
      <c r="AMG605" s="222"/>
      <c r="AMH605" s="222"/>
      <c r="AMI605" s="223"/>
      <c r="AMJ605" s="224"/>
      <c r="AMK605" s="222"/>
      <c r="AML605" s="222"/>
      <c r="AMM605" s="222"/>
      <c r="AMN605" s="222"/>
      <c r="AMO605" s="222"/>
      <c r="AMP605" s="222"/>
      <c r="AMQ605" s="223"/>
      <c r="AMR605" s="224"/>
      <c r="AMS605" s="222"/>
      <c r="AMT605" s="222"/>
      <c r="AMU605" s="222"/>
      <c r="AMV605" s="222"/>
      <c r="AMW605" s="222"/>
      <c r="AMX605" s="222"/>
      <c r="AMY605" s="223"/>
      <c r="AMZ605" s="224"/>
      <c r="ANA605" s="222"/>
      <c r="ANB605" s="222"/>
      <c r="ANC605" s="222"/>
      <c r="AND605" s="222"/>
      <c r="ANE605" s="222"/>
      <c r="ANF605" s="222"/>
      <c r="ANG605" s="223"/>
      <c r="ANH605" s="224"/>
      <c r="ANI605" s="222"/>
      <c r="ANJ605" s="222"/>
      <c r="ANK605" s="222"/>
      <c r="ANL605" s="222"/>
      <c r="ANM605" s="222"/>
      <c r="ANN605" s="222"/>
      <c r="ANO605" s="223"/>
      <c r="ANP605" s="224"/>
      <c r="ANQ605" s="222"/>
      <c r="ANR605" s="222"/>
      <c r="ANS605" s="222"/>
      <c r="ANT605" s="222"/>
      <c r="ANU605" s="222"/>
      <c r="ANV605" s="222"/>
      <c r="ANW605" s="223"/>
      <c r="ANX605" s="224"/>
      <c r="ANY605" s="222"/>
      <c r="ANZ605" s="222"/>
      <c r="AOA605" s="222"/>
      <c r="AOB605" s="222"/>
      <c r="AOC605" s="222"/>
      <c r="AOD605" s="222"/>
      <c r="AOE605" s="223"/>
      <c r="AOF605" s="224"/>
      <c r="AOG605" s="222"/>
      <c r="AOH605" s="222"/>
      <c r="AOI605" s="222"/>
      <c r="AOJ605" s="222"/>
      <c r="AOK605" s="222"/>
      <c r="AOL605" s="222"/>
      <c r="AOM605" s="223"/>
      <c r="AON605" s="224"/>
      <c r="AOO605" s="222"/>
      <c r="AOP605" s="222"/>
      <c r="AOQ605" s="222"/>
      <c r="AOR605" s="222"/>
      <c r="AOS605" s="222"/>
      <c r="AOT605" s="222"/>
      <c r="AOU605" s="223"/>
      <c r="AOV605" s="224"/>
      <c r="AOW605" s="222"/>
      <c r="AOX605" s="222"/>
      <c r="AOY605" s="222"/>
      <c r="AOZ605" s="222"/>
      <c r="APA605" s="222"/>
      <c r="APB605" s="222"/>
      <c r="APC605" s="223"/>
      <c r="APD605" s="224"/>
      <c r="APE605" s="222"/>
      <c r="APF605" s="222"/>
      <c r="APG605" s="222"/>
      <c r="APH605" s="222"/>
      <c r="API605" s="222"/>
      <c r="APJ605" s="222"/>
      <c r="APK605" s="223"/>
      <c r="APL605" s="224"/>
      <c r="APM605" s="222"/>
      <c r="APN605" s="222"/>
      <c r="APO605" s="222"/>
      <c r="APP605" s="222"/>
      <c r="APQ605" s="222"/>
      <c r="APR605" s="222"/>
      <c r="APS605" s="223"/>
      <c r="APT605" s="224"/>
      <c r="APU605" s="222"/>
      <c r="APV605" s="222"/>
      <c r="APW605" s="222"/>
      <c r="APX605" s="222"/>
      <c r="APY605" s="222"/>
      <c r="APZ605" s="222"/>
      <c r="AQA605" s="223"/>
      <c r="AQB605" s="224"/>
      <c r="AQC605" s="222"/>
      <c r="AQD605" s="222"/>
      <c r="AQE605" s="222"/>
      <c r="AQF605" s="222"/>
      <c r="AQG605" s="222"/>
      <c r="AQH605" s="222"/>
      <c r="AQI605" s="223"/>
      <c r="AQJ605" s="224"/>
      <c r="AQK605" s="222"/>
      <c r="AQL605" s="222"/>
      <c r="AQM605" s="222"/>
      <c r="AQN605" s="222"/>
      <c r="AQO605" s="222"/>
      <c r="AQP605" s="222"/>
      <c r="AQQ605" s="223"/>
      <c r="AQR605" s="224"/>
      <c r="AQS605" s="222"/>
      <c r="AQT605" s="222"/>
      <c r="AQU605" s="222"/>
      <c r="AQV605" s="222"/>
      <c r="AQW605" s="222"/>
      <c r="AQX605" s="222"/>
      <c r="AQY605" s="223"/>
      <c r="AQZ605" s="224"/>
      <c r="ARA605" s="222"/>
      <c r="ARB605" s="222"/>
      <c r="ARC605" s="222"/>
      <c r="ARD605" s="222"/>
      <c r="ARE605" s="222"/>
      <c r="ARF605" s="222"/>
      <c r="ARG605" s="223"/>
      <c r="ARH605" s="224"/>
      <c r="ARI605" s="222"/>
      <c r="ARJ605" s="222"/>
      <c r="ARK605" s="222"/>
      <c r="ARL605" s="222"/>
      <c r="ARM605" s="222"/>
      <c r="ARN605" s="222"/>
      <c r="ARO605" s="223"/>
      <c r="ARP605" s="224"/>
      <c r="ARQ605" s="222"/>
      <c r="ARR605" s="222"/>
      <c r="ARS605" s="222"/>
      <c r="ART605" s="222"/>
      <c r="ARU605" s="222"/>
      <c r="ARV605" s="222"/>
      <c r="ARW605" s="223"/>
      <c r="ARX605" s="224"/>
      <c r="ARY605" s="222"/>
      <c r="ARZ605" s="222"/>
      <c r="ASA605" s="222"/>
      <c r="ASB605" s="222"/>
      <c r="ASC605" s="222"/>
      <c r="ASD605" s="222"/>
      <c r="ASE605" s="223"/>
      <c r="ASF605" s="224"/>
      <c r="ASG605" s="222"/>
      <c r="ASH605" s="222"/>
      <c r="ASI605" s="222"/>
      <c r="ASJ605" s="222"/>
      <c r="ASK605" s="222"/>
      <c r="ASL605" s="222"/>
      <c r="ASM605" s="223"/>
      <c r="ASN605" s="224"/>
      <c r="ASO605" s="222"/>
      <c r="ASP605" s="222"/>
      <c r="ASQ605" s="222"/>
      <c r="ASR605" s="222"/>
      <c r="ASS605" s="222"/>
      <c r="AST605" s="222"/>
      <c r="ASU605" s="223"/>
      <c r="ASV605" s="224"/>
      <c r="ASW605" s="222"/>
      <c r="ASX605" s="222"/>
      <c r="ASY605" s="222"/>
      <c r="ASZ605" s="222"/>
      <c r="ATA605" s="222"/>
      <c r="ATB605" s="222"/>
      <c r="ATC605" s="223"/>
      <c r="ATD605" s="224"/>
      <c r="ATE605" s="222"/>
      <c r="ATF605" s="222"/>
      <c r="ATG605" s="222"/>
      <c r="ATH605" s="222"/>
      <c r="ATI605" s="222"/>
      <c r="ATJ605" s="222"/>
      <c r="ATK605" s="223"/>
      <c r="ATL605" s="224"/>
      <c r="ATM605" s="222"/>
      <c r="ATN605" s="222"/>
      <c r="ATO605" s="222"/>
      <c r="ATP605" s="222"/>
      <c r="ATQ605" s="222"/>
      <c r="ATR605" s="222"/>
      <c r="ATS605" s="223"/>
      <c r="ATT605" s="224"/>
      <c r="ATU605" s="222"/>
      <c r="ATV605" s="222"/>
      <c r="ATW605" s="222"/>
      <c r="ATX605" s="222"/>
      <c r="ATY605" s="222"/>
      <c r="ATZ605" s="222"/>
      <c r="AUA605" s="223"/>
      <c r="AUB605" s="224"/>
      <c r="AUC605" s="222"/>
      <c r="AUD605" s="222"/>
      <c r="AUE605" s="222"/>
      <c r="AUF605" s="222"/>
      <c r="AUG605" s="222"/>
      <c r="AUH605" s="222"/>
      <c r="AUI605" s="223"/>
      <c r="AUJ605" s="224"/>
      <c r="AUK605" s="222"/>
      <c r="AUL605" s="222"/>
      <c r="AUM605" s="222"/>
      <c r="AUN605" s="222"/>
      <c r="AUO605" s="222"/>
      <c r="AUP605" s="222"/>
      <c r="AUQ605" s="223"/>
      <c r="AUR605" s="224"/>
      <c r="AUS605" s="222"/>
      <c r="AUT605" s="222"/>
      <c r="AUU605" s="222"/>
      <c r="AUV605" s="222"/>
      <c r="AUW605" s="222"/>
      <c r="AUX605" s="222"/>
      <c r="AUY605" s="223"/>
      <c r="AUZ605" s="224"/>
      <c r="AVA605" s="222"/>
      <c r="AVB605" s="222"/>
      <c r="AVC605" s="222"/>
      <c r="AVD605" s="222"/>
      <c r="AVE605" s="222"/>
      <c r="AVF605" s="222"/>
      <c r="AVG605" s="223"/>
      <c r="AVH605" s="224"/>
      <c r="AVI605" s="222"/>
      <c r="AVJ605" s="222"/>
      <c r="AVK605" s="222"/>
      <c r="AVL605" s="222"/>
      <c r="AVM605" s="222"/>
      <c r="AVN605" s="222"/>
      <c r="AVO605" s="223"/>
      <c r="AVP605" s="224"/>
      <c r="AVQ605" s="222"/>
      <c r="AVR605" s="222"/>
      <c r="AVS605" s="222"/>
      <c r="AVT605" s="222"/>
      <c r="AVU605" s="222"/>
      <c r="AVV605" s="222"/>
      <c r="AVW605" s="223"/>
      <c r="AVX605" s="224"/>
      <c r="AVY605" s="222"/>
      <c r="AVZ605" s="222"/>
      <c r="AWA605" s="222"/>
      <c r="AWB605" s="222"/>
      <c r="AWC605" s="222"/>
      <c r="AWD605" s="222"/>
      <c r="AWE605" s="223"/>
      <c r="AWF605" s="224"/>
      <c r="AWG605" s="222"/>
      <c r="AWH605" s="222"/>
      <c r="AWI605" s="222"/>
      <c r="AWJ605" s="222"/>
      <c r="AWK605" s="222"/>
      <c r="AWL605" s="222"/>
      <c r="AWM605" s="223"/>
      <c r="AWN605" s="224"/>
      <c r="AWO605" s="222"/>
      <c r="AWP605" s="222"/>
      <c r="AWQ605" s="222"/>
      <c r="AWR605" s="222"/>
      <c r="AWS605" s="222"/>
      <c r="AWT605" s="222"/>
      <c r="AWU605" s="223"/>
      <c r="AWV605" s="224"/>
      <c r="AWW605" s="222"/>
      <c r="AWX605" s="222"/>
      <c r="AWY605" s="222"/>
      <c r="AWZ605" s="222"/>
      <c r="AXA605" s="222"/>
      <c r="AXB605" s="222"/>
      <c r="AXC605" s="223"/>
      <c r="AXD605" s="224"/>
      <c r="AXE605" s="222"/>
      <c r="AXF605" s="222"/>
      <c r="AXG605" s="222"/>
      <c r="AXH605" s="222"/>
      <c r="AXI605" s="222"/>
      <c r="AXJ605" s="222"/>
      <c r="AXK605" s="223"/>
      <c r="AXL605" s="224"/>
      <c r="AXM605" s="222"/>
      <c r="AXN605" s="222"/>
      <c r="AXO605" s="222"/>
      <c r="AXP605" s="222"/>
      <c r="AXQ605" s="222"/>
      <c r="AXR605" s="222"/>
      <c r="AXS605" s="223"/>
      <c r="AXT605" s="224"/>
      <c r="AXU605" s="222"/>
      <c r="AXV605" s="222"/>
      <c r="AXW605" s="222"/>
      <c r="AXX605" s="222"/>
      <c r="AXY605" s="222"/>
      <c r="AXZ605" s="222"/>
      <c r="AYA605" s="223"/>
      <c r="AYB605" s="224"/>
      <c r="AYC605" s="222"/>
      <c r="AYD605" s="222"/>
      <c r="AYE605" s="222"/>
      <c r="AYF605" s="222"/>
      <c r="AYG605" s="222"/>
      <c r="AYH605" s="222"/>
      <c r="AYI605" s="223"/>
      <c r="AYJ605" s="224"/>
      <c r="AYK605" s="222"/>
      <c r="AYL605" s="222"/>
      <c r="AYM605" s="222"/>
      <c r="AYN605" s="222"/>
      <c r="AYO605" s="222"/>
      <c r="AYP605" s="222"/>
      <c r="AYQ605" s="223"/>
      <c r="AYR605" s="224"/>
      <c r="AYS605" s="222"/>
      <c r="AYT605" s="222"/>
      <c r="AYU605" s="222"/>
      <c r="AYV605" s="222"/>
      <c r="AYW605" s="222"/>
      <c r="AYX605" s="222"/>
      <c r="AYY605" s="223"/>
      <c r="AYZ605" s="224"/>
      <c r="AZA605" s="222"/>
      <c r="AZB605" s="222"/>
      <c r="AZC605" s="222"/>
      <c r="AZD605" s="222"/>
      <c r="AZE605" s="222"/>
      <c r="AZF605" s="222"/>
      <c r="AZG605" s="223"/>
      <c r="AZH605" s="224"/>
      <c r="AZI605" s="222"/>
      <c r="AZJ605" s="222"/>
      <c r="AZK605" s="222"/>
      <c r="AZL605" s="222"/>
      <c r="AZM605" s="222"/>
      <c r="AZN605" s="222"/>
      <c r="AZO605" s="223"/>
      <c r="AZP605" s="224"/>
      <c r="AZQ605" s="222"/>
      <c r="AZR605" s="222"/>
      <c r="AZS605" s="222"/>
      <c r="AZT605" s="222"/>
      <c r="AZU605" s="222"/>
      <c r="AZV605" s="222"/>
      <c r="AZW605" s="223"/>
      <c r="AZX605" s="224"/>
      <c r="AZY605" s="222"/>
      <c r="AZZ605" s="222"/>
      <c r="BAA605" s="222"/>
      <c r="BAB605" s="222"/>
      <c r="BAC605" s="222"/>
      <c r="BAD605" s="222"/>
      <c r="BAE605" s="223"/>
      <c r="BAF605" s="224"/>
      <c r="BAG605" s="222"/>
      <c r="BAH605" s="222"/>
      <c r="BAI605" s="222"/>
      <c r="BAJ605" s="222"/>
      <c r="BAK605" s="222"/>
      <c r="BAL605" s="222"/>
      <c r="BAM605" s="223"/>
      <c r="BAN605" s="224"/>
      <c r="BAO605" s="222"/>
      <c r="BAP605" s="222"/>
      <c r="BAQ605" s="222"/>
      <c r="BAR605" s="222"/>
      <c r="BAS605" s="222"/>
      <c r="BAT605" s="222"/>
      <c r="BAU605" s="223"/>
      <c r="BAV605" s="224"/>
      <c r="BAW605" s="222"/>
      <c r="BAX605" s="222"/>
      <c r="BAY605" s="222"/>
      <c r="BAZ605" s="222"/>
      <c r="BBA605" s="222"/>
      <c r="BBB605" s="222"/>
      <c r="BBC605" s="223"/>
      <c r="BBD605" s="224"/>
      <c r="BBE605" s="222"/>
      <c r="BBF605" s="222"/>
      <c r="BBG605" s="222"/>
      <c r="BBH605" s="222"/>
      <c r="BBI605" s="222"/>
      <c r="BBJ605" s="222"/>
      <c r="BBK605" s="223"/>
      <c r="BBL605" s="224"/>
      <c r="BBM605" s="222"/>
      <c r="BBN605" s="222"/>
      <c r="BBO605" s="222"/>
      <c r="BBP605" s="222"/>
      <c r="BBQ605" s="222"/>
      <c r="BBR605" s="222"/>
      <c r="BBS605" s="223"/>
      <c r="BBT605" s="224"/>
      <c r="BBU605" s="222"/>
      <c r="BBV605" s="222"/>
      <c r="BBW605" s="222"/>
      <c r="BBX605" s="222"/>
      <c r="BBY605" s="222"/>
      <c r="BBZ605" s="222"/>
      <c r="BCA605" s="223"/>
      <c r="BCB605" s="224"/>
      <c r="BCC605" s="222"/>
      <c r="BCD605" s="222"/>
      <c r="BCE605" s="222"/>
      <c r="BCF605" s="222"/>
      <c r="BCG605" s="222"/>
      <c r="BCH605" s="222"/>
      <c r="BCI605" s="223"/>
      <c r="BCJ605" s="224"/>
      <c r="BCK605" s="222"/>
      <c r="BCL605" s="222"/>
      <c r="BCM605" s="222"/>
      <c r="BCN605" s="222"/>
      <c r="BCO605" s="222"/>
      <c r="BCP605" s="222"/>
      <c r="BCQ605" s="223"/>
      <c r="BCR605" s="224"/>
      <c r="BCS605" s="222"/>
      <c r="BCT605" s="222"/>
      <c r="BCU605" s="222"/>
      <c r="BCV605" s="222"/>
      <c r="BCW605" s="222"/>
      <c r="BCX605" s="222"/>
      <c r="BCY605" s="223"/>
      <c r="BCZ605" s="224"/>
      <c r="BDA605" s="222"/>
      <c r="BDB605" s="222"/>
      <c r="BDC605" s="222"/>
      <c r="BDD605" s="222"/>
      <c r="BDE605" s="222"/>
      <c r="BDF605" s="222"/>
      <c r="BDG605" s="223"/>
      <c r="BDH605" s="224"/>
      <c r="BDI605" s="222"/>
      <c r="BDJ605" s="222"/>
      <c r="BDK605" s="222"/>
      <c r="BDL605" s="222"/>
      <c r="BDM605" s="222"/>
      <c r="BDN605" s="222"/>
      <c r="BDO605" s="223"/>
      <c r="BDP605" s="224"/>
      <c r="BDQ605" s="222"/>
      <c r="BDR605" s="222"/>
      <c r="BDS605" s="222"/>
      <c r="BDT605" s="222"/>
      <c r="BDU605" s="222"/>
      <c r="BDV605" s="222"/>
      <c r="BDW605" s="223"/>
      <c r="BDX605" s="224"/>
      <c r="BDY605" s="222"/>
      <c r="BDZ605" s="222"/>
      <c r="BEA605" s="222"/>
      <c r="BEB605" s="222"/>
      <c r="BEC605" s="222"/>
      <c r="BED605" s="222"/>
      <c r="BEE605" s="223"/>
      <c r="BEF605" s="224"/>
      <c r="BEG605" s="222"/>
      <c r="BEH605" s="222"/>
      <c r="BEI605" s="222"/>
      <c r="BEJ605" s="222"/>
      <c r="BEK605" s="222"/>
      <c r="BEL605" s="222"/>
      <c r="BEM605" s="223"/>
      <c r="BEN605" s="224"/>
      <c r="BEO605" s="222"/>
      <c r="BEP605" s="222"/>
      <c r="BEQ605" s="222"/>
      <c r="BER605" s="222"/>
      <c r="BES605" s="222"/>
      <c r="BET605" s="222"/>
      <c r="BEU605" s="223"/>
      <c r="BEV605" s="224"/>
      <c r="BEW605" s="222"/>
      <c r="BEX605" s="222"/>
      <c r="BEY605" s="222"/>
      <c r="BEZ605" s="222"/>
      <c r="BFA605" s="222"/>
      <c r="BFB605" s="222"/>
      <c r="BFC605" s="223"/>
      <c r="BFD605" s="224"/>
      <c r="BFE605" s="222"/>
      <c r="BFF605" s="222"/>
      <c r="BFG605" s="222"/>
      <c r="BFH605" s="222"/>
      <c r="BFI605" s="222"/>
      <c r="BFJ605" s="222"/>
      <c r="BFK605" s="223"/>
      <c r="BFL605" s="224"/>
      <c r="BFM605" s="222"/>
      <c r="BFN605" s="222"/>
      <c r="BFO605" s="222"/>
      <c r="BFP605" s="222"/>
      <c r="BFQ605" s="222"/>
      <c r="BFR605" s="222"/>
      <c r="BFS605" s="223"/>
      <c r="BFT605" s="224"/>
      <c r="BFU605" s="222"/>
      <c r="BFV605" s="222"/>
      <c r="BFW605" s="222"/>
      <c r="BFX605" s="222"/>
      <c r="BFY605" s="222"/>
      <c r="BFZ605" s="222"/>
      <c r="BGA605" s="223"/>
      <c r="BGB605" s="224"/>
      <c r="BGC605" s="222"/>
      <c r="BGD605" s="222"/>
      <c r="BGE605" s="222"/>
      <c r="BGF605" s="222"/>
      <c r="BGG605" s="222"/>
      <c r="BGH605" s="222"/>
      <c r="BGI605" s="223"/>
      <c r="BGJ605" s="224"/>
      <c r="BGK605" s="222"/>
      <c r="BGL605" s="222"/>
      <c r="BGM605" s="222"/>
      <c r="BGN605" s="222"/>
      <c r="BGO605" s="222"/>
      <c r="BGP605" s="222"/>
      <c r="BGQ605" s="223"/>
      <c r="BGR605" s="224"/>
      <c r="BGS605" s="222"/>
      <c r="BGT605" s="222"/>
      <c r="BGU605" s="222"/>
      <c r="BGV605" s="222"/>
      <c r="BGW605" s="222"/>
      <c r="BGX605" s="222"/>
      <c r="BGY605" s="223"/>
      <c r="BGZ605" s="224"/>
      <c r="BHA605" s="222"/>
      <c r="BHB605" s="222"/>
      <c r="BHC605" s="222"/>
      <c r="BHD605" s="222"/>
      <c r="BHE605" s="222"/>
      <c r="BHF605" s="222"/>
      <c r="BHG605" s="223"/>
      <c r="BHH605" s="224"/>
      <c r="BHI605" s="222"/>
      <c r="BHJ605" s="222"/>
      <c r="BHK605" s="222"/>
      <c r="BHL605" s="222"/>
      <c r="BHM605" s="222"/>
      <c r="BHN605" s="222"/>
      <c r="BHO605" s="223"/>
      <c r="BHP605" s="224"/>
      <c r="BHQ605" s="222"/>
      <c r="BHR605" s="222"/>
      <c r="BHS605" s="222"/>
      <c r="BHT605" s="222"/>
      <c r="BHU605" s="222"/>
      <c r="BHV605" s="222"/>
      <c r="BHW605" s="223"/>
      <c r="BHX605" s="224"/>
      <c r="BHY605" s="222"/>
      <c r="BHZ605" s="222"/>
      <c r="BIA605" s="222"/>
      <c r="BIB605" s="222"/>
      <c r="BIC605" s="222"/>
      <c r="BID605" s="222"/>
      <c r="BIE605" s="223"/>
      <c r="BIF605" s="224"/>
      <c r="BIG605" s="222"/>
      <c r="BIH605" s="222"/>
      <c r="BII605" s="222"/>
      <c r="BIJ605" s="222"/>
      <c r="BIK605" s="222"/>
      <c r="BIL605" s="222"/>
      <c r="BIM605" s="223"/>
      <c r="BIN605" s="224"/>
      <c r="BIO605" s="222"/>
      <c r="BIP605" s="222"/>
      <c r="BIQ605" s="222"/>
      <c r="BIR605" s="222"/>
      <c r="BIS605" s="222"/>
      <c r="BIT605" s="222"/>
      <c r="BIU605" s="223"/>
      <c r="BIV605" s="224"/>
      <c r="BIW605" s="222"/>
      <c r="BIX605" s="222"/>
      <c r="BIY605" s="222"/>
      <c r="BIZ605" s="222"/>
      <c r="BJA605" s="222"/>
      <c r="BJB605" s="222"/>
      <c r="BJC605" s="223"/>
      <c r="BJD605" s="224"/>
      <c r="BJE605" s="222"/>
      <c r="BJF605" s="222"/>
      <c r="BJG605" s="222"/>
      <c r="BJH605" s="222"/>
      <c r="BJI605" s="222"/>
      <c r="BJJ605" s="222"/>
      <c r="BJK605" s="223"/>
      <c r="BJL605" s="224"/>
      <c r="BJM605" s="222"/>
      <c r="BJN605" s="222"/>
      <c r="BJO605" s="222"/>
      <c r="BJP605" s="222"/>
      <c r="BJQ605" s="222"/>
      <c r="BJR605" s="222"/>
      <c r="BJS605" s="223"/>
      <c r="BJT605" s="224"/>
      <c r="BJU605" s="222"/>
      <c r="BJV605" s="222"/>
      <c r="BJW605" s="222"/>
      <c r="BJX605" s="222"/>
      <c r="BJY605" s="222"/>
      <c r="BJZ605" s="222"/>
      <c r="BKA605" s="223"/>
      <c r="BKB605" s="224"/>
      <c r="BKC605" s="222"/>
      <c r="BKD605" s="222"/>
      <c r="BKE605" s="222"/>
      <c r="BKF605" s="222"/>
      <c r="BKG605" s="222"/>
      <c r="BKH605" s="222"/>
      <c r="BKI605" s="223"/>
      <c r="BKJ605" s="224"/>
      <c r="BKK605" s="222"/>
      <c r="BKL605" s="222"/>
      <c r="BKM605" s="222"/>
      <c r="BKN605" s="222"/>
      <c r="BKO605" s="222"/>
      <c r="BKP605" s="222"/>
      <c r="BKQ605" s="223"/>
      <c r="BKR605" s="224"/>
      <c r="BKS605" s="222"/>
      <c r="BKT605" s="222"/>
      <c r="BKU605" s="222"/>
      <c r="BKV605" s="222"/>
      <c r="BKW605" s="222"/>
      <c r="BKX605" s="222"/>
      <c r="BKY605" s="223"/>
      <c r="BKZ605" s="224"/>
      <c r="BLA605" s="222"/>
      <c r="BLB605" s="222"/>
      <c r="BLC605" s="222"/>
      <c r="BLD605" s="222"/>
      <c r="BLE605" s="222"/>
      <c r="BLF605" s="222"/>
      <c r="BLG605" s="223"/>
      <c r="BLH605" s="224"/>
      <c r="BLI605" s="222"/>
      <c r="BLJ605" s="222"/>
      <c r="BLK605" s="222"/>
      <c r="BLL605" s="222"/>
      <c r="BLM605" s="222"/>
      <c r="BLN605" s="222"/>
      <c r="BLO605" s="223"/>
      <c r="BLP605" s="224"/>
      <c r="BLQ605" s="222"/>
      <c r="BLR605" s="222"/>
      <c r="BLS605" s="222"/>
      <c r="BLT605" s="222"/>
      <c r="BLU605" s="222"/>
      <c r="BLV605" s="222"/>
      <c r="BLW605" s="223"/>
      <c r="BLX605" s="224"/>
      <c r="BLY605" s="222"/>
      <c r="BLZ605" s="222"/>
      <c r="BMA605" s="222"/>
      <c r="BMB605" s="222"/>
      <c r="BMC605" s="222"/>
      <c r="BMD605" s="222"/>
      <c r="BME605" s="223"/>
      <c r="BMF605" s="224"/>
      <c r="BMG605" s="222"/>
      <c r="BMH605" s="222"/>
      <c r="BMI605" s="222"/>
      <c r="BMJ605" s="222"/>
      <c r="BMK605" s="222"/>
      <c r="BML605" s="222"/>
      <c r="BMM605" s="223"/>
      <c r="BMN605" s="224"/>
      <c r="BMO605" s="222"/>
      <c r="BMP605" s="222"/>
      <c r="BMQ605" s="222"/>
      <c r="BMR605" s="222"/>
      <c r="BMS605" s="222"/>
      <c r="BMT605" s="222"/>
      <c r="BMU605" s="223"/>
      <c r="BMV605" s="224"/>
      <c r="BMW605" s="222"/>
      <c r="BMX605" s="222"/>
      <c r="BMY605" s="222"/>
      <c r="BMZ605" s="222"/>
      <c r="BNA605" s="222"/>
      <c r="BNB605" s="222"/>
      <c r="BNC605" s="223"/>
      <c r="BND605" s="224"/>
      <c r="BNE605" s="222"/>
      <c r="BNF605" s="222"/>
      <c r="BNG605" s="222"/>
      <c r="BNH605" s="222"/>
      <c r="BNI605" s="222"/>
      <c r="BNJ605" s="222"/>
      <c r="BNK605" s="223"/>
      <c r="BNL605" s="224"/>
      <c r="BNM605" s="222"/>
      <c r="BNN605" s="222"/>
      <c r="BNO605" s="222"/>
      <c r="BNP605" s="222"/>
      <c r="BNQ605" s="222"/>
      <c r="BNR605" s="222"/>
      <c r="BNS605" s="223"/>
      <c r="BNT605" s="224"/>
      <c r="BNU605" s="222"/>
      <c r="BNV605" s="222"/>
      <c r="BNW605" s="222"/>
      <c r="BNX605" s="222"/>
      <c r="BNY605" s="222"/>
      <c r="BNZ605" s="222"/>
      <c r="BOA605" s="223"/>
      <c r="BOB605" s="224"/>
      <c r="BOC605" s="222"/>
      <c r="BOD605" s="222"/>
      <c r="BOE605" s="222"/>
      <c r="BOF605" s="222"/>
      <c r="BOG605" s="222"/>
      <c r="BOH605" s="222"/>
      <c r="BOI605" s="223"/>
      <c r="BOJ605" s="224"/>
      <c r="BOK605" s="222"/>
      <c r="BOL605" s="222"/>
      <c r="BOM605" s="222"/>
      <c r="BON605" s="222"/>
      <c r="BOO605" s="222"/>
      <c r="BOP605" s="222"/>
      <c r="BOQ605" s="223"/>
      <c r="BOR605" s="224"/>
      <c r="BOS605" s="222"/>
      <c r="BOT605" s="222"/>
      <c r="BOU605" s="222"/>
      <c r="BOV605" s="222"/>
      <c r="BOW605" s="222"/>
      <c r="BOX605" s="222"/>
      <c r="BOY605" s="223"/>
      <c r="BOZ605" s="224"/>
      <c r="BPA605" s="222"/>
      <c r="BPB605" s="222"/>
      <c r="BPC605" s="222"/>
      <c r="BPD605" s="222"/>
      <c r="BPE605" s="222"/>
      <c r="BPF605" s="222"/>
      <c r="BPG605" s="223"/>
      <c r="BPH605" s="224"/>
      <c r="BPI605" s="222"/>
      <c r="BPJ605" s="222"/>
      <c r="BPK605" s="222"/>
      <c r="BPL605" s="222"/>
      <c r="BPM605" s="222"/>
      <c r="BPN605" s="222"/>
      <c r="BPO605" s="223"/>
      <c r="BPP605" s="224"/>
      <c r="BPQ605" s="222"/>
      <c r="BPR605" s="222"/>
      <c r="BPS605" s="222"/>
      <c r="BPT605" s="222"/>
      <c r="BPU605" s="222"/>
      <c r="BPV605" s="222"/>
      <c r="BPW605" s="223"/>
      <c r="BPX605" s="224"/>
      <c r="BPY605" s="222"/>
      <c r="BPZ605" s="222"/>
      <c r="BQA605" s="222"/>
      <c r="BQB605" s="222"/>
      <c r="BQC605" s="222"/>
      <c r="BQD605" s="222"/>
      <c r="BQE605" s="223"/>
      <c r="BQF605" s="224"/>
      <c r="BQG605" s="222"/>
      <c r="BQH605" s="222"/>
      <c r="BQI605" s="222"/>
      <c r="BQJ605" s="222"/>
      <c r="BQK605" s="222"/>
      <c r="BQL605" s="222"/>
      <c r="BQM605" s="223"/>
      <c r="BQN605" s="224"/>
      <c r="BQO605" s="222"/>
      <c r="BQP605" s="222"/>
      <c r="BQQ605" s="222"/>
      <c r="BQR605" s="222"/>
      <c r="BQS605" s="222"/>
      <c r="BQT605" s="222"/>
      <c r="BQU605" s="223"/>
      <c r="BQV605" s="224"/>
      <c r="BQW605" s="222"/>
      <c r="BQX605" s="222"/>
      <c r="BQY605" s="222"/>
      <c r="BQZ605" s="222"/>
      <c r="BRA605" s="222"/>
      <c r="BRB605" s="222"/>
      <c r="BRC605" s="223"/>
      <c r="BRD605" s="224"/>
      <c r="BRE605" s="222"/>
      <c r="BRF605" s="222"/>
      <c r="BRG605" s="222"/>
      <c r="BRH605" s="222"/>
      <c r="BRI605" s="222"/>
      <c r="BRJ605" s="222"/>
      <c r="BRK605" s="223"/>
      <c r="BRL605" s="224"/>
      <c r="BRM605" s="222"/>
      <c r="BRN605" s="222"/>
      <c r="BRO605" s="222"/>
      <c r="BRP605" s="222"/>
      <c r="BRQ605" s="222"/>
      <c r="BRR605" s="222"/>
      <c r="BRS605" s="223"/>
      <c r="BRT605" s="224"/>
      <c r="BRU605" s="222"/>
      <c r="BRV605" s="222"/>
      <c r="BRW605" s="222"/>
      <c r="BRX605" s="222"/>
      <c r="BRY605" s="222"/>
      <c r="BRZ605" s="222"/>
      <c r="BSA605" s="223"/>
      <c r="BSB605" s="224"/>
      <c r="BSC605" s="222"/>
      <c r="BSD605" s="222"/>
      <c r="BSE605" s="222"/>
      <c r="BSF605" s="222"/>
      <c r="BSG605" s="222"/>
      <c r="BSH605" s="222"/>
      <c r="BSI605" s="223"/>
      <c r="BSJ605" s="224"/>
      <c r="BSK605" s="222"/>
      <c r="BSL605" s="222"/>
      <c r="BSM605" s="222"/>
      <c r="BSN605" s="222"/>
      <c r="BSO605" s="222"/>
      <c r="BSP605" s="222"/>
      <c r="BSQ605" s="223"/>
      <c r="BSR605" s="224"/>
      <c r="BSS605" s="222"/>
      <c r="BST605" s="222"/>
      <c r="BSU605" s="222"/>
      <c r="BSV605" s="222"/>
      <c r="BSW605" s="222"/>
      <c r="BSX605" s="222"/>
      <c r="BSY605" s="223"/>
      <c r="BSZ605" s="224"/>
      <c r="BTA605" s="222"/>
      <c r="BTB605" s="222"/>
      <c r="BTC605" s="222"/>
      <c r="BTD605" s="222"/>
      <c r="BTE605" s="222"/>
      <c r="BTF605" s="222"/>
      <c r="BTG605" s="223"/>
      <c r="BTH605" s="224"/>
      <c r="BTI605" s="222"/>
      <c r="BTJ605" s="222"/>
      <c r="BTK605" s="222"/>
      <c r="BTL605" s="222"/>
      <c r="BTM605" s="222"/>
      <c r="BTN605" s="222"/>
      <c r="BTO605" s="223"/>
      <c r="BTP605" s="224"/>
      <c r="BTQ605" s="222"/>
      <c r="BTR605" s="222"/>
      <c r="BTS605" s="222"/>
      <c r="BTT605" s="222"/>
      <c r="BTU605" s="222"/>
      <c r="BTV605" s="222"/>
      <c r="BTW605" s="223"/>
      <c r="BTX605" s="224"/>
      <c r="BTY605" s="222"/>
      <c r="BTZ605" s="222"/>
      <c r="BUA605" s="222"/>
      <c r="BUB605" s="222"/>
      <c r="BUC605" s="222"/>
      <c r="BUD605" s="222"/>
      <c r="BUE605" s="223"/>
      <c r="BUF605" s="224"/>
      <c r="BUG605" s="222"/>
      <c r="BUH605" s="222"/>
      <c r="BUI605" s="222"/>
      <c r="BUJ605" s="222"/>
      <c r="BUK605" s="222"/>
      <c r="BUL605" s="222"/>
      <c r="BUM605" s="223"/>
      <c r="BUN605" s="224"/>
      <c r="BUO605" s="222"/>
      <c r="BUP605" s="222"/>
      <c r="BUQ605" s="222"/>
      <c r="BUR605" s="222"/>
      <c r="BUS605" s="222"/>
      <c r="BUT605" s="222"/>
      <c r="BUU605" s="223"/>
      <c r="BUV605" s="224"/>
      <c r="BUW605" s="222"/>
      <c r="BUX605" s="222"/>
      <c r="BUY605" s="222"/>
      <c r="BUZ605" s="222"/>
      <c r="BVA605" s="222"/>
      <c r="BVB605" s="222"/>
      <c r="BVC605" s="223"/>
      <c r="BVD605" s="224"/>
      <c r="BVE605" s="222"/>
      <c r="BVF605" s="222"/>
      <c r="BVG605" s="222"/>
      <c r="BVH605" s="222"/>
      <c r="BVI605" s="222"/>
      <c r="BVJ605" s="222"/>
      <c r="BVK605" s="223"/>
      <c r="BVL605" s="224"/>
      <c r="BVM605" s="222"/>
      <c r="BVN605" s="222"/>
      <c r="BVO605" s="222"/>
      <c r="BVP605" s="222"/>
      <c r="BVQ605" s="222"/>
      <c r="BVR605" s="222"/>
      <c r="BVS605" s="223"/>
      <c r="BVT605" s="224"/>
      <c r="BVU605" s="222"/>
      <c r="BVV605" s="222"/>
      <c r="BVW605" s="222"/>
      <c r="BVX605" s="222"/>
      <c r="BVY605" s="222"/>
      <c r="BVZ605" s="222"/>
      <c r="BWA605" s="223"/>
      <c r="BWB605" s="224"/>
      <c r="BWC605" s="222"/>
      <c r="BWD605" s="222"/>
      <c r="BWE605" s="222"/>
      <c r="BWF605" s="222"/>
      <c r="BWG605" s="222"/>
      <c r="BWH605" s="222"/>
      <c r="BWI605" s="223"/>
      <c r="BWJ605" s="224"/>
      <c r="BWK605" s="222"/>
      <c r="BWL605" s="222"/>
      <c r="BWM605" s="222"/>
      <c r="BWN605" s="222"/>
      <c r="BWO605" s="222"/>
      <c r="BWP605" s="222"/>
      <c r="BWQ605" s="223"/>
      <c r="BWR605" s="224"/>
      <c r="BWS605" s="222"/>
      <c r="BWT605" s="222"/>
      <c r="BWU605" s="222"/>
      <c r="BWV605" s="222"/>
      <c r="BWW605" s="222"/>
      <c r="BWX605" s="222"/>
      <c r="BWY605" s="223"/>
      <c r="BWZ605" s="224"/>
      <c r="BXA605" s="222"/>
      <c r="BXB605" s="222"/>
      <c r="BXC605" s="222"/>
      <c r="BXD605" s="222"/>
      <c r="BXE605" s="222"/>
      <c r="BXF605" s="222"/>
      <c r="BXG605" s="223"/>
      <c r="BXH605" s="224"/>
      <c r="BXI605" s="222"/>
      <c r="BXJ605" s="222"/>
      <c r="BXK605" s="222"/>
      <c r="BXL605" s="222"/>
      <c r="BXM605" s="222"/>
      <c r="BXN605" s="222"/>
      <c r="BXO605" s="223"/>
      <c r="BXP605" s="224"/>
      <c r="BXQ605" s="222"/>
      <c r="BXR605" s="222"/>
      <c r="BXS605" s="222"/>
      <c r="BXT605" s="222"/>
      <c r="BXU605" s="222"/>
      <c r="BXV605" s="222"/>
      <c r="BXW605" s="223"/>
      <c r="BXX605" s="224"/>
      <c r="BXY605" s="222"/>
      <c r="BXZ605" s="222"/>
      <c r="BYA605" s="222"/>
      <c r="BYB605" s="222"/>
      <c r="BYC605" s="222"/>
      <c r="BYD605" s="222"/>
      <c r="BYE605" s="223"/>
      <c r="BYF605" s="224"/>
      <c r="BYG605" s="222"/>
      <c r="BYH605" s="222"/>
      <c r="BYI605" s="222"/>
      <c r="BYJ605" s="222"/>
      <c r="BYK605" s="222"/>
      <c r="BYL605" s="222"/>
      <c r="BYM605" s="223"/>
      <c r="BYN605" s="224"/>
      <c r="BYO605" s="222"/>
      <c r="BYP605" s="222"/>
      <c r="BYQ605" s="222"/>
      <c r="BYR605" s="222"/>
      <c r="BYS605" s="222"/>
      <c r="BYT605" s="222"/>
      <c r="BYU605" s="223"/>
      <c r="BYV605" s="224"/>
      <c r="BYW605" s="222"/>
      <c r="BYX605" s="222"/>
      <c r="BYY605" s="222"/>
      <c r="BYZ605" s="222"/>
      <c r="BZA605" s="222"/>
      <c r="BZB605" s="222"/>
      <c r="BZC605" s="223"/>
      <c r="BZD605" s="224"/>
      <c r="BZE605" s="222"/>
      <c r="BZF605" s="222"/>
      <c r="BZG605" s="222"/>
      <c r="BZH605" s="222"/>
      <c r="BZI605" s="222"/>
      <c r="BZJ605" s="222"/>
      <c r="BZK605" s="223"/>
      <c r="BZL605" s="224"/>
      <c r="BZM605" s="222"/>
      <c r="BZN605" s="222"/>
      <c r="BZO605" s="222"/>
      <c r="BZP605" s="222"/>
      <c r="BZQ605" s="222"/>
      <c r="BZR605" s="222"/>
      <c r="BZS605" s="223"/>
      <c r="BZT605" s="224"/>
      <c r="BZU605" s="222"/>
      <c r="BZV605" s="222"/>
      <c r="BZW605" s="222"/>
      <c r="BZX605" s="222"/>
      <c r="BZY605" s="222"/>
      <c r="BZZ605" s="222"/>
      <c r="CAA605" s="223"/>
      <c r="CAB605" s="224"/>
      <c r="CAC605" s="222"/>
      <c r="CAD605" s="222"/>
      <c r="CAE605" s="222"/>
      <c r="CAF605" s="222"/>
      <c r="CAG605" s="222"/>
      <c r="CAH605" s="222"/>
      <c r="CAI605" s="223"/>
      <c r="CAJ605" s="224"/>
      <c r="CAK605" s="222"/>
      <c r="CAL605" s="222"/>
      <c r="CAM605" s="222"/>
      <c r="CAN605" s="222"/>
      <c r="CAO605" s="222"/>
      <c r="CAP605" s="222"/>
      <c r="CAQ605" s="223"/>
      <c r="CAR605" s="224"/>
      <c r="CAS605" s="222"/>
      <c r="CAT605" s="222"/>
      <c r="CAU605" s="222"/>
      <c r="CAV605" s="222"/>
      <c r="CAW605" s="222"/>
      <c r="CAX605" s="222"/>
      <c r="CAY605" s="223"/>
      <c r="CAZ605" s="224"/>
      <c r="CBA605" s="222"/>
      <c r="CBB605" s="222"/>
      <c r="CBC605" s="222"/>
      <c r="CBD605" s="222"/>
      <c r="CBE605" s="222"/>
      <c r="CBF605" s="222"/>
      <c r="CBG605" s="223"/>
      <c r="CBH605" s="224"/>
      <c r="CBI605" s="222"/>
      <c r="CBJ605" s="222"/>
      <c r="CBK605" s="222"/>
      <c r="CBL605" s="222"/>
      <c r="CBM605" s="222"/>
      <c r="CBN605" s="222"/>
      <c r="CBO605" s="223"/>
      <c r="CBP605" s="224"/>
      <c r="CBQ605" s="222"/>
      <c r="CBR605" s="222"/>
      <c r="CBS605" s="222"/>
      <c r="CBT605" s="222"/>
      <c r="CBU605" s="222"/>
      <c r="CBV605" s="222"/>
      <c r="CBW605" s="223"/>
      <c r="CBX605" s="224"/>
      <c r="CBY605" s="222"/>
      <c r="CBZ605" s="222"/>
      <c r="CCA605" s="222"/>
      <c r="CCB605" s="222"/>
      <c r="CCC605" s="222"/>
      <c r="CCD605" s="222"/>
      <c r="CCE605" s="223"/>
      <c r="CCF605" s="224"/>
      <c r="CCG605" s="222"/>
      <c r="CCH605" s="222"/>
      <c r="CCI605" s="222"/>
      <c r="CCJ605" s="222"/>
      <c r="CCK605" s="222"/>
      <c r="CCL605" s="222"/>
      <c r="CCM605" s="223"/>
      <c r="CCN605" s="224"/>
      <c r="CCO605" s="222"/>
      <c r="CCP605" s="222"/>
      <c r="CCQ605" s="222"/>
      <c r="CCR605" s="222"/>
      <c r="CCS605" s="222"/>
      <c r="CCT605" s="222"/>
      <c r="CCU605" s="223"/>
      <c r="CCV605" s="224"/>
      <c r="CCW605" s="222"/>
      <c r="CCX605" s="222"/>
      <c r="CCY605" s="222"/>
      <c r="CCZ605" s="222"/>
      <c r="CDA605" s="222"/>
      <c r="CDB605" s="222"/>
      <c r="CDC605" s="223"/>
      <c r="CDD605" s="224"/>
      <c r="CDE605" s="222"/>
      <c r="CDF605" s="222"/>
      <c r="CDG605" s="222"/>
      <c r="CDH605" s="222"/>
      <c r="CDI605" s="222"/>
      <c r="CDJ605" s="222"/>
      <c r="CDK605" s="223"/>
      <c r="CDL605" s="224"/>
      <c r="CDM605" s="222"/>
      <c r="CDN605" s="222"/>
      <c r="CDO605" s="222"/>
      <c r="CDP605" s="222"/>
      <c r="CDQ605" s="222"/>
      <c r="CDR605" s="222"/>
      <c r="CDS605" s="223"/>
      <c r="CDT605" s="224"/>
      <c r="CDU605" s="222"/>
      <c r="CDV605" s="222"/>
      <c r="CDW605" s="222"/>
      <c r="CDX605" s="222"/>
      <c r="CDY605" s="222"/>
      <c r="CDZ605" s="222"/>
      <c r="CEA605" s="223"/>
      <c r="CEB605" s="224"/>
      <c r="CEC605" s="222"/>
      <c r="CED605" s="222"/>
      <c r="CEE605" s="222"/>
      <c r="CEF605" s="222"/>
      <c r="CEG605" s="222"/>
      <c r="CEH605" s="222"/>
      <c r="CEI605" s="223"/>
      <c r="CEJ605" s="224"/>
      <c r="CEK605" s="222"/>
      <c r="CEL605" s="222"/>
      <c r="CEM605" s="222"/>
      <c r="CEN605" s="222"/>
      <c r="CEO605" s="222"/>
      <c r="CEP605" s="222"/>
      <c r="CEQ605" s="223"/>
      <c r="CER605" s="224"/>
      <c r="CES605" s="222"/>
      <c r="CET605" s="222"/>
      <c r="CEU605" s="222"/>
      <c r="CEV605" s="222"/>
      <c r="CEW605" s="222"/>
      <c r="CEX605" s="222"/>
      <c r="CEY605" s="223"/>
      <c r="CEZ605" s="224"/>
      <c r="CFA605" s="222"/>
      <c r="CFB605" s="222"/>
      <c r="CFC605" s="222"/>
      <c r="CFD605" s="222"/>
      <c r="CFE605" s="222"/>
      <c r="CFF605" s="222"/>
      <c r="CFG605" s="223"/>
      <c r="CFH605" s="224"/>
      <c r="CFI605" s="222"/>
      <c r="CFJ605" s="222"/>
      <c r="CFK605" s="222"/>
      <c r="CFL605" s="222"/>
      <c r="CFM605" s="222"/>
      <c r="CFN605" s="222"/>
      <c r="CFO605" s="223"/>
      <c r="CFP605" s="224"/>
      <c r="CFQ605" s="222"/>
      <c r="CFR605" s="222"/>
      <c r="CFS605" s="222"/>
      <c r="CFT605" s="222"/>
      <c r="CFU605" s="222"/>
      <c r="CFV605" s="222"/>
      <c r="CFW605" s="223"/>
      <c r="CFX605" s="224"/>
      <c r="CFY605" s="222"/>
      <c r="CFZ605" s="222"/>
      <c r="CGA605" s="222"/>
      <c r="CGB605" s="222"/>
      <c r="CGC605" s="222"/>
      <c r="CGD605" s="222"/>
      <c r="CGE605" s="223"/>
      <c r="CGF605" s="224"/>
      <c r="CGG605" s="222"/>
      <c r="CGH605" s="222"/>
      <c r="CGI605" s="222"/>
      <c r="CGJ605" s="222"/>
      <c r="CGK605" s="222"/>
      <c r="CGL605" s="222"/>
      <c r="CGM605" s="223"/>
      <c r="CGN605" s="224"/>
      <c r="CGO605" s="222"/>
      <c r="CGP605" s="222"/>
      <c r="CGQ605" s="222"/>
      <c r="CGR605" s="222"/>
      <c r="CGS605" s="222"/>
      <c r="CGT605" s="222"/>
      <c r="CGU605" s="223"/>
      <c r="CGV605" s="224"/>
      <c r="CGW605" s="222"/>
      <c r="CGX605" s="222"/>
      <c r="CGY605" s="222"/>
      <c r="CGZ605" s="222"/>
      <c r="CHA605" s="222"/>
      <c r="CHB605" s="222"/>
      <c r="CHC605" s="223"/>
      <c r="CHD605" s="224"/>
      <c r="CHE605" s="222"/>
      <c r="CHF605" s="222"/>
      <c r="CHG605" s="222"/>
      <c r="CHH605" s="222"/>
      <c r="CHI605" s="222"/>
      <c r="CHJ605" s="222"/>
      <c r="CHK605" s="223"/>
      <c r="CHL605" s="224"/>
      <c r="CHM605" s="222"/>
      <c r="CHN605" s="222"/>
      <c r="CHO605" s="222"/>
      <c r="CHP605" s="222"/>
      <c r="CHQ605" s="222"/>
      <c r="CHR605" s="222"/>
      <c r="CHS605" s="223"/>
      <c r="CHT605" s="224"/>
      <c r="CHU605" s="222"/>
      <c r="CHV605" s="222"/>
      <c r="CHW605" s="222"/>
      <c r="CHX605" s="222"/>
      <c r="CHY605" s="222"/>
      <c r="CHZ605" s="222"/>
      <c r="CIA605" s="223"/>
      <c r="CIB605" s="224"/>
      <c r="CIC605" s="222"/>
      <c r="CID605" s="222"/>
      <c r="CIE605" s="222"/>
      <c r="CIF605" s="222"/>
      <c r="CIG605" s="222"/>
      <c r="CIH605" s="222"/>
      <c r="CII605" s="223"/>
      <c r="CIJ605" s="224"/>
      <c r="CIK605" s="222"/>
      <c r="CIL605" s="222"/>
      <c r="CIM605" s="222"/>
      <c r="CIN605" s="222"/>
      <c r="CIO605" s="222"/>
      <c r="CIP605" s="222"/>
      <c r="CIQ605" s="223"/>
      <c r="CIR605" s="224"/>
      <c r="CIS605" s="222"/>
      <c r="CIT605" s="222"/>
      <c r="CIU605" s="222"/>
      <c r="CIV605" s="222"/>
      <c r="CIW605" s="222"/>
      <c r="CIX605" s="222"/>
      <c r="CIY605" s="223"/>
      <c r="CIZ605" s="224"/>
      <c r="CJA605" s="222"/>
      <c r="CJB605" s="222"/>
      <c r="CJC605" s="222"/>
      <c r="CJD605" s="222"/>
      <c r="CJE605" s="222"/>
      <c r="CJF605" s="222"/>
      <c r="CJG605" s="223"/>
      <c r="CJH605" s="224"/>
      <c r="CJI605" s="222"/>
      <c r="CJJ605" s="222"/>
      <c r="CJK605" s="222"/>
      <c r="CJL605" s="222"/>
      <c r="CJM605" s="222"/>
      <c r="CJN605" s="222"/>
      <c r="CJO605" s="223"/>
      <c r="CJP605" s="224"/>
      <c r="CJQ605" s="222"/>
      <c r="CJR605" s="222"/>
      <c r="CJS605" s="222"/>
      <c r="CJT605" s="222"/>
      <c r="CJU605" s="222"/>
      <c r="CJV605" s="222"/>
      <c r="CJW605" s="223"/>
      <c r="CJX605" s="224"/>
      <c r="CJY605" s="222"/>
      <c r="CJZ605" s="222"/>
      <c r="CKA605" s="222"/>
      <c r="CKB605" s="222"/>
      <c r="CKC605" s="222"/>
      <c r="CKD605" s="222"/>
      <c r="CKE605" s="223"/>
      <c r="CKF605" s="224"/>
      <c r="CKG605" s="222"/>
      <c r="CKH605" s="222"/>
      <c r="CKI605" s="222"/>
      <c r="CKJ605" s="222"/>
      <c r="CKK605" s="222"/>
      <c r="CKL605" s="222"/>
      <c r="CKM605" s="223"/>
      <c r="CKN605" s="224"/>
      <c r="CKO605" s="222"/>
      <c r="CKP605" s="222"/>
      <c r="CKQ605" s="222"/>
      <c r="CKR605" s="222"/>
      <c r="CKS605" s="222"/>
      <c r="CKT605" s="222"/>
      <c r="CKU605" s="223"/>
      <c r="CKV605" s="224"/>
      <c r="CKW605" s="222"/>
      <c r="CKX605" s="222"/>
      <c r="CKY605" s="222"/>
      <c r="CKZ605" s="222"/>
      <c r="CLA605" s="222"/>
      <c r="CLB605" s="222"/>
      <c r="CLC605" s="223"/>
      <c r="CLD605" s="224"/>
      <c r="CLE605" s="222"/>
      <c r="CLF605" s="222"/>
      <c r="CLG605" s="222"/>
      <c r="CLH605" s="222"/>
      <c r="CLI605" s="222"/>
      <c r="CLJ605" s="222"/>
      <c r="CLK605" s="223"/>
      <c r="CLL605" s="224"/>
      <c r="CLM605" s="222"/>
      <c r="CLN605" s="222"/>
      <c r="CLO605" s="222"/>
      <c r="CLP605" s="222"/>
      <c r="CLQ605" s="222"/>
      <c r="CLR605" s="222"/>
      <c r="CLS605" s="223"/>
      <c r="CLT605" s="224"/>
      <c r="CLU605" s="222"/>
      <c r="CLV605" s="222"/>
      <c r="CLW605" s="222"/>
      <c r="CLX605" s="222"/>
      <c r="CLY605" s="222"/>
      <c r="CLZ605" s="222"/>
      <c r="CMA605" s="223"/>
      <c r="CMB605" s="224"/>
      <c r="CMC605" s="222"/>
      <c r="CMD605" s="222"/>
      <c r="CME605" s="222"/>
      <c r="CMF605" s="222"/>
      <c r="CMG605" s="222"/>
      <c r="CMH605" s="222"/>
      <c r="CMI605" s="223"/>
      <c r="CMJ605" s="224"/>
      <c r="CMK605" s="222"/>
      <c r="CML605" s="222"/>
      <c r="CMM605" s="222"/>
      <c r="CMN605" s="222"/>
      <c r="CMO605" s="222"/>
      <c r="CMP605" s="222"/>
      <c r="CMQ605" s="223"/>
      <c r="CMR605" s="224"/>
      <c r="CMS605" s="222"/>
      <c r="CMT605" s="222"/>
      <c r="CMU605" s="222"/>
      <c r="CMV605" s="222"/>
      <c r="CMW605" s="222"/>
      <c r="CMX605" s="222"/>
      <c r="CMY605" s="223"/>
      <c r="CMZ605" s="224"/>
      <c r="CNA605" s="222"/>
      <c r="CNB605" s="222"/>
      <c r="CNC605" s="222"/>
      <c r="CND605" s="222"/>
      <c r="CNE605" s="222"/>
      <c r="CNF605" s="222"/>
      <c r="CNG605" s="223"/>
      <c r="CNH605" s="224"/>
      <c r="CNI605" s="222"/>
      <c r="CNJ605" s="222"/>
      <c r="CNK605" s="222"/>
      <c r="CNL605" s="222"/>
      <c r="CNM605" s="222"/>
      <c r="CNN605" s="222"/>
      <c r="CNO605" s="223"/>
      <c r="CNP605" s="224"/>
      <c r="CNQ605" s="222"/>
      <c r="CNR605" s="222"/>
      <c r="CNS605" s="222"/>
      <c r="CNT605" s="222"/>
      <c r="CNU605" s="222"/>
      <c r="CNV605" s="222"/>
      <c r="CNW605" s="223"/>
      <c r="CNX605" s="224"/>
      <c r="CNY605" s="222"/>
      <c r="CNZ605" s="222"/>
      <c r="COA605" s="222"/>
      <c r="COB605" s="222"/>
      <c r="COC605" s="222"/>
      <c r="COD605" s="222"/>
      <c r="COE605" s="223"/>
      <c r="COF605" s="224"/>
      <c r="COG605" s="222"/>
      <c r="COH605" s="222"/>
      <c r="COI605" s="222"/>
      <c r="COJ605" s="222"/>
      <c r="COK605" s="222"/>
      <c r="COL605" s="222"/>
      <c r="COM605" s="223"/>
      <c r="CON605" s="224"/>
      <c r="COO605" s="222"/>
      <c r="COP605" s="222"/>
      <c r="COQ605" s="222"/>
      <c r="COR605" s="222"/>
      <c r="COS605" s="222"/>
      <c r="COT605" s="222"/>
      <c r="COU605" s="223"/>
      <c r="COV605" s="224"/>
      <c r="COW605" s="222"/>
      <c r="COX605" s="222"/>
      <c r="COY605" s="222"/>
      <c r="COZ605" s="222"/>
      <c r="CPA605" s="222"/>
      <c r="CPB605" s="222"/>
      <c r="CPC605" s="223"/>
      <c r="CPD605" s="224"/>
      <c r="CPE605" s="222"/>
      <c r="CPF605" s="222"/>
      <c r="CPG605" s="222"/>
      <c r="CPH605" s="222"/>
      <c r="CPI605" s="222"/>
      <c r="CPJ605" s="222"/>
      <c r="CPK605" s="223"/>
      <c r="CPL605" s="224"/>
      <c r="CPM605" s="222"/>
      <c r="CPN605" s="222"/>
      <c r="CPO605" s="222"/>
      <c r="CPP605" s="222"/>
      <c r="CPQ605" s="222"/>
      <c r="CPR605" s="222"/>
      <c r="CPS605" s="223"/>
      <c r="CPT605" s="224"/>
      <c r="CPU605" s="222"/>
      <c r="CPV605" s="222"/>
      <c r="CPW605" s="222"/>
      <c r="CPX605" s="222"/>
      <c r="CPY605" s="222"/>
      <c r="CPZ605" s="222"/>
      <c r="CQA605" s="223"/>
      <c r="CQB605" s="224"/>
      <c r="CQC605" s="222"/>
      <c r="CQD605" s="222"/>
      <c r="CQE605" s="222"/>
      <c r="CQF605" s="222"/>
      <c r="CQG605" s="222"/>
      <c r="CQH605" s="222"/>
      <c r="CQI605" s="223"/>
      <c r="CQJ605" s="224"/>
      <c r="CQK605" s="222"/>
      <c r="CQL605" s="222"/>
      <c r="CQM605" s="222"/>
      <c r="CQN605" s="222"/>
      <c r="CQO605" s="222"/>
      <c r="CQP605" s="222"/>
      <c r="CQQ605" s="223"/>
      <c r="CQR605" s="224"/>
      <c r="CQS605" s="222"/>
      <c r="CQT605" s="222"/>
      <c r="CQU605" s="222"/>
      <c r="CQV605" s="222"/>
      <c r="CQW605" s="222"/>
      <c r="CQX605" s="222"/>
      <c r="CQY605" s="223"/>
      <c r="CQZ605" s="224"/>
      <c r="CRA605" s="222"/>
      <c r="CRB605" s="222"/>
      <c r="CRC605" s="222"/>
      <c r="CRD605" s="222"/>
      <c r="CRE605" s="222"/>
      <c r="CRF605" s="222"/>
      <c r="CRG605" s="223"/>
      <c r="CRH605" s="224"/>
      <c r="CRI605" s="222"/>
      <c r="CRJ605" s="222"/>
      <c r="CRK605" s="222"/>
      <c r="CRL605" s="222"/>
      <c r="CRM605" s="222"/>
      <c r="CRN605" s="222"/>
      <c r="CRO605" s="223"/>
      <c r="CRP605" s="224"/>
      <c r="CRQ605" s="222"/>
      <c r="CRR605" s="222"/>
      <c r="CRS605" s="222"/>
      <c r="CRT605" s="222"/>
      <c r="CRU605" s="222"/>
      <c r="CRV605" s="222"/>
      <c r="CRW605" s="223"/>
      <c r="CRX605" s="224"/>
      <c r="CRY605" s="222"/>
      <c r="CRZ605" s="222"/>
      <c r="CSA605" s="222"/>
      <c r="CSB605" s="222"/>
      <c r="CSC605" s="222"/>
      <c r="CSD605" s="222"/>
      <c r="CSE605" s="223"/>
      <c r="CSF605" s="224"/>
      <c r="CSG605" s="222"/>
      <c r="CSH605" s="222"/>
      <c r="CSI605" s="222"/>
      <c r="CSJ605" s="222"/>
      <c r="CSK605" s="222"/>
      <c r="CSL605" s="222"/>
      <c r="CSM605" s="223"/>
      <c r="CSN605" s="224"/>
      <c r="CSO605" s="222"/>
      <c r="CSP605" s="222"/>
      <c r="CSQ605" s="222"/>
      <c r="CSR605" s="222"/>
      <c r="CSS605" s="222"/>
      <c r="CST605" s="222"/>
      <c r="CSU605" s="223"/>
      <c r="CSV605" s="224"/>
      <c r="CSW605" s="222"/>
      <c r="CSX605" s="222"/>
      <c r="CSY605" s="222"/>
      <c r="CSZ605" s="222"/>
      <c r="CTA605" s="222"/>
      <c r="CTB605" s="222"/>
      <c r="CTC605" s="223"/>
      <c r="CTD605" s="224"/>
      <c r="CTE605" s="222"/>
      <c r="CTF605" s="222"/>
      <c r="CTG605" s="222"/>
      <c r="CTH605" s="222"/>
      <c r="CTI605" s="222"/>
      <c r="CTJ605" s="222"/>
      <c r="CTK605" s="223"/>
      <c r="CTL605" s="224"/>
      <c r="CTM605" s="222"/>
      <c r="CTN605" s="222"/>
      <c r="CTO605" s="222"/>
      <c r="CTP605" s="222"/>
      <c r="CTQ605" s="222"/>
      <c r="CTR605" s="222"/>
      <c r="CTS605" s="223"/>
      <c r="CTT605" s="224"/>
      <c r="CTU605" s="222"/>
      <c r="CTV605" s="222"/>
      <c r="CTW605" s="222"/>
      <c r="CTX605" s="222"/>
      <c r="CTY605" s="222"/>
      <c r="CTZ605" s="222"/>
      <c r="CUA605" s="223"/>
      <c r="CUB605" s="224"/>
      <c r="CUC605" s="222"/>
      <c r="CUD605" s="222"/>
      <c r="CUE605" s="222"/>
      <c r="CUF605" s="222"/>
      <c r="CUG605" s="222"/>
      <c r="CUH605" s="222"/>
      <c r="CUI605" s="223"/>
      <c r="CUJ605" s="224"/>
      <c r="CUK605" s="222"/>
      <c r="CUL605" s="222"/>
      <c r="CUM605" s="222"/>
      <c r="CUN605" s="222"/>
      <c r="CUO605" s="222"/>
      <c r="CUP605" s="222"/>
      <c r="CUQ605" s="223"/>
      <c r="CUR605" s="224"/>
      <c r="CUS605" s="222"/>
      <c r="CUT605" s="222"/>
      <c r="CUU605" s="222"/>
      <c r="CUV605" s="222"/>
      <c r="CUW605" s="222"/>
      <c r="CUX605" s="222"/>
      <c r="CUY605" s="223"/>
      <c r="CUZ605" s="224"/>
      <c r="CVA605" s="222"/>
      <c r="CVB605" s="222"/>
      <c r="CVC605" s="222"/>
      <c r="CVD605" s="222"/>
      <c r="CVE605" s="222"/>
      <c r="CVF605" s="222"/>
      <c r="CVG605" s="223"/>
      <c r="CVH605" s="224"/>
      <c r="CVI605" s="222"/>
      <c r="CVJ605" s="222"/>
      <c r="CVK605" s="222"/>
      <c r="CVL605" s="222"/>
      <c r="CVM605" s="222"/>
      <c r="CVN605" s="222"/>
      <c r="CVO605" s="223"/>
      <c r="CVP605" s="224"/>
      <c r="CVQ605" s="222"/>
      <c r="CVR605" s="222"/>
      <c r="CVS605" s="222"/>
      <c r="CVT605" s="222"/>
      <c r="CVU605" s="222"/>
      <c r="CVV605" s="222"/>
      <c r="CVW605" s="223"/>
      <c r="CVX605" s="224"/>
      <c r="CVY605" s="222"/>
      <c r="CVZ605" s="222"/>
      <c r="CWA605" s="222"/>
      <c r="CWB605" s="222"/>
      <c r="CWC605" s="222"/>
      <c r="CWD605" s="222"/>
      <c r="CWE605" s="223"/>
      <c r="CWF605" s="224"/>
      <c r="CWG605" s="222"/>
      <c r="CWH605" s="222"/>
      <c r="CWI605" s="222"/>
      <c r="CWJ605" s="222"/>
      <c r="CWK605" s="222"/>
      <c r="CWL605" s="222"/>
      <c r="CWM605" s="223"/>
      <c r="CWN605" s="224"/>
      <c r="CWO605" s="222"/>
      <c r="CWP605" s="222"/>
      <c r="CWQ605" s="222"/>
      <c r="CWR605" s="222"/>
      <c r="CWS605" s="222"/>
      <c r="CWT605" s="222"/>
      <c r="CWU605" s="223"/>
      <c r="CWV605" s="224"/>
      <c r="CWW605" s="222"/>
      <c r="CWX605" s="222"/>
      <c r="CWY605" s="222"/>
      <c r="CWZ605" s="222"/>
      <c r="CXA605" s="222"/>
      <c r="CXB605" s="222"/>
      <c r="CXC605" s="223"/>
      <c r="CXD605" s="224"/>
      <c r="CXE605" s="222"/>
      <c r="CXF605" s="222"/>
      <c r="CXG605" s="222"/>
      <c r="CXH605" s="222"/>
      <c r="CXI605" s="222"/>
      <c r="CXJ605" s="222"/>
      <c r="CXK605" s="223"/>
      <c r="CXL605" s="224"/>
      <c r="CXM605" s="222"/>
      <c r="CXN605" s="222"/>
      <c r="CXO605" s="222"/>
      <c r="CXP605" s="222"/>
      <c r="CXQ605" s="222"/>
      <c r="CXR605" s="222"/>
      <c r="CXS605" s="223"/>
      <c r="CXT605" s="224"/>
      <c r="CXU605" s="222"/>
      <c r="CXV605" s="222"/>
      <c r="CXW605" s="222"/>
      <c r="CXX605" s="222"/>
      <c r="CXY605" s="222"/>
      <c r="CXZ605" s="222"/>
      <c r="CYA605" s="223"/>
      <c r="CYB605" s="224"/>
      <c r="CYC605" s="222"/>
      <c r="CYD605" s="222"/>
      <c r="CYE605" s="222"/>
      <c r="CYF605" s="222"/>
      <c r="CYG605" s="222"/>
      <c r="CYH605" s="222"/>
      <c r="CYI605" s="223"/>
      <c r="CYJ605" s="224"/>
      <c r="CYK605" s="222"/>
      <c r="CYL605" s="222"/>
      <c r="CYM605" s="222"/>
      <c r="CYN605" s="222"/>
      <c r="CYO605" s="222"/>
      <c r="CYP605" s="222"/>
      <c r="CYQ605" s="223"/>
      <c r="CYR605" s="224"/>
      <c r="CYS605" s="222"/>
      <c r="CYT605" s="222"/>
      <c r="CYU605" s="222"/>
      <c r="CYV605" s="222"/>
      <c r="CYW605" s="222"/>
      <c r="CYX605" s="222"/>
      <c r="CYY605" s="223"/>
      <c r="CYZ605" s="224"/>
      <c r="CZA605" s="222"/>
      <c r="CZB605" s="222"/>
      <c r="CZC605" s="222"/>
      <c r="CZD605" s="222"/>
      <c r="CZE605" s="222"/>
      <c r="CZF605" s="222"/>
      <c r="CZG605" s="223"/>
      <c r="CZH605" s="224"/>
      <c r="CZI605" s="222"/>
      <c r="CZJ605" s="222"/>
      <c r="CZK605" s="222"/>
      <c r="CZL605" s="222"/>
      <c r="CZM605" s="222"/>
      <c r="CZN605" s="222"/>
      <c r="CZO605" s="223"/>
      <c r="CZP605" s="224"/>
      <c r="CZQ605" s="222"/>
      <c r="CZR605" s="222"/>
      <c r="CZS605" s="222"/>
      <c r="CZT605" s="222"/>
      <c r="CZU605" s="222"/>
      <c r="CZV605" s="222"/>
      <c r="CZW605" s="223"/>
      <c r="CZX605" s="224"/>
      <c r="CZY605" s="222"/>
      <c r="CZZ605" s="222"/>
      <c r="DAA605" s="222"/>
      <c r="DAB605" s="222"/>
      <c r="DAC605" s="222"/>
      <c r="DAD605" s="222"/>
      <c r="DAE605" s="223"/>
      <c r="DAF605" s="224"/>
      <c r="DAG605" s="222"/>
      <c r="DAH605" s="222"/>
      <c r="DAI605" s="222"/>
      <c r="DAJ605" s="222"/>
      <c r="DAK605" s="222"/>
      <c r="DAL605" s="222"/>
      <c r="DAM605" s="223"/>
      <c r="DAN605" s="224"/>
      <c r="DAO605" s="222"/>
      <c r="DAP605" s="222"/>
      <c r="DAQ605" s="222"/>
      <c r="DAR605" s="222"/>
      <c r="DAS605" s="222"/>
      <c r="DAT605" s="222"/>
      <c r="DAU605" s="223"/>
      <c r="DAV605" s="224"/>
      <c r="DAW605" s="222"/>
      <c r="DAX605" s="222"/>
      <c r="DAY605" s="222"/>
      <c r="DAZ605" s="222"/>
      <c r="DBA605" s="222"/>
      <c r="DBB605" s="222"/>
      <c r="DBC605" s="223"/>
      <c r="DBD605" s="224"/>
      <c r="DBE605" s="222"/>
      <c r="DBF605" s="222"/>
      <c r="DBG605" s="222"/>
      <c r="DBH605" s="222"/>
      <c r="DBI605" s="222"/>
      <c r="DBJ605" s="222"/>
      <c r="DBK605" s="223"/>
      <c r="DBL605" s="224"/>
      <c r="DBM605" s="222"/>
      <c r="DBN605" s="222"/>
      <c r="DBO605" s="222"/>
      <c r="DBP605" s="222"/>
      <c r="DBQ605" s="222"/>
      <c r="DBR605" s="222"/>
      <c r="DBS605" s="223"/>
      <c r="DBT605" s="224"/>
      <c r="DBU605" s="222"/>
      <c r="DBV605" s="222"/>
      <c r="DBW605" s="222"/>
      <c r="DBX605" s="222"/>
      <c r="DBY605" s="222"/>
      <c r="DBZ605" s="222"/>
      <c r="DCA605" s="223"/>
      <c r="DCB605" s="224"/>
      <c r="DCC605" s="222"/>
      <c r="DCD605" s="222"/>
      <c r="DCE605" s="222"/>
      <c r="DCF605" s="222"/>
      <c r="DCG605" s="222"/>
      <c r="DCH605" s="222"/>
      <c r="DCI605" s="223"/>
      <c r="DCJ605" s="224"/>
      <c r="DCK605" s="222"/>
      <c r="DCL605" s="222"/>
      <c r="DCM605" s="222"/>
      <c r="DCN605" s="222"/>
      <c r="DCO605" s="222"/>
      <c r="DCP605" s="222"/>
      <c r="DCQ605" s="223"/>
      <c r="DCR605" s="224"/>
      <c r="DCS605" s="222"/>
      <c r="DCT605" s="222"/>
      <c r="DCU605" s="222"/>
      <c r="DCV605" s="222"/>
      <c r="DCW605" s="222"/>
      <c r="DCX605" s="222"/>
      <c r="DCY605" s="223"/>
      <c r="DCZ605" s="224"/>
      <c r="DDA605" s="222"/>
      <c r="DDB605" s="222"/>
      <c r="DDC605" s="222"/>
      <c r="DDD605" s="222"/>
      <c r="DDE605" s="222"/>
      <c r="DDF605" s="222"/>
      <c r="DDG605" s="223"/>
      <c r="DDH605" s="224"/>
      <c r="DDI605" s="222"/>
      <c r="DDJ605" s="222"/>
      <c r="DDK605" s="222"/>
      <c r="DDL605" s="222"/>
      <c r="DDM605" s="222"/>
      <c r="DDN605" s="222"/>
      <c r="DDO605" s="223"/>
      <c r="DDP605" s="224"/>
      <c r="DDQ605" s="222"/>
      <c r="DDR605" s="222"/>
      <c r="DDS605" s="222"/>
      <c r="DDT605" s="222"/>
      <c r="DDU605" s="222"/>
      <c r="DDV605" s="222"/>
      <c r="DDW605" s="223"/>
      <c r="DDX605" s="224"/>
      <c r="DDY605" s="222"/>
      <c r="DDZ605" s="222"/>
      <c r="DEA605" s="222"/>
      <c r="DEB605" s="222"/>
      <c r="DEC605" s="222"/>
      <c r="DED605" s="222"/>
      <c r="DEE605" s="223"/>
      <c r="DEF605" s="224"/>
      <c r="DEG605" s="222"/>
      <c r="DEH605" s="222"/>
      <c r="DEI605" s="222"/>
      <c r="DEJ605" s="222"/>
      <c r="DEK605" s="222"/>
      <c r="DEL605" s="222"/>
      <c r="DEM605" s="223"/>
      <c r="DEN605" s="224"/>
      <c r="DEO605" s="222"/>
      <c r="DEP605" s="222"/>
      <c r="DEQ605" s="222"/>
      <c r="DER605" s="222"/>
      <c r="DES605" s="222"/>
      <c r="DET605" s="222"/>
      <c r="DEU605" s="223"/>
      <c r="DEV605" s="224"/>
      <c r="DEW605" s="222"/>
      <c r="DEX605" s="222"/>
      <c r="DEY605" s="222"/>
      <c r="DEZ605" s="222"/>
      <c r="DFA605" s="222"/>
      <c r="DFB605" s="222"/>
      <c r="DFC605" s="223"/>
      <c r="DFD605" s="224"/>
      <c r="DFE605" s="222"/>
      <c r="DFF605" s="222"/>
      <c r="DFG605" s="222"/>
      <c r="DFH605" s="222"/>
      <c r="DFI605" s="222"/>
      <c r="DFJ605" s="222"/>
      <c r="DFK605" s="223"/>
      <c r="DFL605" s="224"/>
      <c r="DFM605" s="222"/>
      <c r="DFN605" s="222"/>
      <c r="DFO605" s="222"/>
      <c r="DFP605" s="222"/>
      <c r="DFQ605" s="222"/>
      <c r="DFR605" s="222"/>
      <c r="DFS605" s="223"/>
      <c r="DFT605" s="224"/>
      <c r="DFU605" s="222"/>
      <c r="DFV605" s="222"/>
      <c r="DFW605" s="222"/>
      <c r="DFX605" s="222"/>
      <c r="DFY605" s="222"/>
      <c r="DFZ605" s="222"/>
      <c r="DGA605" s="223"/>
      <c r="DGB605" s="224"/>
      <c r="DGC605" s="222"/>
      <c r="DGD605" s="222"/>
      <c r="DGE605" s="222"/>
      <c r="DGF605" s="222"/>
      <c r="DGG605" s="222"/>
      <c r="DGH605" s="222"/>
      <c r="DGI605" s="223"/>
      <c r="DGJ605" s="224"/>
      <c r="DGK605" s="222"/>
      <c r="DGL605" s="222"/>
      <c r="DGM605" s="222"/>
      <c r="DGN605" s="222"/>
      <c r="DGO605" s="222"/>
      <c r="DGP605" s="222"/>
      <c r="DGQ605" s="223"/>
      <c r="DGR605" s="224"/>
      <c r="DGS605" s="222"/>
      <c r="DGT605" s="222"/>
      <c r="DGU605" s="222"/>
      <c r="DGV605" s="222"/>
      <c r="DGW605" s="222"/>
      <c r="DGX605" s="222"/>
      <c r="DGY605" s="223"/>
      <c r="DGZ605" s="224"/>
      <c r="DHA605" s="222"/>
      <c r="DHB605" s="222"/>
      <c r="DHC605" s="222"/>
      <c r="DHD605" s="222"/>
      <c r="DHE605" s="222"/>
      <c r="DHF605" s="222"/>
      <c r="DHG605" s="223"/>
      <c r="DHH605" s="224"/>
      <c r="DHI605" s="222"/>
      <c r="DHJ605" s="222"/>
      <c r="DHK605" s="222"/>
      <c r="DHL605" s="222"/>
      <c r="DHM605" s="222"/>
      <c r="DHN605" s="222"/>
      <c r="DHO605" s="223"/>
      <c r="DHP605" s="224"/>
      <c r="DHQ605" s="222"/>
      <c r="DHR605" s="222"/>
      <c r="DHS605" s="222"/>
      <c r="DHT605" s="222"/>
      <c r="DHU605" s="222"/>
      <c r="DHV605" s="222"/>
      <c r="DHW605" s="223"/>
      <c r="DHX605" s="224"/>
      <c r="DHY605" s="222"/>
      <c r="DHZ605" s="222"/>
      <c r="DIA605" s="222"/>
      <c r="DIB605" s="222"/>
      <c r="DIC605" s="222"/>
      <c r="DID605" s="222"/>
      <c r="DIE605" s="223"/>
      <c r="DIF605" s="224"/>
      <c r="DIG605" s="222"/>
      <c r="DIH605" s="222"/>
      <c r="DII605" s="222"/>
      <c r="DIJ605" s="222"/>
      <c r="DIK605" s="222"/>
      <c r="DIL605" s="222"/>
      <c r="DIM605" s="223"/>
      <c r="DIN605" s="224"/>
      <c r="DIO605" s="222"/>
      <c r="DIP605" s="222"/>
      <c r="DIQ605" s="222"/>
      <c r="DIR605" s="222"/>
      <c r="DIS605" s="222"/>
      <c r="DIT605" s="222"/>
      <c r="DIU605" s="223"/>
      <c r="DIV605" s="224"/>
      <c r="DIW605" s="222"/>
      <c r="DIX605" s="222"/>
      <c r="DIY605" s="222"/>
      <c r="DIZ605" s="222"/>
      <c r="DJA605" s="222"/>
      <c r="DJB605" s="222"/>
      <c r="DJC605" s="223"/>
      <c r="DJD605" s="224"/>
      <c r="DJE605" s="222"/>
      <c r="DJF605" s="222"/>
      <c r="DJG605" s="222"/>
      <c r="DJH605" s="222"/>
      <c r="DJI605" s="222"/>
      <c r="DJJ605" s="222"/>
      <c r="DJK605" s="223"/>
      <c r="DJL605" s="224"/>
      <c r="DJM605" s="222"/>
      <c r="DJN605" s="222"/>
      <c r="DJO605" s="222"/>
      <c r="DJP605" s="222"/>
      <c r="DJQ605" s="222"/>
      <c r="DJR605" s="222"/>
      <c r="DJS605" s="223"/>
      <c r="DJT605" s="224"/>
      <c r="DJU605" s="222"/>
      <c r="DJV605" s="222"/>
      <c r="DJW605" s="222"/>
      <c r="DJX605" s="222"/>
      <c r="DJY605" s="222"/>
      <c r="DJZ605" s="222"/>
      <c r="DKA605" s="223"/>
      <c r="DKB605" s="224"/>
      <c r="DKC605" s="222"/>
      <c r="DKD605" s="222"/>
      <c r="DKE605" s="222"/>
      <c r="DKF605" s="222"/>
      <c r="DKG605" s="222"/>
      <c r="DKH605" s="222"/>
      <c r="DKI605" s="223"/>
      <c r="DKJ605" s="224"/>
      <c r="DKK605" s="222"/>
      <c r="DKL605" s="222"/>
      <c r="DKM605" s="222"/>
      <c r="DKN605" s="222"/>
      <c r="DKO605" s="222"/>
      <c r="DKP605" s="222"/>
      <c r="DKQ605" s="223"/>
      <c r="DKR605" s="224"/>
      <c r="DKS605" s="222"/>
      <c r="DKT605" s="222"/>
      <c r="DKU605" s="222"/>
      <c r="DKV605" s="222"/>
      <c r="DKW605" s="222"/>
      <c r="DKX605" s="222"/>
      <c r="DKY605" s="223"/>
      <c r="DKZ605" s="224"/>
      <c r="DLA605" s="222"/>
      <c r="DLB605" s="222"/>
      <c r="DLC605" s="222"/>
      <c r="DLD605" s="222"/>
      <c r="DLE605" s="222"/>
      <c r="DLF605" s="222"/>
      <c r="DLG605" s="223"/>
      <c r="DLH605" s="224"/>
      <c r="DLI605" s="222"/>
      <c r="DLJ605" s="222"/>
      <c r="DLK605" s="222"/>
      <c r="DLL605" s="222"/>
      <c r="DLM605" s="222"/>
      <c r="DLN605" s="222"/>
      <c r="DLO605" s="223"/>
      <c r="DLP605" s="224"/>
      <c r="DLQ605" s="222"/>
      <c r="DLR605" s="222"/>
      <c r="DLS605" s="222"/>
      <c r="DLT605" s="222"/>
      <c r="DLU605" s="222"/>
      <c r="DLV605" s="222"/>
      <c r="DLW605" s="223"/>
      <c r="DLX605" s="224"/>
      <c r="DLY605" s="222"/>
      <c r="DLZ605" s="222"/>
      <c r="DMA605" s="222"/>
      <c r="DMB605" s="222"/>
      <c r="DMC605" s="222"/>
      <c r="DMD605" s="222"/>
      <c r="DME605" s="223"/>
      <c r="DMF605" s="224"/>
      <c r="DMG605" s="222"/>
      <c r="DMH605" s="222"/>
      <c r="DMI605" s="222"/>
      <c r="DMJ605" s="222"/>
      <c r="DMK605" s="222"/>
      <c r="DML605" s="222"/>
      <c r="DMM605" s="223"/>
      <c r="DMN605" s="224"/>
      <c r="DMO605" s="222"/>
      <c r="DMP605" s="222"/>
      <c r="DMQ605" s="222"/>
      <c r="DMR605" s="222"/>
      <c r="DMS605" s="222"/>
      <c r="DMT605" s="222"/>
      <c r="DMU605" s="223"/>
      <c r="DMV605" s="224"/>
      <c r="DMW605" s="222"/>
      <c r="DMX605" s="222"/>
      <c r="DMY605" s="222"/>
      <c r="DMZ605" s="222"/>
      <c r="DNA605" s="222"/>
      <c r="DNB605" s="222"/>
      <c r="DNC605" s="223"/>
      <c r="DND605" s="224"/>
      <c r="DNE605" s="222"/>
      <c r="DNF605" s="222"/>
      <c r="DNG605" s="222"/>
      <c r="DNH605" s="222"/>
      <c r="DNI605" s="222"/>
      <c r="DNJ605" s="222"/>
      <c r="DNK605" s="223"/>
      <c r="DNL605" s="224"/>
      <c r="DNM605" s="222"/>
      <c r="DNN605" s="222"/>
      <c r="DNO605" s="222"/>
      <c r="DNP605" s="222"/>
      <c r="DNQ605" s="222"/>
      <c r="DNR605" s="222"/>
      <c r="DNS605" s="223"/>
      <c r="DNT605" s="224"/>
      <c r="DNU605" s="222"/>
      <c r="DNV605" s="222"/>
      <c r="DNW605" s="222"/>
      <c r="DNX605" s="222"/>
      <c r="DNY605" s="222"/>
      <c r="DNZ605" s="222"/>
      <c r="DOA605" s="223"/>
      <c r="DOB605" s="224"/>
      <c r="DOC605" s="222"/>
      <c r="DOD605" s="222"/>
      <c r="DOE605" s="222"/>
      <c r="DOF605" s="222"/>
      <c r="DOG605" s="222"/>
      <c r="DOH605" s="222"/>
      <c r="DOI605" s="223"/>
      <c r="DOJ605" s="224"/>
      <c r="DOK605" s="222"/>
      <c r="DOL605" s="222"/>
      <c r="DOM605" s="222"/>
      <c r="DON605" s="222"/>
      <c r="DOO605" s="222"/>
      <c r="DOP605" s="222"/>
      <c r="DOQ605" s="223"/>
      <c r="DOR605" s="224"/>
      <c r="DOS605" s="222"/>
      <c r="DOT605" s="222"/>
      <c r="DOU605" s="222"/>
      <c r="DOV605" s="222"/>
      <c r="DOW605" s="222"/>
      <c r="DOX605" s="222"/>
      <c r="DOY605" s="223"/>
      <c r="DOZ605" s="224"/>
      <c r="DPA605" s="222"/>
      <c r="DPB605" s="222"/>
      <c r="DPC605" s="222"/>
      <c r="DPD605" s="222"/>
      <c r="DPE605" s="222"/>
      <c r="DPF605" s="222"/>
      <c r="DPG605" s="223"/>
      <c r="DPH605" s="224"/>
      <c r="DPI605" s="222"/>
      <c r="DPJ605" s="222"/>
      <c r="DPK605" s="222"/>
      <c r="DPL605" s="222"/>
      <c r="DPM605" s="222"/>
      <c r="DPN605" s="222"/>
      <c r="DPO605" s="223"/>
      <c r="DPP605" s="224"/>
      <c r="DPQ605" s="222"/>
      <c r="DPR605" s="222"/>
      <c r="DPS605" s="222"/>
      <c r="DPT605" s="222"/>
      <c r="DPU605" s="222"/>
      <c r="DPV605" s="222"/>
      <c r="DPW605" s="223"/>
      <c r="DPX605" s="224"/>
      <c r="DPY605" s="222"/>
      <c r="DPZ605" s="222"/>
      <c r="DQA605" s="222"/>
      <c r="DQB605" s="222"/>
      <c r="DQC605" s="222"/>
      <c r="DQD605" s="222"/>
      <c r="DQE605" s="223"/>
      <c r="DQF605" s="224"/>
      <c r="DQG605" s="222"/>
      <c r="DQH605" s="222"/>
      <c r="DQI605" s="222"/>
      <c r="DQJ605" s="222"/>
      <c r="DQK605" s="222"/>
      <c r="DQL605" s="222"/>
      <c r="DQM605" s="223"/>
      <c r="DQN605" s="224"/>
      <c r="DQO605" s="222"/>
      <c r="DQP605" s="222"/>
      <c r="DQQ605" s="222"/>
      <c r="DQR605" s="222"/>
      <c r="DQS605" s="222"/>
      <c r="DQT605" s="222"/>
      <c r="DQU605" s="223"/>
      <c r="DQV605" s="224"/>
      <c r="DQW605" s="222"/>
      <c r="DQX605" s="222"/>
      <c r="DQY605" s="222"/>
      <c r="DQZ605" s="222"/>
      <c r="DRA605" s="222"/>
      <c r="DRB605" s="222"/>
      <c r="DRC605" s="223"/>
      <c r="DRD605" s="224"/>
      <c r="DRE605" s="222"/>
      <c r="DRF605" s="222"/>
      <c r="DRG605" s="222"/>
      <c r="DRH605" s="222"/>
      <c r="DRI605" s="222"/>
      <c r="DRJ605" s="222"/>
      <c r="DRK605" s="223"/>
      <c r="DRL605" s="224"/>
      <c r="DRM605" s="222"/>
      <c r="DRN605" s="222"/>
      <c r="DRO605" s="222"/>
      <c r="DRP605" s="222"/>
      <c r="DRQ605" s="222"/>
      <c r="DRR605" s="222"/>
      <c r="DRS605" s="223"/>
      <c r="DRT605" s="224"/>
      <c r="DRU605" s="222"/>
      <c r="DRV605" s="222"/>
      <c r="DRW605" s="222"/>
      <c r="DRX605" s="222"/>
      <c r="DRY605" s="222"/>
      <c r="DRZ605" s="222"/>
      <c r="DSA605" s="223"/>
      <c r="DSB605" s="224"/>
      <c r="DSC605" s="222"/>
      <c r="DSD605" s="222"/>
      <c r="DSE605" s="222"/>
      <c r="DSF605" s="222"/>
      <c r="DSG605" s="222"/>
      <c r="DSH605" s="222"/>
      <c r="DSI605" s="223"/>
      <c r="DSJ605" s="224"/>
      <c r="DSK605" s="222"/>
      <c r="DSL605" s="222"/>
      <c r="DSM605" s="222"/>
      <c r="DSN605" s="222"/>
      <c r="DSO605" s="222"/>
      <c r="DSP605" s="222"/>
      <c r="DSQ605" s="223"/>
      <c r="DSR605" s="224"/>
      <c r="DSS605" s="222"/>
      <c r="DST605" s="222"/>
      <c r="DSU605" s="222"/>
      <c r="DSV605" s="222"/>
      <c r="DSW605" s="222"/>
      <c r="DSX605" s="222"/>
      <c r="DSY605" s="223"/>
      <c r="DSZ605" s="224"/>
      <c r="DTA605" s="222"/>
      <c r="DTB605" s="222"/>
      <c r="DTC605" s="222"/>
      <c r="DTD605" s="222"/>
      <c r="DTE605" s="222"/>
      <c r="DTF605" s="222"/>
      <c r="DTG605" s="223"/>
      <c r="DTH605" s="224"/>
      <c r="DTI605" s="222"/>
      <c r="DTJ605" s="222"/>
      <c r="DTK605" s="222"/>
      <c r="DTL605" s="222"/>
      <c r="DTM605" s="222"/>
      <c r="DTN605" s="222"/>
      <c r="DTO605" s="223"/>
      <c r="DTP605" s="224"/>
      <c r="DTQ605" s="222"/>
      <c r="DTR605" s="222"/>
      <c r="DTS605" s="222"/>
      <c r="DTT605" s="222"/>
      <c r="DTU605" s="222"/>
      <c r="DTV605" s="222"/>
      <c r="DTW605" s="223"/>
      <c r="DTX605" s="224"/>
      <c r="DTY605" s="222"/>
      <c r="DTZ605" s="222"/>
      <c r="DUA605" s="222"/>
      <c r="DUB605" s="222"/>
      <c r="DUC605" s="222"/>
      <c r="DUD605" s="222"/>
      <c r="DUE605" s="223"/>
      <c r="DUF605" s="224"/>
      <c r="DUG605" s="222"/>
      <c r="DUH605" s="222"/>
      <c r="DUI605" s="222"/>
      <c r="DUJ605" s="222"/>
      <c r="DUK605" s="222"/>
      <c r="DUL605" s="222"/>
      <c r="DUM605" s="223"/>
      <c r="DUN605" s="224"/>
      <c r="DUO605" s="222"/>
      <c r="DUP605" s="222"/>
      <c r="DUQ605" s="222"/>
      <c r="DUR605" s="222"/>
      <c r="DUS605" s="222"/>
      <c r="DUT605" s="222"/>
      <c r="DUU605" s="223"/>
      <c r="DUV605" s="224"/>
      <c r="DUW605" s="222"/>
      <c r="DUX605" s="222"/>
      <c r="DUY605" s="222"/>
      <c r="DUZ605" s="222"/>
      <c r="DVA605" s="222"/>
      <c r="DVB605" s="222"/>
      <c r="DVC605" s="223"/>
      <c r="DVD605" s="224"/>
      <c r="DVE605" s="222"/>
      <c r="DVF605" s="222"/>
      <c r="DVG605" s="222"/>
      <c r="DVH605" s="222"/>
      <c r="DVI605" s="222"/>
      <c r="DVJ605" s="222"/>
      <c r="DVK605" s="223"/>
      <c r="DVL605" s="224"/>
      <c r="DVM605" s="222"/>
      <c r="DVN605" s="222"/>
      <c r="DVO605" s="222"/>
      <c r="DVP605" s="222"/>
      <c r="DVQ605" s="222"/>
      <c r="DVR605" s="222"/>
      <c r="DVS605" s="223"/>
      <c r="DVT605" s="224"/>
      <c r="DVU605" s="222"/>
      <c r="DVV605" s="222"/>
      <c r="DVW605" s="222"/>
      <c r="DVX605" s="222"/>
      <c r="DVY605" s="222"/>
      <c r="DVZ605" s="222"/>
      <c r="DWA605" s="223"/>
      <c r="DWB605" s="224"/>
      <c r="DWC605" s="222"/>
      <c r="DWD605" s="222"/>
      <c r="DWE605" s="222"/>
      <c r="DWF605" s="222"/>
      <c r="DWG605" s="222"/>
      <c r="DWH605" s="222"/>
      <c r="DWI605" s="223"/>
      <c r="DWJ605" s="224"/>
      <c r="DWK605" s="222"/>
      <c r="DWL605" s="222"/>
      <c r="DWM605" s="222"/>
      <c r="DWN605" s="222"/>
      <c r="DWO605" s="222"/>
      <c r="DWP605" s="222"/>
      <c r="DWQ605" s="223"/>
      <c r="DWR605" s="224"/>
      <c r="DWS605" s="222"/>
      <c r="DWT605" s="222"/>
      <c r="DWU605" s="222"/>
      <c r="DWV605" s="222"/>
      <c r="DWW605" s="222"/>
      <c r="DWX605" s="222"/>
      <c r="DWY605" s="223"/>
      <c r="DWZ605" s="224"/>
      <c r="DXA605" s="222"/>
      <c r="DXB605" s="222"/>
      <c r="DXC605" s="222"/>
      <c r="DXD605" s="222"/>
      <c r="DXE605" s="222"/>
      <c r="DXF605" s="222"/>
      <c r="DXG605" s="223"/>
      <c r="DXH605" s="224"/>
      <c r="DXI605" s="222"/>
      <c r="DXJ605" s="222"/>
      <c r="DXK605" s="222"/>
      <c r="DXL605" s="222"/>
      <c r="DXM605" s="222"/>
      <c r="DXN605" s="222"/>
      <c r="DXO605" s="223"/>
      <c r="DXP605" s="224"/>
      <c r="DXQ605" s="222"/>
      <c r="DXR605" s="222"/>
      <c r="DXS605" s="222"/>
      <c r="DXT605" s="222"/>
      <c r="DXU605" s="222"/>
      <c r="DXV605" s="222"/>
      <c r="DXW605" s="223"/>
      <c r="DXX605" s="224"/>
      <c r="DXY605" s="222"/>
      <c r="DXZ605" s="222"/>
      <c r="DYA605" s="222"/>
      <c r="DYB605" s="222"/>
      <c r="DYC605" s="222"/>
      <c r="DYD605" s="222"/>
      <c r="DYE605" s="223"/>
      <c r="DYF605" s="224"/>
      <c r="DYG605" s="222"/>
      <c r="DYH605" s="222"/>
      <c r="DYI605" s="222"/>
      <c r="DYJ605" s="222"/>
      <c r="DYK605" s="222"/>
      <c r="DYL605" s="222"/>
      <c r="DYM605" s="223"/>
      <c r="DYN605" s="224"/>
      <c r="DYO605" s="222"/>
      <c r="DYP605" s="222"/>
      <c r="DYQ605" s="222"/>
      <c r="DYR605" s="222"/>
      <c r="DYS605" s="222"/>
      <c r="DYT605" s="222"/>
      <c r="DYU605" s="223"/>
      <c r="DYV605" s="224"/>
      <c r="DYW605" s="222"/>
      <c r="DYX605" s="222"/>
      <c r="DYY605" s="222"/>
      <c r="DYZ605" s="222"/>
      <c r="DZA605" s="222"/>
      <c r="DZB605" s="222"/>
      <c r="DZC605" s="223"/>
      <c r="DZD605" s="224"/>
      <c r="DZE605" s="222"/>
      <c r="DZF605" s="222"/>
      <c r="DZG605" s="222"/>
      <c r="DZH605" s="222"/>
      <c r="DZI605" s="222"/>
      <c r="DZJ605" s="222"/>
      <c r="DZK605" s="223"/>
      <c r="DZL605" s="224"/>
      <c r="DZM605" s="222"/>
      <c r="DZN605" s="222"/>
      <c r="DZO605" s="222"/>
      <c r="DZP605" s="222"/>
      <c r="DZQ605" s="222"/>
      <c r="DZR605" s="222"/>
      <c r="DZS605" s="223"/>
      <c r="DZT605" s="224"/>
      <c r="DZU605" s="222"/>
      <c r="DZV605" s="222"/>
      <c r="DZW605" s="222"/>
      <c r="DZX605" s="222"/>
      <c r="DZY605" s="222"/>
      <c r="DZZ605" s="222"/>
      <c r="EAA605" s="223"/>
      <c r="EAB605" s="224"/>
      <c r="EAC605" s="222"/>
      <c r="EAD605" s="222"/>
      <c r="EAE605" s="222"/>
      <c r="EAF605" s="222"/>
      <c r="EAG605" s="222"/>
      <c r="EAH605" s="222"/>
      <c r="EAI605" s="223"/>
      <c r="EAJ605" s="224"/>
      <c r="EAK605" s="222"/>
      <c r="EAL605" s="222"/>
      <c r="EAM605" s="222"/>
      <c r="EAN605" s="222"/>
      <c r="EAO605" s="222"/>
      <c r="EAP605" s="222"/>
      <c r="EAQ605" s="223"/>
      <c r="EAR605" s="224"/>
      <c r="EAS605" s="222"/>
      <c r="EAT605" s="222"/>
      <c r="EAU605" s="222"/>
      <c r="EAV605" s="222"/>
      <c r="EAW605" s="222"/>
      <c r="EAX605" s="222"/>
      <c r="EAY605" s="223"/>
      <c r="EAZ605" s="224"/>
      <c r="EBA605" s="222"/>
      <c r="EBB605" s="222"/>
      <c r="EBC605" s="222"/>
      <c r="EBD605" s="222"/>
      <c r="EBE605" s="222"/>
      <c r="EBF605" s="222"/>
      <c r="EBG605" s="223"/>
      <c r="EBH605" s="224"/>
      <c r="EBI605" s="222"/>
      <c r="EBJ605" s="222"/>
      <c r="EBK605" s="222"/>
      <c r="EBL605" s="222"/>
      <c r="EBM605" s="222"/>
      <c r="EBN605" s="222"/>
      <c r="EBO605" s="223"/>
      <c r="EBP605" s="224"/>
      <c r="EBQ605" s="222"/>
      <c r="EBR605" s="222"/>
      <c r="EBS605" s="222"/>
      <c r="EBT605" s="222"/>
      <c r="EBU605" s="222"/>
      <c r="EBV605" s="222"/>
      <c r="EBW605" s="223"/>
      <c r="EBX605" s="224"/>
      <c r="EBY605" s="222"/>
      <c r="EBZ605" s="222"/>
      <c r="ECA605" s="222"/>
      <c r="ECB605" s="222"/>
      <c r="ECC605" s="222"/>
      <c r="ECD605" s="222"/>
      <c r="ECE605" s="223"/>
      <c r="ECF605" s="224"/>
      <c r="ECG605" s="222"/>
      <c r="ECH605" s="222"/>
      <c r="ECI605" s="222"/>
      <c r="ECJ605" s="222"/>
      <c r="ECK605" s="222"/>
      <c r="ECL605" s="222"/>
      <c r="ECM605" s="223"/>
      <c r="ECN605" s="224"/>
      <c r="ECO605" s="222"/>
      <c r="ECP605" s="222"/>
      <c r="ECQ605" s="222"/>
      <c r="ECR605" s="222"/>
      <c r="ECS605" s="222"/>
      <c r="ECT605" s="222"/>
      <c r="ECU605" s="223"/>
      <c r="ECV605" s="224"/>
      <c r="ECW605" s="222"/>
      <c r="ECX605" s="222"/>
      <c r="ECY605" s="222"/>
      <c r="ECZ605" s="222"/>
      <c r="EDA605" s="222"/>
      <c r="EDB605" s="222"/>
      <c r="EDC605" s="223"/>
      <c r="EDD605" s="224"/>
      <c r="EDE605" s="222"/>
      <c r="EDF605" s="222"/>
      <c r="EDG605" s="222"/>
      <c r="EDH605" s="222"/>
      <c r="EDI605" s="222"/>
      <c r="EDJ605" s="222"/>
      <c r="EDK605" s="223"/>
      <c r="EDL605" s="224"/>
      <c r="EDM605" s="222"/>
      <c r="EDN605" s="222"/>
      <c r="EDO605" s="222"/>
      <c r="EDP605" s="222"/>
      <c r="EDQ605" s="222"/>
      <c r="EDR605" s="222"/>
      <c r="EDS605" s="223"/>
      <c r="EDT605" s="224"/>
      <c r="EDU605" s="222"/>
      <c r="EDV605" s="222"/>
      <c r="EDW605" s="222"/>
      <c r="EDX605" s="222"/>
      <c r="EDY605" s="222"/>
      <c r="EDZ605" s="222"/>
      <c r="EEA605" s="223"/>
      <c r="EEB605" s="224"/>
      <c r="EEC605" s="222"/>
      <c r="EED605" s="222"/>
      <c r="EEE605" s="222"/>
      <c r="EEF605" s="222"/>
      <c r="EEG605" s="222"/>
      <c r="EEH605" s="222"/>
      <c r="EEI605" s="223"/>
      <c r="EEJ605" s="224"/>
      <c r="EEK605" s="222"/>
      <c r="EEL605" s="222"/>
      <c r="EEM605" s="222"/>
      <c r="EEN605" s="222"/>
      <c r="EEO605" s="222"/>
      <c r="EEP605" s="222"/>
      <c r="EEQ605" s="223"/>
      <c r="EER605" s="224"/>
      <c r="EES605" s="222"/>
      <c r="EET605" s="222"/>
      <c r="EEU605" s="222"/>
      <c r="EEV605" s="222"/>
      <c r="EEW605" s="222"/>
      <c r="EEX605" s="222"/>
      <c r="EEY605" s="223"/>
      <c r="EEZ605" s="224"/>
      <c r="EFA605" s="222"/>
      <c r="EFB605" s="222"/>
      <c r="EFC605" s="222"/>
      <c r="EFD605" s="222"/>
      <c r="EFE605" s="222"/>
      <c r="EFF605" s="222"/>
      <c r="EFG605" s="223"/>
      <c r="EFH605" s="224"/>
      <c r="EFI605" s="222"/>
      <c r="EFJ605" s="222"/>
      <c r="EFK605" s="222"/>
      <c r="EFL605" s="222"/>
      <c r="EFM605" s="222"/>
      <c r="EFN605" s="222"/>
      <c r="EFO605" s="223"/>
      <c r="EFP605" s="224"/>
      <c r="EFQ605" s="222"/>
      <c r="EFR605" s="222"/>
      <c r="EFS605" s="222"/>
      <c r="EFT605" s="222"/>
      <c r="EFU605" s="222"/>
      <c r="EFV605" s="222"/>
      <c r="EFW605" s="223"/>
      <c r="EFX605" s="224"/>
      <c r="EFY605" s="222"/>
      <c r="EFZ605" s="222"/>
      <c r="EGA605" s="222"/>
      <c r="EGB605" s="222"/>
      <c r="EGC605" s="222"/>
      <c r="EGD605" s="222"/>
      <c r="EGE605" s="223"/>
      <c r="EGF605" s="224"/>
      <c r="EGG605" s="222"/>
      <c r="EGH605" s="222"/>
      <c r="EGI605" s="222"/>
      <c r="EGJ605" s="222"/>
      <c r="EGK605" s="222"/>
      <c r="EGL605" s="222"/>
      <c r="EGM605" s="223"/>
      <c r="EGN605" s="224"/>
      <c r="EGO605" s="222"/>
      <c r="EGP605" s="222"/>
      <c r="EGQ605" s="222"/>
      <c r="EGR605" s="222"/>
      <c r="EGS605" s="222"/>
      <c r="EGT605" s="222"/>
      <c r="EGU605" s="223"/>
      <c r="EGV605" s="224"/>
      <c r="EGW605" s="222"/>
      <c r="EGX605" s="222"/>
      <c r="EGY605" s="222"/>
      <c r="EGZ605" s="222"/>
      <c r="EHA605" s="222"/>
      <c r="EHB605" s="222"/>
      <c r="EHC605" s="223"/>
      <c r="EHD605" s="224"/>
      <c r="EHE605" s="222"/>
      <c r="EHF605" s="222"/>
      <c r="EHG605" s="222"/>
      <c r="EHH605" s="222"/>
      <c r="EHI605" s="222"/>
      <c r="EHJ605" s="222"/>
      <c r="EHK605" s="223"/>
      <c r="EHL605" s="224"/>
      <c r="EHM605" s="222"/>
      <c r="EHN605" s="222"/>
      <c r="EHO605" s="222"/>
      <c r="EHP605" s="222"/>
      <c r="EHQ605" s="222"/>
      <c r="EHR605" s="222"/>
      <c r="EHS605" s="223"/>
      <c r="EHT605" s="224"/>
      <c r="EHU605" s="222"/>
      <c r="EHV605" s="222"/>
      <c r="EHW605" s="222"/>
      <c r="EHX605" s="222"/>
      <c r="EHY605" s="222"/>
      <c r="EHZ605" s="222"/>
      <c r="EIA605" s="223"/>
      <c r="EIB605" s="224"/>
      <c r="EIC605" s="222"/>
      <c r="EID605" s="222"/>
      <c r="EIE605" s="222"/>
      <c r="EIF605" s="222"/>
      <c r="EIG605" s="222"/>
      <c r="EIH605" s="222"/>
      <c r="EII605" s="223"/>
      <c r="EIJ605" s="224"/>
      <c r="EIK605" s="222"/>
      <c r="EIL605" s="222"/>
      <c r="EIM605" s="222"/>
      <c r="EIN605" s="222"/>
      <c r="EIO605" s="222"/>
      <c r="EIP605" s="222"/>
      <c r="EIQ605" s="223"/>
      <c r="EIR605" s="224"/>
      <c r="EIS605" s="222"/>
      <c r="EIT605" s="222"/>
      <c r="EIU605" s="222"/>
      <c r="EIV605" s="222"/>
      <c r="EIW605" s="222"/>
      <c r="EIX605" s="222"/>
      <c r="EIY605" s="223"/>
      <c r="EIZ605" s="224"/>
      <c r="EJA605" s="222"/>
      <c r="EJB605" s="222"/>
      <c r="EJC605" s="222"/>
      <c r="EJD605" s="222"/>
      <c r="EJE605" s="222"/>
      <c r="EJF605" s="222"/>
      <c r="EJG605" s="223"/>
      <c r="EJH605" s="224"/>
      <c r="EJI605" s="222"/>
      <c r="EJJ605" s="222"/>
      <c r="EJK605" s="222"/>
      <c r="EJL605" s="222"/>
      <c r="EJM605" s="222"/>
      <c r="EJN605" s="222"/>
      <c r="EJO605" s="223"/>
      <c r="EJP605" s="224"/>
      <c r="EJQ605" s="222"/>
      <c r="EJR605" s="222"/>
      <c r="EJS605" s="222"/>
      <c r="EJT605" s="222"/>
      <c r="EJU605" s="222"/>
      <c r="EJV605" s="222"/>
      <c r="EJW605" s="223"/>
      <c r="EJX605" s="224"/>
      <c r="EJY605" s="222"/>
      <c r="EJZ605" s="222"/>
      <c r="EKA605" s="222"/>
      <c r="EKB605" s="222"/>
      <c r="EKC605" s="222"/>
      <c r="EKD605" s="222"/>
      <c r="EKE605" s="223"/>
      <c r="EKF605" s="224"/>
      <c r="EKG605" s="222"/>
      <c r="EKH605" s="222"/>
      <c r="EKI605" s="222"/>
      <c r="EKJ605" s="222"/>
      <c r="EKK605" s="222"/>
      <c r="EKL605" s="222"/>
      <c r="EKM605" s="223"/>
      <c r="EKN605" s="224"/>
      <c r="EKO605" s="222"/>
      <c r="EKP605" s="222"/>
      <c r="EKQ605" s="222"/>
      <c r="EKR605" s="222"/>
      <c r="EKS605" s="222"/>
      <c r="EKT605" s="222"/>
      <c r="EKU605" s="223"/>
      <c r="EKV605" s="224"/>
      <c r="EKW605" s="222"/>
      <c r="EKX605" s="222"/>
      <c r="EKY605" s="222"/>
      <c r="EKZ605" s="222"/>
      <c r="ELA605" s="222"/>
      <c r="ELB605" s="222"/>
      <c r="ELC605" s="223"/>
      <c r="ELD605" s="224"/>
      <c r="ELE605" s="222"/>
      <c r="ELF605" s="222"/>
      <c r="ELG605" s="222"/>
      <c r="ELH605" s="222"/>
      <c r="ELI605" s="222"/>
      <c r="ELJ605" s="222"/>
      <c r="ELK605" s="223"/>
      <c r="ELL605" s="224"/>
      <c r="ELM605" s="222"/>
      <c r="ELN605" s="222"/>
      <c r="ELO605" s="222"/>
      <c r="ELP605" s="222"/>
      <c r="ELQ605" s="222"/>
      <c r="ELR605" s="222"/>
      <c r="ELS605" s="223"/>
      <c r="ELT605" s="224"/>
      <c r="ELU605" s="222"/>
      <c r="ELV605" s="222"/>
      <c r="ELW605" s="222"/>
      <c r="ELX605" s="222"/>
      <c r="ELY605" s="222"/>
      <c r="ELZ605" s="222"/>
      <c r="EMA605" s="223"/>
      <c r="EMB605" s="224"/>
      <c r="EMC605" s="222"/>
      <c r="EMD605" s="222"/>
      <c r="EME605" s="222"/>
      <c r="EMF605" s="222"/>
      <c r="EMG605" s="222"/>
      <c r="EMH605" s="222"/>
      <c r="EMI605" s="223"/>
      <c r="EMJ605" s="224"/>
      <c r="EMK605" s="222"/>
      <c r="EML605" s="222"/>
      <c r="EMM605" s="222"/>
      <c r="EMN605" s="222"/>
      <c r="EMO605" s="222"/>
      <c r="EMP605" s="222"/>
      <c r="EMQ605" s="223"/>
      <c r="EMR605" s="224"/>
      <c r="EMS605" s="222"/>
      <c r="EMT605" s="222"/>
      <c r="EMU605" s="222"/>
      <c r="EMV605" s="222"/>
      <c r="EMW605" s="222"/>
      <c r="EMX605" s="222"/>
      <c r="EMY605" s="223"/>
      <c r="EMZ605" s="224"/>
      <c r="ENA605" s="222"/>
      <c r="ENB605" s="222"/>
      <c r="ENC605" s="222"/>
      <c r="END605" s="222"/>
      <c r="ENE605" s="222"/>
      <c r="ENF605" s="222"/>
      <c r="ENG605" s="223"/>
      <c r="ENH605" s="224"/>
      <c r="ENI605" s="222"/>
      <c r="ENJ605" s="222"/>
      <c r="ENK605" s="222"/>
      <c r="ENL605" s="222"/>
      <c r="ENM605" s="222"/>
      <c r="ENN605" s="222"/>
      <c r="ENO605" s="223"/>
      <c r="ENP605" s="224"/>
      <c r="ENQ605" s="222"/>
      <c r="ENR605" s="222"/>
      <c r="ENS605" s="222"/>
      <c r="ENT605" s="222"/>
      <c r="ENU605" s="222"/>
      <c r="ENV605" s="222"/>
      <c r="ENW605" s="223"/>
      <c r="ENX605" s="224"/>
      <c r="ENY605" s="222"/>
      <c r="ENZ605" s="222"/>
      <c r="EOA605" s="222"/>
      <c r="EOB605" s="222"/>
      <c r="EOC605" s="222"/>
      <c r="EOD605" s="222"/>
      <c r="EOE605" s="223"/>
      <c r="EOF605" s="224"/>
      <c r="EOG605" s="222"/>
      <c r="EOH605" s="222"/>
      <c r="EOI605" s="222"/>
      <c r="EOJ605" s="222"/>
      <c r="EOK605" s="222"/>
      <c r="EOL605" s="222"/>
      <c r="EOM605" s="223"/>
      <c r="EON605" s="224"/>
      <c r="EOO605" s="222"/>
      <c r="EOP605" s="222"/>
      <c r="EOQ605" s="222"/>
      <c r="EOR605" s="222"/>
      <c r="EOS605" s="222"/>
      <c r="EOT605" s="222"/>
      <c r="EOU605" s="223"/>
      <c r="EOV605" s="224"/>
      <c r="EOW605" s="222"/>
      <c r="EOX605" s="222"/>
      <c r="EOY605" s="222"/>
      <c r="EOZ605" s="222"/>
      <c r="EPA605" s="222"/>
      <c r="EPB605" s="222"/>
      <c r="EPC605" s="223"/>
      <c r="EPD605" s="224"/>
      <c r="EPE605" s="222"/>
      <c r="EPF605" s="222"/>
      <c r="EPG605" s="222"/>
      <c r="EPH605" s="222"/>
      <c r="EPI605" s="222"/>
      <c r="EPJ605" s="222"/>
      <c r="EPK605" s="223"/>
      <c r="EPL605" s="224"/>
      <c r="EPM605" s="222"/>
      <c r="EPN605" s="222"/>
      <c r="EPO605" s="222"/>
      <c r="EPP605" s="222"/>
      <c r="EPQ605" s="222"/>
      <c r="EPR605" s="222"/>
      <c r="EPS605" s="223"/>
      <c r="EPT605" s="224"/>
      <c r="EPU605" s="222"/>
      <c r="EPV605" s="222"/>
      <c r="EPW605" s="222"/>
      <c r="EPX605" s="222"/>
      <c r="EPY605" s="222"/>
      <c r="EPZ605" s="222"/>
      <c r="EQA605" s="223"/>
      <c r="EQB605" s="224"/>
      <c r="EQC605" s="222"/>
      <c r="EQD605" s="222"/>
      <c r="EQE605" s="222"/>
      <c r="EQF605" s="222"/>
      <c r="EQG605" s="222"/>
      <c r="EQH605" s="222"/>
      <c r="EQI605" s="223"/>
      <c r="EQJ605" s="224"/>
      <c r="EQK605" s="222"/>
      <c r="EQL605" s="222"/>
      <c r="EQM605" s="222"/>
      <c r="EQN605" s="222"/>
      <c r="EQO605" s="222"/>
      <c r="EQP605" s="222"/>
      <c r="EQQ605" s="223"/>
      <c r="EQR605" s="224"/>
      <c r="EQS605" s="222"/>
      <c r="EQT605" s="222"/>
      <c r="EQU605" s="222"/>
      <c r="EQV605" s="222"/>
      <c r="EQW605" s="222"/>
      <c r="EQX605" s="222"/>
      <c r="EQY605" s="223"/>
      <c r="EQZ605" s="224"/>
      <c r="ERA605" s="222"/>
      <c r="ERB605" s="222"/>
      <c r="ERC605" s="222"/>
      <c r="ERD605" s="222"/>
      <c r="ERE605" s="222"/>
      <c r="ERF605" s="222"/>
      <c r="ERG605" s="223"/>
      <c r="ERH605" s="224"/>
      <c r="ERI605" s="222"/>
      <c r="ERJ605" s="222"/>
      <c r="ERK605" s="222"/>
      <c r="ERL605" s="222"/>
      <c r="ERM605" s="222"/>
      <c r="ERN605" s="222"/>
      <c r="ERO605" s="223"/>
      <c r="ERP605" s="224"/>
      <c r="ERQ605" s="222"/>
      <c r="ERR605" s="222"/>
      <c r="ERS605" s="222"/>
      <c r="ERT605" s="222"/>
      <c r="ERU605" s="222"/>
      <c r="ERV605" s="222"/>
      <c r="ERW605" s="223"/>
      <c r="ERX605" s="224"/>
      <c r="ERY605" s="222"/>
      <c r="ERZ605" s="222"/>
      <c r="ESA605" s="222"/>
      <c r="ESB605" s="222"/>
      <c r="ESC605" s="222"/>
      <c r="ESD605" s="222"/>
      <c r="ESE605" s="223"/>
      <c r="ESF605" s="224"/>
      <c r="ESG605" s="222"/>
      <c r="ESH605" s="222"/>
      <c r="ESI605" s="222"/>
      <c r="ESJ605" s="222"/>
      <c r="ESK605" s="222"/>
      <c r="ESL605" s="222"/>
      <c r="ESM605" s="223"/>
      <c r="ESN605" s="224"/>
      <c r="ESO605" s="222"/>
      <c r="ESP605" s="222"/>
      <c r="ESQ605" s="222"/>
      <c r="ESR605" s="222"/>
      <c r="ESS605" s="222"/>
      <c r="EST605" s="222"/>
      <c r="ESU605" s="223"/>
      <c r="ESV605" s="224"/>
      <c r="ESW605" s="222"/>
      <c r="ESX605" s="222"/>
      <c r="ESY605" s="222"/>
      <c r="ESZ605" s="222"/>
      <c r="ETA605" s="222"/>
      <c r="ETB605" s="222"/>
      <c r="ETC605" s="223"/>
      <c r="ETD605" s="224"/>
      <c r="ETE605" s="222"/>
      <c r="ETF605" s="222"/>
      <c r="ETG605" s="222"/>
      <c r="ETH605" s="222"/>
      <c r="ETI605" s="222"/>
      <c r="ETJ605" s="222"/>
      <c r="ETK605" s="223"/>
      <c r="ETL605" s="224"/>
      <c r="ETM605" s="222"/>
      <c r="ETN605" s="222"/>
      <c r="ETO605" s="222"/>
      <c r="ETP605" s="222"/>
      <c r="ETQ605" s="222"/>
      <c r="ETR605" s="222"/>
      <c r="ETS605" s="223"/>
      <c r="ETT605" s="224"/>
      <c r="ETU605" s="222"/>
      <c r="ETV605" s="222"/>
      <c r="ETW605" s="222"/>
      <c r="ETX605" s="222"/>
      <c r="ETY605" s="222"/>
      <c r="ETZ605" s="222"/>
      <c r="EUA605" s="223"/>
      <c r="EUB605" s="224"/>
      <c r="EUC605" s="222"/>
      <c r="EUD605" s="222"/>
      <c r="EUE605" s="222"/>
      <c r="EUF605" s="222"/>
      <c r="EUG605" s="222"/>
      <c r="EUH605" s="222"/>
      <c r="EUI605" s="223"/>
      <c r="EUJ605" s="224"/>
      <c r="EUK605" s="222"/>
      <c r="EUL605" s="222"/>
      <c r="EUM605" s="222"/>
      <c r="EUN605" s="222"/>
      <c r="EUO605" s="222"/>
      <c r="EUP605" s="222"/>
      <c r="EUQ605" s="223"/>
      <c r="EUR605" s="224"/>
      <c r="EUS605" s="222"/>
      <c r="EUT605" s="222"/>
      <c r="EUU605" s="222"/>
      <c r="EUV605" s="222"/>
      <c r="EUW605" s="222"/>
      <c r="EUX605" s="222"/>
      <c r="EUY605" s="223"/>
      <c r="EUZ605" s="224"/>
      <c r="EVA605" s="222"/>
      <c r="EVB605" s="222"/>
      <c r="EVC605" s="222"/>
      <c r="EVD605" s="222"/>
      <c r="EVE605" s="222"/>
      <c r="EVF605" s="222"/>
      <c r="EVG605" s="223"/>
      <c r="EVH605" s="224"/>
      <c r="EVI605" s="222"/>
      <c r="EVJ605" s="222"/>
      <c r="EVK605" s="222"/>
      <c r="EVL605" s="222"/>
      <c r="EVM605" s="222"/>
      <c r="EVN605" s="222"/>
      <c r="EVO605" s="223"/>
      <c r="EVP605" s="224"/>
      <c r="EVQ605" s="222"/>
      <c r="EVR605" s="222"/>
      <c r="EVS605" s="222"/>
      <c r="EVT605" s="222"/>
      <c r="EVU605" s="222"/>
      <c r="EVV605" s="222"/>
      <c r="EVW605" s="223"/>
      <c r="EVX605" s="224"/>
      <c r="EVY605" s="222"/>
      <c r="EVZ605" s="222"/>
      <c r="EWA605" s="222"/>
      <c r="EWB605" s="222"/>
      <c r="EWC605" s="222"/>
      <c r="EWD605" s="222"/>
      <c r="EWE605" s="223"/>
      <c r="EWF605" s="224"/>
      <c r="EWG605" s="222"/>
      <c r="EWH605" s="222"/>
      <c r="EWI605" s="222"/>
      <c r="EWJ605" s="222"/>
      <c r="EWK605" s="222"/>
      <c r="EWL605" s="222"/>
      <c r="EWM605" s="223"/>
      <c r="EWN605" s="224"/>
      <c r="EWO605" s="222"/>
      <c r="EWP605" s="222"/>
      <c r="EWQ605" s="222"/>
      <c r="EWR605" s="222"/>
      <c r="EWS605" s="222"/>
      <c r="EWT605" s="222"/>
      <c r="EWU605" s="223"/>
      <c r="EWV605" s="224"/>
      <c r="EWW605" s="222"/>
      <c r="EWX605" s="222"/>
      <c r="EWY605" s="222"/>
      <c r="EWZ605" s="222"/>
      <c r="EXA605" s="222"/>
      <c r="EXB605" s="222"/>
      <c r="EXC605" s="223"/>
      <c r="EXD605" s="224"/>
      <c r="EXE605" s="222"/>
      <c r="EXF605" s="222"/>
      <c r="EXG605" s="222"/>
      <c r="EXH605" s="222"/>
      <c r="EXI605" s="222"/>
      <c r="EXJ605" s="222"/>
      <c r="EXK605" s="223"/>
      <c r="EXL605" s="224"/>
      <c r="EXM605" s="222"/>
      <c r="EXN605" s="222"/>
      <c r="EXO605" s="222"/>
      <c r="EXP605" s="222"/>
      <c r="EXQ605" s="222"/>
      <c r="EXR605" s="222"/>
      <c r="EXS605" s="223"/>
      <c r="EXT605" s="224"/>
      <c r="EXU605" s="222"/>
      <c r="EXV605" s="222"/>
      <c r="EXW605" s="222"/>
      <c r="EXX605" s="222"/>
      <c r="EXY605" s="222"/>
      <c r="EXZ605" s="222"/>
      <c r="EYA605" s="223"/>
      <c r="EYB605" s="224"/>
      <c r="EYC605" s="222"/>
      <c r="EYD605" s="222"/>
      <c r="EYE605" s="222"/>
      <c r="EYF605" s="222"/>
      <c r="EYG605" s="222"/>
      <c r="EYH605" s="222"/>
      <c r="EYI605" s="223"/>
      <c r="EYJ605" s="224"/>
      <c r="EYK605" s="222"/>
      <c r="EYL605" s="222"/>
      <c r="EYM605" s="222"/>
      <c r="EYN605" s="222"/>
      <c r="EYO605" s="222"/>
      <c r="EYP605" s="222"/>
      <c r="EYQ605" s="223"/>
      <c r="EYR605" s="224"/>
      <c r="EYS605" s="222"/>
      <c r="EYT605" s="222"/>
      <c r="EYU605" s="222"/>
      <c r="EYV605" s="222"/>
      <c r="EYW605" s="222"/>
      <c r="EYX605" s="222"/>
      <c r="EYY605" s="223"/>
      <c r="EYZ605" s="224"/>
      <c r="EZA605" s="222"/>
      <c r="EZB605" s="222"/>
      <c r="EZC605" s="222"/>
      <c r="EZD605" s="222"/>
      <c r="EZE605" s="222"/>
      <c r="EZF605" s="222"/>
      <c r="EZG605" s="223"/>
      <c r="EZH605" s="224"/>
      <c r="EZI605" s="222"/>
      <c r="EZJ605" s="222"/>
      <c r="EZK605" s="222"/>
      <c r="EZL605" s="222"/>
      <c r="EZM605" s="222"/>
      <c r="EZN605" s="222"/>
      <c r="EZO605" s="223"/>
      <c r="EZP605" s="224"/>
      <c r="EZQ605" s="222"/>
      <c r="EZR605" s="222"/>
      <c r="EZS605" s="222"/>
      <c r="EZT605" s="222"/>
      <c r="EZU605" s="222"/>
      <c r="EZV605" s="222"/>
      <c r="EZW605" s="223"/>
      <c r="EZX605" s="224"/>
      <c r="EZY605" s="222"/>
      <c r="EZZ605" s="222"/>
      <c r="FAA605" s="222"/>
      <c r="FAB605" s="222"/>
      <c r="FAC605" s="222"/>
      <c r="FAD605" s="222"/>
      <c r="FAE605" s="223"/>
      <c r="FAF605" s="224"/>
      <c r="FAG605" s="222"/>
      <c r="FAH605" s="222"/>
      <c r="FAI605" s="222"/>
      <c r="FAJ605" s="222"/>
      <c r="FAK605" s="222"/>
      <c r="FAL605" s="222"/>
      <c r="FAM605" s="223"/>
      <c r="FAN605" s="224"/>
      <c r="FAO605" s="222"/>
      <c r="FAP605" s="222"/>
      <c r="FAQ605" s="222"/>
      <c r="FAR605" s="222"/>
      <c r="FAS605" s="222"/>
      <c r="FAT605" s="222"/>
      <c r="FAU605" s="223"/>
      <c r="FAV605" s="224"/>
      <c r="FAW605" s="222"/>
      <c r="FAX605" s="222"/>
      <c r="FAY605" s="222"/>
      <c r="FAZ605" s="222"/>
      <c r="FBA605" s="222"/>
      <c r="FBB605" s="222"/>
      <c r="FBC605" s="223"/>
      <c r="FBD605" s="224"/>
      <c r="FBE605" s="222"/>
      <c r="FBF605" s="222"/>
      <c r="FBG605" s="222"/>
      <c r="FBH605" s="222"/>
      <c r="FBI605" s="222"/>
      <c r="FBJ605" s="222"/>
      <c r="FBK605" s="223"/>
      <c r="FBL605" s="224"/>
      <c r="FBM605" s="222"/>
      <c r="FBN605" s="222"/>
      <c r="FBO605" s="222"/>
      <c r="FBP605" s="222"/>
      <c r="FBQ605" s="222"/>
      <c r="FBR605" s="222"/>
      <c r="FBS605" s="223"/>
      <c r="FBT605" s="224"/>
      <c r="FBU605" s="222"/>
      <c r="FBV605" s="222"/>
      <c r="FBW605" s="222"/>
      <c r="FBX605" s="222"/>
      <c r="FBY605" s="222"/>
      <c r="FBZ605" s="222"/>
      <c r="FCA605" s="223"/>
      <c r="FCB605" s="224"/>
      <c r="FCC605" s="222"/>
      <c r="FCD605" s="222"/>
      <c r="FCE605" s="222"/>
      <c r="FCF605" s="222"/>
      <c r="FCG605" s="222"/>
      <c r="FCH605" s="222"/>
      <c r="FCI605" s="223"/>
      <c r="FCJ605" s="224"/>
      <c r="FCK605" s="222"/>
      <c r="FCL605" s="222"/>
      <c r="FCM605" s="222"/>
      <c r="FCN605" s="222"/>
      <c r="FCO605" s="222"/>
      <c r="FCP605" s="222"/>
      <c r="FCQ605" s="223"/>
      <c r="FCR605" s="224"/>
      <c r="FCS605" s="222"/>
      <c r="FCT605" s="222"/>
      <c r="FCU605" s="222"/>
      <c r="FCV605" s="222"/>
      <c r="FCW605" s="222"/>
      <c r="FCX605" s="222"/>
      <c r="FCY605" s="223"/>
      <c r="FCZ605" s="224"/>
      <c r="FDA605" s="222"/>
      <c r="FDB605" s="222"/>
      <c r="FDC605" s="222"/>
      <c r="FDD605" s="222"/>
      <c r="FDE605" s="222"/>
      <c r="FDF605" s="222"/>
      <c r="FDG605" s="223"/>
      <c r="FDH605" s="224"/>
      <c r="FDI605" s="222"/>
      <c r="FDJ605" s="222"/>
      <c r="FDK605" s="222"/>
      <c r="FDL605" s="222"/>
      <c r="FDM605" s="222"/>
      <c r="FDN605" s="222"/>
      <c r="FDO605" s="223"/>
      <c r="FDP605" s="224"/>
      <c r="FDQ605" s="222"/>
      <c r="FDR605" s="222"/>
      <c r="FDS605" s="222"/>
      <c r="FDT605" s="222"/>
      <c r="FDU605" s="222"/>
      <c r="FDV605" s="222"/>
      <c r="FDW605" s="223"/>
      <c r="FDX605" s="224"/>
      <c r="FDY605" s="222"/>
      <c r="FDZ605" s="222"/>
      <c r="FEA605" s="222"/>
      <c r="FEB605" s="222"/>
      <c r="FEC605" s="222"/>
      <c r="FED605" s="222"/>
      <c r="FEE605" s="223"/>
      <c r="FEF605" s="224"/>
      <c r="FEG605" s="222"/>
      <c r="FEH605" s="222"/>
      <c r="FEI605" s="222"/>
      <c r="FEJ605" s="222"/>
      <c r="FEK605" s="222"/>
      <c r="FEL605" s="222"/>
      <c r="FEM605" s="223"/>
      <c r="FEN605" s="224"/>
      <c r="FEO605" s="222"/>
      <c r="FEP605" s="222"/>
      <c r="FEQ605" s="222"/>
      <c r="FER605" s="222"/>
      <c r="FES605" s="222"/>
      <c r="FET605" s="222"/>
      <c r="FEU605" s="223"/>
      <c r="FEV605" s="224"/>
      <c r="FEW605" s="222"/>
      <c r="FEX605" s="222"/>
      <c r="FEY605" s="222"/>
      <c r="FEZ605" s="222"/>
      <c r="FFA605" s="222"/>
      <c r="FFB605" s="222"/>
      <c r="FFC605" s="223"/>
      <c r="FFD605" s="224"/>
      <c r="FFE605" s="222"/>
      <c r="FFF605" s="222"/>
      <c r="FFG605" s="222"/>
      <c r="FFH605" s="222"/>
      <c r="FFI605" s="222"/>
      <c r="FFJ605" s="222"/>
      <c r="FFK605" s="223"/>
      <c r="FFL605" s="224"/>
      <c r="FFM605" s="222"/>
      <c r="FFN605" s="222"/>
      <c r="FFO605" s="222"/>
      <c r="FFP605" s="222"/>
      <c r="FFQ605" s="222"/>
      <c r="FFR605" s="222"/>
      <c r="FFS605" s="223"/>
      <c r="FFT605" s="224"/>
      <c r="FFU605" s="222"/>
      <c r="FFV605" s="222"/>
      <c r="FFW605" s="222"/>
      <c r="FFX605" s="222"/>
      <c r="FFY605" s="222"/>
      <c r="FFZ605" s="222"/>
      <c r="FGA605" s="223"/>
      <c r="FGB605" s="224"/>
      <c r="FGC605" s="222"/>
      <c r="FGD605" s="222"/>
      <c r="FGE605" s="222"/>
      <c r="FGF605" s="222"/>
      <c r="FGG605" s="222"/>
      <c r="FGH605" s="222"/>
      <c r="FGI605" s="223"/>
      <c r="FGJ605" s="224"/>
      <c r="FGK605" s="222"/>
      <c r="FGL605" s="222"/>
      <c r="FGM605" s="222"/>
      <c r="FGN605" s="222"/>
      <c r="FGO605" s="222"/>
      <c r="FGP605" s="222"/>
      <c r="FGQ605" s="223"/>
      <c r="FGR605" s="224"/>
      <c r="FGS605" s="222"/>
      <c r="FGT605" s="222"/>
      <c r="FGU605" s="222"/>
      <c r="FGV605" s="222"/>
      <c r="FGW605" s="222"/>
      <c r="FGX605" s="222"/>
      <c r="FGY605" s="223"/>
      <c r="FGZ605" s="224"/>
      <c r="FHA605" s="222"/>
      <c r="FHB605" s="222"/>
      <c r="FHC605" s="222"/>
      <c r="FHD605" s="222"/>
      <c r="FHE605" s="222"/>
      <c r="FHF605" s="222"/>
      <c r="FHG605" s="223"/>
      <c r="FHH605" s="224"/>
      <c r="FHI605" s="222"/>
      <c r="FHJ605" s="222"/>
      <c r="FHK605" s="222"/>
      <c r="FHL605" s="222"/>
      <c r="FHM605" s="222"/>
      <c r="FHN605" s="222"/>
      <c r="FHO605" s="223"/>
      <c r="FHP605" s="224"/>
      <c r="FHQ605" s="222"/>
      <c r="FHR605" s="222"/>
      <c r="FHS605" s="222"/>
      <c r="FHT605" s="222"/>
      <c r="FHU605" s="222"/>
      <c r="FHV605" s="222"/>
      <c r="FHW605" s="223"/>
      <c r="FHX605" s="224"/>
      <c r="FHY605" s="222"/>
      <c r="FHZ605" s="222"/>
      <c r="FIA605" s="222"/>
      <c r="FIB605" s="222"/>
      <c r="FIC605" s="222"/>
      <c r="FID605" s="222"/>
      <c r="FIE605" s="223"/>
      <c r="FIF605" s="224"/>
      <c r="FIG605" s="222"/>
      <c r="FIH605" s="222"/>
      <c r="FII605" s="222"/>
      <c r="FIJ605" s="222"/>
      <c r="FIK605" s="222"/>
      <c r="FIL605" s="222"/>
      <c r="FIM605" s="223"/>
      <c r="FIN605" s="224"/>
      <c r="FIO605" s="222"/>
      <c r="FIP605" s="222"/>
      <c r="FIQ605" s="222"/>
      <c r="FIR605" s="222"/>
      <c r="FIS605" s="222"/>
      <c r="FIT605" s="222"/>
      <c r="FIU605" s="223"/>
      <c r="FIV605" s="224"/>
      <c r="FIW605" s="222"/>
      <c r="FIX605" s="222"/>
      <c r="FIY605" s="222"/>
      <c r="FIZ605" s="222"/>
      <c r="FJA605" s="222"/>
      <c r="FJB605" s="222"/>
      <c r="FJC605" s="223"/>
      <c r="FJD605" s="224"/>
      <c r="FJE605" s="222"/>
      <c r="FJF605" s="222"/>
      <c r="FJG605" s="222"/>
      <c r="FJH605" s="222"/>
      <c r="FJI605" s="222"/>
      <c r="FJJ605" s="222"/>
      <c r="FJK605" s="223"/>
      <c r="FJL605" s="224"/>
      <c r="FJM605" s="222"/>
      <c r="FJN605" s="222"/>
      <c r="FJO605" s="222"/>
      <c r="FJP605" s="222"/>
      <c r="FJQ605" s="222"/>
      <c r="FJR605" s="222"/>
      <c r="FJS605" s="223"/>
      <c r="FJT605" s="224"/>
      <c r="FJU605" s="222"/>
      <c r="FJV605" s="222"/>
      <c r="FJW605" s="222"/>
      <c r="FJX605" s="222"/>
      <c r="FJY605" s="222"/>
      <c r="FJZ605" s="222"/>
      <c r="FKA605" s="223"/>
      <c r="FKB605" s="224"/>
      <c r="FKC605" s="222"/>
      <c r="FKD605" s="222"/>
      <c r="FKE605" s="222"/>
      <c r="FKF605" s="222"/>
      <c r="FKG605" s="222"/>
      <c r="FKH605" s="222"/>
      <c r="FKI605" s="223"/>
      <c r="FKJ605" s="224"/>
      <c r="FKK605" s="222"/>
      <c r="FKL605" s="222"/>
      <c r="FKM605" s="222"/>
      <c r="FKN605" s="222"/>
      <c r="FKO605" s="222"/>
      <c r="FKP605" s="222"/>
      <c r="FKQ605" s="223"/>
      <c r="FKR605" s="224"/>
      <c r="FKS605" s="222"/>
      <c r="FKT605" s="222"/>
      <c r="FKU605" s="222"/>
      <c r="FKV605" s="222"/>
      <c r="FKW605" s="222"/>
      <c r="FKX605" s="222"/>
      <c r="FKY605" s="223"/>
      <c r="FKZ605" s="224"/>
      <c r="FLA605" s="222"/>
      <c r="FLB605" s="222"/>
      <c r="FLC605" s="222"/>
      <c r="FLD605" s="222"/>
      <c r="FLE605" s="222"/>
      <c r="FLF605" s="222"/>
      <c r="FLG605" s="223"/>
      <c r="FLH605" s="224"/>
      <c r="FLI605" s="222"/>
      <c r="FLJ605" s="222"/>
      <c r="FLK605" s="222"/>
      <c r="FLL605" s="222"/>
      <c r="FLM605" s="222"/>
      <c r="FLN605" s="222"/>
      <c r="FLO605" s="223"/>
      <c r="FLP605" s="224"/>
      <c r="FLQ605" s="222"/>
      <c r="FLR605" s="222"/>
      <c r="FLS605" s="222"/>
      <c r="FLT605" s="222"/>
      <c r="FLU605" s="222"/>
      <c r="FLV605" s="222"/>
      <c r="FLW605" s="223"/>
      <c r="FLX605" s="224"/>
      <c r="FLY605" s="222"/>
      <c r="FLZ605" s="222"/>
      <c r="FMA605" s="222"/>
      <c r="FMB605" s="222"/>
      <c r="FMC605" s="222"/>
      <c r="FMD605" s="222"/>
      <c r="FME605" s="223"/>
      <c r="FMF605" s="224"/>
      <c r="FMG605" s="222"/>
      <c r="FMH605" s="222"/>
      <c r="FMI605" s="222"/>
      <c r="FMJ605" s="222"/>
      <c r="FMK605" s="222"/>
      <c r="FML605" s="222"/>
      <c r="FMM605" s="223"/>
      <c r="FMN605" s="224"/>
      <c r="FMO605" s="222"/>
      <c r="FMP605" s="222"/>
      <c r="FMQ605" s="222"/>
      <c r="FMR605" s="222"/>
      <c r="FMS605" s="222"/>
      <c r="FMT605" s="222"/>
      <c r="FMU605" s="223"/>
      <c r="FMV605" s="224"/>
      <c r="FMW605" s="222"/>
      <c r="FMX605" s="222"/>
      <c r="FMY605" s="222"/>
      <c r="FMZ605" s="222"/>
      <c r="FNA605" s="222"/>
      <c r="FNB605" s="222"/>
      <c r="FNC605" s="223"/>
      <c r="FND605" s="224"/>
      <c r="FNE605" s="222"/>
      <c r="FNF605" s="222"/>
      <c r="FNG605" s="222"/>
      <c r="FNH605" s="222"/>
      <c r="FNI605" s="222"/>
      <c r="FNJ605" s="222"/>
      <c r="FNK605" s="223"/>
      <c r="FNL605" s="224"/>
      <c r="FNM605" s="222"/>
      <c r="FNN605" s="222"/>
      <c r="FNO605" s="222"/>
      <c r="FNP605" s="222"/>
      <c r="FNQ605" s="222"/>
      <c r="FNR605" s="222"/>
      <c r="FNS605" s="223"/>
      <c r="FNT605" s="224"/>
      <c r="FNU605" s="222"/>
      <c r="FNV605" s="222"/>
      <c r="FNW605" s="222"/>
      <c r="FNX605" s="222"/>
      <c r="FNY605" s="222"/>
      <c r="FNZ605" s="222"/>
      <c r="FOA605" s="223"/>
      <c r="FOB605" s="224"/>
      <c r="FOC605" s="222"/>
      <c r="FOD605" s="222"/>
      <c r="FOE605" s="222"/>
      <c r="FOF605" s="222"/>
      <c r="FOG605" s="222"/>
      <c r="FOH605" s="222"/>
      <c r="FOI605" s="223"/>
      <c r="FOJ605" s="224"/>
      <c r="FOK605" s="222"/>
      <c r="FOL605" s="222"/>
      <c r="FOM605" s="222"/>
      <c r="FON605" s="222"/>
      <c r="FOO605" s="222"/>
      <c r="FOP605" s="222"/>
      <c r="FOQ605" s="223"/>
      <c r="FOR605" s="224"/>
      <c r="FOS605" s="222"/>
      <c r="FOT605" s="222"/>
      <c r="FOU605" s="222"/>
      <c r="FOV605" s="222"/>
      <c r="FOW605" s="222"/>
      <c r="FOX605" s="222"/>
      <c r="FOY605" s="223"/>
      <c r="FOZ605" s="224"/>
      <c r="FPA605" s="222"/>
      <c r="FPB605" s="222"/>
      <c r="FPC605" s="222"/>
      <c r="FPD605" s="222"/>
      <c r="FPE605" s="222"/>
      <c r="FPF605" s="222"/>
      <c r="FPG605" s="223"/>
      <c r="FPH605" s="224"/>
      <c r="FPI605" s="222"/>
      <c r="FPJ605" s="222"/>
      <c r="FPK605" s="222"/>
      <c r="FPL605" s="222"/>
      <c r="FPM605" s="222"/>
      <c r="FPN605" s="222"/>
      <c r="FPO605" s="223"/>
      <c r="FPP605" s="224"/>
      <c r="FPQ605" s="222"/>
      <c r="FPR605" s="222"/>
      <c r="FPS605" s="222"/>
      <c r="FPT605" s="222"/>
      <c r="FPU605" s="222"/>
      <c r="FPV605" s="222"/>
      <c r="FPW605" s="223"/>
      <c r="FPX605" s="224"/>
      <c r="FPY605" s="222"/>
      <c r="FPZ605" s="222"/>
      <c r="FQA605" s="222"/>
      <c r="FQB605" s="222"/>
      <c r="FQC605" s="222"/>
      <c r="FQD605" s="222"/>
      <c r="FQE605" s="223"/>
      <c r="FQF605" s="224"/>
      <c r="FQG605" s="222"/>
      <c r="FQH605" s="222"/>
      <c r="FQI605" s="222"/>
      <c r="FQJ605" s="222"/>
      <c r="FQK605" s="222"/>
      <c r="FQL605" s="222"/>
      <c r="FQM605" s="223"/>
      <c r="FQN605" s="224"/>
      <c r="FQO605" s="222"/>
      <c r="FQP605" s="222"/>
      <c r="FQQ605" s="222"/>
      <c r="FQR605" s="222"/>
      <c r="FQS605" s="222"/>
      <c r="FQT605" s="222"/>
      <c r="FQU605" s="223"/>
      <c r="FQV605" s="224"/>
      <c r="FQW605" s="222"/>
      <c r="FQX605" s="222"/>
      <c r="FQY605" s="222"/>
      <c r="FQZ605" s="222"/>
      <c r="FRA605" s="222"/>
      <c r="FRB605" s="222"/>
      <c r="FRC605" s="223"/>
      <c r="FRD605" s="224"/>
      <c r="FRE605" s="222"/>
      <c r="FRF605" s="222"/>
      <c r="FRG605" s="222"/>
      <c r="FRH605" s="222"/>
      <c r="FRI605" s="222"/>
      <c r="FRJ605" s="222"/>
      <c r="FRK605" s="223"/>
      <c r="FRL605" s="224"/>
      <c r="FRM605" s="222"/>
      <c r="FRN605" s="222"/>
      <c r="FRO605" s="222"/>
      <c r="FRP605" s="222"/>
      <c r="FRQ605" s="222"/>
      <c r="FRR605" s="222"/>
      <c r="FRS605" s="223"/>
      <c r="FRT605" s="224"/>
      <c r="FRU605" s="222"/>
      <c r="FRV605" s="222"/>
      <c r="FRW605" s="222"/>
      <c r="FRX605" s="222"/>
      <c r="FRY605" s="222"/>
      <c r="FRZ605" s="222"/>
      <c r="FSA605" s="223"/>
      <c r="FSB605" s="224"/>
      <c r="FSC605" s="222"/>
      <c r="FSD605" s="222"/>
      <c r="FSE605" s="222"/>
      <c r="FSF605" s="222"/>
      <c r="FSG605" s="222"/>
      <c r="FSH605" s="222"/>
      <c r="FSI605" s="223"/>
      <c r="FSJ605" s="224"/>
      <c r="FSK605" s="222"/>
      <c r="FSL605" s="222"/>
      <c r="FSM605" s="222"/>
      <c r="FSN605" s="222"/>
      <c r="FSO605" s="222"/>
      <c r="FSP605" s="222"/>
      <c r="FSQ605" s="223"/>
      <c r="FSR605" s="224"/>
      <c r="FSS605" s="222"/>
      <c r="FST605" s="222"/>
      <c r="FSU605" s="222"/>
      <c r="FSV605" s="222"/>
      <c r="FSW605" s="222"/>
      <c r="FSX605" s="222"/>
      <c r="FSY605" s="223"/>
      <c r="FSZ605" s="224"/>
      <c r="FTA605" s="222"/>
      <c r="FTB605" s="222"/>
      <c r="FTC605" s="222"/>
      <c r="FTD605" s="222"/>
      <c r="FTE605" s="222"/>
      <c r="FTF605" s="222"/>
      <c r="FTG605" s="223"/>
      <c r="FTH605" s="224"/>
      <c r="FTI605" s="222"/>
      <c r="FTJ605" s="222"/>
      <c r="FTK605" s="222"/>
      <c r="FTL605" s="222"/>
      <c r="FTM605" s="222"/>
      <c r="FTN605" s="222"/>
      <c r="FTO605" s="223"/>
      <c r="FTP605" s="224"/>
      <c r="FTQ605" s="222"/>
      <c r="FTR605" s="222"/>
      <c r="FTS605" s="222"/>
      <c r="FTT605" s="222"/>
      <c r="FTU605" s="222"/>
      <c r="FTV605" s="222"/>
      <c r="FTW605" s="223"/>
      <c r="FTX605" s="224"/>
      <c r="FTY605" s="222"/>
      <c r="FTZ605" s="222"/>
      <c r="FUA605" s="222"/>
      <c r="FUB605" s="222"/>
      <c r="FUC605" s="222"/>
      <c r="FUD605" s="222"/>
      <c r="FUE605" s="223"/>
      <c r="FUF605" s="224"/>
      <c r="FUG605" s="222"/>
      <c r="FUH605" s="222"/>
      <c r="FUI605" s="222"/>
      <c r="FUJ605" s="222"/>
      <c r="FUK605" s="222"/>
      <c r="FUL605" s="222"/>
      <c r="FUM605" s="223"/>
      <c r="FUN605" s="224"/>
      <c r="FUO605" s="222"/>
      <c r="FUP605" s="222"/>
      <c r="FUQ605" s="222"/>
      <c r="FUR605" s="222"/>
      <c r="FUS605" s="222"/>
      <c r="FUT605" s="222"/>
      <c r="FUU605" s="223"/>
      <c r="FUV605" s="224"/>
      <c r="FUW605" s="222"/>
      <c r="FUX605" s="222"/>
      <c r="FUY605" s="222"/>
      <c r="FUZ605" s="222"/>
      <c r="FVA605" s="222"/>
      <c r="FVB605" s="222"/>
      <c r="FVC605" s="223"/>
      <c r="FVD605" s="224"/>
      <c r="FVE605" s="222"/>
      <c r="FVF605" s="222"/>
      <c r="FVG605" s="222"/>
      <c r="FVH605" s="222"/>
      <c r="FVI605" s="222"/>
      <c r="FVJ605" s="222"/>
      <c r="FVK605" s="223"/>
      <c r="FVL605" s="224"/>
      <c r="FVM605" s="222"/>
      <c r="FVN605" s="222"/>
      <c r="FVO605" s="222"/>
      <c r="FVP605" s="222"/>
      <c r="FVQ605" s="222"/>
      <c r="FVR605" s="222"/>
      <c r="FVS605" s="223"/>
      <c r="FVT605" s="224"/>
      <c r="FVU605" s="222"/>
      <c r="FVV605" s="222"/>
      <c r="FVW605" s="222"/>
      <c r="FVX605" s="222"/>
      <c r="FVY605" s="222"/>
      <c r="FVZ605" s="222"/>
      <c r="FWA605" s="223"/>
      <c r="FWB605" s="224"/>
      <c r="FWC605" s="222"/>
      <c r="FWD605" s="222"/>
      <c r="FWE605" s="222"/>
      <c r="FWF605" s="222"/>
      <c r="FWG605" s="222"/>
      <c r="FWH605" s="222"/>
      <c r="FWI605" s="223"/>
      <c r="FWJ605" s="224"/>
      <c r="FWK605" s="222"/>
      <c r="FWL605" s="222"/>
      <c r="FWM605" s="222"/>
      <c r="FWN605" s="222"/>
      <c r="FWO605" s="222"/>
      <c r="FWP605" s="222"/>
      <c r="FWQ605" s="223"/>
      <c r="FWR605" s="224"/>
      <c r="FWS605" s="222"/>
      <c r="FWT605" s="222"/>
      <c r="FWU605" s="222"/>
      <c r="FWV605" s="222"/>
      <c r="FWW605" s="222"/>
      <c r="FWX605" s="222"/>
      <c r="FWY605" s="223"/>
      <c r="FWZ605" s="224"/>
      <c r="FXA605" s="222"/>
      <c r="FXB605" s="222"/>
      <c r="FXC605" s="222"/>
      <c r="FXD605" s="222"/>
      <c r="FXE605" s="222"/>
      <c r="FXF605" s="222"/>
      <c r="FXG605" s="223"/>
      <c r="FXH605" s="224"/>
      <c r="FXI605" s="222"/>
      <c r="FXJ605" s="222"/>
      <c r="FXK605" s="222"/>
      <c r="FXL605" s="222"/>
      <c r="FXM605" s="222"/>
      <c r="FXN605" s="222"/>
      <c r="FXO605" s="223"/>
      <c r="FXP605" s="224"/>
      <c r="FXQ605" s="222"/>
      <c r="FXR605" s="222"/>
      <c r="FXS605" s="222"/>
      <c r="FXT605" s="222"/>
      <c r="FXU605" s="222"/>
      <c r="FXV605" s="222"/>
      <c r="FXW605" s="223"/>
      <c r="FXX605" s="224"/>
      <c r="FXY605" s="222"/>
      <c r="FXZ605" s="222"/>
      <c r="FYA605" s="222"/>
      <c r="FYB605" s="222"/>
      <c r="FYC605" s="222"/>
      <c r="FYD605" s="222"/>
      <c r="FYE605" s="223"/>
      <c r="FYF605" s="224"/>
      <c r="FYG605" s="222"/>
      <c r="FYH605" s="222"/>
      <c r="FYI605" s="222"/>
      <c r="FYJ605" s="222"/>
      <c r="FYK605" s="222"/>
      <c r="FYL605" s="222"/>
      <c r="FYM605" s="223"/>
      <c r="FYN605" s="224"/>
      <c r="FYO605" s="222"/>
      <c r="FYP605" s="222"/>
      <c r="FYQ605" s="222"/>
      <c r="FYR605" s="222"/>
      <c r="FYS605" s="222"/>
      <c r="FYT605" s="222"/>
      <c r="FYU605" s="223"/>
      <c r="FYV605" s="224"/>
      <c r="FYW605" s="222"/>
      <c r="FYX605" s="222"/>
      <c r="FYY605" s="222"/>
      <c r="FYZ605" s="222"/>
      <c r="FZA605" s="222"/>
      <c r="FZB605" s="222"/>
      <c r="FZC605" s="223"/>
      <c r="FZD605" s="224"/>
      <c r="FZE605" s="222"/>
      <c r="FZF605" s="222"/>
      <c r="FZG605" s="222"/>
      <c r="FZH605" s="222"/>
      <c r="FZI605" s="222"/>
      <c r="FZJ605" s="222"/>
      <c r="FZK605" s="223"/>
      <c r="FZL605" s="224"/>
      <c r="FZM605" s="222"/>
      <c r="FZN605" s="222"/>
      <c r="FZO605" s="222"/>
      <c r="FZP605" s="222"/>
      <c r="FZQ605" s="222"/>
      <c r="FZR605" s="222"/>
      <c r="FZS605" s="223"/>
      <c r="FZT605" s="224"/>
      <c r="FZU605" s="222"/>
      <c r="FZV605" s="222"/>
      <c r="FZW605" s="222"/>
      <c r="FZX605" s="222"/>
      <c r="FZY605" s="222"/>
      <c r="FZZ605" s="222"/>
      <c r="GAA605" s="223"/>
      <c r="GAB605" s="224"/>
      <c r="GAC605" s="222"/>
      <c r="GAD605" s="222"/>
      <c r="GAE605" s="222"/>
      <c r="GAF605" s="222"/>
      <c r="GAG605" s="222"/>
      <c r="GAH605" s="222"/>
      <c r="GAI605" s="223"/>
      <c r="GAJ605" s="224"/>
      <c r="GAK605" s="222"/>
      <c r="GAL605" s="222"/>
      <c r="GAM605" s="222"/>
      <c r="GAN605" s="222"/>
      <c r="GAO605" s="222"/>
      <c r="GAP605" s="222"/>
      <c r="GAQ605" s="223"/>
      <c r="GAR605" s="224"/>
      <c r="GAS605" s="222"/>
      <c r="GAT605" s="222"/>
      <c r="GAU605" s="222"/>
      <c r="GAV605" s="222"/>
      <c r="GAW605" s="222"/>
      <c r="GAX605" s="222"/>
      <c r="GAY605" s="223"/>
      <c r="GAZ605" s="224"/>
      <c r="GBA605" s="222"/>
      <c r="GBB605" s="222"/>
      <c r="GBC605" s="222"/>
      <c r="GBD605" s="222"/>
      <c r="GBE605" s="222"/>
      <c r="GBF605" s="222"/>
      <c r="GBG605" s="223"/>
      <c r="GBH605" s="224"/>
      <c r="GBI605" s="222"/>
      <c r="GBJ605" s="222"/>
      <c r="GBK605" s="222"/>
      <c r="GBL605" s="222"/>
      <c r="GBM605" s="222"/>
      <c r="GBN605" s="222"/>
      <c r="GBO605" s="223"/>
      <c r="GBP605" s="224"/>
      <c r="GBQ605" s="222"/>
      <c r="GBR605" s="222"/>
      <c r="GBS605" s="222"/>
      <c r="GBT605" s="222"/>
      <c r="GBU605" s="222"/>
      <c r="GBV605" s="222"/>
      <c r="GBW605" s="223"/>
      <c r="GBX605" s="224"/>
      <c r="GBY605" s="222"/>
      <c r="GBZ605" s="222"/>
      <c r="GCA605" s="222"/>
      <c r="GCB605" s="222"/>
      <c r="GCC605" s="222"/>
      <c r="GCD605" s="222"/>
      <c r="GCE605" s="223"/>
      <c r="GCF605" s="224"/>
      <c r="GCG605" s="222"/>
      <c r="GCH605" s="222"/>
      <c r="GCI605" s="222"/>
      <c r="GCJ605" s="222"/>
      <c r="GCK605" s="222"/>
      <c r="GCL605" s="222"/>
      <c r="GCM605" s="223"/>
      <c r="GCN605" s="224"/>
      <c r="GCO605" s="222"/>
      <c r="GCP605" s="222"/>
      <c r="GCQ605" s="222"/>
      <c r="GCR605" s="222"/>
      <c r="GCS605" s="222"/>
      <c r="GCT605" s="222"/>
      <c r="GCU605" s="223"/>
      <c r="GCV605" s="224"/>
      <c r="GCW605" s="222"/>
      <c r="GCX605" s="222"/>
      <c r="GCY605" s="222"/>
      <c r="GCZ605" s="222"/>
      <c r="GDA605" s="222"/>
      <c r="GDB605" s="222"/>
      <c r="GDC605" s="223"/>
      <c r="GDD605" s="224"/>
      <c r="GDE605" s="222"/>
      <c r="GDF605" s="222"/>
      <c r="GDG605" s="222"/>
      <c r="GDH605" s="222"/>
      <c r="GDI605" s="222"/>
      <c r="GDJ605" s="222"/>
      <c r="GDK605" s="223"/>
      <c r="GDL605" s="224"/>
      <c r="GDM605" s="222"/>
      <c r="GDN605" s="222"/>
      <c r="GDO605" s="222"/>
      <c r="GDP605" s="222"/>
      <c r="GDQ605" s="222"/>
      <c r="GDR605" s="222"/>
      <c r="GDS605" s="223"/>
      <c r="GDT605" s="224"/>
      <c r="GDU605" s="222"/>
      <c r="GDV605" s="222"/>
      <c r="GDW605" s="222"/>
      <c r="GDX605" s="222"/>
      <c r="GDY605" s="222"/>
      <c r="GDZ605" s="222"/>
      <c r="GEA605" s="223"/>
      <c r="GEB605" s="224"/>
      <c r="GEC605" s="222"/>
      <c r="GED605" s="222"/>
      <c r="GEE605" s="222"/>
      <c r="GEF605" s="222"/>
      <c r="GEG605" s="222"/>
      <c r="GEH605" s="222"/>
      <c r="GEI605" s="223"/>
      <c r="GEJ605" s="224"/>
      <c r="GEK605" s="222"/>
      <c r="GEL605" s="222"/>
      <c r="GEM605" s="222"/>
      <c r="GEN605" s="222"/>
      <c r="GEO605" s="222"/>
      <c r="GEP605" s="222"/>
      <c r="GEQ605" s="223"/>
      <c r="GER605" s="224"/>
      <c r="GES605" s="222"/>
      <c r="GET605" s="222"/>
      <c r="GEU605" s="222"/>
      <c r="GEV605" s="222"/>
      <c r="GEW605" s="222"/>
      <c r="GEX605" s="222"/>
      <c r="GEY605" s="223"/>
      <c r="GEZ605" s="224"/>
      <c r="GFA605" s="222"/>
      <c r="GFB605" s="222"/>
      <c r="GFC605" s="222"/>
      <c r="GFD605" s="222"/>
      <c r="GFE605" s="222"/>
      <c r="GFF605" s="222"/>
      <c r="GFG605" s="223"/>
      <c r="GFH605" s="224"/>
      <c r="GFI605" s="222"/>
      <c r="GFJ605" s="222"/>
      <c r="GFK605" s="222"/>
      <c r="GFL605" s="222"/>
      <c r="GFM605" s="222"/>
      <c r="GFN605" s="222"/>
      <c r="GFO605" s="223"/>
      <c r="GFP605" s="224"/>
      <c r="GFQ605" s="222"/>
      <c r="GFR605" s="222"/>
      <c r="GFS605" s="222"/>
      <c r="GFT605" s="222"/>
      <c r="GFU605" s="222"/>
      <c r="GFV605" s="222"/>
      <c r="GFW605" s="223"/>
      <c r="GFX605" s="224"/>
      <c r="GFY605" s="222"/>
      <c r="GFZ605" s="222"/>
      <c r="GGA605" s="222"/>
      <c r="GGB605" s="222"/>
      <c r="GGC605" s="222"/>
      <c r="GGD605" s="222"/>
      <c r="GGE605" s="223"/>
      <c r="GGF605" s="224"/>
      <c r="GGG605" s="222"/>
      <c r="GGH605" s="222"/>
      <c r="GGI605" s="222"/>
      <c r="GGJ605" s="222"/>
      <c r="GGK605" s="222"/>
      <c r="GGL605" s="222"/>
      <c r="GGM605" s="223"/>
      <c r="GGN605" s="224"/>
      <c r="GGO605" s="222"/>
      <c r="GGP605" s="222"/>
      <c r="GGQ605" s="222"/>
      <c r="GGR605" s="222"/>
      <c r="GGS605" s="222"/>
      <c r="GGT605" s="222"/>
      <c r="GGU605" s="223"/>
      <c r="GGV605" s="224"/>
      <c r="GGW605" s="222"/>
      <c r="GGX605" s="222"/>
      <c r="GGY605" s="222"/>
      <c r="GGZ605" s="222"/>
      <c r="GHA605" s="222"/>
      <c r="GHB605" s="222"/>
      <c r="GHC605" s="223"/>
      <c r="GHD605" s="224"/>
      <c r="GHE605" s="222"/>
      <c r="GHF605" s="222"/>
      <c r="GHG605" s="222"/>
      <c r="GHH605" s="222"/>
      <c r="GHI605" s="222"/>
      <c r="GHJ605" s="222"/>
      <c r="GHK605" s="223"/>
      <c r="GHL605" s="224"/>
      <c r="GHM605" s="222"/>
      <c r="GHN605" s="222"/>
      <c r="GHO605" s="222"/>
      <c r="GHP605" s="222"/>
      <c r="GHQ605" s="222"/>
      <c r="GHR605" s="222"/>
      <c r="GHS605" s="223"/>
      <c r="GHT605" s="224"/>
      <c r="GHU605" s="222"/>
      <c r="GHV605" s="222"/>
      <c r="GHW605" s="222"/>
      <c r="GHX605" s="222"/>
      <c r="GHY605" s="222"/>
      <c r="GHZ605" s="222"/>
      <c r="GIA605" s="223"/>
      <c r="GIB605" s="224"/>
      <c r="GIC605" s="222"/>
      <c r="GID605" s="222"/>
      <c r="GIE605" s="222"/>
      <c r="GIF605" s="222"/>
      <c r="GIG605" s="222"/>
      <c r="GIH605" s="222"/>
      <c r="GII605" s="223"/>
      <c r="GIJ605" s="224"/>
      <c r="GIK605" s="222"/>
      <c r="GIL605" s="222"/>
      <c r="GIM605" s="222"/>
      <c r="GIN605" s="222"/>
      <c r="GIO605" s="222"/>
      <c r="GIP605" s="222"/>
      <c r="GIQ605" s="223"/>
      <c r="GIR605" s="224"/>
      <c r="GIS605" s="222"/>
      <c r="GIT605" s="222"/>
      <c r="GIU605" s="222"/>
      <c r="GIV605" s="222"/>
      <c r="GIW605" s="222"/>
      <c r="GIX605" s="222"/>
      <c r="GIY605" s="223"/>
      <c r="GIZ605" s="224"/>
      <c r="GJA605" s="222"/>
      <c r="GJB605" s="222"/>
      <c r="GJC605" s="222"/>
      <c r="GJD605" s="222"/>
      <c r="GJE605" s="222"/>
      <c r="GJF605" s="222"/>
      <c r="GJG605" s="223"/>
      <c r="GJH605" s="224"/>
      <c r="GJI605" s="222"/>
      <c r="GJJ605" s="222"/>
      <c r="GJK605" s="222"/>
      <c r="GJL605" s="222"/>
      <c r="GJM605" s="222"/>
      <c r="GJN605" s="222"/>
      <c r="GJO605" s="223"/>
      <c r="GJP605" s="224"/>
      <c r="GJQ605" s="222"/>
      <c r="GJR605" s="222"/>
      <c r="GJS605" s="222"/>
      <c r="GJT605" s="222"/>
      <c r="GJU605" s="222"/>
      <c r="GJV605" s="222"/>
      <c r="GJW605" s="223"/>
      <c r="GJX605" s="224"/>
      <c r="GJY605" s="222"/>
      <c r="GJZ605" s="222"/>
      <c r="GKA605" s="222"/>
      <c r="GKB605" s="222"/>
      <c r="GKC605" s="222"/>
      <c r="GKD605" s="222"/>
      <c r="GKE605" s="223"/>
      <c r="GKF605" s="224"/>
      <c r="GKG605" s="222"/>
      <c r="GKH605" s="222"/>
      <c r="GKI605" s="222"/>
      <c r="GKJ605" s="222"/>
      <c r="GKK605" s="222"/>
      <c r="GKL605" s="222"/>
      <c r="GKM605" s="223"/>
      <c r="GKN605" s="224"/>
      <c r="GKO605" s="222"/>
      <c r="GKP605" s="222"/>
      <c r="GKQ605" s="222"/>
      <c r="GKR605" s="222"/>
      <c r="GKS605" s="222"/>
      <c r="GKT605" s="222"/>
      <c r="GKU605" s="223"/>
      <c r="GKV605" s="224"/>
      <c r="GKW605" s="222"/>
      <c r="GKX605" s="222"/>
      <c r="GKY605" s="222"/>
      <c r="GKZ605" s="222"/>
      <c r="GLA605" s="222"/>
      <c r="GLB605" s="222"/>
      <c r="GLC605" s="223"/>
      <c r="GLD605" s="224"/>
      <c r="GLE605" s="222"/>
      <c r="GLF605" s="222"/>
      <c r="GLG605" s="222"/>
      <c r="GLH605" s="222"/>
      <c r="GLI605" s="222"/>
      <c r="GLJ605" s="222"/>
      <c r="GLK605" s="223"/>
      <c r="GLL605" s="224"/>
      <c r="GLM605" s="222"/>
      <c r="GLN605" s="222"/>
      <c r="GLO605" s="222"/>
      <c r="GLP605" s="222"/>
      <c r="GLQ605" s="222"/>
      <c r="GLR605" s="222"/>
      <c r="GLS605" s="223"/>
      <c r="GLT605" s="224"/>
      <c r="GLU605" s="222"/>
      <c r="GLV605" s="222"/>
      <c r="GLW605" s="222"/>
      <c r="GLX605" s="222"/>
      <c r="GLY605" s="222"/>
      <c r="GLZ605" s="222"/>
      <c r="GMA605" s="223"/>
      <c r="GMB605" s="224"/>
      <c r="GMC605" s="222"/>
      <c r="GMD605" s="222"/>
      <c r="GME605" s="222"/>
      <c r="GMF605" s="222"/>
      <c r="GMG605" s="222"/>
      <c r="GMH605" s="222"/>
      <c r="GMI605" s="223"/>
      <c r="GMJ605" s="224"/>
      <c r="GMK605" s="222"/>
      <c r="GML605" s="222"/>
      <c r="GMM605" s="222"/>
      <c r="GMN605" s="222"/>
      <c r="GMO605" s="222"/>
      <c r="GMP605" s="222"/>
      <c r="GMQ605" s="223"/>
      <c r="GMR605" s="224"/>
      <c r="GMS605" s="222"/>
      <c r="GMT605" s="222"/>
      <c r="GMU605" s="222"/>
      <c r="GMV605" s="222"/>
      <c r="GMW605" s="222"/>
      <c r="GMX605" s="222"/>
      <c r="GMY605" s="223"/>
      <c r="GMZ605" s="224"/>
      <c r="GNA605" s="222"/>
      <c r="GNB605" s="222"/>
      <c r="GNC605" s="222"/>
      <c r="GND605" s="222"/>
      <c r="GNE605" s="222"/>
      <c r="GNF605" s="222"/>
      <c r="GNG605" s="223"/>
      <c r="GNH605" s="224"/>
      <c r="GNI605" s="222"/>
      <c r="GNJ605" s="222"/>
      <c r="GNK605" s="222"/>
      <c r="GNL605" s="222"/>
      <c r="GNM605" s="222"/>
      <c r="GNN605" s="222"/>
      <c r="GNO605" s="223"/>
      <c r="GNP605" s="224"/>
      <c r="GNQ605" s="222"/>
      <c r="GNR605" s="222"/>
      <c r="GNS605" s="222"/>
      <c r="GNT605" s="222"/>
      <c r="GNU605" s="222"/>
      <c r="GNV605" s="222"/>
      <c r="GNW605" s="223"/>
      <c r="GNX605" s="224"/>
      <c r="GNY605" s="222"/>
      <c r="GNZ605" s="222"/>
      <c r="GOA605" s="222"/>
      <c r="GOB605" s="222"/>
      <c r="GOC605" s="222"/>
      <c r="GOD605" s="222"/>
      <c r="GOE605" s="223"/>
      <c r="GOF605" s="224"/>
      <c r="GOG605" s="222"/>
      <c r="GOH605" s="222"/>
      <c r="GOI605" s="222"/>
      <c r="GOJ605" s="222"/>
      <c r="GOK605" s="222"/>
      <c r="GOL605" s="222"/>
      <c r="GOM605" s="223"/>
      <c r="GON605" s="224"/>
      <c r="GOO605" s="222"/>
      <c r="GOP605" s="222"/>
      <c r="GOQ605" s="222"/>
      <c r="GOR605" s="222"/>
      <c r="GOS605" s="222"/>
      <c r="GOT605" s="222"/>
      <c r="GOU605" s="223"/>
      <c r="GOV605" s="224"/>
      <c r="GOW605" s="222"/>
      <c r="GOX605" s="222"/>
      <c r="GOY605" s="222"/>
      <c r="GOZ605" s="222"/>
      <c r="GPA605" s="222"/>
      <c r="GPB605" s="222"/>
      <c r="GPC605" s="223"/>
      <c r="GPD605" s="224"/>
      <c r="GPE605" s="222"/>
      <c r="GPF605" s="222"/>
      <c r="GPG605" s="222"/>
      <c r="GPH605" s="222"/>
      <c r="GPI605" s="222"/>
      <c r="GPJ605" s="222"/>
      <c r="GPK605" s="223"/>
      <c r="GPL605" s="224"/>
      <c r="GPM605" s="222"/>
      <c r="GPN605" s="222"/>
      <c r="GPO605" s="222"/>
      <c r="GPP605" s="222"/>
      <c r="GPQ605" s="222"/>
      <c r="GPR605" s="222"/>
      <c r="GPS605" s="223"/>
      <c r="GPT605" s="224"/>
      <c r="GPU605" s="222"/>
      <c r="GPV605" s="222"/>
      <c r="GPW605" s="222"/>
      <c r="GPX605" s="222"/>
      <c r="GPY605" s="222"/>
      <c r="GPZ605" s="222"/>
      <c r="GQA605" s="223"/>
      <c r="GQB605" s="224"/>
      <c r="GQC605" s="222"/>
      <c r="GQD605" s="222"/>
      <c r="GQE605" s="222"/>
      <c r="GQF605" s="222"/>
      <c r="GQG605" s="222"/>
      <c r="GQH605" s="222"/>
      <c r="GQI605" s="223"/>
      <c r="GQJ605" s="224"/>
      <c r="GQK605" s="222"/>
      <c r="GQL605" s="222"/>
      <c r="GQM605" s="222"/>
      <c r="GQN605" s="222"/>
      <c r="GQO605" s="222"/>
      <c r="GQP605" s="222"/>
      <c r="GQQ605" s="223"/>
      <c r="GQR605" s="224"/>
      <c r="GQS605" s="222"/>
      <c r="GQT605" s="222"/>
      <c r="GQU605" s="222"/>
      <c r="GQV605" s="222"/>
      <c r="GQW605" s="222"/>
      <c r="GQX605" s="222"/>
      <c r="GQY605" s="223"/>
      <c r="GQZ605" s="224"/>
      <c r="GRA605" s="222"/>
      <c r="GRB605" s="222"/>
      <c r="GRC605" s="222"/>
      <c r="GRD605" s="222"/>
      <c r="GRE605" s="222"/>
      <c r="GRF605" s="222"/>
      <c r="GRG605" s="223"/>
      <c r="GRH605" s="224"/>
      <c r="GRI605" s="222"/>
      <c r="GRJ605" s="222"/>
      <c r="GRK605" s="222"/>
      <c r="GRL605" s="222"/>
      <c r="GRM605" s="222"/>
      <c r="GRN605" s="222"/>
      <c r="GRO605" s="223"/>
      <c r="GRP605" s="224"/>
      <c r="GRQ605" s="222"/>
      <c r="GRR605" s="222"/>
      <c r="GRS605" s="222"/>
      <c r="GRT605" s="222"/>
      <c r="GRU605" s="222"/>
      <c r="GRV605" s="222"/>
      <c r="GRW605" s="223"/>
      <c r="GRX605" s="224"/>
      <c r="GRY605" s="222"/>
      <c r="GRZ605" s="222"/>
      <c r="GSA605" s="222"/>
      <c r="GSB605" s="222"/>
      <c r="GSC605" s="222"/>
      <c r="GSD605" s="222"/>
      <c r="GSE605" s="223"/>
      <c r="GSF605" s="224"/>
      <c r="GSG605" s="222"/>
      <c r="GSH605" s="222"/>
      <c r="GSI605" s="222"/>
      <c r="GSJ605" s="222"/>
      <c r="GSK605" s="222"/>
      <c r="GSL605" s="222"/>
      <c r="GSM605" s="223"/>
      <c r="GSN605" s="224"/>
      <c r="GSO605" s="222"/>
      <c r="GSP605" s="222"/>
      <c r="GSQ605" s="222"/>
      <c r="GSR605" s="222"/>
      <c r="GSS605" s="222"/>
      <c r="GST605" s="222"/>
      <c r="GSU605" s="223"/>
      <c r="GSV605" s="224"/>
      <c r="GSW605" s="222"/>
      <c r="GSX605" s="222"/>
      <c r="GSY605" s="222"/>
      <c r="GSZ605" s="222"/>
      <c r="GTA605" s="222"/>
      <c r="GTB605" s="222"/>
      <c r="GTC605" s="223"/>
      <c r="GTD605" s="224"/>
      <c r="GTE605" s="222"/>
      <c r="GTF605" s="222"/>
      <c r="GTG605" s="222"/>
      <c r="GTH605" s="222"/>
      <c r="GTI605" s="222"/>
      <c r="GTJ605" s="222"/>
      <c r="GTK605" s="223"/>
      <c r="GTL605" s="224"/>
      <c r="GTM605" s="222"/>
      <c r="GTN605" s="222"/>
      <c r="GTO605" s="222"/>
      <c r="GTP605" s="222"/>
      <c r="GTQ605" s="222"/>
      <c r="GTR605" s="222"/>
      <c r="GTS605" s="223"/>
      <c r="GTT605" s="224"/>
      <c r="GTU605" s="222"/>
      <c r="GTV605" s="222"/>
      <c r="GTW605" s="222"/>
      <c r="GTX605" s="222"/>
      <c r="GTY605" s="222"/>
      <c r="GTZ605" s="222"/>
      <c r="GUA605" s="223"/>
      <c r="GUB605" s="224"/>
      <c r="GUC605" s="222"/>
      <c r="GUD605" s="222"/>
      <c r="GUE605" s="222"/>
      <c r="GUF605" s="222"/>
      <c r="GUG605" s="222"/>
      <c r="GUH605" s="222"/>
      <c r="GUI605" s="223"/>
      <c r="GUJ605" s="224"/>
      <c r="GUK605" s="222"/>
      <c r="GUL605" s="222"/>
      <c r="GUM605" s="222"/>
      <c r="GUN605" s="222"/>
      <c r="GUO605" s="222"/>
      <c r="GUP605" s="222"/>
      <c r="GUQ605" s="223"/>
      <c r="GUR605" s="224"/>
      <c r="GUS605" s="222"/>
      <c r="GUT605" s="222"/>
      <c r="GUU605" s="222"/>
      <c r="GUV605" s="222"/>
      <c r="GUW605" s="222"/>
      <c r="GUX605" s="222"/>
      <c r="GUY605" s="223"/>
      <c r="GUZ605" s="224"/>
      <c r="GVA605" s="222"/>
      <c r="GVB605" s="222"/>
      <c r="GVC605" s="222"/>
      <c r="GVD605" s="222"/>
      <c r="GVE605" s="222"/>
      <c r="GVF605" s="222"/>
      <c r="GVG605" s="223"/>
      <c r="GVH605" s="224"/>
      <c r="GVI605" s="222"/>
      <c r="GVJ605" s="222"/>
      <c r="GVK605" s="222"/>
      <c r="GVL605" s="222"/>
      <c r="GVM605" s="222"/>
      <c r="GVN605" s="222"/>
      <c r="GVO605" s="223"/>
      <c r="GVP605" s="224"/>
      <c r="GVQ605" s="222"/>
      <c r="GVR605" s="222"/>
      <c r="GVS605" s="222"/>
      <c r="GVT605" s="222"/>
      <c r="GVU605" s="222"/>
      <c r="GVV605" s="222"/>
      <c r="GVW605" s="223"/>
      <c r="GVX605" s="224"/>
      <c r="GVY605" s="222"/>
      <c r="GVZ605" s="222"/>
      <c r="GWA605" s="222"/>
      <c r="GWB605" s="222"/>
      <c r="GWC605" s="222"/>
      <c r="GWD605" s="222"/>
      <c r="GWE605" s="223"/>
      <c r="GWF605" s="224"/>
      <c r="GWG605" s="222"/>
      <c r="GWH605" s="222"/>
      <c r="GWI605" s="222"/>
      <c r="GWJ605" s="222"/>
      <c r="GWK605" s="222"/>
      <c r="GWL605" s="222"/>
      <c r="GWM605" s="223"/>
      <c r="GWN605" s="224"/>
      <c r="GWO605" s="222"/>
      <c r="GWP605" s="222"/>
      <c r="GWQ605" s="222"/>
      <c r="GWR605" s="222"/>
      <c r="GWS605" s="222"/>
      <c r="GWT605" s="222"/>
      <c r="GWU605" s="223"/>
      <c r="GWV605" s="224"/>
      <c r="GWW605" s="222"/>
      <c r="GWX605" s="222"/>
      <c r="GWY605" s="222"/>
      <c r="GWZ605" s="222"/>
      <c r="GXA605" s="222"/>
      <c r="GXB605" s="222"/>
      <c r="GXC605" s="223"/>
      <c r="GXD605" s="224"/>
      <c r="GXE605" s="222"/>
      <c r="GXF605" s="222"/>
      <c r="GXG605" s="222"/>
      <c r="GXH605" s="222"/>
      <c r="GXI605" s="222"/>
      <c r="GXJ605" s="222"/>
      <c r="GXK605" s="223"/>
      <c r="GXL605" s="224"/>
      <c r="GXM605" s="222"/>
      <c r="GXN605" s="222"/>
      <c r="GXO605" s="222"/>
      <c r="GXP605" s="222"/>
      <c r="GXQ605" s="222"/>
      <c r="GXR605" s="222"/>
      <c r="GXS605" s="223"/>
      <c r="GXT605" s="224"/>
      <c r="GXU605" s="222"/>
      <c r="GXV605" s="222"/>
      <c r="GXW605" s="222"/>
      <c r="GXX605" s="222"/>
      <c r="GXY605" s="222"/>
      <c r="GXZ605" s="222"/>
      <c r="GYA605" s="223"/>
      <c r="GYB605" s="224"/>
      <c r="GYC605" s="222"/>
      <c r="GYD605" s="222"/>
      <c r="GYE605" s="222"/>
      <c r="GYF605" s="222"/>
      <c r="GYG605" s="222"/>
      <c r="GYH605" s="222"/>
      <c r="GYI605" s="223"/>
      <c r="GYJ605" s="224"/>
      <c r="GYK605" s="222"/>
      <c r="GYL605" s="222"/>
      <c r="GYM605" s="222"/>
      <c r="GYN605" s="222"/>
      <c r="GYO605" s="222"/>
      <c r="GYP605" s="222"/>
      <c r="GYQ605" s="223"/>
      <c r="GYR605" s="224"/>
      <c r="GYS605" s="222"/>
      <c r="GYT605" s="222"/>
      <c r="GYU605" s="222"/>
      <c r="GYV605" s="222"/>
      <c r="GYW605" s="222"/>
      <c r="GYX605" s="222"/>
      <c r="GYY605" s="223"/>
      <c r="GYZ605" s="224"/>
      <c r="GZA605" s="222"/>
      <c r="GZB605" s="222"/>
      <c r="GZC605" s="222"/>
      <c r="GZD605" s="222"/>
      <c r="GZE605" s="222"/>
      <c r="GZF605" s="222"/>
      <c r="GZG605" s="223"/>
      <c r="GZH605" s="224"/>
      <c r="GZI605" s="222"/>
      <c r="GZJ605" s="222"/>
      <c r="GZK605" s="222"/>
      <c r="GZL605" s="222"/>
      <c r="GZM605" s="222"/>
      <c r="GZN605" s="222"/>
      <c r="GZO605" s="223"/>
      <c r="GZP605" s="224"/>
      <c r="GZQ605" s="222"/>
      <c r="GZR605" s="222"/>
      <c r="GZS605" s="222"/>
      <c r="GZT605" s="222"/>
      <c r="GZU605" s="222"/>
      <c r="GZV605" s="222"/>
      <c r="GZW605" s="223"/>
      <c r="GZX605" s="224"/>
      <c r="GZY605" s="222"/>
      <c r="GZZ605" s="222"/>
      <c r="HAA605" s="222"/>
      <c r="HAB605" s="222"/>
      <c r="HAC605" s="222"/>
      <c r="HAD605" s="222"/>
      <c r="HAE605" s="223"/>
      <c r="HAF605" s="224"/>
      <c r="HAG605" s="222"/>
      <c r="HAH605" s="222"/>
      <c r="HAI605" s="222"/>
      <c r="HAJ605" s="222"/>
      <c r="HAK605" s="222"/>
      <c r="HAL605" s="222"/>
      <c r="HAM605" s="223"/>
      <c r="HAN605" s="224"/>
      <c r="HAO605" s="222"/>
      <c r="HAP605" s="222"/>
      <c r="HAQ605" s="222"/>
      <c r="HAR605" s="222"/>
      <c r="HAS605" s="222"/>
      <c r="HAT605" s="222"/>
      <c r="HAU605" s="223"/>
      <c r="HAV605" s="224"/>
      <c r="HAW605" s="222"/>
      <c r="HAX605" s="222"/>
      <c r="HAY605" s="222"/>
      <c r="HAZ605" s="222"/>
      <c r="HBA605" s="222"/>
      <c r="HBB605" s="222"/>
      <c r="HBC605" s="223"/>
      <c r="HBD605" s="224"/>
      <c r="HBE605" s="222"/>
      <c r="HBF605" s="222"/>
      <c r="HBG605" s="222"/>
      <c r="HBH605" s="222"/>
      <c r="HBI605" s="222"/>
      <c r="HBJ605" s="222"/>
      <c r="HBK605" s="223"/>
      <c r="HBL605" s="224"/>
      <c r="HBM605" s="222"/>
      <c r="HBN605" s="222"/>
      <c r="HBO605" s="222"/>
      <c r="HBP605" s="222"/>
      <c r="HBQ605" s="222"/>
      <c r="HBR605" s="222"/>
      <c r="HBS605" s="223"/>
      <c r="HBT605" s="224"/>
      <c r="HBU605" s="222"/>
      <c r="HBV605" s="222"/>
      <c r="HBW605" s="222"/>
      <c r="HBX605" s="222"/>
      <c r="HBY605" s="222"/>
      <c r="HBZ605" s="222"/>
      <c r="HCA605" s="223"/>
      <c r="HCB605" s="224"/>
      <c r="HCC605" s="222"/>
      <c r="HCD605" s="222"/>
      <c r="HCE605" s="222"/>
      <c r="HCF605" s="222"/>
      <c r="HCG605" s="222"/>
      <c r="HCH605" s="222"/>
      <c r="HCI605" s="223"/>
      <c r="HCJ605" s="224"/>
      <c r="HCK605" s="222"/>
      <c r="HCL605" s="222"/>
      <c r="HCM605" s="222"/>
      <c r="HCN605" s="222"/>
      <c r="HCO605" s="222"/>
      <c r="HCP605" s="222"/>
      <c r="HCQ605" s="223"/>
      <c r="HCR605" s="224"/>
      <c r="HCS605" s="222"/>
      <c r="HCT605" s="222"/>
      <c r="HCU605" s="222"/>
      <c r="HCV605" s="222"/>
      <c r="HCW605" s="222"/>
      <c r="HCX605" s="222"/>
      <c r="HCY605" s="223"/>
      <c r="HCZ605" s="224"/>
      <c r="HDA605" s="222"/>
      <c r="HDB605" s="222"/>
      <c r="HDC605" s="222"/>
      <c r="HDD605" s="222"/>
      <c r="HDE605" s="222"/>
      <c r="HDF605" s="222"/>
      <c r="HDG605" s="223"/>
      <c r="HDH605" s="224"/>
      <c r="HDI605" s="222"/>
      <c r="HDJ605" s="222"/>
      <c r="HDK605" s="222"/>
      <c r="HDL605" s="222"/>
      <c r="HDM605" s="222"/>
      <c r="HDN605" s="222"/>
      <c r="HDO605" s="223"/>
      <c r="HDP605" s="224"/>
      <c r="HDQ605" s="222"/>
      <c r="HDR605" s="222"/>
      <c r="HDS605" s="222"/>
      <c r="HDT605" s="222"/>
      <c r="HDU605" s="222"/>
      <c r="HDV605" s="222"/>
      <c r="HDW605" s="223"/>
      <c r="HDX605" s="224"/>
      <c r="HDY605" s="222"/>
      <c r="HDZ605" s="222"/>
      <c r="HEA605" s="222"/>
      <c r="HEB605" s="222"/>
      <c r="HEC605" s="222"/>
      <c r="HED605" s="222"/>
      <c r="HEE605" s="223"/>
      <c r="HEF605" s="224"/>
      <c r="HEG605" s="222"/>
      <c r="HEH605" s="222"/>
      <c r="HEI605" s="222"/>
      <c r="HEJ605" s="222"/>
      <c r="HEK605" s="222"/>
      <c r="HEL605" s="222"/>
      <c r="HEM605" s="223"/>
      <c r="HEN605" s="224"/>
      <c r="HEO605" s="222"/>
      <c r="HEP605" s="222"/>
      <c r="HEQ605" s="222"/>
      <c r="HER605" s="222"/>
      <c r="HES605" s="222"/>
      <c r="HET605" s="222"/>
      <c r="HEU605" s="223"/>
      <c r="HEV605" s="224"/>
      <c r="HEW605" s="222"/>
      <c r="HEX605" s="222"/>
      <c r="HEY605" s="222"/>
      <c r="HEZ605" s="222"/>
      <c r="HFA605" s="222"/>
      <c r="HFB605" s="222"/>
      <c r="HFC605" s="223"/>
      <c r="HFD605" s="224"/>
      <c r="HFE605" s="222"/>
      <c r="HFF605" s="222"/>
      <c r="HFG605" s="222"/>
      <c r="HFH605" s="222"/>
      <c r="HFI605" s="222"/>
      <c r="HFJ605" s="222"/>
      <c r="HFK605" s="223"/>
      <c r="HFL605" s="224"/>
      <c r="HFM605" s="222"/>
      <c r="HFN605" s="222"/>
      <c r="HFO605" s="222"/>
      <c r="HFP605" s="222"/>
      <c r="HFQ605" s="222"/>
      <c r="HFR605" s="222"/>
      <c r="HFS605" s="223"/>
      <c r="HFT605" s="224"/>
      <c r="HFU605" s="222"/>
      <c r="HFV605" s="222"/>
      <c r="HFW605" s="222"/>
      <c r="HFX605" s="222"/>
      <c r="HFY605" s="222"/>
      <c r="HFZ605" s="222"/>
      <c r="HGA605" s="223"/>
      <c r="HGB605" s="224"/>
      <c r="HGC605" s="222"/>
      <c r="HGD605" s="222"/>
      <c r="HGE605" s="222"/>
      <c r="HGF605" s="222"/>
      <c r="HGG605" s="222"/>
      <c r="HGH605" s="222"/>
      <c r="HGI605" s="223"/>
      <c r="HGJ605" s="224"/>
      <c r="HGK605" s="222"/>
      <c r="HGL605" s="222"/>
      <c r="HGM605" s="222"/>
      <c r="HGN605" s="222"/>
      <c r="HGO605" s="222"/>
      <c r="HGP605" s="222"/>
      <c r="HGQ605" s="223"/>
      <c r="HGR605" s="224"/>
      <c r="HGS605" s="222"/>
      <c r="HGT605" s="222"/>
      <c r="HGU605" s="222"/>
      <c r="HGV605" s="222"/>
      <c r="HGW605" s="222"/>
      <c r="HGX605" s="222"/>
      <c r="HGY605" s="223"/>
      <c r="HGZ605" s="224"/>
      <c r="HHA605" s="222"/>
      <c r="HHB605" s="222"/>
      <c r="HHC605" s="222"/>
      <c r="HHD605" s="222"/>
      <c r="HHE605" s="222"/>
      <c r="HHF605" s="222"/>
      <c r="HHG605" s="223"/>
      <c r="HHH605" s="224"/>
      <c r="HHI605" s="222"/>
      <c r="HHJ605" s="222"/>
      <c r="HHK605" s="222"/>
      <c r="HHL605" s="222"/>
      <c r="HHM605" s="222"/>
      <c r="HHN605" s="222"/>
      <c r="HHO605" s="223"/>
      <c r="HHP605" s="224"/>
      <c r="HHQ605" s="222"/>
      <c r="HHR605" s="222"/>
      <c r="HHS605" s="222"/>
      <c r="HHT605" s="222"/>
      <c r="HHU605" s="222"/>
      <c r="HHV605" s="222"/>
      <c r="HHW605" s="223"/>
      <c r="HHX605" s="224"/>
      <c r="HHY605" s="222"/>
      <c r="HHZ605" s="222"/>
      <c r="HIA605" s="222"/>
      <c r="HIB605" s="222"/>
      <c r="HIC605" s="222"/>
      <c r="HID605" s="222"/>
      <c r="HIE605" s="223"/>
      <c r="HIF605" s="224"/>
      <c r="HIG605" s="222"/>
      <c r="HIH605" s="222"/>
      <c r="HII605" s="222"/>
      <c r="HIJ605" s="222"/>
      <c r="HIK605" s="222"/>
      <c r="HIL605" s="222"/>
      <c r="HIM605" s="223"/>
      <c r="HIN605" s="224"/>
      <c r="HIO605" s="222"/>
      <c r="HIP605" s="222"/>
      <c r="HIQ605" s="222"/>
      <c r="HIR605" s="222"/>
      <c r="HIS605" s="222"/>
      <c r="HIT605" s="222"/>
      <c r="HIU605" s="223"/>
      <c r="HIV605" s="224"/>
      <c r="HIW605" s="222"/>
      <c r="HIX605" s="222"/>
      <c r="HIY605" s="222"/>
      <c r="HIZ605" s="222"/>
      <c r="HJA605" s="222"/>
      <c r="HJB605" s="222"/>
      <c r="HJC605" s="223"/>
      <c r="HJD605" s="224"/>
      <c r="HJE605" s="222"/>
      <c r="HJF605" s="222"/>
      <c r="HJG605" s="222"/>
      <c r="HJH605" s="222"/>
      <c r="HJI605" s="222"/>
      <c r="HJJ605" s="222"/>
      <c r="HJK605" s="223"/>
      <c r="HJL605" s="224"/>
      <c r="HJM605" s="222"/>
      <c r="HJN605" s="222"/>
      <c r="HJO605" s="222"/>
      <c r="HJP605" s="222"/>
      <c r="HJQ605" s="222"/>
      <c r="HJR605" s="222"/>
      <c r="HJS605" s="223"/>
      <c r="HJT605" s="224"/>
      <c r="HJU605" s="222"/>
      <c r="HJV605" s="222"/>
      <c r="HJW605" s="222"/>
      <c r="HJX605" s="222"/>
      <c r="HJY605" s="222"/>
      <c r="HJZ605" s="222"/>
      <c r="HKA605" s="223"/>
      <c r="HKB605" s="224"/>
      <c r="HKC605" s="222"/>
      <c r="HKD605" s="222"/>
      <c r="HKE605" s="222"/>
      <c r="HKF605" s="222"/>
      <c r="HKG605" s="222"/>
      <c r="HKH605" s="222"/>
      <c r="HKI605" s="223"/>
      <c r="HKJ605" s="224"/>
      <c r="HKK605" s="222"/>
      <c r="HKL605" s="222"/>
      <c r="HKM605" s="222"/>
      <c r="HKN605" s="222"/>
      <c r="HKO605" s="222"/>
      <c r="HKP605" s="222"/>
      <c r="HKQ605" s="223"/>
      <c r="HKR605" s="224"/>
      <c r="HKS605" s="222"/>
      <c r="HKT605" s="222"/>
      <c r="HKU605" s="222"/>
      <c r="HKV605" s="222"/>
      <c r="HKW605" s="222"/>
      <c r="HKX605" s="222"/>
      <c r="HKY605" s="223"/>
      <c r="HKZ605" s="224"/>
      <c r="HLA605" s="222"/>
      <c r="HLB605" s="222"/>
      <c r="HLC605" s="222"/>
      <c r="HLD605" s="222"/>
      <c r="HLE605" s="222"/>
      <c r="HLF605" s="222"/>
      <c r="HLG605" s="223"/>
      <c r="HLH605" s="224"/>
      <c r="HLI605" s="222"/>
      <c r="HLJ605" s="222"/>
      <c r="HLK605" s="222"/>
      <c r="HLL605" s="222"/>
      <c r="HLM605" s="222"/>
      <c r="HLN605" s="222"/>
      <c r="HLO605" s="223"/>
      <c r="HLP605" s="224"/>
      <c r="HLQ605" s="222"/>
      <c r="HLR605" s="222"/>
      <c r="HLS605" s="222"/>
      <c r="HLT605" s="222"/>
      <c r="HLU605" s="222"/>
      <c r="HLV605" s="222"/>
      <c r="HLW605" s="223"/>
      <c r="HLX605" s="224"/>
      <c r="HLY605" s="222"/>
      <c r="HLZ605" s="222"/>
      <c r="HMA605" s="222"/>
      <c r="HMB605" s="222"/>
      <c r="HMC605" s="222"/>
      <c r="HMD605" s="222"/>
      <c r="HME605" s="223"/>
      <c r="HMF605" s="224"/>
      <c r="HMG605" s="222"/>
      <c r="HMH605" s="222"/>
      <c r="HMI605" s="222"/>
      <c r="HMJ605" s="222"/>
      <c r="HMK605" s="222"/>
      <c r="HML605" s="222"/>
      <c r="HMM605" s="223"/>
      <c r="HMN605" s="224"/>
      <c r="HMO605" s="222"/>
      <c r="HMP605" s="222"/>
      <c r="HMQ605" s="222"/>
      <c r="HMR605" s="222"/>
      <c r="HMS605" s="222"/>
      <c r="HMT605" s="222"/>
      <c r="HMU605" s="223"/>
      <c r="HMV605" s="224"/>
      <c r="HMW605" s="222"/>
      <c r="HMX605" s="222"/>
      <c r="HMY605" s="222"/>
      <c r="HMZ605" s="222"/>
      <c r="HNA605" s="222"/>
      <c r="HNB605" s="222"/>
      <c r="HNC605" s="223"/>
      <c r="HND605" s="224"/>
      <c r="HNE605" s="222"/>
      <c r="HNF605" s="222"/>
      <c r="HNG605" s="222"/>
      <c r="HNH605" s="222"/>
      <c r="HNI605" s="222"/>
      <c r="HNJ605" s="222"/>
      <c r="HNK605" s="223"/>
      <c r="HNL605" s="224"/>
      <c r="HNM605" s="222"/>
      <c r="HNN605" s="222"/>
      <c r="HNO605" s="222"/>
      <c r="HNP605" s="222"/>
      <c r="HNQ605" s="222"/>
      <c r="HNR605" s="222"/>
      <c r="HNS605" s="223"/>
      <c r="HNT605" s="224"/>
      <c r="HNU605" s="222"/>
      <c r="HNV605" s="222"/>
      <c r="HNW605" s="222"/>
      <c r="HNX605" s="222"/>
      <c r="HNY605" s="222"/>
      <c r="HNZ605" s="222"/>
      <c r="HOA605" s="223"/>
      <c r="HOB605" s="224"/>
      <c r="HOC605" s="222"/>
      <c r="HOD605" s="222"/>
      <c r="HOE605" s="222"/>
      <c r="HOF605" s="222"/>
      <c r="HOG605" s="222"/>
      <c r="HOH605" s="222"/>
      <c r="HOI605" s="223"/>
      <c r="HOJ605" s="224"/>
      <c r="HOK605" s="222"/>
      <c r="HOL605" s="222"/>
      <c r="HOM605" s="222"/>
      <c r="HON605" s="222"/>
      <c r="HOO605" s="222"/>
      <c r="HOP605" s="222"/>
      <c r="HOQ605" s="223"/>
      <c r="HOR605" s="224"/>
      <c r="HOS605" s="222"/>
      <c r="HOT605" s="222"/>
      <c r="HOU605" s="222"/>
      <c r="HOV605" s="222"/>
      <c r="HOW605" s="222"/>
      <c r="HOX605" s="222"/>
      <c r="HOY605" s="223"/>
      <c r="HOZ605" s="224"/>
      <c r="HPA605" s="222"/>
      <c r="HPB605" s="222"/>
      <c r="HPC605" s="222"/>
      <c r="HPD605" s="222"/>
      <c r="HPE605" s="222"/>
      <c r="HPF605" s="222"/>
      <c r="HPG605" s="223"/>
      <c r="HPH605" s="224"/>
      <c r="HPI605" s="222"/>
      <c r="HPJ605" s="222"/>
      <c r="HPK605" s="222"/>
      <c r="HPL605" s="222"/>
      <c r="HPM605" s="222"/>
      <c r="HPN605" s="222"/>
      <c r="HPO605" s="223"/>
      <c r="HPP605" s="224"/>
      <c r="HPQ605" s="222"/>
      <c r="HPR605" s="222"/>
      <c r="HPS605" s="222"/>
      <c r="HPT605" s="222"/>
      <c r="HPU605" s="222"/>
      <c r="HPV605" s="222"/>
      <c r="HPW605" s="223"/>
      <c r="HPX605" s="224"/>
      <c r="HPY605" s="222"/>
      <c r="HPZ605" s="222"/>
      <c r="HQA605" s="222"/>
      <c r="HQB605" s="222"/>
      <c r="HQC605" s="222"/>
      <c r="HQD605" s="222"/>
      <c r="HQE605" s="223"/>
      <c r="HQF605" s="224"/>
      <c r="HQG605" s="222"/>
      <c r="HQH605" s="222"/>
      <c r="HQI605" s="222"/>
      <c r="HQJ605" s="222"/>
      <c r="HQK605" s="222"/>
      <c r="HQL605" s="222"/>
      <c r="HQM605" s="223"/>
      <c r="HQN605" s="224"/>
      <c r="HQO605" s="222"/>
      <c r="HQP605" s="222"/>
      <c r="HQQ605" s="222"/>
      <c r="HQR605" s="222"/>
      <c r="HQS605" s="222"/>
      <c r="HQT605" s="222"/>
      <c r="HQU605" s="223"/>
      <c r="HQV605" s="224"/>
      <c r="HQW605" s="222"/>
      <c r="HQX605" s="222"/>
      <c r="HQY605" s="222"/>
      <c r="HQZ605" s="222"/>
      <c r="HRA605" s="222"/>
      <c r="HRB605" s="222"/>
      <c r="HRC605" s="223"/>
      <c r="HRD605" s="224"/>
      <c r="HRE605" s="222"/>
      <c r="HRF605" s="222"/>
      <c r="HRG605" s="222"/>
      <c r="HRH605" s="222"/>
      <c r="HRI605" s="222"/>
      <c r="HRJ605" s="222"/>
      <c r="HRK605" s="223"/>
      <c r="HRL605" s="224"/>
      <c r="HRM605" s="222"/>
      <c r="HRN605" s="222"/>
      <c r="HRO605" s="222"/>
      <c r="HRP605" s="222"/>
      <c r="HRQ605" s="222"/>
      <c r="HRR605" s="222"/>
      <c r="HRS605" s="223"/>
      <c r="HRT605" s="224"/>
      <c r="HRU605" s="222"/>
      <c r="HRV605" s="222"/>
      <c r="HRW605" s="222"/>
      <c r="HRX605" s="222"/>
      <c r="HRY605" s="222"/>
      <c r="HRZ605" s="222"/>
      <c r="HSA605" s="223"/>
      <c r="HSB605" s="224"/>
      <c r="HSC605" s="222"/>
      <c r="HSD605" s="222"/>
      <c r="HSE605" s="222"/>
      <c r="HSF605" s="222"/>
      <c r="HSG605" s="222"/>
      <c r="HSH605" s="222"/>
      <c r="HSI605" s="223"/>
      <c r="HSJ605" s="224"/>
      <c r="HSK605" s="222"/>
      <c r="HSL605" s="222"/>
      <c r="HSM605" s="222"/>
      <c r="HSN605" s="222"/>
      <c r="HSO605" s="222"/>
      <c r="HSP605" s="222"/>
      <c r="HSQ605" s="223"/>
      <c r="HSR605" s="224"/>
      <c r="HSS605" s="222"/>
      <c r="HST605" s="222"/>
      <c r="HSU605" s="222"/>
      <c r="HSV605" s="222"/>
      <c r="HSW605" s="222"/>
      <c r="HSX605" s="222"/>
      <c r="HSY605" s="223"/>
      <c r="HSZ605" s="224"/>
      <c r="HTA605" s="222"/>
      <c r="HTB605" s="222"/>
      <c r="HTC605" s="222"/>
      <c r="HTD605" s="222"/>
      <c r="HTE605" s="222"/>
      <c r="HTF605" s="222"/>
      <c r="HTG605" s="223"/>
      <c r="HTH605" s="224"/>
      <c r="HTI605" s="222"/>
      <c r="HTJ605" s="222"/>
      <c r="HTK605" s="222"/>
      <c r="HTL605" s="222"/>
      <c r="HTM605" s="222"/>
      <c r="HTN605" s="222"/>
      <c r="HTO605" s="223"/>
      <c r="HTP605" s="224"/>
      <c r="HTQ605" s="222"/>
      <c r="HTR605" s="222"/>
      <c r="HTS605" s="222"/>
      <c r="HTT605" s="222"/>
      <c r="HTU605" s="222"/>
      <c r="HTV605" s="222"/>
      <c r="HTW605" s="223"/>
      <c r="HTX605" s="224"/>
      <c r="HTY605" s="222"/>
      <c r="HTZ605" s="222"/>
      <c r="HUA605" s="222"/>
      <c r="HUB605" s="222"/>
      <c r="HUC605" s="222"/>
      <c r="HUD605" s="222"/>
      <c r="HUE605" s="223"/>
      <c r="HUF605" s="224"/>
      <c r="HUG605" s="222"/>
      <c r="HUH605" s="222"/>
      <c r="HUI605" s="222"/>
      <c r="HUJ605" s="222"/>
      <c r="HUK605" s="222"/>
      <c r="HUL605" s="222"/>
      <c r="HUM605" s="223"/>
      <c r="HUN605" s="224"/>
      <c r="HUO605" s="222"/>
      <c r="HUP605" s="222"/>
      <c r="HUQ605" s="222"/>
      <c r="HUR605" s="222"/>
      <c r="HUS605" s="222"/>
      <c r="HUT605" s="222"/>
      <c r="HUU605" s="223"/>
      <c r="HUV605" s="224"/>
      <c r="HUW605" s="222"/>
      <c r="HUX605" s="222"/>
      <c r="HUY605" s="222"/>
      <c r="HUZ605" s="222"/>
      <c r="HVA605" s="222"/>
      <c r="HVB605" s="222"/>
      <c r="HVC605" s="223"/>
      <c r="HVD605" s="224"/>
      <c r="HVE605" s="222"/>
      <c r="HVF605" s="222"/>
      <c r="HVG605" s="222"/>
      <c r="HVH605" s="222"/>
      <c r="HVI605" s="222"/>
      <c r="HVJ605" s="222"/>
      <c r="HVK605" s="223"/>
      <c r="HVL605" s="224"/>
      <c r="HVM605" s="222"/>
      <c r="HVN605" s="222"/>
      <c r="HVO605" s="222"/>
      <c r="HVP605" s="222"/>
      <c r="HVQ605" s="222"/>
      <c r="HVR605" s="222"/>
      <c r="HVS605" s="223"/>
      <c r="HVT605" s="224"/>
      <c r="HVU605" s="222"/>
      <c r="HVV605" s="222"/>
      <c r="HVW605" s="222"/>
      <c r="HVX605" s="222"/>
      <c r="HVY605" s="222"/>
      <c r="HVZ605" s="222"/>
      <c r="HWA605" s="223"/>
      <c r="HWB605" s="224"/>
      <c r="HWC605" s="222"/>
      <c r="HWD605" s="222"/>
      <c r="HWE605" s="222"/>
      <c r="HWF605" s="222"/>
      <c r="HWG605" s="222"/>
      <c r="HWH605" s="222"/>
      <c r="HWI605" s="223"/>
      <c r="HWJ605" s="224"/>
      <c r="HWK605" s="222"/>
      <c r="HWL605" s="222"/>
      <c r="HWM605" s="222"/>
      <c r="HWN605" s="222"/>
      <c r="HWO605" s="222"/>
      <c r="HWP605" s="222"/>
      <c r="HWQ605" s="223"/>
      <c r="HWR605" s="224"/>
      <c r="HWS605" s="222"/>
      <c r="HWT605" s="222"/>
      <c r="HWU605" s="222"/>
      <c r="HWV605" s="222"/>
      <c r="HWW605" s="222"/>
      <c r="HWX605" s="222"/>
      <c r="HWY605" s="223"/>
      <c r="HWZ605" s="224"/>
      <c r="HXA605" s="222"/>
      <c r="HXB605" s="222"/>
      <c r="HXC605" s="222"/>
      <c r="HXD605" s="222"/>
      <c r="HXE605" s="222"/>
      <c r="HXF605" s="222"/>
      <c r="HXG605" s="223"/>
      <c r="HXH605" s="224"/>
      <c r="HXI605" s="222"/>
      <c r="HXJ605" s="222"/>
      <c r="HXK605" s="222"/>
      <c r="HXL605" s="222"/>
      <c r="HXM605" s="222"/>
      <c r="HXN605" s="222"/>
      <c r="HXO605" s="223"/>
      <c r="HXP605" s="224"/>
      <c r="HXQ605" s="222"/>
      <c r="HXR605" s="222"/>
      <c r="HXS605" s="222"/>
      <c r="HXT605" s="222"/>
      <c r="HXU605" s="222"/>
      <c r="HXV605" s="222"/>
      <c r="HXW605" s="223"/>
      <c r="HXX605" s="224"/>
      <c r="HXY605" s="222"/>
      <c r="HXZ605" s="222"/>
      <c r="HYA605" s="222"/>
      <c r="HYB605" s="222"/>
      <c r="HYC605" s="222"/>
      <c r="HYD605" s="222"/>
      <c r="HYE605" s="223"/>
      <c r="HYF605" s="224"/>
      <c r="HYG605" s="222"/>
      <c r="HYH605" s="222"/>
      <c r="HYI605" s="222"/>
      <c r="HYJ605" s="222"/>
      <c r="HYK605" s="222"/>
      <c r="HYL605" s="222"/>
      <c r="HYM605" s="223"/>
      <c r="HYN605" s="224"/>
      <c r="HYO605" s="222"/>
      <c r="HYP605" s="222"/>
      <c r="HYQ605" s="222"/>
      <c r="HYR605" s="222"/>
      <c r="HYS605" s="222"/>
      <c r="HYT605" s="222"/>
      <c r="HYU605" s="223"/>
      <c r="HYV605" s="224"/>
      <c r="HYW605" s="222"/>
      <c r="HYX605" s="222"/>
      <c r="HYY605" s="222"/>
      <c r="HYZ605" s="222"/>
      <c r="HZA605" s="222"/>
      <c r="HZB605" s="222"/>
      <c r="HZC605" s="223"/>
      <c r="HZD605" s="224"/>
      <c r="HZE605" s="222"/>
      <c r="HZF605" s="222"/>
      <c r="HZG605" s="222"/>
      <c r="HZH605" s="222"/>
      <c r="HZI605" s="222"/>
      <c r="HZJ605" s="222"/>
      <c r="HZK605" s="223"/>
      <c r="HZL605" s="224"/>
      <c r="HZM605" s="222"/>
      <c r="HZN605" s="222"/>
      <c r="HZO605" s="222"/>
      <c r="HZP605" s="222"/>
      <c r="HZQ605" s="222"/>
      <c r="HZR605" s="222"/>
      <c r="HZS605" s="223"/>
      <c r="HZT605" s="224"/>
      <c r="HZU605" s="222"/>
      <c r="HZV605" s="222"/>
      <c r="HZW605" s="222"/>
      <c r="HZX605" s="222"/>
      <c r="HZY605" s="222"/>
      <c r="HZZ605" s="222"/>
      <c r="IAA605" s="223"/>
      <c r="IAB605" s="224"/>
      <c r="IAC605" s="222"/>
      <c r="IAD605" s="222"/>
      <c r="IAE605" s="222"/>
      <c r="IAF605" s="222"/>
      <c r="IAG605" s="222"/>
      <c r="IAH605" s="222"/>
      <c r="IAI605" s="223"/>
      <c r="IAJ605" s="224"/>
      <c r="IAK605" s="222"/>
      <c r="IAL605" s="222"/>
      <c r="IAM605" s="222"/>
      <c r="IAN605" s="222"/>
      <c r="IAO605" s="222"/>
      <c r="IAP605" s="222"/>
      <c r="IAQ605" s="223"/>
      <c r="IAR605" s="224"/>
      <c r="IAS605" s="222"/>
      <c r="IAT605" s="222"/>
      <c r="IAU605" s="222"/>
      <c r="IAV605" s="222"/>
      <c r="IAW605" s="222"/>
      <c r="IAX605" s="222"/>
      <c r="IAY605" s="223"/>
      <c r="IAZ605" s="224"/>
      <c r="IBA605" s="222"/>
      <c r="IBB605" s="222"/>
      <c r="IBC605" s="222"/>
      <c r="IBD605" s="222"/>
      <c r="IBE605" s="222"/>
      <c r="IBF605" s="222"/>
      <c r="IBG605" s="223"/>
      <c r="IBH605" s="224"/>
      <c r="IBI605" s="222"/>
      <c r="IBJ605" s="222"/>
      <c r="IBK605" s="222"/>
      <c r="IBL605" s="222"/>
      <c r="IBM605" s="222"/>
      <c r="IBN605" s="222"/>
      <c r="IBO605" s="223"/>
      <c r="IBP605" s="224"/>
      <c r="IBQ605" s="222"/>
      <c r="IBR605" s="222"/>
      <c r="IBS605" s="222"/>
      <c r="IBT605" s="222"/>
      <c r="IBU605" s="222"/>
      <c r="IBV605" s="222"/>
      <c r="IBW605" s="223"/>
      <c r="IBX605" s="224"/>
      <c r="IBY605" s="222"/>
      <c r="IBZ605" s="222"/>
      <c r="ICA605" s="222"/>
      <c r="ICB605" s="222"/>
      <c r="ICC605" s="222"/>
      <c r="ICD605" s="222"/>
      <c r="ICE605" s="223"/>
      <c r="ICF605" s="224"/>
      <c r="ICG605" s="222"/>
      <c r="ICH605" s="222"/>
      <c r="ICI605" s="222"/>
      <c r="ICJ605" s="222"/>
      <c r="ICK605" s="222"/>
      <c r="ICL605" s="222"/>
      <c r="ICM605" s="223"/>
      <c r="ICN605" s="224"/>
      <c r="ICO605" s="222"/>
      <c r="ICP605" s="222"/>
      <c r="ICQ605" s="222"/>
      <c r="ICR605" s="222"/>
      <c r="ICS605" s="222"/>
      <c r="ICT605" s="222"/>
      <c r="ICU605" s="223"/>
      <c r="ICV605" s="224"/>
      <c r="ICW605" s="222"/>
      <c r="ICX605" s="222"/>
      <c r="ICY605" s="222"/>
      <c r="ICZ605" s="222"/>
      <c r="IDA605" s="222"/>
      <c r="IDB605" s="222"/>
      <c r="IDC605" s="223"/>
      <c r="IDD605" s="224"/>
      <c r="IDE605" s="222"/>
      <c r="IDF605" s="222"/>
      <c r="IDG605" s="222"/>
      <c r="IDH605" s="222"/>
      <c r="IDI605" s="222"/>
      <c r="IDJ605" s="222"/>
      <c r="IDK605" s="223"/>
      <c r="IDL605" s="224"/>
      <c r="IDM605" s="222"/>
      <c r="IDN605" s="222"/>
      <c r="IDO605" s="222"/>
      <c r="IDP605" s="222"/>
      <c r="IDQ605" s="222"/>
      <c r="IDR605" s="222"/>
      <c r="IDS605" s="223"/>
      <c r="IDT605" s="224"/>
      <c r="IDU605" s="222"/>
      <c r="IDV605" s="222"/>
      <c r="IDW605" s="222"/>
      <c r="IDX605" s="222"/>
      <c r="IDY605" s="222"/>
      <c r="IDZ605" s="222"/>
      <c r="IEA605" s="223"/>
      <c r="IEB605" s="224"/>
      <c r="IEC605" s="222"/>
      <c r="IED605" s="222"/>
      <c r="IEE605" s="222"/>
      <c r="IEF605" s="222"/>
      <c r="IEG605" s="222"/>
      <c r="IEH605" s="222"/>
      <c r="IEI605" s="223"/>
      <c r="IEJ605" s="224"/>
      <c r="IEK605" s="222"/>
      <c r="IEL605" s="222"/>
      <c r="IEM605" s="222"/>
      <c r="IEN605" s="222"/>
      <c r="IEO605" s="222"/>
      <c r="IEP605" s="222"/>
      <c r="IEQ605" s="223"/>
      <c r="IER605" s="224"/>
      <c r="IES605" s="222"/>
      <c r="IET605" s="222"/>
      <c r="IEU605" s="222"/>
      <c r="IEV605" s="222"/>
      <c r="IEW605" s="222"/>
      <c r="IEX605" s="222"/>
      <c r="IEY605" s="223"/>
      <c r="IEZ605" s="224"/>
      <c r="IFA605" s="222"/>
      <c r="IFB605" s="222"/>
      <c r="IFC605" s="222"/>
      <c r="IFD605" s="222"/>
      <c r="IFE605" s="222"/>
      <c r="IFF605" s="222"/>
      <c r="IFG605" s="223"/>
      <c r="IFH605" s="224"/>
      <c r="IFI605" s="222"/>
      <c r="IFJ605" s="222"/>
      <c r="IFK605" s="222"/>
      <c r="IFL605" s="222"/>
      <c r="IFM605" s="222"/>
      <c r="IFN605" s="222"/>
      <c r="IFO605" s="223"/>
      <c r="IFP605" s="224"/>
      <c r="IFQ605" s="222"/>
      <c r="IFR605" s="222"/>
      <c r="IFS605" s="222"/>
      <c r="IFT605" s="222"/>
      <c r="IFU605" s="222"/>
      <c r="IFV605" s="222"/>
      <c r="IFW605" s="223"/>
      <c r="IFX605" s="224"/>
      <c r="IFY605" s="222"/>
      <c r="IFZ605" s="222"/>
      <c r="IGA605" s="222"/>
      <c r="IGB605" s="222"/>
      <c r="IGC605" s="222"/>
      <c r="IGD605" s="222"/>
      <c r="IGE605" s="223"/>
      <c r="IGF605" s="224"/>
      <c r="IGG605" s="222"/>
      <c r="IGH605" s="222"/>
      <c r="IGI605" s="222"/>
      <c r="IGJ605" s="222"/>
      <c r="IGK605" s="222"/>
      <c r="IGL605" s="222"/>
      <c r="IGM605" s="223"/>
      <c r="IGN605" s="224"/>
      <c r="IGO605" s="222"/>
      <c r="IGP605" s="222"/>
      <c r="IGQ605" s="222"/>
      <c r="IGR605" s="222"/>
      <c r="IGS605" s="222"/>
      <c r="IGT605" s="222"/>
      <c r="IGU605" s="223"/>
      <c r="IGV605" s="224"/>
      <c r="IGW605" s="222"/>
      <c r="IGX605" s="222"/>
      <c r="IGY605" s="222"/>
      <c r="IGZ605" s="222"/>
      <c r="IHA605" s="222"/>
      <c r="IHB605" s="222"/>
      <c r="IHC605" s="223"/>
      <c r="IHD605" s="224"/>
      <c r="IHE605" s="222"/>
      <c r="IHF605" s="222"/>
      <c r="IHG605" s="222"/>
      <c r="IHH605" s="222"/>
      <c r="IHI605" s="222"/>
      <c r="IHJ605" s="222"/>
      <c r="IHK605" s="223"/>
      <c r="IHL605" s="224"/>
      <c r="IHM605" s="222"/>
      <c r="IHN605" s="222"/>
      <c r="IHO605" s="222"/>
      <c r="IHP605" s="222"/>
      <c r="IHQ605" s="222"/>
      <c r="IHR605" s="222"/>
      <c r="IHS605" s="223"/>
      <c r="IHT605" s="224"/>
      <c r="IHU605" s="222"/>
      <c r="IHV605" s="222"/>
      <c r="IHW605" s="222"/>
      <c r="IHX605" s="222"/>
      <c r="IHY605" s="222"/>
      <c r="IHZ605" s="222"/>
      <c r="IIA605" s="223"/>
      <c r="IIB605" s="224"/>
      <c r="IIC605" s="222"/>
      <c r="IID605" s="222"/>
      <c r="IIE605" s="222"/>
      <c r="IIF605" s="222"/>
      <c r="IIG605" s="222"/>
      <c r="IIH605" s="222"/>
      <c r="III605" s="223"/>
      <c r="IIJ605" s="224"/>
      <c r="IIK605" s="222"/>
      <c r="IIL605" s="222"/>
      <c r="IIM605" s="222"/>
      <c r="IIN605" s="222"/>
      <c r="IIO605" s="222"/>
      <c r="IIP605" s="222"/>
      <c r="IIQ605" s="223"/>
      <c r="IIR605" s="224"/>
      <c r="IIS605" s="222"/>
      <c r="IIT605" s="222"/>
      <c r="IIU605" s="222"/>
      <c r="IIV605" s="222"/>
      <c r="IIW605" s="222"/>
      <c r="IIX605" s="222"/>
      <c r="IIY605" s="223"/>
      <c r="IIZ605" s="224"/>
      <c r="IJA605" s="222"/>
      <c r="IJB605" s="222"/>
      <c r="IJC605" s="222"/>
      <c r="IJD605" s="222"/>
      <c r="IJE605" s="222"/>
      <c r="IJF605" s="222"/>
      <c r="IJG605" s="223"/>
      <c r="IJH605" s="224"/>
      <c r="IJI605" s="222"/>
      <c r="IJJ605" s="222"/>
      <c r="IJK605" s="222"/>
      <c r="IJL605" s="222"/>
      <c r="IJM605" s="222"/>
      <c r="IJN605" s="222"/>
      <c r="IJO605" s="223"/>
      <c r="IJP605" s="224"/>
      <c r="IJQ605" s="222"/>
      <c r="IJR605" s="222"/>
      <c r="IJS605" s="222"/>
      <c r="IJT605" s="222"/>
      <c r="IJU605" s="222"/>
      <c r="IJV605" s="222"/>
      <c r="IJW605" s="223"/>
      <c r="IJX605" s="224"/>
      <c r="IJY605" s="222"/>
      <c r="IJZ605" s="222"/>
      <c r="IKA605" s="222"/>
      <c r="IKB605" s="222"/>
      <c r="IKC605" s="222"/>
      <c r="IKD605" s="222"/>
      <c r="IKE605" s="223"/>
      <c r="IKF605" s="224"/>
      <c r="IKG605" s="222"/>
      <c r="IKH605" s="222"/>
      <c r="IKI605" s="222"/>
      <c r="IKJ605" s="222"/>
      <c r="IKK605" s="222"/>
      <c r="IKL605" s="222"/>
      <c r="IKM605" s="223"/>
      <c r="IKN605" s="224"/>
      <c r="IKO605" s="222"/>
      <c r="IKP605" s="222"/>
      <c r="IKQ605" s="222"/>
      <c r="IKR605" s="222"/>
      <c r="IKS605" s="222"/>
      <c r="IKT605" s="222"/>
      <c r="IKU605" s="223"/>
      <c r="IKV605" s="224"/>
      <c r="IKW605" s="222"/>
      <c r="IKX605" s="222"/>
      <c r="IKY605" s="222"/>
      <c r="IKZ605" s="222"/>
      <c r="ILA605" s="222"/>
      <c r="ILB605" s="222"/>
      <c r="ILC605" s="223"/>
      <c r="ILD605" s="224"/>
      <c r="ILE605" s="222"/>
      <c r="ILF605" s="222"/>
      <c r="ILG605" s="222"/>
      <c r="ILH605" s="222"/>
      <c r="ILI605" s="222"/>
      <c r="ILJ605" s="222"/>
      <c r="ILK605" s="223"/>
      <c r="ILL605" s="224"/>
      <c r="ILM605" s="222"/>
      <c r="ILN605" s="222"/>
      <c r="ILO605" s="222"/>
      <c r="ILP605" s="222"/>
      <c r="ILQ605" s="222"/>
      <c r="ILR605" s="222"/>
      <c r="ILS605" s="223"/>
      <c r="ILT605" s="224"/>
      <c r="ILU605" s="222"/>
      <c r="ILV605" s="222"/>
      <c r="ILW605" s="222"/>
      <c r="ILX605" s="222"/>
      <c r="ILY605" s="222"/>
      <c r="ILZ605" s="222"/>
      <c r="IMA605" s="223"/>
      <c r="IMB605" s="224"/>
      <c r="IMC605" s="222"/>
      <c r="IMD605" s="222"/>
      <c r="IME605" s="222"/>
      <c r="IMF605" s="222"/>
      <c r="IMG605" s="222"/>
      <c r="IMH605" s="222"/>
      <c r="IMI605" s="223"/>
      <c r="IMJ605" s="224"/>
      <c r="IMK605" s="222"/>
      <c r="IML605" s="222"/>
      <c r="IMM605" s="222"/>
      <c r="IMN605" s="222"/>
      <c r="IMO605" s="222"/>
      <c r="IMP605" s="222"/>
      <c r="IMQ605" s="223"/>
      <c r="IMR605" s="224"/>
      <c r="IMS605" s="222"/>
      <c r="IMT605" s="222"/>
      <c r="IMU605" s="222"/>
      <c r="IMV605" s="222"/>
      <c r="IMW605" s="222"/>
      <c r="IMX605" s="222"/>
      <c r="IMY605" s="223"/>
      <c r="IMZ605" s="224"/>
      <c r="INA605" s="222"/>
      <c r="INB605" s="222"/>
      <c r="INC605" s="222"/>
      <c r="IND605" s="222"/>
      <c r="INE605" s="222"/>
      <c r="INF605" s="222"/>
      <c r="ING605" s="223"/>
      <c r="INH605" s="224"/>
      <c r="INI605" s="222"/>
      <c r="INJ605" s="222"/>
      <c r="INK605" s="222"/>
      <c r="INL605" s="222"/>
      <c r="INM605" s="222"/>
      <c r="INN605" s="222"/>
      <c r="INO605" s="223"/>
      <c r="INP605" s="224"/>
      <c r="INQ605" s="222"/>
      <c r="INR605" s="222"/>
      <c r="INS605" s="222"/>
      <c r="INT605" s="222"/>
      <c r="INU605" s="222"/>
      <c r="INV605" s="222"/>
      <c r="INW605" s="223"/>
      <c r="INX605" s="224"/>
      <c r="INY605" s="222"/>
      <c r="INZ605" s="222"/>
      <c r="IOA605" s="222"/>
      <c r="IOB605" s="222"/>
      <c r="IOC605" s="222"/>
      <c r="IOD605" s="222"/>
      <c r="IOE605" s="223"/>
      <c r="IOF605" s="224"/>
      <c r="IOG605" s="222"/>
      <c r="IOH605" s="222"/>
      <c r="IOI605" s="222"/>
      <c r="IOJ605" s="222"/>
      <c r="IOK605" s="222"/>
      <c r="IOL605" s="222"/>
      <c r="IOM605" s="223"/>
      <c r="ION605" s="224"/>
      <c r="IOO605" s="222"/>
      <c r="IOP605" s="222"/>
      <c r="IOQ605" s="222"/>
      <c r="IOR605" s="222"/>
      <c r="IOS605" s="222"/>
      <c r="IOT605" s="222"/>
      <c r="IOU605" s="223"/>
      <c r="IOV605" s="224"/>
      <c r="IOW605" s="222"/>
      <c r="IOX605" s="222"/>
      <c r="IOY605" s="222"/>
      <c r="IOZ605" s="222"/>
      <c r="IPA605" s="222"/>
      <c r="IPB605" s="222"/>
      <c r="IPC605" s="223"/>
      <c r="IPD605" s="224"/>
      <c r="IPE605" s="222"/>
      <c r="IPF605" s="222"/>
      <c r="IPG605" s="222"/>
      <c r="IPH605" s="222"/>
      <c r="IPI605" s="222"/>
      <c r="IPJ605" s="222"/>
      <c r="IPK605" s="223"/>
      <c r="IPL605" s="224"/>
      <c r="IPM605" s="222"/>
      <c r="IPN605" s="222"/>
      <c r="IPO605" s="222"/>
      <c r="IPP605" s="222"/>
      <c r="IPQ605" s="222"/>
      <c r="IPR605" s="222"/>
      <c r="IPS605" s="223"/>
      <c r="IPT605" s="224"/>
      <c r="IPU605" s="222"/>
      <c r="IPV605" s="222"/>
      <c r="IPW605" s="222"/>
      <c r="IPX605" s="222"/>
      <c r="IPY605" s="222"/>
      <c r="IPZ605" s="222"/>
      <c r="IQA605" s="223"/>
      <c r="IQB605" s="224"/>
      <c r="IQC605" s="222"/>
      <c r="IQD605" s="222"/>
      <c r="IQE605" s="222"/>
      <c r="IQF605" s="222"/>
      <c r="IQG605" s="222"/>
      <c r="IQH605" s="222"/>
      <c r="IQI605" s="223"/>
      <c r="IQJ605" s="224"/>
      <c r="IQK605" s="222"/>
      <c r="IQL605" s="222"/>
      <c r="IQM605" s="222"/>
      <c r="IQN605" s="222"/>
      <c r="IQO605" s="222"/>
      <c r="IQP605" s="222"/>
      <c r="IQQ605" s="223"/>
      <c r="IQR605" s="224"/>
      <c r="IQS605" s="222"/>
      <c r="IQT605" s="222"/>
      <c r="IQU605" s="222"/>
      <c r="IQV605" s="222"/>
      <c r="IQW605" s="222"/>
      <c r="IQX605" s="222"/>
      <c r="IQY605" s="223"/>
      <c r="IQZ605" s="224"/>
      <c r="IRA605" s="222"/>
      <c r="IRB605" s="222"/>
      <c r="IRC605" s="222"/>
      <c r="IRD605" s="222"/>
      <c r="IRE605" s="222"/>
      <c r="IRF605" s="222"/>
      <c r="IRG605" s="223"/>
      <c r="IRH605" s="224"/>
      <c r="IRI605" s="222"/>
      <c r="IRJ605" s="222"/>
      <c r="IRK605" s="222"/>
      <c r="IRL605" s="222"/>
      <c r="IRM605" s="222"/>
      <c r="IRN605" s="222"/>
      <c r="IRO605" s="223"/>
      <c r="IRP605" s="224"/>
      <c r="IRQ605" s="222"/>
      <c r="IRR605" s="222"/>
      <c r="IRS605" s="222"/>
      <c r="IRT605" s="222"/>
      <c r="IRU605" s="222"/>
      <c r="IRV605" s="222"/>
      <c r="IRW605" s="223"/>
      <c r="IRX605" s="224"/>
      <c r="IRY605" s="222"/>
      <c r="IRZ605" s="222"/>
      <c r="ISA605" s="222"/>
      <c r="ISB605" s="222"/>
      <c r="ISC605" s="222"/>
      <c r="ISD605" s="222"/>
      <c r="ISE605" s="223"/>
      <c r="ISF605" s="224"/>
      <c r="ISG605" s="222"/>
      <c r="ISH605" s="222"/>
      <c r="ISI605" s="222"/>
      <c r="ISJ605" s="222"/>
      <c r="ISK605" s="222"/>
      <c r="ISL605" s="222"/>
      <c r="ISM605" s="223"/>
      <c r="ISN605" s="224"/>
      <c r="ISO605" s="222"/>
      <c r="ISP605" s="222"/>
      <c r="ISQ605" s="222"/>
      <c r="ISR605" s="222"/>
      <c r="ISS605" s="222"/>
      <c r="IST605" s="222"/>
      <c r="ISU605" s="223"/>
      <c r="ISV605" s="224"/>
      <c r="ISW605" s="222"/>
      <c r="ISX605" s="222"/>
      <c r="ISY605" s="222"/>
      <c r="ISZ605" s="222"/>
      <c r="ITA605" s="222"/>
      <c r="ITB605" s="222"/>
      <c r="ITC605" s="223"/>
      <c r="ITD605" s="224"/>
      <c r="ITE605" s="222"/>
      <c r="ITF605" s="222"/>
      <c r="ITG605" s="222"/>
      <c r="ITH605" s="222"/>
      <c r="ITI605" s="222"/>
      <c r="ITJ605" s="222"/>
      <c r="ITK605" s="223"/>
      <c r="ITL605" s="224"/>
      <c r="ITM605" s="222"/>
      <c r="ITN605" s="222"/>
      <c r="ITO605" s="222"/>
      <c r="ITP605" s="222"/>
      <c r="ITQ605" s="222"/>
      <c r="ITR605" s="222"/>
      <c r="ITS605" s="223"/>
      <c r="ITT605" s="224"/>
      <c r="ITU605" s="222"/>
      <c r="ITV605" s="222"/>
      <c r="ITW605" s="222"/>
      <c r="ITX605" s="222"/>
      <c r="ITY605" s="222"/>
      <c r="ITZ605" s="222"/>
      <c r="IUA605" s="223"/>
      <c r="IUB605" s="224"/>
      <c r="IUC605" s="222"/>
      <c r="IUD605" s="222"/>
      <c r="IUE605" s="222"/>
      <c r="IUF605" s="222"/>
      <c r="IUG605" s="222"/>
      <c r="IUH605" s="222"/>
      <c r="IUI605" s="223"/>
      <c r="IUJ605" s="224"/>
      <c r="IUK605" s="222"/>
      <c r="IUL605" s="222"/>
      <c r="IUM605" s="222"/>
      <c r="IUN605" s="222"/>
      <c r="IUO605" s="222"/>
      <c r="IUP605" s="222"/>
      <c r="IUQ605" s="223"/>
      <c r="IUR605" s="224"/>
      <c r="IUS605" s="222"/>
      <c r="IUT605" s="222"/>
      <c r="IUU605" s="222"/>
      <c r="IUV605" s="222"/>
      <c r="IUW605" s="222"/>
      <c r="IUX605" s="222"/>
      <c r="IUY605" s="223"/>
      <c r="IUZ605" s="224"/>
      <c r="IVA605" s="222"/>
      <c r="IVB605" s="222"/>
      <c r="IVC605" s="222"/>
      <c r="IVD605" s="222"/>
      <c r="IVE605" s="222"/>
      <c r="IVF605" s="222"/>
      <c r="IVG605" s="223"/>
      <c r="IVH605" s="224"/>
      <c r="IVI605" s="222"/>
      <c r="IVJ605" s="222"/>
      <c r="IVK605" s="222"/>
      <c r="IVL605" s="222"/>
      <c r="IVM605" s="222"/>
      <c r="IVN605" s="222"/>
      <c r="IVO605" s="223"/>
      <c r="IVP605" s="224"/>
      <c r="IVQ605" s="222"/>
      <c r="IVR605" s="222"/>
      <c r="IVS605" s="222"/>
      <c r="IVT605" s="222"/>
      <c r="IVU605" s="222"/>
      <c r="IVV605" s="222"/>
      <c r="IVW605" s="223"/>
      <c r="IVX605" s="224"/>
      <c r="IVY605" s="222"/>
      <c r="IVZ605" s="222"/>
      <c r="IWA605" s="222"/>
      <c r="IWB605" s="222"/>
      <c r="IWC605" s="222"/>
      <c r="IWD605" s="222"/>
      <c r="IWE605" s="223"/>
      <c r="IWF605" s="224"/>
      <c r="IWG605" s="222"/>
      <c r="IWH605" s="222"/>
      <c r="IWI605" s="222"/>
      <c r="IWJ605" s="222"/>
      <c r="IWK605" s="222"/>
      <c r="IWL605" s="222"/>
      <c r="IWM605" s="223"/>
      <c r="IWN605" s="224"/>
      <c r="IWO605" s="222"/>
      <c r="IWP605" s="222"/>
      <c r="IWQ605" s="222"/>
      <c r="IWR605" s="222"/>
      <c r="IWS605" s="222"/>
      <c r="IWT605" s="222"/>
      <c r="IWU605" s="223"/>
      <c r="IWV605" s="224"/>
      <c r="IWW605" s="222"/>
      <c r="IWX605" s="222"/>
      <c r="IWY605" s="222"/>
      <c r="IWZ605" s="222"/>
      <c r="IXA605" s="222"/>
      <c r="IXB605" s="222"/>
      <c r="IXC605" s="223"/>
      <c r="IXD605" s="224"/>
      <c r="IXE605" s="222"/>
      <c r="IXF605" s="222"/>
      <c r="IXG605" s="222"/>
      <c r="IXH605" s="222"/>
      <c r="IXI605" s="222"/>
      <c r="IXJ605" s="222"/>
      <c r="IXK605" s="223"/>
      <c r="IXL605" s="224"/>
      <c r="IXM605" s="222"/>
      <c r="IXN605" s="222"/>
      <c r="IXO605" s="222"/>
      <c r="IXP605" s="222"/>
      <c r="IXQ605" s="222"/>
      <c r="IXR605" s="222"/>
      <c r="IXS605" s="223"/>
      <c r="IXT605" s="224"/>
      <c r="IXU605" s="222"/>
      <c r="IXV605" s="222"/>
      <c r="IXW605" s="222"/>
      <c r="IXX605" s="222"/>
      <c r="IXY605" s="222"/>
      <c r="IXZ605" s="222"/>
      <c r="IYA605" s="223"/>
      <c r="IYB605" s="224"/>
      <c r="IYC605" s="222"/>
      <c r="IYD605" s="222"/>
      <c r="IYE605" s="222"/>
      <c r="IYF605" s="222"/>
      <c r="IYG605" s="222"/>
      <c r="IYH605" s="222"/>
      <c r="IYI605" s="223"/>
      <c r="IYJ605" s="224"/>
      <c r="IYK605" s="222"/>
      <c r="IYL605" s="222"/>
      <c r="IYM605" s="222"/>
      <c r="IYN605" s="222"/>
      <c r="IYO605" s="222"/>
      <c r="IYP605" s="222"/>
      <c r="IYQ605" s="223"/>
      <c r="IYR605" s="224"/>
      <c r="IYS605" s="222"/>
      <c r="IYT605" s="222"/>
      <c r="IYU605" s="222"/>
      <c r="IYV605" s="222"/>
      <c r="IYW605" s="222"/>
      <c r="IYX605" s="222"/>
      <c r="IYY605" s="223"/>
      <c r="IYZ605" s="224"/>
      <c r="IZA605" s="222"/>
      <c r="IZB605" s="222"/>
      <c r="IZC605" s="222"/>
      <c r="IZD605" s="222"/>
      <c r="IZE605" s="222"/>
      <c r="IZF605" s="222"/>
      <c r="IZG605" s="223"/>
      <c r="IZH605" s="224"/>
      <c r="IZI605" s="222"/>
      <c r="IZJ605" s="222"/>
      <c r="IZK605" s="222"/>
      <c r="IZL605" s="222"/>
      <c r="IZM605" s="222"/>
      <c r="IZN605" s="222"/>
      <c r="IZO605" s="223"/>
      <c r="IZP605" s="224"/>
      <c r="IZQ605" s="222"/>
      <c r="IZR605" s="222"/>
      <c r="IZS605" s="222"/>
      <c r="IZT605" s="222"/>
      <c r="IZU605" s="222"/>
      <c r="IZV605" s="222"/>
      <c r="IZW605" s="223"/>
      <c r="IZX605" s="224"/>
      <c r="IZY605" s="222"/>
      <c r="IZZ605" s="222"/>
      <c r="JAA605" s="222"/>
      <c r="JAB605" s="222"/>
      <c r="JAC605" s="222"/>
      <c r="JAD605" s="222"/>
      <c r="JAE605" s="223"/>
      <c r="JAF605" s="224"/>
      <c r="JAG605" s="222"/>
      <c r="JAH605" s="222"/>
      <c r="JAI605" s="222"/>
      <c r="JAJ605" s="222"/>
      <c r="JAK605" s="222"/>
      <c r="JAL605" s="222"/>
      <c r="JAM605" s="223"/>
      <c r="JAN605" s="224"/>
      <c r="JAO605" s="222"/>
      <c r="JAP605" s="222"/>
      <c r="JAQ605" s="222"/>
      <c r="JAR605" s="222"/>
      <c r="JAS605" s="222"/>
      <c r="JAT605" s="222"/>
      <c r="JAU605" s="223"/>
      <c r="JAV605" s="224"/>
      <c r="JAW605" s="222"/>
      <c r="JAX605" s="222"/>
      <c r="JAY605" s="222"/>
      <c r="JAZ605" s="222"/>
      <c r="JBA605" s="222"/>
      <c r="JBB605" s="222"/>
      <c r="JBC605" s="223"/>
      <c r="JBD605" s="224"/>
      <c r="JBE605" s="222"/>
      <c r="JBF605" s="222"/>
      <c r="JBG605" s="222"/>
      <c r="JBH605" s="222"/>
      <c r="JBI605" s="222"/>
      <c r="JBJ605" s="222"/>
      <c r="JBK605" s="223"/>
      <c r="JBL605" s="224"/>
      <c r="JBM605" s="222"/>
      <c r="JBN605" s="222"/>
      <c r="JBO605" s="222"/>
      <c r="JBP605" s="222"/>
      <c r="JBQ605" s="222"/>
      <c r="JBR605" s="222"/>
      <c r="JBS605" s="223"/>
      <c r="JBT605" s="224"/>
      <c r="JBU605" s="222"/>
      <c r="JBV605" s="222"/>
      <c r="JBW605" s="222"/>
      <c r="JBX605" s="222"/>
      <c r="JBY605" s="222"/>
      <c r="JBZ605" s="222"/>
      <c r="JCA605" s="223"/>
      <c r="JCB605" s="224"/>
      <c r="JCC605" s="222"/>
      <c r="JCD605" s="222"/>
      <c r="JCE605" s="222"/>
      <c r="JCF605" s="222"/>
      <c r="JCG605" s="222"/>
      <c r="JCH605" s="222"/>
      <c r="JCI605" s="223"/>
      <c r="JCJ605" s="224"/>
      <c r="JCK605" s="222"/>
      <c r="JCL605" s="222"/>
      <c r="JCM605" s="222"/>
      <c r="JCN605" s="222"/>
      <c r="JCO605" s="222"/>
      <c r="JCP605" s="222"/>
      <c r="JCQ605" s="223"/>
      <c r="JCR605" s="224"/>
      <c r="JCS605" s="222"/>
      <c r="JCT605" s="222"/>
      <c r="JCU605" s="222"/>
      <c r="JCV605" s="222"/>
      <c r="JCW605" s="222"/>
      <c r="JCX605" s="222"/>
      <c r="JCY605" s="223"/>
      <c r="JCZ605" s="224"/>
      <c r="JDA605" s="222"/>
      <c r="JDB605" s="222"/>
      <c r="JDC605" s="222"/>
      <c r="JDD605" s="222"/>
      <c r="JDE605" s="222"/>
      <c r="JDF605" s="222"/>
      <c r="JDG605" s="223"/>
      <c r="JDH605" s="224"/>
      <c r="JDI605" s="222"/>
      <c r="JDJ605" s="222"/>
      <c r="JDK605" s="222"/>
      <c r="JDL605" s="222"/>
      <c r="JDM605" s="222"/>
      <c r="JDN605" s="222"/>
      <c r="JDO605" s="223"/>
      <c r="JDP605" s="224"/>
      <c r="JDQ605" s="222"/>
      <c r="JDR605" s="222"/>
      <c r="JDS605" s="222"/>
      <c r="JDT605" s="222"/>
      <c r="JDU605" s="222"/>
      <c r="JDV605" s="222"/>
      <c r="JDW605" s="223"/>
      <c r="JDX605" s="224"/>
      <c r="JDY605" s="222"/>
      <c r="JDZ605" s="222"/>
      <c r="JEA605" s="222"/>
      <c r="JEB605" s="222"/>
      <c r="JEC605" s="222"/>
      <c r="JED605" s="222"/>
      <c r="JEE605" s="223"/>
      <c r="JEF605" s="224"/>
      <c r="JEG605" s="222"/>
      <c r="JEH605" s="222"/>
      <c r="JEI605" s="222"/>
      <c r="JEJ605" s="222"/>
      <c r="JEK605" s="222"/>
      <c r="JEL605" s="222"/>
      <c r="JEM605" s="223"/>
      <c r="JEN605" s="224"/>
      <c r="JEO605" s="222"/>
      <c r="JEP605" s="222"/>
      <c r="JEQ605" s="222"/>
      <c r="JER605" s="222"/>
      <c r="JES605" s="222"/>
      <c r="JET605" s="222"/>
      <c r="JEU605" s="223"/>
      <c r="JEV605" s="224"/>
      <c r="JEW605" s="222"/>
      <c r="JEX605" s="222"/>
      <c r="JEY605" s="222"/>
      <c r="JEZ605" s="222"/>
      <c r="JFA605" s="222"/>
      <c r="JFB605" s="222"/>
      <c r="JFC605" s="223"/>
      <c r="JFD605" s="224"/>
      <c r="JFE605" s="222"/>
      <c r="JFF605" s="222"/>
      <c r="JFG605" s="222"/>
      <c r="JFH605" s="222"/>
      <c r="JFI605" s="222"/>
      <c r="JFJ605" s="222"/>
      <c r="JFK605" s="223"/>
      <c r="JFL605" s="224"/>
      <c r="JFM605" s="222"/>
      <c r="JFN605" s="222"/>
      <c r="JFO605" s="222"/>
      <c r="JFP605" s="222"/>
      <c r="JFQ605" s="222"/>
      <c r="JFR605" s="222"/>
      <c r="JFS605" s="223"/>
      <c r="JFT605" s="224"/>
      <c r="JFU605" s="222"/>
      <c r="JFV605" s="222"/>
      <c r="JFW605" s="222"/>
      <c r="JFX605" s="222"/>
      <c r="JFY605" s="222"/>
      <c r="JFZ605" s="222"/>
      <c r="JGA605" s="223"/>
      <c r="JGB605" s="224"/>
      <c r="JGC605" s="222"/>
      <c r="JGD605" s="222"/>
      <c r="JGE605" s="222"/>
      <c r="JGF605" s="222"/>
      <c r="JGG605" s="222"/>
      <c r="JGH605" s="222"/>
      <c r="JGI605" s="223"/>
      <c r="JGJ605" s="224"/>
      <c r="JGK605" s="222"/>
      <c r="JGL605" s="222"/>
      <c r="JGM605" s="222"/>
      <c r="JGN605" s="222"/>
      <c r="JGO605" s="222"/>
      <c r="JGP605" s="222"/>
      <c r="JGQ605" s="223"/>
      <c r="JGR605" s="224"/>
      <c r="JGS605" s="222"/>
      <c r="JGT605" s="222"/>
      <c r="JGU605" s="222"/>
      <c r="JGV605" s="222"/>
      <c r="JGW605" s="222"/>
      <c r="JGX605" s="222"/>
      <c r="JGY605" s="223"/>
      <c r="JGZ605" s="224"/>
      <c r="JHA605" s="222"/>
      <c r="JHB605" s="222"/>
      <c r="JHC605" s="222"/>
      <c r="JHD605" s="222"/>
      <c r="JHE605" s="222"/>
      <c r="JHF605" s="222"/>
      <c r="JHG605" s="223"/>
      <c r="JHH605" s="224"/>
      <c r="JHI605" s="222"/>
      <c r="JHJ605" s="222"/>
      <c r="JHK605" s="222"/>
      <c r="JHL605" s="222"/>
      <c r="JHM605" s="222"/>
      <c r="JHN605" s="222"/>
      <c r="JHO605" s="223"/>
      <c r="JHP605" s="224"/>
      <c r="JHQ605" s="222"/>
      <c r="JHR605" s="222"/>
      <c r="JHS605" s="222"/>
      <c r="JHT605" s="222"/>
      <c r="JHU605" s="222"/>
      <c r="JHV605" s="222"/>
      <c r="JHW605" s="223"/>
      <c r="JHX605" s="224"/>
      <c r="JHY605" s="222"/>
      <c r="JHZ605" s="222"/>
      <c r="JIA605" s="222"/>
      <c r="JIB605" s="222"/>
      <c r="JIC605" s="222"/>
      <c r="JID605" s="222"/>
      <c r="JIE605" s="223"/>
      <c r="JIF605" s="224"/>
      <c r="JIG605" s="222"/>
      <c r="JIH605" s="222"/>
      <c r="JII605" s="222"/>
      <c r="JIJ605" s="222"/>
      <c r="JIK605" s="222"/>
      <c r="JIL605" s="222"/>
      <c r="JIM605" s="223"/>
      <c r="JIN605" s="224"/>
      <c r="JIO605" s="222"/>
      <c r="JIP605" s="222"/>
      <c r="JIQ605" s="222"/>
      <c r="JIR605" s="222"/>
      <c r="JIS605" s="222"/>
      <c r="JIT605" s="222"/>
      <c r="JIU605" s="223"/>
      <c r="JIV605" s="224"/>
      <c r="JIW605" s="222"/>
      <c r="JIX605" s="222"/>
      <c r="JIY605" s="222"/>
      <c r="JIZ605" s="222"/>
      <c r="JJA605" s="222"/>
      <c r="JJB605" s="222"/>
      <c r="JJC605" s="223"/>
      <c r="JJD605" s="224"/>
      <c r="JJE605" s="222"/>
      <c r="JJF605" s="222"/>
      <c r="JJG605" s="222"/>
      <c r="JJH605" s="222"/>
      <c r="JJI605" s="222"/>
      <c r="JJJ605" s="222"/>
      <c r="JJK605" s="223"/>
      <c r="JJL605" s="224"/>
      <c r="JJM605" s="222"/>
      <c r="JJN605" s="222"/>
      <c r="JJO605" s="222"/>
      <c r="JJP605" s="222"/>
      <c r="JJQ605" s="222"/>
      <c r="JJR605" s="222"/>
      <c r="JJS605" s="223"/>
      <c r="JJT605" s="224"/>
      <c r="JJU605" s="222"/>
      <c r="JJV605" s="222"/>
      <c r="JJW605" s="222"/>
      <c r="JJX605" s="222"/>
      <c r="JJY605" s="222"/>
      <c r="JJZ605" s="222"/>
      <c r="JKA605" s="223"/>
      <c r="JKB605" s="224"/>
      <c r="JKC605" s="222"/>
      <c r="JKD605" s="222"/>
      <c r="JKE605" s="222"/>
      <c r="JKF605" s="222"/>
      <c r="JKG605" s="222"/>
      <c r="JKH605" s="222"/>
      <c r="JKI605" s="223"/>
      <c r="JKJ605" s="224"/>
      <c r="JKK605" s="222"/>
      <c r="JKL605" s="222"/>
      <c r="JKM605" s="222"/>
      <c r="JKN605" s="222"/>
      <c r="JKO605" s="222"/>
      <c r="JKP605" s="222"/>
      <c r="JKQ605" s="223"/>
      <c r="JKR605" s="224"/>
      <c r="JKS605" s="222"/>
      <c r="JKT605" s="222"/>
      <c r="JKU605" s="222"/>
      <c r="JKV605" s="222"/>
      <c r="JKW605" s="222"/>
      <c r="JKX605" s="222"/>
      <c r="JKY605" s="223"/>
      <c r="JKZ605" s="224"/>
      <c r="JLA605" s="222"/>
      <c r="JLB605" s="222"/>
      <c r="JLC605" s="222"/>
      <c r="JLD605" s="222"/>
      <c r="JLE605" s="222"/>
      <c r="JLF605" s="222"/>
      <c r="JLG605" s="223"/>
      <c r="JLH605" s="224"/>
      <c r="JLI605" s="222"/>
      <c r="JLJ605" s="222"/>
      <c r="JLK605" s="222"/>
      <c r="JLL605" s="222"/>
      <c r="JLM605" s="222"/>
      <c r="JLN605" s="222"/>
      <c r="JLO605" s="223"/>
      <c r="JLP605" s="224"/>
      <c r="JLQ605" s="222"/>
      <c r="JLR605" s="222"/>
      <c r="JLS605" s="222"/>
      <c r="JLT605" s="222"/>
      <c r="JLU605" s="222"/>
      <c r="JLV605" s="222"/>
      <c r="JLW605" s="223"/>
      <c r="JLX605" s="224"/>
      <c r="JLY605" s="222"/>
      <c r="JLZ605" s="222"/>
      <c r="JMA605" s="222"/>
      <c r="JMB605" s="222"/>
      <c r="JMC605" s="222"/>
      <c r="JMD605" s="222"/>
      <c r="JME605" s="223"/>
      <c r="JMF605" s="224"/>
      <c r="JMG605" s="222"/>
      <c r="JMH605" s="222"/>
      <c r="JMI605" s="222"/>
      <c r="JMJ605" s="222"/>
      <c r="JMK605" s="222"/>
      <c r="JML605" s="222"/>
      <c r="JMM605" s="223"/>
      <c r="JMN605" s="224"/>
      <c r="JMO605" s="222"/>
      <c r="JMP605" s="222"/>
      <c r="JMQ605" s="222"/>
      <c r="JMR605" s="222"/>
      <c r="JMS605" s="222"/>
      <c r="JMT605" s="222"/>
      <c r="JMU605" s="223"/>
      <c r="JMV605" s="224"/>
      <c r="JMW605" s="222"/>
      <c r="JMX605" s="222"/>
      <c r="JMY605" s="222"/>
      <c r="JMZ605" s="222"/>
      <c r="JNA605" s="222"/>
      <c r="JNB605" s="222"/>
      <c r="JNC605" s="223"/>
      <c r="JND605" s="224"/>
      <c r="JNE605" s="222"/>
      <c r="JNF605" s="222"/>
      <c r="JNG605" s="222"/>
      <c r="JNH605" s="222"/>
      <c r="JNI605" s="222"/>
      <c r="JNJ605" s="222"/>
      <c r="JNK605" s="223"/>
      <c r="JNL605" s="224"/>
      <c r="JNM605" s="222"/>
      <c r="JNN605" s="222"/>
      <c r="JNO605" s="222"/>
      <c r="JNP605" s="222"/>
      <c r="JNQ605" s="222"/>
      <c r="JNR605" s="222"/>
      <c r="JNS605" s="223"/>
      <c r="JNT605" s="224"/>
      <c r="JNU605" s="222"/>
      <c r="JNV605" s="222"/>
      <c r="JNW605" s="222"/>
      <c r="JNX605" s="222"/>
      <c r="JNY605" s="222"/>
      <c r="JNZ605" s="222"/>
      <c r="JOA605" s="223"/>
      <c r="JOB605" s="224"/>
      <c r="JOC605" s="222"/>
      <c r="JOD605" s="222"/>
      <c r="JOE605" s="222"/>
      <c r="JOF605" s="222"/>
      <c r="JOG605" s="222"/>
      <c r="JOH605" s="222"/>
      <c r="JOI605" s="223"/>
      <c r="JOJ605" s="224"/>
      <c r="JOK605" s="222"/>
      <c r="JOL605" s="222"/>
      <c r="JOM605" s="222"/>
      <c r="JON605" s="222"/>
      <c r="JOO605" s="222"/>
      <c r="JOP605" s="222"/>
      <c r="JOQ605" s="223"/>
      <c r="JOR605" s="224"/>
      <c r="JOS605" s="222"/>
      <c r="JOT605" s="222"/>
      <c r="JOU605" s="222"/>
      <c r="JOV605" s="222"/>
      <c r="JOW605" s="222"/>
      <c r="JOX605" s="222"/>
      <c r="JOY605" s="223"/>
      <c r="JOZ605" s="224"/>
      <c r="JPA605" s="222"/>
      <c r="JPB605" s="222"/>
      <c r="JPC605" s="222"/>
      <c r="JPD605" s="222"/>
      <c r="JPE605" s="222"/>
      <c r="JPF605" s="222"/>
      <c r="JPG605" s="223"/>
      <c r="JPH605" s="224"/>
      <c r="JPI605" s="222"/>
      <c r="JPJ605" s="222"/>
      <c r="JPK605" s="222"/>
      <c r="JPL605" s="222"/>
      <c r="JPM605" s="222"/>
      <c r="JPN605" s="222"/>
      <c r="JPO605" s="223"/>
      <c r="JPP605" s="224"/>
      <c r="JPQ605" s="222"/>
      <c r="JPR605" s="222"/>
      <c r="JPS605" s="222"/>
      <c r="JPT605" s="222"/>
      <c r="JPU605" s="222"/>
      <c r="JPV605" s="222"/>
      <c r="JPW605" s="223"/>
      <c r="JPX605" s="224"/>
      <c r="JPY605" s="222"/>
      <c r="JPZ605" s="222"/>
      <c r="JQA605" s="222"/>
      <c r="JQB605" s="222"/>
      <c r="JQC605" s="222"/>
      <c r="JQD605" s="222"/>
      <c r="JQE605" s="223"/>
      <c r="JQF605" s="224"/>
      <c r="JQG605" s="222"/>
      <c r="JQH605" s="222"/>
      <c r="JQI605" s="222"/>
      <c r="JQJ605" s="222"/>
      <c r="JQK605" s="222"/>
      <c r="JQL605" s="222"/>
      <c r="JQM605" s="223"/>
      <c r="JQN605" s="224"/>
      <c r="JQO605" s="222"/>
      <c r="JQP605" s="222"/>
      <c r="JQQ605" s="222"/>
      <c r="JQR605" s="222"/>
      <c r="JQS605" s="222"/>
      <c r="JQT605" s="222"/>
      <c r="JQU605" s="223"/>
      <c r="JQV605" s="224"/>
      <c r="JQW605" s="222"/>
      <c r="JQX605" s="222"/>
      <c r="JQY605" s="222"/>
      <c r="JQZ605" s="222"/>
      <c r="JRA605" s="222"/>
      <c r="JRB605" s="222"/>
      <c r="JRC605" s="223"/>
      <c r="JRD605" s="224"/>
      <c r="JRE605" s="222"/>
      <c r="JRF605" s="222"/>
      <c r="JRG605" s="222"/>
      <c r="JRH605" s="222"/>
      <c r="JRI605" s="222"/>
      <c r="JRJ605" s="222"/>
      <c r="JRK605" s="223"/>
      <c r="JRL605" s="224"/>
      <c r="JRM605" s="222"/>
      <c r="JRN605" s="222"/>
      <c r="JRO605" s="222"/>
      <c r="JRP605" s="222"/>
      <c r="JRQ605" s="222"/>
      <c r="JRR605" s="222"/>
      <c r="JRS605" s="223"/>
      <c r="JRT605" s="224"/>
      <c r="JRU605" s="222"/>
      <c r="JRV605" s="222"/>
      <c r="JRW605" s="222"/>
      <c r="JRX605" s="222"/>
      <c r="JRY605" s="222"/>
      <c r="JRZ605" s="222"/>
      <c r="JSA605" s="223"/>
      <c r="JSB605" s="224"/>
      <c r="JSC605" s="222"/>
      <c r="JSD605" s="222"/>
      <c r="JSE605" s="222"/>
      <c r="JSF605" s="222"/>
      <c r="JSG605" s="222"/>
      <c r="JSH605" s="222"/>
      <c r="JSI605" s="223"/>
      <c r="JSJ605" s="224"/>
      <c r="JSK605" s="222"/>
      <c r="JSL605" s="222"/>
      <c r="JSM605" s="222"/>
      <c r="JSN605" s="222"/>
      <c r="JSO605" s="222"/>
      <c r="JSP605" s="222"/>
      <c r="JSQ605" s="223"/>
      <c r="JSR605" s="224"/>
      <c r="JSS605" s="222"/>
      <c r="JST605" s="222"/>
      <c r="JSU605" s="222"/>
      <c r="JSV605" s="222"/>
      <c r="JSW605" s="222"/>
      <c r="JSX605" s="222"/>
      <c r="JSY605" s="223"/>
      <c r="JSZ605" s="224"/>
      <c r="JTA605" s="222"/>
      <c r="JTB605" s="222"/>
      <c r="JTC605" s="222"/>
      <c r="JTD605" s="222"/>
      <c r="JTE605" s="222"/>
      <c r="JTF605" s="222"/>
      <c r="JTG605" s="223"/>
      <c r="JTH605" s="224"/>
      <c r="JTI605" s="222"/>
      <c r="JTJ605" s="222"/>
      <c r="JTK605" s="222"/>
      <c r="JTL605" s="222"/>
      <c r="JTM605" s="222"/>
      <c r="JTN605" s="222"/>
      <c r="JTO605" s="223"/>
      <c r="JTP605" s="224"/>
      <c r="JTQ605" s="222"/>
      <c r="JTR605" s="222"/>
      <c r="JTS605" s="222"/>
      <c r="JTT605" s="222"/>
      <c r="JTU605" s="222"/>
      <c r="JTV605" s="222"/>
      <c r="JTW605" s="223"/>
      <c r="JTX605" s="224"/>
      <c r="JTY605" s="222"/>
      <c r="JTZ605" s="222"/>
      <c r="JUA605" s="222"/>
      <c r="JUB605" s="222"/>
      <c r="JUC605" s="222"/>
      <c r="JUD605" s="222"/>
      <c r="JUE605" s="223"/>
      <c r="JUF605" s="224"/>
      <c r="JUG605" s="222"/>
      <c r="JUH605" s="222"/>
      <c r="JUI605" s="222"/>
      <c r="JUJ605" s="222"/>
      <c r="JUK605" s="222"/>
      <c r="JUL605" s="222"/>
      <c r="JUM605" s="223"/>
      <c r="JUN605" s="224"/>
      <c r="JUO605" s="222"/>
      <c r="JUP605" s="222"/>
      <c r="JUQ605" s="222"/>
      <c r="JUR605" s="222"/>
      <c r="JUS605" s="222"/>
      <c r="JUT605" s="222"/>
      <c r="JUU605" s="223"/>
      <c r="JUV605" s="224"/>
      <c r="JUW605" s="222"/>
      <c r="JUX605" s="222"/>
      <c r="JUY605" s="222"/>
      <c r="JUZ605" s="222"/>
      <c r="JVA605" s="222"/>
      <c r="JVB605" s="222"/>
      <c r="JVC605" s="223"/>
      <c r="JVD605" s="224"/>
      <c r="JVE605" s="222"/>
      <c r="JVF605" s="222"/>
      <c r="JVG605" s="222"/>
      <c r="JVH605" s="222"/>
      <c r="JVI605" s="222"/>
      <c r="JVJ605" s="222"/>
      <c r="JVK605" s="223"/>
      <c r="JVL605" s="224"/>
      <c r="JVM605" s="222"/>
      <c r="JVN605" s="222"/>
      <c r="JVO605" s="222"/>
      <c r="JVP605" s="222"/>
      <c r="JVQ605" s="222"/>
      <c r="JVR605" s="222"/>
      <c r="JVS605" s="223"/>
      <c r="JVT605" s="224"/>
      <c r="JVU605" s="222"/>
      <c r="JVV605" s="222"/>
      <c r="JVW605" s="222"/>
      <c r="JVX605" s="222"/>
      <c r="JVY605" s="222"/>
      <c r="JVZ605" s="222"/>
      <c r="JWA605" s="223"/>
      <c r="JWB605" s="224"/>
      <c r="JWC605" s="222"/>
      <c r="JWD605" s="222"/>
      <c r="JWE605" s="222"/>
      <c r="JWF605" s="222"/>
      <c r="JWG605" s="222"/>
      <c r="JWH605" s="222"/>
      <c r="JWI605" s="223"/>
      <c r="JWJ605" s="224"/>
      <c r="JWK605" s="222"/>
      <c r="JWL605" s="222"/>
      <c r="JWM605" s="222"/>
      <c r="JWN605" s="222"/>
      <c r="JWO605" s="222"/>
      <c r="JWP605" s="222"/>
      <c r="JWQ605" s="223"/>
      <c r="JWR605" s="224"/>
      <c r="JWS605" s="222"/>
      <c r="JWT605" s="222"/>
      <c r="JWU605" s="222"/>
      <c r="JWV605" s="222"/>
      <c r="JWW605" s="222"/>
      <c r="JWX605" s="222"/>
      <c r="JWY605" s="223"/>
      <c r="JWZ605" s="224"/>
      <c r="JXA605" s="222"/>
      <c r="JXB605" s="222"/>
      <c r="JXC605" s="222"/>
      <c r="JXD605" s="222"/>
      <c r="JXE605" s="222"/>
      <c r="JXF605" s="222"/>
      <c r="JXG605" s="223"/>
      <c r="JXH605" s="224"/>
      <c r="JXI605" s="222"/>
      <c r="JXJ605" s="222"/>
      <c r="JXK605" s="222"/>
      <c r="JXL605" s="222"/>
      <c r="JXM605" s="222"/>
      <c r="JXN605" s="222"/>
      <c r="JXO605" s="223"/>
      <c r="JXP605" s="224"/>
      <c r="JXQ605" s="222"/>
      <c r="JXR605" s="222"/>
      <c r="JXS605" s="222"/>
      <c r="JXT605" s="222"/>
      <c r="JXU605" s="222"/>
      <c r="JXV605" s="222"/>
      <c r="JXW605" s="223"/>
      <c r="JXX605" s="224"/>
      <c r="JXY605" s="222"/>
      <c r="JXZ605" s="222"/>
      <c r="JYA605" s="222"/>
      <c r="JYB605" s="222"/>
      <c r="JYC605" s="222"/>
      <c r="JYD605" s="222"/>
      <c r="JYE605" s="223"/>
      <c r="JYF605" s="224"/>
      <c r="JYG605" s="222"/>
      <c r="JYH605" s="222"/>
      <c r="JYI605" s="222"/>
      <c r="JYJ605" s="222"/>
      <c r="JYK605" s="222"/>
      <c r="JYL605" s="222"/>
      <c r="JYM605" s="223"/>
      <c r="JYN605" s="224"/>
      <c r="JYO605" s="222"/>
      <c r="JYP605" s="222"/>
      <c r="JYQ605" s="222"/>
      <c r="JYR605" s="222"/>
      <c r="JYS605" s="222"/>
      <c r="JYT605" s="222"/>
      <c r="JYU605" s="223"/>
      <c r="JYV605" s="224"/>
      <c r="JYW605" s="222"/>
      <c r="JYX605" s="222"/>
      <c r="JYY605" s="222"/>
      <c r="JYZ605" s="222"/>
      <c r="JZA605" s="222"/>
      <c r="JZB605" s="222"/>
      <c r="JZC605" s="223"/>
      <c r="JZD605" s="224"/>
      <c r="JZE605" s="222"/>
      <c r="JZF605" s="222"/>
      <c r="JZG605" s="222"/>
      <c r="JZH605" s="222"/>
      <c r="JZI605" s="222"/>
      <c r="JZJ605" s="222"/>
      <c r="JZK605" s="223"/>
      <c r="JZL605" s="224"/>
      <c r="JZM605" s="222"/>
      <c r="JZN605" s="222"/>
      <c r="JZO605" s="222"/>
      <c r="JZP605" s="222"/>
      <c r="JZQ605" s="222"/>
      <c r="JZR605" s="222"/>
      <c r="JZS605" s="223"/>
      <c r="JZT605" s="224"/>
      <c r="JZU605" s="222"/>
      <c r="JZV605" s="222"/>
      <c r="JZW605" s="222"/>
      <c r="JZX605" s="222"/>
      <c r="JZY605" s="222"/>
      <c r="JZZ605" s="222"/>
      <c r="KAA605" s="223"/>
      <c r="KAB605" s="224"/>
      <c r="KAC605" s="222"/>
      <c r="KAD605" s="222"/>
      <c r="KAE605" s="222"/>
      <c r="KAF605" s="222"/>
      <c r="KAG605" s="222"/>
      <c r="KAH605" s="222"/>
      <c r="KAI605" s="223"/>
      <c r="KAJ605" s="224"/>
      <c r="KAK605" s="222"/>
      <c r="KAL605" s="222"/>
      <c r="KAM605" s="222"/>
      <c r="KAN605" s="222"/>
      <c r="KAO605" s="222"/>
      <c r="KAP605" s="222"/>
      <c r="KAQ605" s="223"/>
      <c r="KAR605" s="224"/>
      <c r="KAS605" s="222"/>
      <c r="KAT605" s="222"/>
      <c r="KAU605" s="222"/>
      <c r="KAV605" s="222"/>
      <c r="KAW605" s="222"/>
      <c r="KAX605" s="222"/>
      <c r="KAY605" s="223"/>
      <c r="KAZ605" s="224"/>
      <c r="KBA605" s="222"/>
      <c r="KBB605" s="222"/>
      <c r="KBC605" s="222"/>
      <c r="KBD605" s="222"/>
      <c r="KBE605" s="222"/>
      <c r="KBF605" s="222"/>
      <c r="KBG605" s="223"/>
      <c r="KBH605" s="224"/>
      <c r="KBI605" s="222"/>
      <c r="KBJ605" s="222"/>
      <c r="KBK605" s="222"/>
      <c r="KBL605" s="222"/>
      <c r="KBM605" s="222"/>
      <c r="KBN605" s="222"/>
      <c r="KBO605" s="223"/>
      <c r="KBP605" s="224"/>
      <c r="KBQ605" s="222"/>
      <c r="KBR605" s="222"/>
      <c r="KBS605" s="222"/>
      <c r="KBT605" s="222"/>
      <c r="KBU605" s="222"/>
      <c r="KBV605" s="222"/>
      <c r="KBW605" s="223"/>
      <c r="KBX605" s="224"/>
      <c r="KBY605" s="222"/>
      <c r="KBZ605" s="222"/>
      <c r="KCA605" s="222"/>
      <c r="KCB605" s="222"/>
      <c r="KCC605" s="222"/>
      <c r="KCD605" s="222"/>
      <c r="KCE605" s="223"/>
      <c r="KCF605" s="224"/>
      <c r="KCG605" s="222"/>
      <c r="KCH605" s="222"/>
      <c r="KCI605" s="222"/>
      <c r="KCJ605" s="222"/>
      <c r="KCK605" s="222"/>
      <c r="KCL605" s="222"/>
      <c r="KCM605" s="223"/>
      <c r="KCN605" s="224"/>
      <c r="KCO605" s="222"/>
      <c r="KCP605" s="222"/>
      <c r="KCQ605" s="222"/>
      <c r="KCR605" s="222"/>
      <c r="KCS605" s="222"/>
      <c r="KCT605" s="222"/>
      <c r="KCU605" s="223"/>
      <c r="KCV605" s="224"/>
      <c r="KCW605" s="222"/>
      <c r="KCX605" s="222"/>
      <c r="KCY605" s="222"/>
      <c r="KCZ605" s="222"/>
      <c r="KDA605" s="222"/>
      <c r="KDB605" s="222"/>
      <c r="KDC605" s="223"/>
      <c r="KDD605" s="224"/>
      <c r="KDE605" s="222"/>
      <c r="KDF605" s="222"/>
      <c r="KDG605" s="222"/>
      <c r="KDH605" s="222"/>
      <c r="KDI605" s="222"/>
      <c r="KDJ605" s="222"/>
      <c r="KDK605" s="223"/>
      <c r="KDL605" s="224"/>
      <c r="KDM605" s="222"/>
      <c r="KDN605" s="222"/>
      <c r="KDO605" s="222"/>
      <c r="KDP605" s="222"/>
      <c r="KDQ605" s="222"/>
      <c r="KDR605" s="222"/>
      <c r="KDS605" s="223"/>
      <c r="KDT605" s="224"/>
      <c r="KDU605" s="222"/>
      <c r="KDV605" s="222"/>
      <c r="KDW605" s="222"/>
      <c r="KDX605" s="222"/>
      <c r="KDY605" s="222"/>
      <c r="KDZ605" s="222"/>
      <c r="KEA605" s="223"/>
      <c r="KEB605" s="224"/>
      <c r="KEC605" s="222"/>
      <c r="KED605" s="222"/>
      <c r="KEE605" s="222"/>
      <c r="KEF605" s="222"/>
      <c r="KEG605" s="222"/>
      <c r="KEH605" s="222"/>
      <c r="KEI605" s="223"/>
      <c r="KEJ605" s="224"/>
      <c r="KEK605" s="222"/>
      <c r="KEL605" s="222"/>
      <c r="KEM605" s="222"/>
      <c r="KEN605" s="222"/>
      <c r="KEO605" s="222"/>
      <c r="KEP605" s="222"/>
      <c r="KEQ605" s="223"/>
      <c r="KER605" s="224"/>
      <c r="KES605" s="222"/>
      <c r="KET605" s="222"/>
      <c r="KEU605" s="222"/>
      <c r="KEV605" s="222"/>
      <c r="KEW605" s="222"/>
      <c r="KEX605" s="222"/>
      <c r="KEY605" s="223"/>
      <c r="KEZ605" s="224"/>
      <c r="KFA605" s="222"/>
      <c r="KFB605" s="222"/>
      <c r="KFC605" s="222"/>
      <c r="KFD605" s="222"/>
      <c r="KFE605" s="222"/>
      <c r="KFF605" s="222"/>
      <c r="KFG605" s="223"/>
      <c r="KFH605" s="224"/>
      <c r="KFI605" s="222"/>
      <c r="KFJ605" s="222"/>
      <c r="KFK605" s="222"/>
      <c r="KFL605" s="222"/>
      <c r="KFM605" s="222"/>
      <c r="KFN605" s="222"/>
      <c r="KFO605" s="223"/>
      <c r="KFP605" s="224"/>
      <c r="KFQ605" s="222"/>
      <c r="KFR605" s="222"/>
      <c r="KFS605" s="222"/>
      <c r="KFT605" s="222"/>
      <c r="KFU605" s="222"/>
      <c r="KFV605" s="222"/>
      <c r="KFW605" s="223"/>
      <c r="KFX605" s="224"/>
      <c r="KFY605" s="222"/>
      <c r="KFZ605" s="222"/>
      <c r="KGA605" s="222"/>
      <c r="KGB605" s="222"/>
      <c r="KGC605" s="222"/>
      <c r="KGD605" s="222"/>
      <c r="KGE605" s="223"/>
      <c r="KGF605" s="224"/>
      <c r="KGG605" s="222"/>
      <c r="KGH605" s="222"/>
      <c r="KGI605" s="222"/>
      <c r="KGJ605" s="222"/>
      <c r="KGK605" s="222"/>
      <c r="KGL605" s="222"/>
      <c r="KGM605" s="223"/>
      <c r="KGN605" s="224"/>
      <c r="KGO605" s="222"/>
      <c r="KGP605" s="222"/>
      <c r="KGQ605" s="222"/>
      <c r="KGR605" s="222"/>
      <c r="KGS605" s="222"/>
      <c r="KGT605" s="222"/>
      <c r="KGU605" s="223"/>
      <c r="KGV605" s="224"/>
      <c r="KGW605" s="222"/>
      <c r="KGX605" s="222"/>
      <c r="KGY605" s="222"/>
      <c r="KGZ605" s="222"/>
      <c r="KHA605" s="222"/>
      <c r="KHB605" s="222"/>
      <c r="KHC605" s="223"/>
      <c r="KHD605" s="224"/>
      <c r="KHE605" s="222"/>
      <c r="KHF605" s="222"/>
      <c r="KHG605" s="222"/>
      <c r="KHH605" s="222"/>
      <c r="KHI605" s="222"/>
      <c r="KHJ605" s="222"/>
      <c r="KHK605" s="223"/>
      <c r="KHL605" s="224"/>
      <c r="KHM605" s="222"/>
      <c r="KHN605" s="222"/>
      <c r="KHO605" s="222"/>
      <c r="KHP605" s="222"/>
      <c r="KHQ605" s="222"/>
      <c r="KHR605" s="222"/>
      <c r="KHS605" s="223"/>
      <c r="KHT605" s="224"/>
      <c r="KHU605" s="222"/>
      <c r="KHV605" s="222"/>
      <c r="KHW605" s="222"/>
      <c r="KHX605" s="222"/>
      <c r="KHY605" s="222"/>
      <c r="KHZ605" s="222"/>
      <c r="KIA605" s="223"/>
      <c r="KIB605" s="224"/>
      <c r="KIC605" s="222"/>
      <c r="KID605" s="222"/>
      <c r="KIE605" s="222"/>
      <c r="KIF605" s="222"/>
      <c r="KIG605" s="222"/>
      <c r="KIH605" s="222"/>
      <c r="KII605" s="223"/>
      <c r="KIJ605" s="224"/>
      <c r="KIK605" s="222"/>
      <c r="KIL605" s="222"/>
      <c r="KIM605" s="222"/>
      <c r="KIN605" s="222"/>
      <c r="KIO605" s="222"/>
      <c r="KIP605" s="222"/>
      <c r="KIQ605" s="223"/>
      <c r="KIR605" s="224"/>
      <c r="KIS605" s="222"/>
      <c r="KIT605" s="222"/>
      <c r="KIU605" s="222"/>
      <c r="KIV605" s="222"/>
      <c r="KIW605" s="222"/>
      <c r="KIX605" s="222"/>
      <c r="KIY605" s="223"/>
      <c r="KIZ605" s="224"/>
      <c r="KJA605" s="222"/>
      <c r="KJB605" s="222"/>
      <c r="KJC605" s="222"/>
      <c r="KJD605" s="222"/>
      <c r="KJE605" s="222"/>
      <c r="KJF605" s="222"/>
      <c r="KJG605" s="223"/>
      <c r="KJH605" s="224"/>
      <c r="KJI605" s="222"/>
      <c r="KJJ605" s="222"/>
      <c r="KJK605" s="222"/>
      <c r="KJL605" s="222"/>
      <c r="KJM605" s="222"/>
      <c r="KJN605" s="222"/>
      <c r="KJO605" s="223"/>
      <c r="KJP605" s="224"/>
      <c r="KJQ605" s="222"/>
      <c r="KJR605" s="222"/>
      <c r="KJS605" s="222"/>
      <c r="KJT605" s="222"/>
      <c r="KJU605" s="222"/>
      <c r="KJV605" s="222"/>
      <c r="KJW605" s="223"/>
      <c r="KJX605" s="224"/>
      <c r="KJY605" s="222"/>
      <c r="KJZ605" s="222"/>
      <c r="KKA605" s="222"/>
      <c r="KKB605" s="222"/>
      <c r="KKC605" s="222"/>
      <c r="KKD605" s="222"/>
      <c r="KKE605" s="223"/>
      <c r="KKF605" s="224"/>
      <c r="KKG605" s="222"/>
      <c r="KKH605" s="222"/>
      <c r="KKI605" s="222"/>
      <c r="KKJ605" s="222"/>
      <c r="KKK605" s="222"/>
      <c r="KKL605" s="222"/>
      <c r="KKM605" s="223"/>
      <c r="KKN605" s="224"/>
      <c r="KKO605" s="222"/>
      <c r="KKP605" s="222"/>
      <c r="KKQ605" s="222"/>
      <c r="KKR605" s="222"/>
      <c r="KKS605" s="222"/>
      <c r="KKT605" s="222"/>
      <c r="KKU605" s="223"/>
      <c r="KKV605" s="224"/>
      <c r="KKW605" s="222"/>
      <c r="KKX605" s="222"/>
      <c r="KKY605" s="222"/>
      <c r="KKZ605" s="222"/>
      <c r="KLA605" s="222"/>
      <c r="KLB605" s="222"/>
      <c r="KLC605" s="223"/>
      <c r="KLD605" s="224"/>
      <c r="KLE605" s="222"/>
      <c r="KLF605" s="222"/>
      <c r="KLG605" s="222"/>
      <c r="KLH605" s="222"/>
      <c r="KLI605" s="222"/>
      <c r="KLJ605" s="222"/>
      <c r="KLK605" s="223"/>
      <c r="KLL605" s="224"/>
      <c r="KLM605" s="222"/>
      <c r="KLN605" s="222"/>
      <c r="KLO605" s="222"/>
      <c r="KLP605" s="222"/>
      <c r="KLQ605" s="222"/>
      <c r="KLR605" s="222"/>
      <c r="KLS605" s="223"/>
      <c r="KLT605" s="224"/>
      <c r="KLU605" s="222"/>
      <c r="KLV605" s="222"/>
      <c r="KLW605" s="222"/>
      <c r="KLX605" s="222"/>
      <c r="KLY605" s="222"/>
      <c r="KLZ605" s="222"/>
      <c r="KMA605" s="223"/>
      <c r="KMB605" s="224"/>
      <c r="KMC605" s="222"/>
      <c r="KMD605" s="222"/>
      <c r="KME605" s="222"/>
      <c r="KMF605" s="222"/>
      <c r="KMG605" s="222"/>
      <c r="KMH605" s="222"/>
      <c r="KMI605" s="223"/>
      <c r="KMJ605" s="224"/>
      <c r="KMK605" s="222"/>
      <c r="KML605" s="222"/>
      <c r="KMM605" s="222"/>
      <c r="KMN605" s="222"/>
      <c r="KMO605" s="222"/>
      <c r="KMP605" s="222"/>
      <c r="KMQ605" s="223"/>
      <c r="KMR605" s="224"/>
      <c r="KMS605" s="222"/>
      <c r="KMT605" s="222"/>
      <c r="KMU605" s="222"/>
      <c r="KMV605" s="222"/>
      <c r="KMW605" s="222"/>
      <c r="KMX605" s="222"/>
      <c r="KMY605" s="223"/>
      <c r="KMZ605" s="224"/>
      <c r="KNA605" s="222"/>
      <c r="KNB605" s="222"/>
      <c r="KNC605" s="222"/>
      <c r="KND605" s="222"/>
      <c r="KNE605" s="222"/>
      <c r="KNF605" s="222"/>
      <c r="KNG605" s="223"/>
      <c r="KNH605" s="224"/>
      <c r="KNI605" s="222"/>
      <c r="KNJ605" s="222"/>
      <c r="KNK605" s="222"/>
      <c r="KNL605" s="222"/>
      <c r="KNM605" s="222"/>
      <c r="KNN605" s="222"/>
      <c r="KNO605" s="223"/>
      <c r="KNP605" s="224"/>
      <c r="KNQ605" s="222"/>
      <c r="KNR605" s="222"/>
      <c r="KNS605" s="222"/>
      <c r="KNT605" s="222"/>
      <c r="KNU605" s="222"/>
      <c r="KNV605" s="222"/>
      <c r="KNW605" s="223"/>
      <c r="KNX605" s="224"/>
      <c r="KNY605" s="222"/>
      <c r="KNZ605" s="222"/>
      <c r="KOA605" s="222"/>
      <c r="KOB605" s="222"/>
      <c r="KOC605" s="222"/>
      <c r="KOD605" s="222"/>
      <c r="KOE605" s="223"/>
      <c r="KOF605" s="224"/>
      <c r="KOG605" s="222"/>
      <c r="KOH605" s="222"/>
      <c r="KOI605" s="222"/>
      <c r="KOJ605" s="222"/>
      <c r="KOK605" s="222"/>
      <c r="KOL605" s="222"/>
      <c r="KOM605" s="223"/>
      <c r="KON605" s="224"/>
      <c r="KOO605" s="222"/>
      <c r="KOP605" s="222"/>
      <c r="KOQ605" s="222"/>
      <c r="KOR605" s="222"/>
      <c r="KOS605" s="222"/>
      <c r="KOT605" s="222"/>
      <c r="KOU605" s="223"/>
      <c r="KOV605" s="224"/>
      <c r="KOW605" s="222"/>
      <c r="KOX605" s="222"/>
      <c r="KOY605" s="222"/>
      <c r="KOZ605" s="222"/>
      <c r="KPA605" s="222"/>
      <c r="KPB605" s="222"/>
      <c r="KPC605" s="223"/>
      <c r="KPD605" s="224"/>
      <c r="KPE605" s="222"/>
      <c r="KPF605" s="222"/>
      <c r="KPG605" s="222"/>
      <c r="KPH605" s="222"/>
      <c r="KPI605" s="222"/>
      <c r="KPJ605" s="222"/>
      <c r="KPK605" s="223"/>
      <c r="KPL605" s="224"/>
      <c r="KPM605" s="222"/>
      <c r="KPN605" s="222"/>
      <c r="KPO605" s="222"/>
      <c r="KPP605" s="222"/>
      <c r="KPQ605" s="222"/>
      <c r="KPR605" s="222"/>
      <c r="KPS605" s="223"/>
      <c r="KPT605" s="224"/>
      <c r="KPU605" s="222"/>
      <c r="KPV605" s="222"/>
      <c r="KPW605" s="222"/>
      <c r="KPX605" s="222"/>
      <c r="KPY605" s="222"/>
      <c r="KPZ605" s="222"/>
      <c r="KQA605" s="223"/>
      <c r="KQB605" s="224"/>
      <c r="KQC605" s="222"/>
      <c r="KQD605" s="222"/>
      <c r="KQE605" s="222"/>
      <c r="KQF605" s="222"/>
      <c r="KQG605" s="222"/>
      <c r="KQH605" s="222"/>
      <c r="KQI605" s="223"/>
      <c r="KQJ605" s="224"/>
      <c r="KQK605" s="222"/>
      <c r="KQL605" s="222"/>
      <c r="KQM605" s="222"/>
      <c r="KQN605" s="222"/>
      <c r="KQO605" s="222"/>
      <c r="KQP605" s="222"/>
      <c r="KQQ605" s="223"/>
      <c r="KQR605" s="224"/>
      <c r="KQS605" s="222"/>
      <c r="KQT605" s="222"/>
      <c r="KQU605" s="222"/>
      <c r="KQV605" s="222"/>
      <c r="KQW605" s="222"/>
      <c r="KQX605" s="222"/>
      <c r="KQY605" s="223"/>
      <c r="KQZ605" s="224"/>
      <c r="KRA605" s="222"/>
      <c r="KRB605" s="222"/>
      <c r="KRC605" s="222"/>
      <c r="KRD605" s="222"/>
      <c r="KRE605" s="222"/>
      <c r="KRF605" s="222"/>
      <c r="KRG605" s="223"/>
      <c r="KRH605" s="224"/>
      <c r="KRI605" s="222"/>
      <c r="KRJ605" s="222"/>
      <c r="KRK605" s="222"/>
      <c r="KRL605" s="222"/>
      <c r="KRM605" s="222"/>
      <c r="KRN605" s="222"/>
      <c r="KRO605" s="223"/>
      <c r="KRP605" s="224"/>
      <c r="KRQ605" s="222"/>
      <c r="KRR605" s="222"/>
      <c r="KRS605" s="222"/>
      <c r="KRT605" s="222"/>
      <c r="KRU605" s="222"/>
      <c r="KRV605" s="222"/>
      <c r="KRW605" s="223"/>
      <c r="KRX605" s="224"/>
      <c r="KRY605" s="222"/>
      <c r="KRZ605" s="222"/>
      <c r="KSA605" s="222"/>
      <c r="KSB605" s="222"/>
      <c r="KSC605" s="222"/>
      <c r="KSD605" s="222"/>
      <c r="KSE605" s="223"/>
      <c r="KSF605" s="224"/>
      <c r="KSG605" s="222"/>
      <c r="KSH605" s="222"/>
      <c r="KSI605" s="222"/>
      <c r="KSJ605" s="222"/>
      <c r="KSK605" s="222"/>
      <c r="KSL605" s="222"/>
      <c r="KSM605" s="223"/>
      <c r="KSN605" s="224"/>
      <c r="KSO605" s="222"/>
      <c r="KSP605" s="222"/>
      <c r="KSQ605" s="222"/>
      <c r="KSR605" s="222"/>
      <c r="KSS605" s="222"/>
      <c r="KST605" s="222"/>
      <c r="KSU605" s="223"/>
      <c r="KSV605" s="224"/>
      <c r="KSW605" s="222"/>
      <c r="KSX605" s="222"/>
      <c r="KSY605" s="222"/>
      <c r="KSZ605" s="222"/>
      <c r="KTA605" s="222"/>
      <c r="KTB605" s="222"/>
      <c r="KTC605" s="223"/>
      <c r="KTD605" s="224"/>
      <c r="KTE605" s="222"/>
      <c r="KTF605" s="222"/>
      <c r="KTG605" s="222"/>
      <c r="KTH605" s="222"/>
      <c r="KTI605" s="222"/>
      <c r="KTJ605" s="222"/>
      <c r="KTK605" s="223"/>
      <c r="KTL605" s="224"/>
      <c r="KTM605" s="222"/>
      <c r="KTN605" s="222"/>
      <c r="KTO605" s="222"/>
      <c r="KTP605" s="222"/>
      <c r="KTQ605" s="222"/>
      <c r="KTR605" s="222"/>
      <c r="KTS605" s="223"/>
      <c r="KTT605" s="224"/>
      <c r="KTU605" s="222"/>
      <c r="KTV605" s="222"/>
      <c r="KTW605" s="222"/>
      <c r="KTX605" s="222"/>
      <c r="KTY605" s="222"/>
      <c r="KTZ605" s="222"/>
      <c r="KUA605" s="223"/>
      <c r="KUB605" s="224"/>
      <c r="KUC605" s="222"/>
      <c r="KUD605" s="222"/>
      <c r="KUE605" s="222"/>
      <c r="KUF605" s="222"/>
      <c r="KUG605" s="222"/>
      <c r="KUH605" s="222"/>
      <c r="KUI605" s="223"/>
      <c r="KUJ605" s="224"/>
      <c r="KUK605" s="222"/>
      <c r="KUL605" s="222"/>
      <c r="KUM605" s="222"/>
      <c r="KUN605" s="222"/>
      <c r="KUO605" s="222"/>
      <c r="KUP605" s="222"/>
      <c r="KUQ605" s="223"/>
      <c r="KUR605" s="224"/>
      <c r="KUS605" s="222"/>
      <c r="KUT605" s="222"/>
      <c r="KUU605" s="222"/>
      <c r="KUV605" s="222"/>
      <c r="KUW605" s="222"/>
      <c r="KUX605" s="222"/>
      <c r="KUY605" s="223"/>
      <c r="KUZ605" s="224"/>
      <c r="KVA605" s="222"/>
      <c r="KVB605" s="222"/>
      <c r="KVC605" s="222"/>
      <c r="KVD605" s="222"/>
      <c r="KVE605" s="222"/>
      <c r="KVF605" s="222"/>
      <c r="KVG605" s="223"/>
      <c r="KVH605" s="224"/>
      <c r="KVI605" s="222"/>
      <c r="KVJ605" s="222"/>
      <c r="KVK605" s="222"/>
      <c r="KVL605" s="222"/>
      <c r="KVM605" s="222"/>
      <c r="KVN605" s="222"/>
      <c r="KVO605" s="223"/>
      <c r="KVP605" s="224"/>
      <c r="KVQ605" s="222"/>
      <c r="KVR605" s="222"/>
      <c r="KVS605" s="222"/>
      <c r="KVT605" s="222"/>
      <c r="KVU605" s="222"/>
      <c r="KVV605" s="222"/>
      <c r="KVW605" s="223"/>
      <c r="KVX605" s="224"/>
      <c r="KVY605" s="222"/>
      <c r="KVZ605" s="222"/>
      <c r="KWA605" s="222"/>
      <c r="KWB605" s="222"/>
      <c r="KWC605" s="222"/>
      <c r="KWD605" s="222"/>
      <c r="KWE605" s="223"/>
      <c r="KWF605" s="224"/>
      <c r="KWG605" s="222"/>
      <c r="KWH605" s="222"/>
      <c r="KWI605" s="222"/>
      <c r="KWJ605" s="222"/>
      <c r="KWK605" s="222"/>
      <c r="KWL605" s="222"/>
      <c r="KWM605" s="223"/>
      <c r="KWN605" s="224"/>
      <c r="KWO605" s="222"/>
      <c r="KWP605" s="222"/>
      <c r="KWQ605" s="222"/>
      <c r="KWR605" s="222"/>
      <c r="KWS605" s="222"/>
      <c r="KWT605" s="222"/>
      <c r="KWU605" s="223"/>
      <c r="KWV605" s="224"/>
      <c r="KWW605" s="222"/>
      <c r="KWX605" s="222"/>
      <c r="KWY605" s="222"/>
      <c r="KWZ605" s="222"/>
      <c r="KXA605" s="222"/>
      <c r="KXB605" s="222"/>
      <c r="KXC605" s="223"/>
      <c r="KXD605" s="224"/>
      <c r="KXE605" s="222"/>
      <c r="KXF605" s="222"/>
      <c r="KXG605" s="222"/>
      <c r="KXH605" s="222"/>
      <c r="KXI605" s="222"/>
      <c r="KXJ605" s="222"/>
      <c r="KXK605" s="223"/>
      <c r="KXL605" s="224"/>
      <c r="KXM605" s="222"/>
      <c r="KXN605" s="222"/>
      <c r="KXO605" s="222"/>
      <c r="KXP605" s="222"/>
      <c r="KXQ605" s="222"/>
      <c r="KXR605" s="222"/>
      <c r="KXS605" s="223"/>
      <c r="KXT605" s="224"/>
      <c r="KXU605" s="222"/>
      <c r="KXV605" s="222"/>
      <c r="KXW605" s="222"/>
      <c r="KXX605" s="222"/>
      <c r="KXY605" s="222"/>
      <c r="KXZ605" s="222"/>
      <c r="KYA605" s="223"/>
      <c r="KYB605" s="224"/>
      <c r="KYC605" s="222"/>
      <c r="KYD605" s="222"/>
      <c r="KYE605" s="222"/>
      <c r="KYF605" s="222"/>
      <c r="KYG605" s="222"/>
      <c r="KYH605" s="222"/>
      <c r="KYI605" s="223"/>
      <c r="KYJ605" s="224"/>
      <c r="KYK605" s="222"/>
      <c r="KYL605" s="222"/>
      <c r="KYM605" s="222"/>
      <c r="KYN605" s="222"/>
      <c r="KYO605" s="222"/>
      <c r="KYP605" s="222"/>
      <c r="KYQ605" s="223"/>
      <c r="KYR605" s="224"/>
      <c r="KYS605" s="222"/>
      <c r="KYT605" s="222"/>
      <c r="KYU605" s="222"/>
      <c r="KYV605" s="222"/>
      <c r="KYW605" s="222"/>
      <c r="KYX605" s="222"/>
      <c r="KYY605" s="223"/>
      <c r="KYZ605" s="224"/>
      <c r="KZA605" s="222"/>
      <c r="KZB605" s="222"/>
      <c r="KZC605" s="222"/>
      <c r="KZD605" s="222"/>
      <c r="KZE605" s="222"/>
      <c r="KZF605" s="222"/>
      <c r="KZG605" s="223"/>
      <c r="KZH605" s="224"/>
      <c r="KZI605" s="222"/>
      <c r="KZJ605" s="222"/>
      <c r="KZK605" s="222"/>
      <c r="KZL605" s="222"/>
      <c r="KZM605" s="222"/>
      <c r="KZN605" s="222"/>
      <c r="KZO605" s="223"/>
      <c r="KZP605" s="224"/>
      <c r="KZQ605" s="222"/>
      <c r="KZR605" s="222"/>
      <c r="KZS605" s="222"/>
      <c r="KZT605" s="222"/>
      <c r="KZU605" s="222"/>
      <c r="KZV605" s="222"/>
      <c r="KZW605" s="223"/>
      <c r="KZX605" s="224"/>
      <c r="KZY605" s="222"/>
      <c r="KZZ605" s="222"/>
      <c r="LAA605" s="222"/>
      <c r="LAB605" s="222"/>
      <c r="LAC605" s="222"/>
      <c r="LAD605" s="222"/>
      <c r="LAE605" s="223"/>
      <c r="LAF605" s="224"/>
      <c r="LAG605" s="222"/>
      <c r="LAH605" s="222"/>
      <c r="LAI605" s="222"/>
      <c r="LAJ605" s="222"/>
      <c r="LAK605" s="222"/>
      <c r="LAL605" s="222"/>
      <c r="LAM605" s="223"/>
      <c r="LAN605" s="224"/>
      <c r="LAO605" s="222"/>
      <c r="LAP605" s="222"/>
      <c r="LAQ605" s="222"/>
      <c r="LAR605" s="222"/>
      <c r="LAS605" s="222"/>
      <c r="LAT605" s="222"/>
      <c r="LAU605" s="223"/>
      <c r="LAV605" s="224"/>
      <c r="LAW605" s="222"/>
      <c r="LAX605" s="222"/>
      <c r="LAY605" s="222"/>
      <c r="LAZ605" s="222"/>
      <c r="LBA605" s="222"/>
      <c r="LBB605" s="222"/>
      <c r="LBC605" s="223"/>
      <c r="LBD605" s="224"/>
      <c r="LBE605" s="222"/>
      <c r="LBF605" s="222"/>
      <c r="LBG605" s="222"/>
      <c r="LBH605" s="222"/>
      <c r="LBI605" s="222"/>
      <c r="LBJ605" s="222"/>
      <c r="LBK605" s="223"/>
      <c r="LBL605" s="224"/>
      <c r="LBM605" s="222"/>
      <c r="LBN605" s="222"/>
      <c r="LBO605" s="222"/>
      <c r="LBP605" s="222"/>
      <c r="LBQ605" s="222"/>
      <c r="LBR605" s="222"/>
      <c r="LBS605" s="223"/>
      <c r="LBT605" s="224"/>
      <c r="LBU605" s="222"/>
      <c r="LBV605" s="222"/>
      <c r="LBW605" s="222"/>
      <c r="LBX605" s="222"/>
      <c r="LBY605" s="222"/>
      <c r="LBZ605" s="222"/>
      <c r="LCA605" s="223"/>
      <c r="LCB605" s="224"/>
      <c r="LCC605" s="222"/>
      <c r="LCD605" s="222"/>
      <c r="LCE605" s="222"/>
      <c r="LCF605" s="222"/>
      <c r="LCG605" s="222"/>
      <c r="LCH605" s="222"/>
      <c r="LCI605" s="223"/>
      <c r="LCJ605" s="224"/>
      <c r="LCK605" s="222"/>
      <c r="LCL605" s="222"/>
      <c r="LCM605" s="222"/>
      <c r="LCN605" s="222"/>
      <c r="LCO605" s="222"/>
      <c r="LCP605" s="222"/>
      <c r="LCQ605" s="223"/>
      <c r="LCR605" s="224"/>
      <c r="LCS605" s="222"/>
      <c r="LCT605" s="222"/>
      <c r="LCU605" s="222"/>
      <c r="LCV605" s="222"/>
      <c r="LCW605" s="222"/>
      <c r="LCX605" s="222"/>
      <c r="LCY605" s="223"/>
      <c r="LCZ605" s="224"/>
      <c r="LDA605" s="222"/>
      <c r="LDB605" s="222"/>
      <c r="LDC605" s="222"/>
      <c r="LDD605" s="222"/>
      <c r="LDE605" s="222"/>
      <c r="LDF605" s="222"/>
      <c r="LDG605" s="223"/>
      <c r="LDH605" s="224"/>
      <c r="LDI605" s="222"/>
      <c r="LDJ605" s="222"/>
      <c r="LDK605" s="222"/>
      <c r="LDL605" s="222"/>
      <c r="LDM605" s="222"/>
      <c r="LDN605" s="222"/>
      <c r="LDO605" s="223"/>
      <c r="LDP605" s="224"/>
      <c r="LDQ605" s="222"/>
      <c r="LDR605" s="222"/>
      <c r="LDS605" s="222"/>
      <c r="LDT605" s="222"/>
      <c r="LDU605" s="222"/>
      <c r="LDV605" s="222"/>
      <c r="LDW605" s="223"/>
      <c r="LDX605" s="224"/>
      <c r="LDY605" s="222"/>
      <c r="LDZ605" s="222"/>
      <c r="LEA605" s="222"/>
      <c r="LEB605" s="222"/>
      <c r="LEC605" s="222"/>
      <c r="LED605" s="222"/>
      <c r="LEE605" s="223"/>
      <c r="LEF605" s="224"/>
      <c r="LEG605" s="222"/>
      <c r="LEH605" s="222"/>
      <c r="LEI605" s="222"/>
      <c r="LEJ605" s="222"/>
      <c r="LEK605" s="222"/>
      <c r="LEL605" s="222"/>
      <c r="LEM605" s="223"/>
      <c r="LEN605" s="224"/>
      <c r="LEO605" s="222"/>
      <c r="LEP605" s="222"/>
      <c r="LEQ605" s="222"/>
      <c r="LER605" s="222"/>
      <c r="LES605" s="222"/>
      <c r="LET605" s="222"/>
      <c r="LEU605" s="223"/>
      <c r="LEV605" s="224"/>
      <c r="LEW605" s="222"/>
      <c r="LEX605" s="222"/>
      <c r="LEY605" s="222"/>
      <c r="LEZ605" s="222"/>
      <c r="LFA605" s="222"/>
      <c r="LFB605" s="222"/>
      <c r="LFC605" s="223"/>
      <c r="LFD605" s="224"/>
      <c r="LFE605" s="222"/>
      <c r="LFF605" s="222"/>
      <c r="LFG605" s="222"/>
      <c r="LFH605" s="222"/>
      <c r="LFI605" s="222"/>
      <c r="LFJ605" s="222"/>
      <c r="LFK605" s="223"/>
      <c r="LFL605" s="224"/>
      <c r="LFM605" s="222"/>
      <c r="LFN605" s="222"/>
      <c r="LFO605" s="222"/>
      <c r="LFP605" s="222"/>
      <c r="LFQ605" s="222"/>
      <c r="LFR605" s="222"/>
      <c r="LFS605" s="223"/>
      <c r="LFT605" s="224"/>
      <c r="LFU605" s="222"/>
      <c r="LFV605" s="222"/>
      <c r="LFW605" s="222"/>
      <c r="LFX605" s="222"/>
      <c r="LFY605" s="222"/>
      <c r="LFZ605" s="222"/>
      <c r="LGA605" s="223"/>
      <c r="LGB605" s="224"/>
      <c r="LGC605" s="222"/>
      <c r="LGD605" s="222"/>
      <c r="LGE605" s="222"/>
      <c r="LGF605" s="222"/>
      <c r="LGG605" s="222"/>
      <c r="LGH605" s="222"/>
      <c r="LGI605" s="223"/>
      <c r="LGJ605" s="224"/>
      <c r="LGK605" s="222"/>
      <c r="LGL605" s="222"/>
      <c r="LGM605" s="222"/>
      <c r="LGN605" s="222"/>
      <c r="LGO605" s="222"/>
      <c r="LGP605" s="222"/>
      <c r="LGQ605" s="223"/>
      <c r="LGR605" s="224"/>
      <c r="LGS605" s="222"/>
      <c r="LGT605" s="222"/>
      <c r="LGU605" s="222"/>
      <c r="LGV605" s="222"/>
      <c r="LGW605" s="222"/>
      <c r="LGX605" s="222"/>
      <c r="LGY605" s="223"/>
      <c r="LGZ605" s="224"/>
      <c r="LHA605" s="222"/>
      <c r="LHB605" s="222"/>
      <c r="LHC605" s="222"/>
      <c r="LHD605" s="222"/>
      <c r="LHE605" s="222"/>
      <c r="LHF605" s="222"/>
      <c r="LHG605" s="223"/>
      <c r="LHH605" s="224"/>
      <c r="LHI605" s="222"/>
      <c r="LHJ605" s="222"/>
      <c r="LHK605" s="222"/>
      <c r="LHL605" s="222"/>
      <c r="LHM605" s="222"/>
      <c r="LHN605" s="222"/>
      <c r="LHO605" s="223"/>
      <c r="LHP605" s="224"/>
      <c r="LHQ605" s="222"/>
      <c r="LHR605" s="222"/>
      <c r="LHS605" s="222"/>
      <c r="LHT605" s="222"/>
      <c r="LHU605" s="222"/>
      <c r="LHV605" s="222"/>
      <c r="LHW605" s="223"/>
      <c r="LHX605" s="224"/>
      <c r="LHY605" s="222"/>
      <c r="LHZ605" s="222"/>
      <c r="LIA605" s="222"/>
      <c r="LIB605" s="222"/>
      <c r="LIC605" s="222"/>
      <c r="LID605" s="222"/>
      <c r="LIE605" s="223"/>
      <c r="LIF605" s="224"/>
      <c r="LIG605" s="222"/>
      <c r="LIH605" s="222"/>
      <c r="LII605" s="222"/>
      <c r="LIJ605" s="222"/>
      <c r="LIK605" s="222"/>
      <c r="LIL605" s="222"/>
      <c r="LIM605" s="223"/>
      <c r="LIN605" s="224"/>
      <c r="LIO605" s="222"/>
      <c r="LIP605" s="222"/>
      <c r="LIQ605" s="222"/>
      <c r="LIR605" s="222"/>
      <c r="LIS605" s="222"/>
      <c r="LIT605" s="222"/>
      <c r="LIU605" s="223"/>
      <c r="LIV605" s="224"/>
      <c r="LIW605" s="222"/>
      <c r="LIX605" s="222"/>
      <c r="LIY605" s="222"/>
      <c r="LIZ605" s="222"/>
      <c r="LJA605" s="222"/>
      <c r="LJB605" s="222"/>
      <c r="LJC605" s="223"/>
      <c r="LJD605" s="224"/>
      <c r="LJE605" s="222"/>
      <c r="LJF605" s="222"/>
      <c r="LJG605" s="222"/>
      <c r="LJH605" s="222"/>
      <c r="LJI605" s="222"/>
      <c r="LJJ605" s="222"/>
      <c r="LJK605" s="223"/>
      <c r="LJL605" s="224"/>
      <c r="LJM605" s="222"/>
      <c r="LJN605" s="222"/>
      <c r="LJO605" s="222"/>
      <c r="LJP605" s="222"/>
      <c r="LJQ605" s="222"/>
      <c r="LJR605" s="222"/>
      <c r="LJS605" s="223"/>
      <c r="LJT605" s="224"/>
      <c r="LJU605" s="222"/>
      <c r="LJV605" s="222"/>
      <c r="LJW605" s="222"/>
      <c r="LJX605" s="222"/>
      <c r="LJY605" s="222"/>
      <c r="LJZ605" s="222"/>
      <c r="LKA605" s="223"/>
      <c r="LKB605" s="224"/>
      <c r="LKC605" s="222"/>
      <c r="LKD605" s="222"/>
      <c r="LKE605" s="222"/>
      <c r="LKF605" s="222"/>
      <c r="LKG605" s="222"/>
      <c r="LKH605" s="222"/>
      <c r="LKI605" s="223"/>
      <c r="LKJ605" s="224"/>
      <c r="LKK605" s="222"/>
      <c r="LKL605" s="222"/>
      <c r="LKM605" s="222"/>
      <c r="LKN605" s="222"/>
      <c r="LKO605" s="222"/>
      <c r="LKP605" s="222"/>
      <c r="LKQ605" s="223"/>
      <c r="LKR605" s="224"/>
      <c r="LKS605" s="222"/>
      <c r="LKT605" s="222"/>
      <c r="LKU605" s="222"/>
      <c r="LKV605" s="222"/>
      <c r="LKW605" s="222"/>
      <c r="LKX605" s="222"/>
      <c r="LKY605" s="223"/>
      <c r="LKZ605" s="224"/>
      <c r="LLA605" s="222"/>
      <c r="LLB605" s="222"/>
      <c r="LLC605" s="222"/>
      <c r="LLD605" s="222"/>
      <c r="LLE605" s="222"/>
      <c r="LLF605" s="222"/>
      <c r="LLG605" s="223"/>
      <c r="LLH605" s="224"/>
      <c r="LLI605" s="222"/>
      <c r="LLJ605" s="222"/>
      <c r="LLK605" s="222"/>
      <c r="LLL605" s="222"/>
      <c r="LLM605" s="222"/>
      <c r="LLN605" s="222"/>
      <c r="LLO605" s="223"/>
      <c r="LLP605" s="224"/>
      <c r="LLQ605" s="222"/>
      <c r="LLR605" s="222"/>
      <c r="LLS605" s="222"/>
      <c r="LLT605" s="222"/>
      <c r="LLU605" s="222"/>
      <c r="LLV605" s="222"/>
      <c r="LLW605" s="223"/>
      <c r="LLX605" s="224"/>
      <c r="LLY605" s="222"/>
      <c r="LLZ605" s="222"/>
      <c r="LMA605" s="222"/>
      <c r="LMB605" s="222"/>
      <c r="LMC605" s="222"/>
      <c r="LMD605" s="222"/>
      <c r="LME605" s="223"/>
      <c r="LMF605" s="224"/>
      <c r="LMG605" s="222"/>
      <c r="LMH605" s="222"/>
      <c r="LMI605" s="222"/>
      <c r="LMJ605" s="222"/>
      <c r="LMK605" s="222"/>
      <c r="LML605" s="222"/>
      <c r="LMM605" s="223"/>
      <c r="LMN605" s="224"/>
      <c r="LMO605" s="222"/>
      <c r="LMP605" s="222"/>
      <c r="LMQ605" s="222"/>
      <c r="LMR605" s="222"/>
      <c r="LMS605" s="222"/>
      <c r="LMT605" s="222"/>
      <c r="LMU605" s="223"/>
      <c r="LMV605" s="224"/>
      <c r="LMW605" s="222"/>
      <c r="LMX605" s="222"/>
      <c r="LMY605" s="222"/>
      <c r="LMZ605" s="222"/>
      <c r="LNA605" s="222"/>
      <c r="LNB605" s="222"/>
      <c r="LNC605" s="223"/>
      <c r="LND605" s="224"/>
      <c r="LNE605" s="222"/>
      <c r="LNF605" s="222"/>
      <c r="LNG605" s="222"/>
      <c r="LNH605" s="222"/>
      <c r="LNI605" s="222"/>
      <c r="LNJ605" s="222"/>
      <c r="LNK605" s="223"/>
      <c r="LNL605" s="224"/>
      <c r="LNM605" s="222"/>
      <c r="LNN605" s="222"/>
      <c r="LNO605" s="222"/>
      <c r="LNP605" s="222"/>
      <c r="LNQ605" s="222"/>
      <c r="LNR605" s="222"/>
      <c r="LNS605" s="223"/>
      <c r="LNT605" s="224"/>
      <c r="LNU605" s="222"/>
      <c r="LNV605" s="222"/>
      <c r="LNW605" s="222"/>
      <c r="LNX605" s="222"/>
      <c r="LNY605" s="222"/>
      <c r="LNZ605" s="222"/>
      <c r="LOA605" s="223"/>
      <c r="LOB605" s="224"/>
      <c r="LOC605" s="222"/>
      <c r="LOD605" s="222"/>
      <c r="LOE605" s="222"/>
      <c r="LOF605" s="222"/>
      <c r="LOG605" s="222"/>
      <c r="LOH605" s="222"/>
      <c r="LOI605" s="223"/>
      <c r="LOJ605" s="224"/>
      <c r="LOK605" s="222"/>
      <c r="LOL605" s="222"/>
      <c r="LOM605" s="222"/>
      <c r="LON605" s="222"/>
      <c r="LOO605" s="222"/>
      <c r="LOP605" s="222"/>
      <c r="LOQ605" s="223"/>
      <c r="LOR605" s="224"/>
      <c r="LOS605" s="222"/>
      <c r="LOT605" s="222"/>
      <c r="LOU605" s="222"/>
      <c r="LOV605" s="222"/>
      <c r="LOW605" s="222"/>
      <c r="LOX605" s="222"/>
      <c r="LOY605" s="223"/>
      <c r="LOZ605" s="224"/>
      <c r="LPA605" s="222"/>
      <c r="LPB605" s="222"/>
      <c r="LPC605" s="222"/>
      <c r="LPD605" s="222"/>
      <c r="LPE605" s="222"/>
      <c r="LPF605" s="222"/>
      <c r="LPG605" s="223"/>
      <c r="LPH605" s="224"/>
      <c r="LPI605" s="222"/>
      <c r="LPJ605" s="222"/>
      <c r="LPK605" s="222"/>
      <c r="LPL605" s="222"/>
      <c r="LPM605" s="222"/>
      <c r="LPN605" s="222"/>
      <c r="LPO605" s="223"/>
      <c r="LPP605" s="224"/>
      <c r="LPQ605" s="222"/>
      <c r="LPR605" s="222"/>
      <c r="LPS605" s="222"/>
      <c r="LPT605" s="222"/>
      <c r="LPU605" s="222"/>
      <c r="LPV605" s="222"/>
      <c r="LPW605" s="223"/>
      <c r="LPX605" s="224"/>
      <c r="LPY605" s="222"/>
      <c r="LPZ605" s="222"/>
      <c r="LQA605" s="222"/>
      <c r="LQB605" s="222"/>
      <c r="LQC605" s="222"/>
      <c r="LQD605" s="222"/>
      <c r="LQE605" s="223"/>
      <c r="LQF605" s="224"/>
      <c r="LQG605" s="222"/>
      <c r="LQH605" s="222"/>
      <c r="LQI605" s="222"/>
      <c r="LQJ605" s="222"/>
      <c r="LQK605" s="222"/>
      <c r="LQL605" s="222"/>
      <c r="LQM605" s="223"/>
      <c r="LQN605" s="224"/>
      <c r="LQO605" s="222"/>
      <c r="LQP605" s="222"/>
      <c r="LQQ605" s="222"/>
      <c r="LQR605" s="222"/>
      <c r="LQS605" s="222"/>
      <c r="LQT605" s="222"/>
      <c r="LQU605" s="223"/>
      <c r="LQV605" s="224"/>
      <c r="LQW605" s="222"/>
      <c r="LQX605" s="222"/>
      <c r="LQY605" s="222"/>
      <c r="LQZ605" s="222"/>
      <c r="LRA605" s="222"/>
      <c r="LRB605" s="222"/>
      <c r="LRC605" s="223"/>
      <c r="LRD605" s="224"/>
      <c r="LRE605" s="222"/>
      <c r="LRF605" s="222"/>
      <c r="LRG605" s="222"/>
      <c r="LRH605" s="222"/>
      <c r="LRI605" s="222"/>
      <c r="LRJ605" s="222"/>
      <c r="LRK605" s="223"/>
      <c r="LRL605" s="224"/>
      <c r="LRM605" s="222"/>
      <c r="LRN605" s="222"/>
      <c r="LRO605" s="222"/>
      <c r="LRP605" s="222"/>
      <c r="LRQ605" s="222"/>
      <c r="LRR605" s="222"/>
      <c r="LRS605" s="223"/>
      <c r="LRT605" s="224"/>
      <c r="LRU605" s="222"/>
      <c r="LRV605" s="222"/>
      <c r="LRW605" s="222"/>
      <c r="LRX605" s="222"/>
      <c r="LRY605" s="222"/>
      <c r="LRZ605" s="222"/>
      <c r="LSA605" s="223"/>
      <c r="LSB605" s="224"/>
      <c r="LSC605" s="222"/>
      <c r="LSD605" s="222"/>
      <c r="LSE605" s="222"/>
      <c r="LSF605" s="222"/>
      <c r="LSG605" s="222"/>
      <c r="LSH605" s="222"/>
      <c r="LSI605" s="223"/>
      <c r="LSJ605" s="224"/>
      <c r="LSK605" s="222"/>
      <c r="LSL605" s="222"/>
      <c r="LSM605" s="222"/>
      <c r="LSN605" s="222"/>
      <c r="LSO605" s="222"/>
      <c r="LSP605" s="222"/>
      <c r="LSQ605" s="223"/>
      <c r="LSR605" s="224"/>
      <c r="LSS605" s="222"/>
      <c r="LST605" s="222"/>
      <c r="LSU605" s="222"/>
      <c r="LSV605" s="222"/>
      <c r="LSW605" s="222"/>
      <c r="LSX605" s="222"/>
      <c r="LSY605" s="223"/>
      <c r="LSZ605" s="224"/>
      <c r="LTA605" s="222"/>
      <c r="LTB605" s="222"/>
      <c r="LTC605" s="222"/>
      <c r="LTD605" s="222"/>
      <c r="LTE605" s="222"/>
      <c r="LTF605" s="222"/>
      <c r="LTG605" s="223"/>
      <c r="LTH605" s="224"/>
      <c r="LTI605" s="222"/>
      <c r="LTJ605" s="222"/>
      <c r="LTK605" s="222"/>
      <c r="LTL605" s="222"/>
      <c r="LTM605" s="222"/>
      <c r="LTN605" s="222"/>
      <c r="LTO605" s="223"/>
      <c r="LTP605" s="224"/>
      <c r="LTQ605" s="222"/>
      <c r="LTR605" s="222"/>
      <c r="LTS605" s="222"/>
      <c r="LTT605" s="222"/>
      <c r="LTU605" s="222"/>
      <c r="LTV605" s="222"/>
      <c r="LTW605" s="223"/>
      <c r="LTX605" s="224"/>
      <c r="LTY605" s="222"/>
      <c r="LTZ605" s="222"/>
      <c r="LUA605" s="222"/>
      <c r="LUB605" s="222"/>
      <c r="LUC605" s="222"/>
      <c r="LUD605" s="222"/>
      <c r="LUE605" s="223"/>
      <c r="LUF605" s="224"/>
      <c r="LUG605" s="222"/>
      <c r="LUH605" s="222"/>
      <c r="LUI605" s="222"/>
      <c r="LUJ605" s="222"/>
      <c r="LUK605" s="222"/>
      <c r="LUL605" s="222"/>
      <c r="LUM605" s="223"/>
      <c r="LUN605" s="224"/>
      <c r="LUO605" s="222"/>
      <c r="LUP605" s="222"/>
      <c r="LUQ605" s="222"/>
      <c r="LUR605" s="222"/>
      <c r="LUS605" s="222"/>
      <c r="LUT605" s="222"/>
      <c r="LUU605" s="223"/>
      <c r="LUV605" s="224"/>
      <c r="LUW605" s="222"/>
      <c r="LUX605" s="222"/>
      <c r="LUY605" s="222"/>
      <c r="LUZ605" s="222"/>
      <c r="LVA605" s="222"/>
      <c r="LVB605" s="222"/>
      <c r="LVC605" s="223"/>
      <c r="LVD605" s="224"/>
      <c r="LVE605" s="222"/>
      <c r="LVF605" s="222"/>
      <c r="LVG605" s="222"/>
      <c r="LVH605" s="222"/>
      <c r="LVI605" s="222"/>
      <c r="LVJ605" s="222"/>
      <c r="LVK605" s="223"/>
      <c r="LVL605" s="224"/>
      <c r="LVM605" s="222"/>
      <c r="LVN605" s="222"/>
      <c r="LVO605" s="222"/>
      <c r="LVP605" s="222"/>
      <c r="LVQ605" s="222"/>
      <c r="LVR605" s="222"/>
      <c r="LVS605" s="223"/>
      <c r="LVT605" s="224"/>
      <c r="LVU605" s="222"/>
      <c r="LVV605" s="222"/>
      <c r="LVW605" s="222"/>
      <c r="LVX605" s="222"/>
      <c r="LVY605" s="222"/>
      <c r="LVZ605" s="222"/>
      <c r="LWA605" s="223"/>
      <c r="LWB605" s="224"/>
      <c r="LWC605" s="222"/>
      <c r="LWD605" s="222"/>
      <c r="LWE605" s="222"/>
      <c r="LWF605" s="222"/>
      <c r="LWG605" s="222"/>
      <c r="LWH605" s="222"/>
      <c r="LWI605" s="223"/>
      <c r="LWJ605" s="224"/>
      <c r="LWK605" s="222"/>
      <c r="LWL605" s="222"/>
      <c r="LWM605" s="222"/>
      <c r="LWN605" s="222"/>
      <c r="LWO605" s="222"/>
      <c r="LWP605" s="222"/>
      <c r="LWQ605" s="223"/>
      <c r="LWR605" s="224"/>
      <c r="LWS605" s="222"/>
      <c r="LWT605" s="222"/>
      <c r="LWU605" s="222"/>
      <c r="LWV605" s="222"/>
      <c r="LWW605" s="222"/>
      <c r="LWX605" s="222"/>
      <c r="LWY605" s="223"/>
      <c r="LWZ605" s="224"/>
      <c r="LXA605" s="222"/>
      <c r="LXB605" s="222"/>
      <c r="LXC605" s="222"/>
      <c r="LXD605" s="222"/>
      <c r="LXE605" s="222"/>
      <c r="LXF605" s="222"/>
      <c r="LXG605" s="223"/>
      <c r="LXH605" s="224"/>
      <c r="LXI605" s="222"/>
      <c r="LXJ605" s="222"/>
      <c r="LXK605" s="222"/>
      <c r="LXL605" s="222"/>
      <c r="LXM605" s="222"/>
      <c r="LXN605" s="222"/>
      <c r="LXO605" s="223"/>
      <c r="LXP605" s="224"/>
      <c r="LXQ605" s="222"/>
      <c r="LXR605" s="222"/>
      <c r="LXS605" s="222"/>
      <c r="LXT605" s="222"/>
      <c r="LXU605" s="222"/>
      <c r="LXV605" s="222"/>
      <c r="LXW605" s="223"/>
      <c r="LXX605" s="224"/>
      <c r="LXY605" s="222"/>
      <c r="LXZ605" s="222"/>
      <c r="LYA605" s="222"/>
      <c r="LYB605" s="222"/>
      <c r="LYC605" s="222"/>
      <c r="LYD605" s="222"/>
      <c r="LYE605" s="223"/>
      <c r="LYF605" s="224"/>
      <c r="LYG605" s="222"/>
      <c r="LYH605" s="222"/>
      <c r="LYI605" s="222"/>
      <c r="LYJ605" s="222"/>
      <c r="LYK605" s="222"/>
      <c r="LYL605" s="222"/>
      <c r="LYM605" s="223"/>
      <c r="LYN605" s="224"/>
      <c r="LYO605" s="222"/>
      <c r="LYP605" s="222"/>
      <c r="LYQ605" s="222"/>
      <c r="LYR605" s="222"/>
      <c r="LYS605" s="222"/>
      <c r="LYT605" s="222"/>
      <c r="LYU605" s="223"/>
      <c r="LYV605" s="224"/>
      <c r="LYW605" s="222"/>
      <c r="LYX605" s="222"/>
      <c r="LYY605" s="222"/>
      <c r="LYZ605" s="222"/>
      <c r="LZA605" s="222"/>
      <c r="LZB605" s="222"/>
      <c r="LZC605" s="223"/>
      <c r="LZD605" s="224"/>
      <c r="LZE605" s="222"/>
      <c r="LZF605" s="222"/>
      <c r="LZG605" s="222"/>
      <c r="LZH605" s="222"/>
      <c r="LZI605" s="222"/>
      <c r="LZJ605" s="222"/>
      <c r="LZK605" s="223"/>
      <c r="LZL605" s="224"/>
      <c r="LZM605" s="222"/>
      <c r="LZN605" s="222"/>
      <c r="LZO605" s="222"/>
      <c r="LZP605" s="222"/>
      <c r="LZQ605" s="222"/>
      <c r="LZR605" s="222"/>
      <c r="LZS605" s="223"/>
      <c r="LZT605" s="224"/>
      <c r="LZU605" s="222"/>
      <c r="LZV605" s="222"/>
      <c r="LZW605" s="222"/>
      <c r="LZX605" s="222"/>
      <c r="LZY605" s="222"/>
      <c r="LZZ605" s="222"/>
      <c r="MAA605" s="223"/>
      <c r="MAB605" s="224"/>
      <c r="MAC605" s="222"/>
      <c r="MAD605" s="222"/>
      <c r="MAE605" s="222"/>
      <c r="MAF605" s="222"/>
      <c r="MAG605" s="222"/>
      <c r="MAH605" s="222"/>
      <c r="MAI605" s="223"/>
      <c r="MAJ605" s="224"/>
      <c r="MAK605" s="222"/>
      <c r="MAL605" s="222"/>
      <c r="MAM605" s="222"/>
      <c r="MAN605" s="222"/>
      <c r="MAO605" s="222"/>
      <c r="MAP605" s="222"/>
      <c r="MAQ605" s="223"/>
      <c r="MAR605" s="224"/>
      <c r="MAS605" s="222"/>
      <c r="MAT605" s="222"/>
      <c r="MAU605" s="222"/>
      <c r="MAV605" s="222"/>
      <c r="MAW605" s="222"/>
      <c r="MAX605" s="222"/>
      <c r="MAY605" s="223"/>
      <c r="MAZ605" s="224"/>
      <c r="MBA605" s="222"/>
      <c r="MBB605" s="222"/>
      <c r="MBC605" s="222"/>
      <c r="MBD605" s="222"/>
      <c r="MBE605" s="222"/>
      <c r="MBF605" s="222"/>
      <c r="MBG605" s="223"/>
      <c r="MBH605" s="224"/>
      <c r="MBI605" s="222"/>
      <c r="MBJ605" s="222"/>
      <c r="MBK605" s="222"/>
      <c r="MBL605" s="222"/>
      <c r="MBM605" s="222"/>
      <c r="MBN605" s="222"/>
      <c r="MBO605" s="223"/>
      <c r="MBP605" s="224"/>
      <c r="MBQ605" s="222"/>
      <c r="MBR605" s="222"/>
      <c r="MBS605" s="222"/>
      <c r="MBT605" s="222"/>
      <c r="MBU605" s="222"/>
      <c r="MBV605" s="222"/>
      <c r="MBW605" s="223"/>
      <c r="MBX605" s="224"/>
      <c r="MBY605" s="222"/>
      <c r="MBZ605" s="222"/>
      <c r="MCA605" s="222"/>
      <c r="MCB605" s="222"/>
      <c r="MCC605" s="222"/>
      <c r="MCD605" s="222"/>
      <c r="MCE605" s="223"/>
      <c r="MCF605" s="224"/>
      <c r="MCG605" s="222"/>
      <c r="MCH605" s="222"/>
      <c r="MCI605" s="222"/>
      <c r="MCJ605" s="222"/>
      <c r="MCK605" s="222"/>
      <c r="MCL605" s="222"/>
      <c r="MCM605" s="223"/>
      <c r="MCN605" s="224"/>
      <c r="MCO605" s="222"/>
      <c r="MCP605" s="222"/>
      <c r="MCQ605" s="222"/>
      <c r="MCR605" s="222"/>
      <c r="MCS605" s="222"/>
      <c r="MCT605" s="222"/>
      <c r="MCU605" s="223"/>
      <c r="MCV605" s="224"/>
      <c r="MCW605" s="222"/>
      <c r="MCX605" s="222"/>
      <c r="MCY605" s="222"/>
      <c r="MCZ605" s="222"/>
      <c r="MDA605" s="222"/>
      <c r="MDB605" s="222"/>
      <c r="MDC605" s="223"/>
      <c r="MDD605" s="224"/>
      <c r="MDE605" s="222"/>
      <c r="MDF605" s="222"/>
      <c r="MDG605" s="222"/>
      <c r="MDH605" s="222"/>
      <c r="MDI605" s="222"/>
      <c r="MDJ605" s="222"/>
      <c r="MDK605" s="223"/>
      <c r="MDL605" s="224"/>
      <c r="MDM605" s="222"/>
      <c r="MDN605" s="222"/>
      <c r="MDO605" s="222"/>
      <c r="MDP605" s="222"/>
      <c r="MDQ605" s="222"/>
      <c r="MDR605" s="222"/>
      <c r="MDS605" s="223"/>
      <c r="MDT605" s="224"/>
      <c r="MDU605" s="222"/>
      <c r="MDV605" s="222"/>
      <c r="MDW605" s="222"/>
      <c r="MDX605" s="222"/>
      <c r="MDY605" s="222"/>
      <c r="MDZ605" s="222"/>
      <c r="MEA605" s="223"/>
      <c r="MEB605" s="224"/>
      <c r="MEC605" s="222"/>
      <c r="MED605" s="222"/>
      <c r="MEE605" s="222"/>
      <c r="MEF605" s="222"/>
      <c r="MEG605" s="222"/>
      <c r="MEH605" s="222"/>
      <c r="MEI605" s="223"/>
      <c r="MEJ605" s="224"/>
      <c r="MEK605" s="222"/>
      <c r="MEL605" s="222"/>
      <c r="MEM605" s="222"/>
      <c r="MEN605" s="222"/>
      <c r="MEO605" s="222"/>
      <c r="MEP605" s="222"/>
      <c r="MEQ605" s="223"/>
      <c r="MER605" s="224"/>
      <c r="MES605" s="222"/>
      <c r="MET605" s="222"/>
      <c r="MEU605" s="222"/>
      <c r="MEV605" s="222"/>
      <c r="MEW605" s="222"/>
      <c r="MEX605" s="222"/>
      <c r="MEY605" s="223"/>
      <c r="MEZ605" s="224"/>
      <c r="MFA605" s="222"/>
      <c r="MFB605" s="222"/>
      <c r="MFC605" s="222"/>
      <c r="MFD605" s="222"/>
      <c r="MFE605" s="222"/>
      <c r="MFF605" s="222"/>
      <c r="MFG605" s="223"/>
      <c r="MFH605" s="224"/>
      <c r="MFI605" s="222"/>
      <c r="MFJ605" s="222"/>
      <c r="MFK605" s="222"/>
      <c r="MFL605" s="222"/>
      <c r="MFM605" s="222"/>
      <c r="MFN605" s="222"/>
      <c r="MFO605" s="223"/>
      <c r="MFP605" s="224"/>
      <c r="MFQ605" s="222"/>
      <c r="MFR605" s="222"/>
      <c r="MFS605" s="222"/>
      <c r="MFT605" s="222"/>
      <c r="MFU605" s="222"/>
      <c r="MFV605" s="222"/>
      <c r="MFW605" s="223"/>
      <c r="MFX605" s="224"/>
      <c r="MFY605" s="222"/>
      <c r="MFZ605" s="222"/>
      <c r="MGA605" s="222"/>
      <c r="MGB605" s="222"/>
      <c r="MGC605" s="222"/>
      <c r="MGD605" s="222"/>
      <c r="MGE605" s="223"/>
      <c r="MGF605" s="224"/>
      <c r="MGG605" s="222"/>
      <c r="MGH605" s="222"/>
      <c r="MGI605" s="222"/>
      <c r="MGJ605" s="222"/>
      <c r="MGK605" s="222"/>
      <c r="MGL605" s="222"/>
      <c r="MGM605" s="223"/>
      <c r="MGN605" s="224"/>
      <c r="MGO605" s="222"/>
      <c r="MGP605" s="222"/>
      <c r="MGQ605" s="222"/>
      <c r="MGR605" s="222"/>
      <c r="MGS605" s="222"/>
      <c r="MGT605" s="222"/>
      <c r="MGU605" s="223"/>
      <c r="MGV605" s="224"/>
      <c r="MGW605" s="222"/>
      <c r="MGX605" s="222"/>
      <c r="MGY605" s="222"/>
      <c r="MGZ605" s="222"/>
      <c r="MHA605" s="222"/>
      <c r="MHB605" s="222"/>
      <c r="MHC605" s="223"/>
      <c r="MHD605" s="224"/>
      <c r="MHE605" s="222"/>
      <c r="MHF605" s="222"/>
      <c r="MHG605" s="222"/>
      <c r="MHH605" s="222"/>
      <c r="MHI605" s="222"/>
      <c r="MHJ605" s="222"/>
      <c r="MHK605" s="223"/>
      <c r="MHL605" s="224"/>
      <c r="MHM605" s="222"/>
      <c r="MHN605" s="222"/>
      <c r="MHO605" s="222"/>
      <c r="MHP605" s="222"/>
      <c r="MHQ605" s="222"/>
      <c r="MHR605" s="222"/>
      <c r="MHS605" s="223"/>
      <c r="MHT605" s="224"/>
      <c r="MHU605" s="222"/>
      <c r="MHV605" s="222"/>
      <c r="MHW605" s="222"/>
      <c r="MHX605" s="222"/>
      <c r="MHY605" s="222"/>
      <c r="MHZ605" s="222"/>
      <c r="MIA605" s="223"/>
      <c r="MIB605" s="224"/>
      <c r="MIC605" s="222"/>
      <c r="MID605" s="222"/>
      <c r="MIE605" s="222"/>
      <c r="MIF605" s="222"/>
      <c r="MIG605" s="222"/>
      <c r="MIH605" s="222"/>
      <c r="MII605" s="223"/>
      <c r="MIJ605" s="224"/>
      <c r="MIK605" s="222"/>
      <c r="MIL605" s="222"/>
      <c r="MIM605" s="222"/>
      <c r="MIN605" s="222"/>
      <c r="MIO605" s="222"/>
      <c r="MIP605" s="222"/>
      <c r="MIQ605" s="223"/>
      <c r="MIR605" s="224"/>
      <c r="MIS605" s="222"/>
      <c r="MIT605" s="222"/>
      <c r="MIU605" s="222"/>
      <c r="MIV605" s="222"/>
      <c r="MIW605" s="222"/>
      <c r="MIX605" s="222"/>
      <c r="MIY605" s="223"/>
      <c r="MIZ605" s="224"/>
      <c r="MJA605" s="222"/>
      <c r="MJB605" s="222"/>
      <c r="MJC605" s="222"/>
      <c r="MJD605" s="222"/>
      <c r="MJE605" s="222"/>
      <c r="MJF605" s="222"/>
      <c r="MJG605" s="223"/>
      <c r="MJH605" s="224"/>
      <c r="MJI605" s="222"/>
      <c r="MJJ605" s="222"/>
      <c r="MJK605" s="222"/>
      <c r="MJL605" s="222"/>
      <c r="MJM605" s="222"/>
      <c r="MJN605" s="222"/>
      <c r="MJO605" s="223"/>
      <c r="MJP605" s="224"/>
      <c r="MJQ605" s="222"/>
      <c r="MJR605" s="222"/>
      <c r="MJS605" s="222"/>
      <c r="MJT605" s="222"/>
      <c r="MJU605" s="222"/>
      <c r="MJV605" s="222"/>
      <c r="MJW605" s="223"/>
      <c r="MJX605" s="224"/>
      <c r="MJY605" s="222"/>
      <c r="MJZ605" s="222"/>
      <c r="MKA605" s="222"/>
      <c r="MKB605" s="222"/>
      <c r="MKC605" s="222"/>
      <c r="MKD605" s="222"/>
      <c r="MKE605" s="223"/>
      <c r="MKF605" s="224"/>
      <c r="MKG605" s="222"/>
      <c r="MKH605" s="222"/>
      <c r="MKI605" s="222"/>
      <c r="MKJ605" s="222"/>
      <c r="MKK605" s="222"/>
      <c r="MKL605" s="222"/>
      <c r="MKM605" s="223"/>
      <c r="MKN605" s="224"/>
      <c r="MKO605" s="222"/>
      <c r="MKP605" s="222"/>
      <c r="MKQ605" s="222"/>
      <c r="MKR605" s="222"/>
      <c r="MKS605" s="222"/>
      <c r="MKT605" s="222"/>
      <c r="MKU605" s="223"/>
      <c r="MKV605" s="224"/>
      <c r="MKW605" s="222"/>
      <c r="MKX605" s="222"/>
      <c r="MKY605" s="222"/>
      <c r="MKZ605" s="222"/>
      <c r="MLA605" s="222"/>
      <c r="MLB605" s="222"/>
      <c r="MLC605" s="223"/>
      <c r="MLD605" s="224"/>
      <c r="MLE605" s="222"/>
      <c r="MLF605" s="222"/>
      <c r="MLG605" s="222"/>
      <c r="MLH605" s="222"/>
      <c r="MLI605" s="222"/>
      <c r="MLJ605" s="222"/>
      <c r="MLK605" s="223"/>
      <c r="MLL605" s="224"/>
      <c r="MLM605" s="222"/>
      <c r="MLN605" s="222"/>
      <c r="MLO605" s="222"/>
      <c r="MLP605" s="222"/>
      <c r="MLQ605" s="222"/>
      <c r="MLR605" s="222"/>
      <c r="MLS605" s="223"/>
      <c r="MLT605" s="224"/>
      <c r="MLU605" s="222"/>
      <c r="MLV605" s="222"/>
      <c r="MLW605" s="222"/>
      <c r="MLX605" s="222"/>
      <c r="MLY605" s="222"/>
      <c r="MLZ605" s="222"/>
      <c r="MMA605" s="223"/>
      <c r="MMB605" s="224"/>
      <c r="MMC605" s="222"/>
      <c r="MMD605" s="222"/>
      <c r="MME605" s="222"/>
      <c r="MMF605" s="222"/>
      <c r="MMG605" s="222"/>
      <c r="MMH605" s="222"/>
      <c r="MMI605" s="223"/>
      <c r="MMJ605" s="224"/>
      <c r="MMK605" s="222"/>
      <c r="MML605" s="222"/>
      <c r="MMM605" s="222"/>
      <c r="MMN605" s="222"/>
      <c r="MMO605" s="222"/>
      <c r="MMP605" s="222"/>
      <c r="MMQ605" s="223"/>
      <c r="MMR605" s="224"/>
      <c r="MMS605" s="222"/>
      <c r="MMT605" s="222"/>
      <c r="MMU605" s="222"/>
      <c r="MMV605" s="222"/>
      <c r="MMW605" s="222"/>
      <c r="MMX605" s="222"/>
      <c r="MMY605" s="223"/>
      <c r="MMZ605" s="224"/>
      <c r="MNA605" s="222"/>
      <c r="MNB605" s="222"/>
      <c r="MNC605" s="222"/>
      <c r="MND605" s="222"/>
      <c r="MNE605" s="222"/>
      <c r="MNF605" s="222"/>
      <c r="MNG605" s="223"/>
      <c r="MNH605" s="224"/>
      <c r="MNI605" s="222"/>
      <c r="MNJ605" s="222"/>
      <c r="MNK605" s="222"/>
      <c r="MNL605" s="222"/>
      <c r="MNM605" s="222"/>
      <c r="MNN605" s="222"/>
      <c r="MNO605" s="223"/>
      <c r="MNP605" s="224"/>
      <c r="MNQ605" s="222"/>
      <c r="MNR605" s="222"/>
      <c r="MNS605" s="222"/>
      <c r="MNT605" s="222"/>
      <c r="MNU605" s="222"/>
      <c r="MNV605" s="222"/>
      <c r="MNW605" s="223"/>
      <c r="MNX605" s="224"/>
      <c r="MNY605" s="222"/>
      <c r="MNZ605" s="222"/>
      <c r="MOA605" s="222"/>
      <c r="MOB605" s="222"/>
      <c r="MOC605" s="222"/>
      <c r="MOD605" s="222"/>
      <c r="MOE605" s="223"/>
      <c r="MOF605" s="224"/>
      <c r="MOG605" s="222"/>
      <c r="MOH605" s="222"/>
      <c r="MOI605" s="222"/>
      <c r="MOJ605" s="222"/>
      <c r="MOK605" s="222"/>
      <c r="MOL605" s="222"/>
      <c r="MOM605" s="223"/>
      <c r="MON605" s="224"/>
      <c r="MOO605" s="222"/>
      <c r="MOP605" s="222"/>
      <c r="MOQ605" s="222"/>
      <c r="MOR605" s="222"/>
      <c r="MOS605" s="222"/>
      <c r="MOT605" s="222"/>
      <c r="MOU605" s="223"/>
      <c r="MOV605" s="224"/>
      <c r="MOW605" s="222"/>
      <c r="MOX605" s="222"/>
      <c r="MOY605" s="222"/>
      <c r="MOZ605" s="222"/>
      <c r="MPA605" s="222"/>
      <c r="MPB605" s="222"/>
      <c r="MPC605" s="223"/>
      <c r="MPD605" s="224"/>
      <c r="MPE605" s="222"/>
      <c r="MPF605" s="222"/>
      <c r="MPG605" s="222"/>
      <c r="MPH605" s="222"/>
      <c r="MPI605" s="222"/>
      <c r="MPJ605" s="222"/>
      <c r="MPK605" s="223"/>
      <c r="MPL605" s="224"/>
      <c r="MPM605" s="222"/>
      <c r="MPN605" s="222"/>
      <c r="MPO605" s="222"/>
      <c r="MPP605" s="222"/>
      <c r="MPQ605" s="222"/>
      <c r="MPR605" s="222"/>
      <c r="MPS605" s="223"/>
      <c r="MPT605" s="224"/>
      <c r="MPU605" s="222"/>
      <c r="MPV605" s="222"/>
      <c r="MPW605" s="222"/>
      <c r="MPX605" s="222"/>
      <c r="MPY605" s="222"/>
      <c r="MPZ605" s="222"/>
      <c r="MQA605" s="223"/>
      <c r="MQB605" s="224"/>
      <c r="MQC605" s="222"/>
      <c r="MQD605" s="222"/>
      <c r="MQE605" s="222"/>
      <c r="MQF605" s="222"/>
      <c r="MQG605" s="222"/>
      <c r="MQH605" s="222"/>
      <c r="MQI605" s="223"/>
      <c r="MQJ605" s="224"/>
      <c r="MQK605" s="222"/>
      <c r="MQL605" s="222"/>
      <c r="MQM605" s="222"/>
      <c r="MQN605" s="222"/>
      <c r="MQO605" s="222"/>
      <c r="MQP605" s="222"/>
      <c r="MQQ605" s="223"/>
      <c r="MQR605" s="224"/>
      <c r="MQS605" s="222"/>
      <c r="MQT605" s="222"/>
      <c r="MQU605" s="222"/>
      <c r="MQV605" s="222"/>
      <c r="MQW605" s="222"/>
      <c r="MQX605" s="222"/>
      <c r="MQY605" s="223"/>
      <c r="MQZ605" s="224"/>
      <c r="MRA605" s="222"/>
      <c r="MRB605" s="222"/>
      <c r="MRC605" s="222"/>
      <c r="MRD605" s="222"/>
      <c r="MRE605" s="222"/>
      <c r="MRF605" s="222"/>
      <c r="MRG605" s="223"/>
      <c r="MRH605" s="224"/>
      <c r="MRI605" s="222"/>
      <c r="MRJ605" s="222"/>
      <c r="MRK605" s="222"/>
      <c r="MRL605" s="222"/>
      <c r="MRM605" s="222"/>
      <c r="MRN605" s="222"/>
      <c r="MRO605" s="223"/>
      <c r="MRP605" s="224"/>
      <c r="MRQ605" s="222"/>
      <c r="MRR605" s="222"/>
      <c r="MRS605" s="222"/>
      <c r="MRT605" s="222"/>
      <c r="MRU605" s="222"/>
      <c r="MRV605" s="222"/>
      <c r="MRW605" s="223"/>
      <c r="MRX605" s="224"/>
      <c r="MRY605" s="222"/>
      <c r="MRZ605" s="222"/>
      <c r="MSA605" s="222"/>
      <c r="MSB605" s="222"/>
      <c r="MSC605" s="222"/>
      <c r="MSD605" s="222"/>
      <c r="MSE605" s="223"/>
      <c r="MSF605" s="224"/>
      <c r="MSG605" s="222"/>
      <c r="MSH605" s="222"/>
      <c r="MSI605" s="222"/>
      <c r="MSJ605" s="222"/>
      <c r="MSK605" s="222"/>
      <c r="MSL605" s="222"/>
      <c r="MSM605" s="223"/>
      <c r="MSN605" s="224"/>
      <c r="MSO605" s="222"/>
      <c r="MSP605" s="222"/>
      <c r="MSQ605" s="222"/>
      <c r="MSR605" s="222"/>
      <c r="MSS605" s="222"/>
      <c r="MST605" s="222"/>
      <c r="MSU605" s="223"/>
      <c r="MSV605" s="224"/>
      <c r="MSW605" s="222"/>
      <c r="MSX605" s="222"/>
      <c r="MSY605" s="222"/>
      <c r="MSZ605" s="222"/>
      <c r="MTA605" s="222"/>
      <c r="MTB605" s="222"/>
      <c r="MTC605" s="223"/>
      <c r="MTD605" s="224"/>
      <c r="MTE605" s="222"/>
      <c r="MTF605" s="222"/>
      <c r="MTG605" s="222"/>
      <c r="MTH605" s="222"/>
      <c r="MTI605" s="222"/>
      <c r="MTJ605" s="222"/>
      <c r="MTK605" s="223"/>
      <c r="MTL605" s="224"/>
      <c r="MTM605" s="222"/>
      <c r="MTN605" s="222"/>
      <c r="MTO605" s="222"/>
      <c r="MTP605" s="222"/>
      <c r="MTQ605" s="222"/>
      <c r="MTR605" s="222"/>
      <c r="MTS605" s="223"/>
      <c r="MTT605" s="224"/>
      <c r="MTU605" s="222"/>
      <c r="MTV605" s="222"/>
      <c r="MTW605" s="222"/>
      <c r="MTX605" s="222"/>
      <c r="MTY605" s="222"/>
      <c r="MTZ605" s="222"/>
      <c r="MUA605" s="223"/>
      <c r="MUB605" s="224"/>
      <c r="MUC605" s="222"/>
      <c r="MUD605" s="222"/>
      <c r="MUE605" s="222"/>
      <c r="MUF605" s="222"/>
      <c r="MUG605" s="222"/>
      <c r="MUH605" s="222"/>
      <c r="MUI605" s="223"/>
      <c r="MUJ605" s="224"/>
      <c r="MUK605" s="222"/>
      <c r="MUL605" s="222"/>
      <c r="MUM605" s="222"/>
      <c r="MUN605" s="222"/>
      <c r="MUO605" s="222"/>
      <c r="MUP605" s="222"/>
      <c r="MUQ605" s="223"/>
      <c r="MUR605" s="224"/>
      <c r="MUS605" s="222"/>
      <c r="MUT605" s="222"/>
      <c r="MUU605" s="222"/>
      <c r="MUV605" s="222"/>
      <c r="MUW605" s="222"/>
      <c r="MUX605" s="222"/>
      <c r="MUY605" s="223"/>
      <c r="MUZ605" s="224"/>
      <c r="MVA605" s="222"/>
      <c r="MVB605" s="222"/>
      <c r="MVC605" s="222"/>
      <c r="MVD605" s="222"/>
      <c r="MVE605" s="222"/>
      <c r="MVF605" s="222"/>
      <c r="MVG605" s="223"/>
      <c r="MVH605" s="224"/>
      <c r="MVI605" s="222"/>
      <c r="MVJ605" s="222"/>
      <c r="MVK605" s="222"/>
      <c r="MVL605" s="222"/>
      <c r="MVM605" s="222"/>
      <c r="MVN605" s="222"/>
      <c r="MVO605" s="223"/>
      <c r="MVP605" s="224"/>
      <c r="MVQ605" s="222"/>
      <c r="MVR605" s="222"/>
      <c r="MVS605" s="222"/>
      <c r="MVT605" s="222"/>
      <c r="MVU605" s="222"/>
      <c r="MVV605" s="222"/>
      <c r="MVW605" s="223"/>
      <c r="MVX605" s="224"/>
      <c r="MVY605" s="222"/>
      <c r="MVZ605" s="222"/>
      <c r="MWA605" s="222"/>
      <c r="MWB605" s="222"/>
      <c r="MWC605" s="222"/>
      <c r="MWD605" s="222"/>
      <c r="MWE605" s="223"/>
      <c r="MWF605" s="224"/>
      <c r="MWG605" s="222"/>
      <c r="MWH605" s="222"/>
      <c r="MWI605" s="222"/>
      <c r="MWJ605" s="222"/>
      <c r="MWK605" s="222"/>
      <c r="MWL605" s="222"/>
      <c r="MWM605" s="223"/>
      <c r="MWN605" s="224"/>
      <c r="MWO605" s="222"/>
      <c r="MWP605" s="222"/>
      <c r="MWQ605" s="222"/>
      <c r="MWR605" s="222"/>
      <c r="MWS605" s="222"/>
      <c r="MWT605" s="222"/>
      <c r="MWU605" s="223"/>
      <c r="MWV605" s="224"/>
      <c r="MWW605" s="222"/>
      <c r="MWX605" s="222"/>
      <c r="MWY605" s="222"/>
      <c r="MWZ605" s="222"/>
      <c r="MXA605" s="222"/>
      <c r="MXB605" s="222"/>
      <c r="MXC605" s="223"/>
      <c r="MXD605" s="224"/>
      <c r="MXE605" s="222"/>
      <c r="MXF605" s="222"/>
      <c r="MXG605" s="222"/>
      <c r="MXH605" s="222"/>
      <c r="MXI605" s="222"/>
      <c r="MXJ605" s="222"/>
      <c r="MXK605" s="223"/>
      <c r="MXL605" s="224"/>
      <c r="MXM605" s="222"/>
      <c r="MXN605" s="222"/>
      <c r="MXO605" s="222"/>
      <c r="MXP605" s="222"/>
      <c r="MXQ605" s="222"/>
      <c r="MXR605" s="222"/>
      <c r="MXS605" s="223"/>
      <c r="MXT605" s="224"/>
      <c r="MXU605" s="222"/>
      <c r="MXV605" s="222"/>
      <c r="MXW605" s="222"/>
      <c r="MXX605" s="222"/>
      <c r="MXY605" s="222"/>
      <c r="MXZ605" s="222"/>
      <c r="MYA605" s="223"/>
      <c r="MYB605" s="224"/>
      <c r="MYC605" s="222"/>
      <c r="MYD605" s="222"/>
      <c r="MYE605" s="222"/>
      <c r="MYF605" s="222"/>
      <c r="MYG605" s="222"/>
      <c r="MYH605" s="222"/>
      <c r="MYI605" s="223"/>
      <c r="MYJ605" s="224"/>
      <c r="MYK605" s="222"/>
      <c r="MYL605" s="222"/>
      <c r="MYM605" s="222"/>
      <c r="MYN605" s="222"/>
      <c r="MYO605" s="222"/>
      <c r="MYP605" s="222"/>
      <c r="MYQ605" s="223"/>
      <c r="MYR605" s="224"/>
      <c r="MYS605" s="222"/>
      <c r="MYT605" s="222"/>
      <c r="MYU605" s="222"/>
      <c r="MYV605" s="222"/>
      <c r="MYW605" s="222"/>
      <c r="MYX605" s="222"/>
      <c r="MYY605" s="223"/>
      <c r="MYZ605" s="224"/>
      <c r="MZA605" s="222"/>
      <c r="MZB605" s="222"/>
      <c r="MZC605" s="222"/>
      <c r="MZD605" s="222"/>
      <c r="MZE605" s="222"/>
      <c r="MZF605" s="222"/>
      <c r="MZG605" s="223"/>
      <c r="MZH605" s="224"/>
      <c r="MZI605" s="222"/>
      <c r="MZJ605" s="222"/>
      <c r="MZK605" s="222"/>
      <c r="MZL605" s="222"/>
      <c r="MZM605" s="222"/>
      <c r="MZN605" s="222"/>
      <c r="MZO605" s="223"/>
      <c r="MZP605" s="224"/>
      <c r="MZQ605" s="222"/>
      <c r="MZR605" s="222"/>
      <c r="MZS605" s="222"/>
      <c r="MZT605" s="222"/>
      <c r="MZU605" s="222"/>
      <c r="MZV605" s="222"/>
      <c r="MZW605" s="223"/>
      <c r="MZX605" s="224"/>
      <c r="MZY605" s="222"/>
      <c r="MZZ605" s="222"/>
      <c r="NAA605" s="222"/>
      <c r="NAB605" s="222"/>
      <c r="NAC605" s="222"/>
      <c r="NAD605" s="222"/>
      <c r="NAE605" s="223"/>
      <c r="NAF605" s="224"/>
      <c r="NAG605" s="222"/>
      <c r="NAH605" s="222"/>
      <c r="NAI605" s="222"/>
      <c r="NAJ605" s="222"/>
      <c r="NAK605" s="222"/>
      <c r="NAL605" s="222"/>
      <c r="NAM605" s="223"/>
      <c r="NAN605" s="224"/>
      <c r="NAO605" s="222"/>
      <c r="NAP605" s="222"/>
      <c r="NAQ605" s="222"/>
      <c r="NAR605" s="222"/>
      <c r="NAS605" s="222"/>
      <c r="NAT605" s="222"/>
      <c r="NAU605" s="223"/>
      <c r="NAV605" s="224"/>
      <c r="NAW605" s="222"/>
      <c r="NAX605" s="222"/>
      <c r="NAY605" s="222"/>
      <c r="NAZ605" s="222"/>
      <c r="NBA605" s="222"/>
      <c r="NBB605" s="222"/>
      <c r="NBC605" s="223"/>
      <c r="NBD605" s="224"/>
      <c r="NBE605" s="222"/>
      <c r="NBF605" s="222"/>
      <c r="NBG605" s="222"/>
      <c r="NBH605" s="222"/>
      <c r="NBI605" s="222"/>
      <c r="NBJ605" s="222"/>
      <c r="NBK605" s="223"/>
      <c r="NBL605" s="224"/>
      <c r="NBM605" s="222"/>
      <c r="NBN605" s="222"/>
      <c r="NBO605" s="222"/>
      <c r="NBP605" s="222"/>
      <c r="NBQ605" s="222"/>
      <c r="NBR605" s="222"/>
      <c r="NBS605" s="223"/>
      <c r="NBT605" s="224"/>
      <c r="NBU605" s="222"/>
      <c r="NBV605" s="222"/>
      <c r="NBW605" s="222"/>
      <c r="NBX605" s="222"/>
      <c r="NBY605" s="222"/>
      <c r="NBZ605" s="222"/>
      <c r="NCA605" s="223"/>
      <c r="NCB605" s="224"/>
      <c r="NCC605" s="222"/>
      <c r="NCD605" s="222"/>
      <c r="NCE605" s="222"/>
      <c r="NCF605" s="222"/>
      <c r="NCG605" s="222"/>
      <c r="NCH605" s="222"/>
      <c r="NCI605" s="223"/>
      <c r="NCJ605" s="224"/>
      <c r="NCK605" s="222"/>
      <c r="NCL605" s="222"/>
      <c r="NCM605" s="222"/>
      <c r="NCN605" s="222"/>
      <c r="NCO605" s="222"/>
      <c r="NCP605" s="222"/>
      <c r="NCQ605" s="223"/>
      <c r="NCR605" s="224"/>
      <c r="NCS605" s="222"/>
      <c r="NCT605" s="222"/>
      <c r="NCU605" s="222"/>
      <c r="NCV605" s="222"/>
      <c r="NCW605" s="222"/>
      <c r="NCX605" s="222"/>
      <c r="NCY605" s="223"/>
      <c r="NCZ605" s="224"/>
      <c r="NDA605" s="222"/>
      <c r="NDB605" s="222"/>
      <c r="NDC605" s="222"/>
      <c r="NDD605" s="222"/>
      <c r="NDE605" s="222"/>
      <c r="NDF605" s="222"/>
      <c r="NDG605" s="223"/>
      <c r="NDH605" s="224"/>
      <c r="NDI605" s="222"/>
      <c r="NDJ605" s="222"/>
      <c r="NDK605" s="222"/>
      <c r="NDL605" s="222"/>
      <c r="NDM605" s="222"/>
      <c r="NDN605" s="222"/>
      <c r="NDO605" s="223"/>
      <c r="NDP605" s="224"/>
      <c r="NDQ605" s="222"/>
      <c r="NDR605" s="222"/>
      <c r="NDS605" s="222"/>
      <c r="NDT605" s="222"/>
      <c r="NDU605" s="222"/>
      <c r="NDV605" s="222"/>
      <c r="NDW605" s="223"/>
      <c r="NDX605" s="224"/>
      <c r="NDY605" s="222"/>
      <c r="NDZ605" s="222"/>
      <c r="NEA605" s="222"/>
      <c r="NEB605" s="222"/>
      <c r="NEC605" s="222"/>
      <c r="NED605" s="222"/>
      <c r="NEE605" s="223"/>
      <c r="NEF605" s="224"/>
      <c r="NEG605" s="222"/>
      <c r="NEH605" s="222"/>
      <c r="NEI605" s="222"/>
      <c r="NEJ605" s="222"/>
      <c r="NEK605" s="222"/>
      <c r="NEL605" s="222"/>
      <c r="NEM605" s="223"/>
      <c r="NEN605" s="224"/>
      <c r="NEO605" s="222"/>
      <c r="NEP605" s="222"/>
      <c r="NEQ605" s="222"/>
      <c r="NER605" s="222"/>
      <c r="NES605" s="222"/>
      <c r="NET605" s="222"/>
      <c r="NEU605" s="223"/>
      <c r="NEV605" s="224"/>
      <c r="NEW605" s="222"/>
      <c r="NEX605" s="222"/>
      <c r="NEY605" s="222"/>
      <c r="NEZ605" s="222"/>
      <c r="NFA605" s="222"/>
      <c r="NFB605" s="222"/>
      <c r="NFC605" s="223"/>
      <c r="NFD605" s="224"/>
      <c r="NFE605" s="222"/>
      <c r="NFF605" s="222"/>
      <c r="NFG605" s="222"/>
      <c r="NFH605" s="222"/>
      <c r="NFI605" s="222"/>
      <c r="NFJ605" s="222"/>
      <c r="NFK605" s="223"/>
      <c r="NFL605" s="224"/>
      <c r="NFM605" s="222"/>
      <c r="NFN605" s="222"/>
      <c r="NFO605" s="222"/>
      <c r="NFP605" s="222"/>
      <c r="NFQ605" s="222"/>
      <c r="NFR605" s="222"/>
      <c r="NFS605" s="223"/>
      <c r="NFT605" s="224"/>
      <c r="NFU605" s="222"/>
      <c r="NFV605" s="222"/>
      <c r="NFW605" s="222"/>
      <c r="NFX605" s="222"/>
      <c r="NFY605" s="222"/>
      <c r="NFZ605" s="222"/>
      <c r="NGA605" s="223"/>
      <c r="NGB605" s="224"/>
      <c r="NGC605" s="222"/>
      <c r="NGD605" s="222"/>
      <c r="NGE605" s="222"/>
      <c r="NGF605" s="222"/>
      <c r="NGG605" s="222"/>
      <c r="NGH605" s="222"/>
      <c r="NGI605" s="223"/>
      <c r="NGJ605" s="224"/>
      <c r="NGK605" s="222"/>
      <c r="NGL605" s="222"/>
      <c r="NGM605" s="222"/>
      <c r="NGN605" s="222"/>
      <c r="NGO605" s="222"/>
      <c r="NGP605" s="222"/>
      <c r="NGQ605" s="223"/>
      <c r="NGR605" s="224"/>
      <c r="NGS605" s="222"/>
      <c r="NGT605" s="222"/>
      <c r="NGU605" s="222"/>
      <c r="NGV605" s="222"/>
      <c r="NGW605" s="222"/>
      <c r="NGX605" s="222"/>
      <c r="NGY605" s="223"/>
      <c r="NGZ605" s="224"/>
      <c r="NHA605" s="222"/>
      <c r="NHB605" s="222"/>
      <c r="NHC605" s="222"/>
      <c r="NHD605" s="222"/>
      <c r="NHE605" s="222"/>
      <c r="NHF605" s="222"/>
      <c r="NHG605" s="223"/>
      <c r="NHH605" s="224"/>
      <c r="NHI605" s="222"/>
      <c r="NHJ605" s="222"/>
      <c r="NHK605" s="222"/>
      <c r="NHL605" s="222"/>
      <c r="NHM605" s="222"/>
      <c r="NHN605" s="222"/>
      <c r="NHO605" s="223"/>
      <c r="NHP605" s="224"/>
      <c r="NHQ605" s="222"/>
      <c r="NHR605" s="222"/>
      <c r="NHS605" s="222"/>
      <c r="NHT605" s="222"/>
      <c r="NHU605" s="222"/>
      <c r="NHV605" s="222"/>
      <c r="NHW605" s="223"/>
      <c r="NHX605" s="224"/>
      <c r="NHY605" s="222"/>
      <c r="NHZ605" s="222"/>
      <c r="NIA605" s="222"/>
      <c r="NIB605" s="222"/>
      <c r="NIC605" s="222"/>
      <c r="NID605" s="222"/>
      <c r="NIE605" s="223"/>
      <c r="NIF605" s="224"/>
      <c r="NIG605" s="222"/>
      <c r="NIH605" s="222"/>
      <c r="NII605" s="222"/>
      <c r="NIJ605" s="222"/>
      <c r="NIK605" s="222"/>
      <c r="NIL605" s="222"/>
      <c r="NIM605" s="223"/>
      <c r="NIN605" s="224"/>
      <c r="NIO605" s="222"/>
      <c r="NIP605" s="222"/>
      <c r="NIQ605" s="222"/>
      <c r="NIR605" s="222"/>
      <c r="NIS605" s="222"/>
      <c r="NIT605" s="222"/>
      <c r="NIU605" s="223"/>
      <c r="NIV605" s="224"/>
      <c r="NIW605" s="222"/>
      <c r="NIX605" s="222"/>
      <c r="NIY605" s="222"/>
      <c r="NIZ605" s="222"/>
      <c r="NJA605" s="222"/>
      <c r="NJB605" s="222"/>
      <c r="NJC605" s="223"/>
      <c r="NJD605" s="224"/>
      <c r="NJE605" s="222"/>
      <c r="NJF605" s="222"/>
      <c r="NJG605" s="222"/>
      <c r="NJH605" s="222"/>
      <c r="NJI605" s="222"/>
      <c r="NJJ605" s="222"/>
      <c r="NJK605" s="223"/>
      <c r="NJL605" s="224"/>
      <c r="NJM605" s="222"/>
      <c r="NJN605" s="222"/>
      <c r="NJO605" s="222"/>
      <c r="NJP605" s="222"/>
      <c r="NJQ605" s="222"/>
      <c r="NJR605" s="222"/>
      <c r="NJS605" s="223"/>
      <c r="NJT605" s="224"/>
      <c r="NJU605" s="222"/>
      <c r="NJV605" s="222"/>
      <c r="NJW605" s="222"/>
      <c r="NJX605" s="222"/>
      <c r="NJY605" s="222"/>
      <c r="NJZ605" s="222"/>
      <c r="NKA605" s="223"/>
      <c r="NKB605" s="224"/>
      <c r="NKC605" s="222"/>
      <c r="NKD605" s="222"/>
      <c r="NKE605" s="222"/>
      <c r="NKF605" s="222"/>
      <c r="NKG605" s="222"/>
      <c r="NKH605" s="222"/>
      <c r="NKI605" s="223"/>
      <c r="NKJ605" s="224"/>
      <c r="NKK605" s="222"/>
      <c r="NKL605" s="222"/>
      <c r="NKM605" s="222"/>
      <c r="NKN605" s="222"/>
      <c r="NKO605" s="222"/>
      <c r="NKP605" s="222"/>
      <c r="NKQ605" s="223"/>
      <c r="NKR605" s="224"/>
      <c r="NKS605" s="222"/>
      <c r="NKT605" s="222"/>
      <c r="NKU605" s="222"/>
      <c r="NKV605" s="222"/>
      <c r="NKW605" s="222"/>
      <c r="NKX605" s="222"/>
      <c r="NKY605" s="223"/>
      <c r="NKZ605" s="224"/>
      <c r="NLA605" s="222"/>
      <c r="NLB605" s="222"/>
      <c r="NLC605" s="222"/>
      <c r="NLD605" s="222"/>
      <c r="NLE605" s="222"/>
      <c r="NLF605" s="222"/>
      <c r="NLG605" s="223"/>
      <c r="NLH605" s="224"/>
      <c r="NLI605" s="222"/>
      <c r="NLJ605" s="222"/>
      <c r="NLK605" s="222"/>
      <c r="NLL605" s="222"/>
      <c r="NLM605" s="222"/>
      <c r="NLN605" s="222"/>
      <c r="NLO605" s="223"/>
      <c r="NLP605" s="224"/>
      <c r="NLQ605" s="222"/>
      <c r="NLR605" s="222"/>
      <c r="NLS605" s="222"/>
      <c r="NLT605" s="222"/>
      <c r="NLU605" s="222"/>
      <c r="NLV605" s="222"/>
      <c r="NLW605" s="223"/>
      <c r="NLX605" s="224"/>
      <c r="NLY605" s="222"/>
      <c r="NLZ605" s="222"/>
      <c r="NMA605" s="222"/>
      <c r="NMB605" s="222"/>
      <c r="NMC605" s="222"/>
      <c r="NMD605" s="222"/>
      <c r="NME605" s="223"/>
      <c r="NMF605" s="224"/>
      <c r="NMG605" s="222"/>
      <c r="NMH605" s="222"/>
      <c r="NMI605" s="222"/>
      <c r="NMJ605" s="222"/>
      <c r="NMK605" s="222"/>
      <c r="NML605" s="222"/>
      <c r="NMM605" s="223"/>
      <c r="NMN605" s="224"/>
      <c r="NMO605" s="222"/>
      <c r="NMP605" s="222"/>
      <c r="NMQ605" s="222"/>
      <c r="NMR605" s="222"/>
      <c r="NMS605" s="222"/>
      <c r="NMT605" s="222"/>
      <c r="NMU605" s="223"/>
      <c r="NMV605" s="224"/>
      <c r="NMW605" s="222"/>
      <c r="NMX605" s="222"/>
      <c r="NMY605" s="222"/>
      <c r="NMZ605" s="222"/>
      <c r="NNA605" s="222"/>
      <c r="NNB605" s="222"/>
      <c r="NNC605" s="223"/>
      <c r="NND605" s="224"/>
      <c r="NNE605" s="222"/>
      <c r="NNF605" s="222"/>
      <c r="NNG605" s="222"/>
      <c r="NNH605" s="222"/>
      <c r="NNI605" s="222"/>
      <c r="NNJ605" s="222"/>
      <c r="NNK605" s="223"/>
      <c r="NNL605" s="224"/>
      <c r="NNM605" s="222"/>
      <c r="NNN605" s="222"/>
      <c r="NNO605" s="222"/>
      <c r="NNP605" s="222"/>
      <c r="NNQ605" s="222"/>
      <c r="NNR605" s="222"/>
      <c r="NNS605" s="223"/>
      <c r="NNT605" s="224"/>
      <c r="NNU605" s="222"/>
      <c r="NNV605" s="222"/>
      <c r="NNW605" s="222"/>
      <c r="NNX605" s="222"/>
      <c r="NNY605" s="222"/>
      <c r="NNZ605" s="222"/>
      <c r="NOA605" s="223"/>
      <c r="NOB605" s="224"/>
      <c r="NOC605" s="222"/>
      <c r="NOD605" s="222"/>
      <c r="NOE605" s="222"/>
      <c r="NOF605" s="222"/>
      <c r="NOG605" s="222"/>
      <c r="NOH605" s="222"/>
      <c r="NOI605" s="223"/>
      <c r="NOJ605" s="224"/>
      <c r="NOK605" s="222"/>
      <c r="NOL605" s="222"/>
      <c r="NOM605" s="222"/>
      <c r="NON605" s="222"/>
      <c r="NOO605" s="222"/>
      <c r="NOP605" s="222"/>
      <c r="NOQ605" s="223"/>
      <c r="NOR605" s="224"/>
      <c r="NOS605" s="222"/>
      <c r="NOT605" s="222"/>
      <c r="NOU605" s="222"/>
      <c r="NOV605" s="222"/>
      <c r="NOW605" s="222"/>
      <c r="NOX605" s="222"/>
      <c r="NOY605" s="223"/>
      <c r="NOZ605" s="224"/>
      <c r="NPA605" s="222"/>
      <c r="NPB605" s="222"/>
      <c r="NPC605" s="222"/>
      <c r="NPD605" s="222"/>
      <c r="NPE605" s="222"/>
      <c r="NPF605" s="222"/>
      <c r="NPG605" s="223"/>
      <c r="NPH605" s="224"/>
      <c r="NPI605" s="222"/>
      <c r="NPJ605" s="222"/>
      <c r="NPK605" s="222"/>
      <c r="NPL605" s="222"/>
      <c r="NPM605" s="222"/>
      <c r="NPN605" s="222"/>
      <c r="NPO605" s="223"/>
      <c r="NPP605" s="224"/>
      <c r="NPQ605" s="222"/>
      <c r="NPR605" s="222"/>
      <c r="NPS605" s="222"/>
      <c r="NPT605" s="222"/>
      <c r="NPU605" s="222"/>
      <c r="NPV605" s="222"/>
      <c r="NPW605" s="223"/>
      <c r="NPX605" s="224"/>
      <c r="NPY605" s="222"/>
      <c r="NPZ605" s="222"/>
      <c r="NQA605" s="222"/>
      <c r="NQB605" s="222"/>
      <c r="NQC605" s="222"/>
      <c r="NQD605" s="222"/>
      <c r="NQE605" s="223"/>
      <c r="NQF605" s="224"/>
      <c r="NQG605" s="222"/>
      <c r="NQH605" s="222"/>
      <c r="NQI605" s="222"/>
      <c r="NQJ605" s="222"/>
      <c r="NQK605" s="222"/>
      <c r="NQL605" s="222"/>
      <c r="NQM605" s="223"/>
      <c r="NQN605" s="224"/>
      <c r="NQO605" s="222"/>
      <c r="NQP605" s="222"/>
      <c r="NQQ605" s="222"/>
      <c r="NQR605" s="222"/>
      <c r="NQS605" s="222"/>
      <c r="NQT605" s="222"/>
      <c r="NQU605" s="223"/>
      <c r="NQV605" s="224"/>
      <c r="NQW605" s="222"/>
      <c r="NQX605" s="222"/>
      <c r="NQY605" s="222"/>
      <c r="NQZ605" s="222"/>
      <c r="NRA605" s="222"/>
      <c r="NRB605" s="222"/>
      <c r="NRC605" s="223"/>
      <c r="NRD605" s="224"/>
      <c r="NRE605" s="222"/>
      <c r="NRF605" s="222"/>
      <c r="NRG605" s="222"/>
      <c r="NRH605" s="222"/>
      <c r="NRI605" s="222"/>
      <c r="NRJ605" s="222"/>
      <c r="NRK605" s="223"/>
      <c r="NRL605" s="224"/>
      <c r="NRM605" s="222"/>
      <c r="NRN605" s="222"/>
      <c r="NRO605" s="222"/>
      <c r="NRP605" s="222"/>
      <c r="NRQ605" s="222"/>
      <c r="NRR605" s="222"/>
      <c r="NRS605" s="223"/>
      <c r="NRT605" s="224"/>
      <c r="NRU605" s="222"/>
      <c r="NRV605" s="222"/>
      <c r="NRW605" s="222"/>
      <c r="NRX605" s="222"/>
      <c r="NRY605" s="222"/>
      <c r="NRZ605" s="222"/>
      <c r="NSA605" s="223"/>
      <c r="NSB605" s="224"/>
      <c r="NSC605" s="222"/>
      <c r="NSD605" s="222"/>
      <c r="NSE605" s="222"/>
      <c r="NSF605" s="222"/>
      <c r="NSG605" s="222"/>
      <c r="NSH605" s="222"/>
      <c r="NSI605" s="223"/>
      <c r="NSJ605" s="224"/>
      <c r="NSK605" s="222"/>
      <c r="NSL605" s="222"/>
      <c r="NSM605" s="222"/>
      <c r="NSN605" s="222"/>
      <c r="NSO605" s="222"/>
      <c r="NSP605" s="222"/>
      <c r="NSQ605" s="223"/>
      <c r="NSR605" s="224"/>
      <c r="NSS605" s="222"/>
      <c r="NST605" s="222"/>
      <c r="NSU605" s="222"/>
      <c r="NSV605" s="222"/>
      <c r="NSW605" s="222"/>
      <c r="NSX605" s="222"/>
      <c r="NSY605" s="223"/>
      <c r="NSZ605" s="224"/>
      <c r="NTA605" s="222"/>
      <c r="NTB605" s="222"/>
      <c r="NTC605" s="222"/>
      <c r="NTD605" s="222"/>
      <c r="NTE605" s="222"/>
      <c r="NTF605" s="222"/>
      <c r="NTG605" s="223"/>
      <c r="NTH605" s="224"/>
      <c r="NTI605" s="222"/>
      <c r="NTJ605" s="222"/>
      <c r="NTK605" s="222"/>
      <c r="NTL605" s="222"/>
      <c r="NTM605" s="222"/>
      <c r="NTN605" s="222"/>
      <c r="NTO605" s="223"/>
      <c r="NTP605" s="224"/>
      <c r="NTQ605" s="222"/>
      <c r="NTR605" s="222"/>
      <c r="NTS605" s="222"/>
      <c r="NTT605" s="222"/>
      <c r="NTU605" s="222"/>
      <c r="NTV605" s="222"/>
      <c r="NTW605" s="223"/>
      <c r="NTX605" s="224"/>
      <c r="NTY605" s="222"/>
      <c r="NTZ605" s="222"/>
      <c r="NUA605" s="222"/>
      <c r="NUB605" s="222"/>
      <c r="NUC605" s="222"/>
      <c r="NUD605" s="222"/>
      <c r="NUE605" s="223"/>
      <c r="NUF605" s="224"/>
      <c r="NUG605" s="222"/>
      <c r="NUH605" s="222"/>
      <c r="NUI605" s="222"/>
      <c r="NUJ605" s="222"/>
      <c r="NUK605" s="222"/>
      <c r="NUL605" s="222"/>
      <c r="NUM605" s="223"/>
      <c r="NUN605" s="224"/>
      <c r="NUO605" s="222"/>
      <c r="NUP605" s="222"/>
      <c r="NUQ605" s="222"/>
      <c r="NUR605" s="222"/>
      <c r="NUS605" s="222"/>
      <c r="NUT605" s="222"/>
      <c r="NUU605" s="223"/>
      <c r="NUV605" s="224"/>
      <c r="NUW605" s="222"/>
      <c r="NUX605" s="222"/>
      <c r="NUY605" s="222"/>
      <c r="NUZ605" s="222"/>
      <c r="NVA605" s="222"/>
      <c r="NVB605" s="222"/>
      <c r="NVC605" s="223"/>
      <c r="NVD605" s="224"/>
      <c r="NVE605" s="222"/>
      <c r="NVF605" s="222"/>
      <c r="NVG605" s="222"/>
      <c r="NVH605" s="222"/>
      <c r="NVI605" s="222"/>
      <c r="NVJ605" s="222"/>
      <c r="NVK605" s="223"/>
      <c r="NVL605" s="224"/>
      <c r="NVM605" s="222"/>
      <c r="NVN605" s="222"/>
      <c r="NVO605" s="222"/>
      <c r="NVP605" s="222"/>
      <c r="NVQ605" s="222"/>
      <c r="NVR605" s="222"/>
      <c r="NVS605" s="223"/>
      <c r="NVT605" s="224"/>
      <c r="NVU605" s="222"/>
      <c r="NVV605" s="222"/>
      <c r="NVW605" s="222"/>
      <c r="NVX605" s="222"/>
      <c r="NVY605" s="222"/>
      <c r="NVZ605" s="222"/>
      <c r="NWA605" s="223"/>
      <c r="NWB605" s="224"/>
      <c r="NWC605" s="222"/>
      <c r="NWD605" s="222"/>
      <c r="NWE605" s="222"/>
      <c r="NWF605" s="222"/>
      <c r="NWG605" s="222"/>
      <c r="NWH605" s="222"/>
      <c r="NWI605" s="223"/>
      <c r="NWJ605" s="224"/>
      <c r="NWK605" s="222"/>
      <c r="NWL605" s="222"/>
      <c r="NWM605" s="222"/>
      <c r="NWN605" s="222"/>
      <c r="NWO605" s="222"/>
      <c r="NWP605" s="222"/>
      <c r="NWQ605" s="223"/>
      <c r="NWR605" s="224"/>
      <c r="NWS605" s="222"/>
      <c r="NWT605" s="222"/>
      <c r="NWU605" s="222"/>
      <c r="NWV605" s="222"/>
      <c r="NWW605" s="222"/>
      <c r="NWX605" s="222"/>
      <c r="NWY605" s="223"/>
      <c r="NWZ605" s="224"/>
      <c r="NXA605" s="222"/>
      <c r="NXB605" s="222"/>
      <c r="NXC605" s="222"/>
      <c r="NXD605" s="222"/>
      <c r="NXE605" s="222"/>
      <c r="NXF605" s="222"/>
      <c r="NXG605" s="223"/>
      <c r="NXH605" s="224"/>
      <c r="NXI605" s="222"/>
      <c r="NXJ605" s="222"/>
      <c r="NXK605" s="222"/>
      <c r="NXL605" s="222"/>
      <c r="NXM605" s="222"/>
      <c r="NXN605" s="222"/>
      <c r="NXO605" s="223"/>
      <c r="NXP605" s="224"/>
      <c r="NXQ605" s="222"/>
      <c r="NXR605" s="222"/>
      <c r="NXS605" s="222"/>
      <c r="NXT605" s="222"/>
      <c r="NXU605" s="222"/>
      <c r="NXV605" s="222"/>
      <c r="NXW605" s="223"/>
      <c r="NXX605" s="224"/>
      <c r="NXY605" s="222"/>
      <c r="NXZ605" s="222"/>
      <c r="NYA605" s="222"/>
      <c r="NYB605" s="222"/>
      <c r="NYC605" s="222"/>
      <c r="NYD605" s="222"/>
      <c r="NYE605" s="223"/>
      <c r="NYF605" s="224"/>
      <c r="NYG605" s="222"/>
      <c r="NYH605" s="222"/>
      <c r="NYI605" s="222"/>
      <c r="NYJ605" s="222"/>
      <c r="NYK605" s="222"/>
      <c r="NYL605" s="222"/>
      <c r="NYM605" s="223"/>
      <c r="NYN605" s="224"/>
      <c r="NYO605" s="222"/>
      <c r="NYP605" s="222"/>
      <c r="NYQ605" s="222"/>
      <c r="NYR605" s="222"/>
      <c r="NYS605" s="222"/>
      <c r="NYT605" s="222"/>
      <c r="NYU605" s="223"/>
      <c r="NYV605" s="224"/>
      <c r="NYW605" s="222"/>
      <c r="NYX605" s="222"/>
      <c r="NYY605" s="222"/>
      <c r="NYZ605" s="222"/>
      <c r="NZA605" s="222"/>
      <c r="NZB605" s="222"/>
      <c r="NZC605" s="223"/>
      <c r="NZD605" s="224"/>
      <c r="NZE605" s="222"/>
      <c r="NZF605" s="222"/>
      <c r="NZG605" s="222"/>
      <c r="NZH605" s="222"/>
      <c r="NZI605" s="222"/>
      <c r="NZJ605" s="222"/>
      <c r="NZK605" s="223"/>
      <c r="NZL605" s="224"/>
      <c r="NZM605" s="222"/>
      <c r="NZN605" s="222"/>
      <c r="NZO605" s="222"/>
      <c r="NZP605" s="222"/>
      <c r="NZQ605" s="222"/>
      <c r="NZR605" s="222"/>
      <c r="NZS605" s="223"/>
      <c r="NZT605" s="224"/>
      <c r="NZU605" s="222"/>
      <c r="NZV605" s="222"/>
      <c r="NZW605" s="222"/>
      <c r="NZX605" s="222"/>
      <c r="NZY605" s="222"/>
      <c r="NZZ605" s="222"/>
      <c r="OAA605" s="223"/>
      <c r="OAB605" s="224"/>
      <c r="OAC605" s="222"/>
      <c r="OAD605" s="222"/>
      <c r="OAE605" s="222"/>
      <c r="OAF605" s="222"/>
      <c r="OAG605" s="222"/>
      <c r="OAH605" s="222"/>
      <c r="OAI605" s="223"/>
      <c r="OAJ605" s="224"/>
      <c r="OAK605" s="222"/>
      <c r="OAL605" s="222"/>
      <c r="OAM605" s="222"/>
      <c r="OAN605" s="222"/>
      <c r="OAO605" s="222"/>
      <c r="OAP605" s="222"/>
      <c r="OAQ605" s="223"/>
      <c r="OAR605" s="224"/>
      <c r="OAS605" s="222"/>
      <c r="OAT605" s="222"/>
      <c r="OAU605" s="222"/>
      <c r="OAV605" s="222"/>
      <c r="OAW605" s="222"/>
      <c r="OAX605" s="222"/>
      <c r="OAY605" s="223"/>
      <c r="OAZ605" s="224"/>
      <c r="OBA605" s="222"/>
      <c r="OBB605" s="222"/>
      <c r="OBC605" s="222"/>
      <c r="OBD605" s="222"/>
      <c r="OBE605" s="222"/>
      <c r="OBF605" s="222"/>
      <c r="OBG605" s="223"/>
      <c r="OBH605" s="224"/>
      <c r="OBI605" s="222"/>
      <c r="OBJ605" s="222"/>
      <c r="OBK605" s="222"/>
      <c r="OBL605" s="222"/>
      <c r="OBM605" s="222"/>
      <c r="OBN605" s="222"/>
      <c r="OBO605" s="223"/>
      <c r="OBP605" s="224"/>
      <c r="OBQ605" s="222"/>
      <c r="OBR605" s="222"/>
      <c r="OBS605" s="222"/>
      <c r="OBT605" s="222"/>
      <c r="OBU605" s="222"/>
      <c r="OBV605" s="222"/>
      <c r="OBW605" s="223"/>
      <c r="OBX605" s="224"/>
      <c r="OBY605" s="222"/>
      <c r="OBZ605" s="222"/>
      <c r="OCA605" s="222"/>
      <c r="OCB605" s="222"/>
      <c r="OCC605" s="222"/>
      <c r="OCD605" s="222"/>
      <c r="OCE605" s="223"/>
      <c r="OCF605" s="224"/>
      <c r="OCG605" s="222"/>
      <c r="OCH605" s="222"/>
      <c r="OCI605" s="222"/>
      <c r="OCJ605" s="222"/>
      <c r="OCK605" s="222"/>
      <c r="OCL605" s="222"/>
      <c r="OCM605" s="223"/>
      <c r="OCN605" s="224"/>
      <c r="OCO605" s="222"/>
      <c r="OCP605" s="222"/>
      <c r="OCQ605" s="222"/>
      <c r="OCR605" s="222"/>
      <c r="OCS605" s="222"/>
      <c r="OCT605" s="222"/>
      <c r="OCU605" s="223"/>
      <c r="OCV605" s="224"/>
      <c r="OCW605" s="222"/>
      <c r="OCX605" s="222"/>
      <c r="OCY605" s="222"/>
      <c r="OCZ605" s="222"/>
      <c r="ODA605" s="222"/>
      <c r="ODB605" s="222"/>
      <c r="ODC605" s="223"/>
      <c r="ODD605" s="224"/>
      <c r="ODE605" s="222"/>
      <c r="ODF605" s="222"/>
      <c r="ODG605" s="222"/>
      <c r="ODH605" s="222"/>
      <c r="ODI605" s="222"/>
      <c r="ODJ605" s="222"/>
      <c r="ODK605" s="223"/>
      <c r="ODL605" s="224"/>
      <c r="ODM605" s="222"/>
      <c r="ODN605" s="222"/>
      <c r="ODO605" s="222"/>
      <c r="ODP605" s="222"/>
      <c r="ODQ605" s="222"/>
      <c r="ODR605" s="222"/>
      <c r="ODS605" s="223"/>
      <c r="ODT605" s="224"/>
      <c r="ODU605" s="222"/>
      <c r="ODV605" s="222"/>
      <c r="ODW605" s="222"/>
      <c r="ODX605" s="222"/>
      <c r="ODY605" s="222"/>
      <c r="ODZ605" s="222"/>
      <c r="OEA605" s="223"/>
      <c r="OEB605" s="224"/>
      <c r="OEC605" s="222"/>
      <c r="OED605" s="222"/>
      <c r="OEE605" s="222"/>
      <c r="OEF605" s="222"/>
      <c r="OEG605" s="222"/>
      <c r="OEH605" s="222"/>
      <c r="OEI605" s="223"/>
      <c r="OEJ605" s="224"/>
      <c r="OEK605" s="222"/>
      <c r="OEL605" s="222"/>
      <c r="OEM605" s="222"/>
      <c r="OEN605" s="222"/>
      <c r="OEO605" s="222"/>
      <c r="OEP605" s="222"/>
      <c r="OEQ605" s="223"/>
      <c r="OER605" s="224"/>
      <c r="OES605" s="222"/>
      <c r="OET605" s="222"/>
      <c r="OEU605" s="222"/>
      <c r="OEV605" s="222"/>
      <c r="OEW605" s="222"/>
      <c r="OEX605" s="222"/>
      <c r="OEY605" s="223"/>
      <c r="OEZ605" s="224"/>
      <c r="OFA605" s="222"/>
      <c r="OFB605" s="222"/>
      <c r="OFC605" s="222"/>
      <c r="OFD605" s="222"/>
      <c r="OFE605" s="222"/>
      <c r="OFF605" s="222"/>
      <c r="OFG605" s="223"/>
      <c r="OFH605" s="224"/>
      <c r="OFI605" s="222"/>
      <c r="OFJ605" s="222"/>
      <c r="OFK605" s="222"/>
      <c r="OFL605" s="222"/>
      <c r="OFM605" s="222"/>
      <c r="OFN605" s="222"/>
      <c r="OFO605" s="223"/>
      <c r="OFP605" s="224"/>
      <c r="OFQ605" s="222"/>
      <c r="OFR605" s="222"/>
      <c r="OFS605" s="222"/>
      <c r="OFT605" s="222"/>
      <c r="OFU605" s="222"/>
      <c r="OFV605" s="222"/>
      <c r="OFW605" s="223"/>
      <c r="OFX605" s="224"/>
      <c r="OFY605" s="222"/>
      <c r="OFZ605" s="222"/>
      <c r="OGA605" s="222"/>
      <c r="OGB605" s="222"/>
      <c r="OGC605" s="222"/>
      <c r="OGD605" s="222"/>
      <c r="OGE605" s="223"/>
      <c r="OGF605" s="224"/>
      <c r="OGG605" s="222"/>
      <c r="OGH605" s="222"/>
      <c r="OGI605" s="222"/>
      <c r="OGJ605" s="222"/>
      <c r="OGK605" s="222"/>
      <c r="OGL605" s="222"/>
      <c r="OGM605" s="223"/>
      <c r="OGN605" s="224"/>
      <c r="OGO605" s="222"/>
      <c r="OGP605" s="222"/>
      <c r="OGQ605" s="222"/>
      <c r="OGR605" s="222"/>
      <c r="OGS605" s="222"/>
      <c r="OGT605" s="222"/>
      <c r="OGU605" s="223"/>
      <c r="OGV605" s="224"/>
      <c r="OGW605" s="222"/>
      <c r="OGX605" s="222"/>
      <c r="OGY605" s="222"/>
      <c r="OGZ605" s="222"/>
      <c r="OHA605" s="222"/>
      <c r="OHB605" s="222"/>
      <c r="OHC605" s="223"/>
      <c r="OHD605" s="224"/>
      <c r="OHE605" s="222"/>
      <c r="OHF605" s="222"/>
      <c r="OHG605" s="222"/>
      <c r="OHH605" s="222"/>
      <c r="OHI605" s="222"/>
      <c r="OHJ605" s="222"/>
      <c r="OHK605" s="223"/>
      <c r="OHL605" s="224"/>
      <c r="OHM605" s="222"/>
      <c r="OHN605" s="222"/>
      <c r="OHO605" s="222"/>
      <c r="OHP605" s="222"/>
      <c r="OHQ605" s="222"/>
      <c r="OHR605" s="222"/>
      <c r="OHS605" s="223"/>
      <c r="OHT605" s="224"/>
      <c r="OHU605" s="222"/>
      <c r="OHV605" s="222"/>
      <c r="OHW605" s="222"/>
      <c r="OHX605" s="222"/>
      <c r="OHY605" s="222"/>
      <c r="OHZ605" s="222"/>
      <c r="OIA605" s="223"/>
      <c r="OIB605" s="224"/>
      <c r="OIC605" s="222"/>
      <c r="OID605" s="222"/>
      <c r="OIE605" s="222"/>
      <c r="OIF605" s="222"/>
      <c r="OIG605" s="222"/>
      <c r="OIH605" s="222"/>
      <c r="OII605" s="223"/>
      <c r="OIJ605" s="224"/>
      <c r="OIK605" s="222"/>
      <c r="OIL605" s="222"/>
      <c r="OIM605" s="222"/>
      <c r="OIN605" s="222"/>
      <c r="OIO605" s="222"/>
      <c r="OIP605" s="222"/>
      <c r="OIQ605" s="223"/>
      <c r="OIR605" s="224"/>
      <c r="OIS605" s="222"/>
      <c r="OIT605" s="222"/>
      <c r="OIU605" s="222"/>
      <c r="OIV605" s="222"/>
      <c r="OIW605" s="222"/>
      <c r="OIX605" s="222"/>
      <c r="OIY605" s="223"/>
      <c r="OIZ605" s="224"/>
      <c r="OJA605" s="222"/>
      <c r="OJB605" s="222"/>
      <c r="OJC605" s="222"/>
      <c r="OJD605" s="222"/>
      <c r="OJE605" s="222"/>
      <c r="OJF605" s="222"/>
      <c r="OJG605" s="223"/>
      <c r="OJH605" s="224"/>
      <c r="OJI605" s="222"/>
      <c r="OJJ605" s="222"/>
      <c r="OJK605" s="222"/>
      <c r="OJL605" s="222"/>
      <c r="OJM605" s="222"/>
      <c r="OJN605" s="222"/>
      <c r="OJO605" s="223"/>
      <c r="OJP605" s="224"/>
      <c r="OJQ605" s="222"/>
      <c r="OJR605" s="222"/>
      <c r="OJS605" s="222"/>
      <c r="OJT605" s="222"/>
      <c r="OJU605" s="222"/>
      <c r="OJV605" s="222"/>
      <c r="OJW605" s="223"/>
      <c r="OJX605" s="224"/>
      <c r="OJY605" s="222"/>
      <c r="OJZ605" s="222"/>
      <c r="OKA605" s="222"/>
      <c r="OKB605" s="222"/>
      <c r="OKC605" s="222"/>
      <c r="OKD605" s="222"/>
      <c r="OKE605" s="223"/>
      <c r="OKF605" s="224"/>
      <c r="OKG605" s="222"/>
      <c r="OKH605" s="222"/>
      <c r="OKI605" s="222"/>
      <c r="OKJ605" s="222"/>
      <c r="OKK605" s="222"/>
      <c r="OKL605" s="222"/>
      <c r="OKM605" s="223"/>
      <c r="OKN605" s="224"/>
      <c r="OKO605" s="222"/>
      <c r="OKP605" s="222"/>
      <c r="OKQ605" s="222"/>
      <c r="OKR605" s="222"/>
      <c r="OKS605" s="222"/>
      <c r="OKT605" s="222"/>
      <c r="OKU605" s="223"/>
      <c r="OKV605" s="224"/>
      <c r="OKW605" s="222"/>
      <c r="OKX605" s="222"/>
      <c r="OKY605" s="222"/>
      <c r="OKZ605" s="222"/>
      <c r="OLA605" s="222"/>
      <c r="OLB605" s="222"/>
      <c r="OLC605" s="223"/>
      <c r="OLD605" s="224"/>
      <c r="OLE605" s="222"/>
      <c r="OLF605" s="222"/>
      <c r="OLG605" s="222"/>
      <c r="OLH605" s="222"/>
      <c r="OLI605" s="222"/>
      <c r="OLJ605" s="222"/>
      <c r="OLK605" s="223"/>
      <c r="OLL605" s="224"/>
      <c r="OLM605" s="222"/>
      <c r="OLN605" s="222"/>
      <c r="OLO605" s="222"/>
      <c r="OLP605" s="222"/>
      <c r="OLQ605" s="222"/>
      <c r="OLR605" s="222"/>
      <c r="OLS605" s="223"/>
      <c r="OLT605" s="224"/>
      <c r="OLU605" s="222"/>
      <c r="OLV605" s="222"/>
      <c r="OLW605" s="222"/>
      <c r="OLX605" s="222"/>
      <c r="OLY605" s="222"/>
      <c r="OLZ605" s="222"/>
      <c r="OMA605" s="223"/>
      <c r="OMB605" s="224"/>
      <c r="OMC605" s="222"/>
      <c r="OMD605" s="222"/>
      <c r="OME605" s="222"/>
      <c r="OMF605" s="222"/>
      <c r="OMG605" s="222"/>
      <c r="OMH605" s="222"/>
      <c r="OMI605" s="223"/>
      <c r="OMJ605" s="224"/>
      <c r="OMK605" s="222"/>
      <c r="OML605" s="222"/>
      <c r="OMM605" s="222"/>
      <c r="OMN605" s="222"/>
      <c r="OMO605" s="222"/>
      <c r="OMP605" s="222"/>
      <c r="OMQ605" s="223"/>
      <c r="OMR605" s="224"/>
      <c r="OMS605" s="222"/>
      <c r="OMT605" s="222"/>
      <c r="OMU605" s="222"/>
      <c r="OMV605" s="222"/>
      <c r="OMW605" s="222"/>
      <c r="OMX605" s="222"/>
      <c r="OMY605" s="223"/>
      <c r="OMZ605" s="224"/>
      <c r="ONA605" s="222"/>
      <c r="ONB605" s="222"/>
      <c r="ONC605" s="222"/>
      <c r="OND605" s="222"/>
      <c r="ONE605" s="222"/>
      <c r="ONF605" s="222"/>
      <c r="ONG605" s="223"/>
      <c r="ONH605" s="224"/>
      <c r="ONI605" s="222"/>
      <c r="ONJ605" s="222"/>
      <c r="ONK605" s="222"/>
      <c r="ONL605" s="222"/>
      <c r="ONM605" s="222"/>
      <c r="ONN605" s="222"/>
      <c r="ONO605" s="223"/>
      <c r="ONP605" s="224"/>
      <c r="ONQ605" s="222"/>
      <c r="ONR605" s="222"/>
      <c r="ONS605" s="222"/>
      <c r="ONT605" s="222"/>
      <c r="ONU605" s="222"/>
      <c r="ONV605" s="222"/>
      <c r="ONW605" s="223"/>
      <c r="ONX605" s="224"/>
      <c r="ONY605" s="222"/>
      <c r="ONZ605" s="222"/>
      <c r="OOA605" s="222"/>
      <c r="OOB605" s="222"/>
      <c r="OOC605" s="222"/>
      <c r="OOD605" s="222"/>
      <c r="OOE605" s="223"/>
      <c r="OOF605" s="224"/>
      <c r="OOG605" s="222"/>
      <c r="OOH605" s="222"/>
      <c r="OOI605" s="222"/>
      <c r="OOJ605" s="222"/>
      <c r="OOK605" s="222"/>
      <c r="OOL605" s="222"/>
      <c r="OOM605" s="223"/>
      <c r="OON605" s="224"/>
      <c r="OOO605" s="222"/>
      <c r="OOP605" s="222"/>
      <c r="OOQ605" s="222"/>
      <c r="OOR605" s="222"/>
      <c r="OOS605" s="222"/>
      <c r="OOT605" s="222"/>
      <c r="OOU605" s="223"/>
      <c r="OOV605" s="224"/>
      <c r="OOW605" s="222"/>
      <c r="OOX605" s="222"/>
      <c r="OOY605" s="222"/>
      <c r="OOZ605" s="222"/>
      <c r="OPA605" s="222"/>
      <c r="OPB605" s="222"/>
      <c r="OPC605" s="223"/>
      <c r="OPD605" s="224"/>
      <c r="OPE605" s="222"/>
      <c r="OPF605" s="222"/>
      <c r="OPG605" s="222"/>
      <c r="OPH605" s="222"/>
      <c r="OPI605" s="222"/>
      <c r="OPJ605" s="222"/>
      <c r="OPK605" s="223"/>
      <c r="OPL605" s="224"/>
      <c r="OPM605" s="222"/>
      <c r="OPN605" s="222"/>
      <c r="OPO605" s="222"/>
      <c r="OPP605" s="222"/>
      <c r="OPQ605" s="222"/>
      <c r="OPR605" s="222"/>
      <c r="OPS605" s="223"/>
      <c r="OPT605" s="224"/>
      <c r="OPU605" s="222"/>
      <c r="OPV605" s="222"/>
      <c r="OPW605" s="222"/>
      <c r="OPX605" s="222"/>
      <c r="OPY605" s="222"/>
      <c r="OPZ605" s="222"/>
      <c r="OQA605" s="223"/>
      <c r="OQB605" s="224"/>
      <c r="OQC605" s="222"/>
      <c r="OQD605" s="222"/>
      <c r="OQE605" s="222"/>
      <c r="OQF605" s="222"/>
      <c r="OQG605" s="222"/>
      <c r="OQH605" s="222"/>
      <c r="OQI605" s="223"/>
      <c r="OQJ605" s="224"/>
      <c r="OQK605" s="222"/>
      <c r="OQL605" s="222"/>
      <c r="OQM605" s="222"/>
      <c r="OQN605" s="222"/>
      <c r="OQO605" s="222"/>
      <c r="OQP605" s="222"/>
      <c r="OQQ605" s="223"/>
      <c r="OQR605" s="224"/>
      <c r="OQS605" s="222"/>
      <c r="OQT605" s="222"/>
      <c r="OQU605" s="222"/>
      <c r="OQV605" s="222"/>
      <c r="OQW605" s="222"/>
      <c r="OQX605" s="222"/>
      <c r="OQY605" s="223"/>
      <c r="OQZ605" s="224"/>
      <c r="ORA605" s="222"/>
      <c r="ORB605" s="222"/>
      <c r="ORC605" s="222"/>
      <c r="ORD605" s="222"/>
      <c r="ORE605" s="222"/>
      <c r="ORF605" s="222"/>
      <c r="ORG605" s="223"/>
      <c r="ORH605" s="224"/>
      <c r="ORI605" s="222"/>
      <c r="ORJ605" s="222"/>
      <c r="ORK605" s="222"/>
      <c r="ORL605" s="222"/>
      <c r="ORM605" s="222"/>
      <c r="ORN605" s="222"/>
      <c r="ORO605" s="223"/>
      <c r="ORP605" s="224"/>
      <c r="ORQ605" s="222"/>
      <c r="ORR605" s="222"/>
      <c r="ORS605" s="222"/>
      <c r="ORT605" s="222"/>
      <c r="ORU605" s="222"/>
      <c r="ORV605" s="222"/>
      <c r="ORW605" s="223"/>
      <c r="ORX605" s="224"/>
      <c r="ORY605" s="222"/>
      <c r="ORZ605" s="222"/>
      <c r="OSA605" s="222"/>
      <c r="OSB605" s="222"/>
      <c r="OSC605" s="222"/>
      <c r="OSD605" s="222"/>
      <c r="OSE605" s="223"/>
      <c r="OSF605" s="224"/>
      <c r="OSG605" s="222"/>
      <c r="OSH605" s="222"/>
      <c r="OSI605" s="222"/>
      <c r="OSJ605" s="222"/>
      <c r="OSK605" s="222"/>
      <c r="OSL605" s="222"/>
      <c r="OSM605" s="223"/>
      <c r="OSN605" s="224"/>
      <c r="OSO605" s="222"/>
      <c r="OSP605" s="222"/>
      <c r="OSQ605" s="222"/>
      <c r="OSR605" s="222"/>
      <c r="OSS605" s="222"/>
      <c r="OST605" s="222"/>
      <c r="OSU605" s="223"/>
      <c r="OSV605" s="224"/>
      <c r="OSW605" s="222"/>
      <c r="OSX605" s="222"/>
      <c r="OSY605" s="222"/>
      <c r="OSZ605" s="222"/>
      <c r="OTA605" s="222"/>
      <c r="OTB605" s="222"/>
      <c r="OTC605" s="223"/>
      <c r="OTD605" s="224"/>
      <c r="OTE605" s="222"/>
      <c r="OTF605" s="222"/>
      <c r="OTG605" s="222"/>
      <c r="OTH605" s="222"/>
      <c r="OTI605" s="222"/>
      <c r="OTJ605" s="222"/>
      <c r="OTK605" s="223"/>
      <c r="OTL605" s="224"/>
      <c r="OTM605" s="222"/>
      <c r="OTN605" s="222"/>
      <c r="OTO605" s="222"/>
      <c r="OTP605" s="222"/>
      <c r="OTQ605" s="222"/>
      <c r="OTR605" s="222"/>
      <c r="OTS605" s="223"/>
      <c r="OTT605" s="224"/>
      <c r="OTU605" s="222"/>
      <c r="OTV605" s="222"/>
      <c r="OTW605" s="222"/>
      <c r="OTX605" s="222"/>
      <c r="OTY605" s="222"/>
      <c r="OTZ605" s="222"/>
      <c r="OUA605" s="223"/>
      <c r="OUB605" s="224"/>
      <c r="OUC605" s="222"/>
      <c r="OUD605" s="222"/>
      <c r="OUE605" s="222"/>
      <c r="OUF605" s="222"/>
      <c r="OUG605" s="222"/>
      <c r="OUH605" s="222"/>
      <c r="OUI605" s="223"/>
      <c r="OUJ605" s="224"/>
      <c r="OUK605" s="222"/>
      <c r="OUL605" s="222"/>
      <c r="OUM605" s="222"/>
      <c r="OUN605" s="222"/>
      <c r="OUO605" s="222"/>
      <c r="OUP605" s="222"/>
      <c r="OUQ605" s="223"/>
      <c r="OUR605" s="224"/>
      <c r="OUS605" s="222"/>
      <c r="OUT605" s="222"/>
      <c r="OUU605" s="222"/>
      <c r="OUV605" s="222"/>
      <c r="OUW605" s="222"/>
      <c r="OUX605" s="222"/>
      <c r="OUY605" s="223"/>
      <c r="OUZ605" s="224"/>
      <c r="OVA605" s="222"/>
      <c r="OVB605" s="222"/>
      <c r="OVC605" s="222"/>
      <c r="OVD605" s="222"/>
      <c r="OVE605" s="222"/>
      <c r="OVF605" s="222"/>
      <c r="OVG605" s="223"/>
      <c r="OVH605" s="224"/>
      <c r="OVI605" s="222"/>
      <c r="OVJ605" s="222"/>
      <c r="OVK605" s="222"/>
      <c r="OVL605" s="222"/>
      <c r="OVM605" s="222"/>
      <c r="OVN605" s="222"/>
      <c r="OVO605" s="223"/>
      <c r="OVP605" s="224"/>
      <c r="OVQ605" s="222"/>
      <c r="OVR605" s="222"/>
      <c r="OVS605" s="222"/>
      <c r="OVT605" s="222"/>
      <c r="OVU605" s="222"/>
      <c r="OVV605" s="222"/>
      <c r="OVW605" s="223"/>
      <c r="OVX605" s="224"/>
      <c r="OVY605" s="222"/>
      <c r="OVZ605" s="222"/>
      <c r="OWA605" s="222"/>
      <c r="OWB605" s="222"/>
      <c r="OWC605" s="222"/>
      <c r="OWD605" s="222"/>
      <c r="OWE605" s="223"/>
      <c r="OWF605" s="224"/>
      <c r="OWG605" s="222"/>
      <c r="OWH605" s="222"/>
      <c r="OWI605" s="222"/>
      <c r="OWJ605" s="222"/>
      <c r="OWK605" s="222"/>
      <c r="OWL605" s="222"/>
      <c r="OWM605" s="223"/>
      <c r="OWN605" s="224"/>
      <c r="OWO605" s="222"/>
      <c r="OWP605" s="222"/>
      <c r="OWQ605" s="222"/>
      <c r="OWR605" s="222"/>
      <c r="OWS605" s="222"/>
      <c r="OWT605" s="222"/>
      <c r="OWU605" s="223"/>
      <c r="OWV605" s="224"/>
      <c r="OWW605" s="222"/>
      <c r="OWX605" s="222"/>
      <c r="OWY605" s="222"/>
      <c r="OWZ605" s="222"/>
      <c r="OXA605" s="222"/>
      <c r="OXB605" s="222"/>
      <c r="OXC605" s="223"/>
      <c r="OXD605" s="224"/>
      <c r="OXE605" s="222"/>
      <c r="OXF605" s="222"/>
      <c r="OXG605" s="222"/>
      <c r="OXH605" s="222"/>
      <c r="OXI605" s="222"/>
      <c r="OXJ605" s="222"/>
      <c r="OXK605" s="223"/>
      <c r="OXL605" s="224"/>
      <c r="OXM605" s="222"/>
      <c r="OXN605" s="222"/>
      <c r="OXO605" s="222"/>
      <c r="OXP605" s="222"/>
      <c r="OXQ605" s="222"/>
      <c r="OXR605" s="222"/>
      <c r="OXS605" s="223"/>
      <c r="OXT605" s="224"/>
      <c r="OXU605" s="222"/>
      <c r="OXV605" s="222"/>
      <c r="OXW605" s="222"/>
      <c r="OXX605" s="222"/>
      <c r="OXY605" s="222"/>
      <c r="OXZ605" s="222"/>
      <c r="OYA605" s="223"/>
      <c r="OYB605" s="224"/>
      <c r="OYC605" s="222"/>
      <c r="OYD605" s="222"/>
      <c r="OYE605" s="222"/>
      <c r="OYF605" s="222"/>
      <c r="OYG605" s="222"/>
      <c r="OYH605" s="222"/>
      <c r="OYI605" s="223"/>
      <c r="OYJ605" s="224"/>
      <c r="OYK605" s="222"/>
      <c r="OYL605" s="222"/>
      <c r="OYM605" s="222"/>
      <c r="OYN605" s="222"/>
      <c r="OYO605" s="222"/>
      <c r="OYP605" s="222"/>
      <c r="OYQ605" s="223"/>
      <c r="OYR605" s="224"/>
      <c r="OYS605" s="222"/>
      <c r="OYT605" s="222"/>
      <c r="OYU605" s="222"/>
      <c r="OYV605" s="222"/>
      <c r="OYW605" s="222"/>
      <c r="OYX605" s="222"/>
      <c r="OYY605" s="223"/>
      <c r="OYZ605" s="224"/>
      <c r="OZA605" s="222"/>
      <c r="OZB605" s="222"/>
      <c r="OZC605" s="222"/>
      <c r="OZD605" s="222"/>
      <c r="OZE605" s="222"/>
      <c r="OZF605" s="222"/>
      <c r="OZG605" s="223"/>
      <c r="OZH605" s="224"/>
      <c r="OZI605" s="222"/>
      <c r="OZJ605" s="222"/>
      <c r="OZK605" s="222"/>
      <c r="OZL605" s="222"/>
      <c r="OZM605" s="222"/>
      <c r="OZN605" s="222"/>
      <c r="OZO605" s="223"/>
      <c r="OZP605" s="224"/>
      <c r="OZQ605" s="222"/>
      <c r="OZR605" s="222"/>
      <c r="OZS605" s="222"/>
      <c r="OZT605" s="222"/>
      <c r="OZU605" s="222"/>
      <c r="OZV605" s="222"/>
      <c r="OZW605" s="223"/>
      <c r="OZX605" s="224"/>
      <c r="OZY605" s="222"/>
      <c r="OZZ605" s="222"/>
      <c r="PAA605" s="222"/>
      <c r="PAB605" s="222"/>
      <c r="PAC605" s="222"/>
      <c r="PAD605" s="222"/>
      <c r="PAE605" s="223"/>
      <c r="PAF605" s="224"/>
      <c r="PAG605" s="222"/>
      <c r="PAH605" s="222"/>
      <c r="PAI605" s="222"/>
      <c r="PAJ605" s="222"/>
      <c r="PAK605" s="222"/>
      <c r="PAL605" s="222"/>
      <c r="PAM605" s="223"/>
      <c r="PAN605" s="224"/>
      <c r="PAO605" s="222"/>
      <c r="PAP605" s="222"/>
      <c r="PAQ605" s="222"/>
      <c r="PAR605" s="222"/>
      <c r="PAS605" s="222"/>
      <c r="PAT605" s="222"/>
      <c r="PAU605" s="223"/>
      <c r="PAV605" s="224"/>
      <c r="PAW605" s="222"/>
      <c r="PAX605" s="222"/>
      <c r="PAY605" s="222"/>
      <c r="PAZ605" s="222"/>
      <c r="PBA605" s="222"/>
      <c r="PBB605" s="222"/>
      <c r="PBC605" s="223"/>
      <c r="PBD605" s="224"/>
      <c r="PBE605" s="222"/>
      <c r="PBF605" s="222"/>
      <c r="PBG605" s="222"/>
      <c r="PBH605" s="222"/>
      <c r="PBI605" s="222"/>
      <c r="PBJ605" s="222"/>
      <c r="PBK605" s="223"/>
      <c r="PBL605" s="224"/>
      <c r="PBM605" s="222"/>
      <c r="PBN605" s="222"/>
      <c r="PBO605" s="222"/>
      <c r="PBP605" s="222"/>
      <c r="PBQ605" s="222"/>
      <c r="PBR605" s="222"/>
      <c r="PBS605" s="223"/>
      <c r="PBT605" s="224"/>
      <c r="PBU605" s="222"/>
      <c r="PBV605" s="222"/>
      <c r="PBW605" s="222"/>
      <c r="PBX605" s="222"/>
      <c r="PBY605" s="222"/>
      <c r="PBZ605" s="222"/>
      <c r="PCA605" s="223"/>
      <c r="PCB605" s="224"/>
      <c r="PCC605" s="222"/>
      <c r="PCD605" s="222"/>
      <c r="PCE605" s="222"/>
      <c r="PCF605" s="222"/>
      <c r="PCG605" s="222"/>
      <c r="PCH605" s="222"/>
      <c r="PCI605" s="223"/>
      <c r="PCJ605" s="224"/>
      <c r="PCK605" s="222"/>
      <c r="PCL605" s="222"/>
      <c r="PCM605" s="222"/>
      <c r="PCN605" s="222"/>
      <c r="PCO605" s="222"/>
      <c r="PCP605" s="222"/>
      <c r="PCQ605" s="223"/>
      <c r="PCR605" s="224"/>
      <c r="PCS605" s="222"/>
      <c r="PCT605" s="222"/>
      <c r="PCU605" s="222"/>
      <c r="PCV605" s="222"/>
      <c r="PCW605" s="222"/>
      <c r="PCX605" s="222"/>
      <c r="PCY605" s="223"/>
      <c r="PCZ605" s="224"/>
      <c r="PDA605" s="222"/>
      <c r="PDB605" s="222"/>
      <c r="PDC605" s="222"/>
      <c r="PDD605" s="222"/>
      <c r="PDE605" s="222"/>
      <c r="PDF605" s="222"/>
      <c r="PDG605" s="223"/>
      <c r="PDH605" s="224"/>
      <c r="PDI605" s="222"/>
      <c r="PDJ605" s="222"/>
      <c r="PDK605" s="222"/>
      <c r="PDL605" s="222"/>
      <c r="PDM605" s="222"/>
      <c r="PDN605" s="222"/>
      <c r="PDO605" s="223"/>
      <c r="PDP605" s="224"/>
      <c r="PDQ605" s="222"/>
      <c r="PDR605" s="222"/>
      <c r="PDS605" s="222"/>
      <c r="PDT605" s="222"/>
      <c r="PDU605" s="222"/>
      <c r="PDV605" s="222"/>
      <c r="PDW605" s="223"/>
      <c r="PDX605" s="224"/>
      <c r="PDY605" s="222"/>
      <c r="PDZ605" s="222"/>
      <c r="PEA605" s="222"/>
      <c r="PEB605" s="222"/>
      <c r="PEC605" s="222"/>
      <c r="PED605" s="222"/>
      <c r="PEE605" s="223"/>
      <c r="PEF605" s="224"/>
      <c r="PEG605" s="222"/>
      <c r="PEH605" s="222"/>
      <c r="PEI605" s="222"/>
      <c r="PEJ605" s="222"/>
      <c r="PEK605" s="222"/>
      <c r="PEL605" s="222"/>
      <c r="PEM605" s="223"/>
      <c r="PEN605" s="224"/>
      <c r="PEO605" s="222"/>
      <c r="PEP605" s="222"/>
      <c r="PEQ605" s="222"/>
      <c r="PER605" s="222"/>
      <c r="PES605" s="222"/>
      <c r="PET605" s="222"/>
      <c r="PEU605" s="223"/>
      <c r="PEV605" s="224"/>
      <c r="PEW605" s="222"/>
      <c r="PEX605" s="222"/>
      <c r="PEY605" s="222"/>
      <c r="PEZ605" s="222"/>
      <c r="PFA605" s="222"/>
      <c r="PFB605" s="222"/>
      <c r="PFC605" s="223"/>
      <c r="PFD605" s="224"/>
      <c r="PFE605" s="222"/>
      <c r="PFF605" s="222"/>
      <c r="PFG605" s="222"/>
      <c r="PFH605" s="222"/>
      <c r="PFI605" s="222"/>
      <c r="PFJ605" s="222"/>
      <c r="PFK605" s="223"/>
      <c r="PFL605" s="224"/>
      <c r="PFM605" s="222"/>
      <c r="PFN605" s="222"/>
      <c r="PFO605" s="222"/>
      <c r="PFP605" s="222"/>
      <c r="PFQ605" s="222"/>
      <c r="PFR605" s="222"/>
      <c r="PFS605" s="223"/>
      <c r="PFT605" s="224"/>
      <c r="PFU605" s="222"/>
      <c r="PFV605" s="222"/>
      <c r="PFW605" s="222"/>
      <c r="PFX605" s="222"/>
      <c r="PFY605" s="222"/>
      <c r="PFZ605" s="222"/>
      <c r="PGA605" s="223"/>
      <c r="PGB605" s="224"/>
      <c r="PGC605" s="222"/>
      <c r="PGD605" s="222"/>
      <c r="PGE605" s="222"/>
      <c r="PGF605" s="222"/>
      <c r="PGG605" s="222"/>
      <c r="PGH605" s="222"/>
      <c r="PGI605" s="223"/>
      <c r="PGJ605" s="224"/>
      <c r="PGK605" s="222"/>
      <c r="PGL605" s="222"/>
      <c r="PGM605" s="222"/>
      <c r="PGN605" s="222"/>
      <c r="PGO605" s="222"/>
      <c r="PGP605" s="222"/>
      <c r="PGQ605" s="223"/>
      <c r="PGR605" s="224"/>
      <c r="PGS605" s="222"/>
      <c r="PGT605" s="222"/>
      <c r="PGU605" s="222"/>
      <c r="PGV605" s="222"/>
      <c r="PGW605" s="222"/>
      <c r="PGX605" s="222"/>
      <c r="PGY605" s="223"/>
      <c r="PGZ605" s="224"/>
      <c r="PHA605" s="222"/>
      <c r="PHB605" s="222"/>
      <c r="PHC605" s="222"/>
      <c r="PHD605" s="222"/>
      <c r="PHE605" s="222"/>
      <c r="PHF605" s="222"/>
      <c r="PHG605" s="223"/>
      <c r="PHH605" s="224"/>
      <c r="PHI605" s="222"/>
      <c r="PHJ605" s="222"/>
      <c r="PHK605" s="222"/>
      <c r="PHL605" s="222"/>
      <c r="PHM605" s="222"/>
      <c r="PHN605" s="222"/>
      <c r="PHO605" s="223"/>
      <c r="PHP605" s="224"/>
      <c r="PHQ605" s="222"/>
      <c r="PHR605" s="222"/>
      <c r="PHS605" s="222"/>
      <c r="PHT605" s="222"/>
      <c r="PHU605" s="222"/>
      <c r="PHV605" s="222"/>
      <c r="PHW605" s="223"/>
      <c r="PHX605" s="224"/>
      <c r="PHY605" s="222"/>
      <c r="PHZ605" s="222"/>
      <c r="PIA605" s="222"/>
      <c r="PIB605" s="222"/>
      <c r="PIC605" s="222"/>
      <c r="PID605" s="222"/>
      <c r="PIE605" s="223"/>
      <c r="PIF605" s="224"/>
      <c r="PIG605" s="222"/>
      <c r="PIH605" s="222"/>
      <c r="PII605" s="222"/>
      <c r="PIJ605" s="222"/>
      <c r="PIK605" s="222"/>
      <c r="PIL605" s="222"/>
      <c r="PIM605" s="223"/>
      <c r="PIN605" s="224"/>
      <c r="PIO605" s="222"/>
      <c r="PIP605" s="222"/>
      <c r="PIQ605" s="222"/>
      <c r="PIR605" s="222"/>
      <c r="PIS605" s="222"/>
      <c r="PIT605" s="222"/>
      <c r="PIU605" s="223"/>
      <c r="PIV605" s="224"/>
      <c r="PIW605" s="222"/>
      <c r="PIX605" s="222"/>
      <c r="PIY605" s="222"/>
      <c r="PIZ605" s="222"/>
      <c r="PJA605" s="222"/>
      <c r="PJB605" s="222"/>
      <c r="PJC605" s="223"/>
      <c r="PJD605" s="224"/>
      <c r="PJE605" s="222"/>
      <c r="PJF605" s="222"/>
      <c r="PJG605" s="222"/>
      <c r="PJH605" s="222"/>
      <c r="PJI605" s="222"/>
      <c r="PJJ605" s="222"/>
      <c r="PJK605" s="223"/>
      <c r="PJL605" s="224"/>
      <c r="PJM605" s="222"/>
      <c r="PJN605" s="222"/>
      <c r="PJO605" s="222"/>
      <c r="PJP605" s="222"/>
      <c r="PJQ605" s="222"/>
      <c r="PJR605" s="222"/>
      <c r="PJS605" s="223"/>
      <c r="PJT605" s="224"/>
      <c r="PJU605" s="222"/>
      <c r="PJV605" s="222"/>
      <c r="PJW605" s="222"/>
      <c r="PJX605" s="222"/>
      <c r="PJY605" s="222"/>
      <c r="PJZ605" s="222"/>
      <c r="PKA605" s="223"/>
      <c r="PKB605" s="224"/>
      <c r="PKC605" s="222"/>
      <c r="PKD605" s="222"/>
      <c r="PKE605" s="222"/>
      <c r="PKF605" s="222"/>
      <c r="PKG605" s="222"/>
      <c r="PKH605" s="222"/>
      <c r="PKI605" s="223"/>
      <c r="PKJ605" s="224"/>
      <c r="PKK605" s="222"/>
      <c r="PKL605" s="222"/>
      <c r="PKM605" s="222"/>
      <c r="PKN605" s="222"/>
      <c r="PKO605" s="222"/>
      <c r="PKP605" s="222"/>
      <c r="PKQ605" s="223"/>
      <c r="PKR605" s="224"/>
      <c r="PKS605" s="222"/>
      <c r="PKT605" s="222"/>
      <c r="PKU605" s="222"/>
      <c r="PKV605" s="222"/>
      <c r="PKW605" s="222"/>
      <c r="PKX605" s="222"/>
      <c r="PKY605" s="223"/>
      <c r="PKZ605" s="224"/>
      <c r="PLA605" s="222"/>
      <c r="PLB605" s="222"/>
      <c r="PLC605" s="222"/>
      <c r="PLD605" s="222"/>
      <c r="PLE605" s="222"/>
      <c r="PLF605" s="222"/>
      <c r="PLG605" s="223"/>
      <c r="PLH605" s="224"/>
      <c r="PLI605" s="222"/>
      <c r="PLJ605" s="222"/>
      <c r="PLK605" s="222"/>
      <c r="PLL605" s="222"/>
      <c r="PLM605" s="222"/>
      <c r="PLN605" s="222"/>
      <c r="PLO605" s="223"/>
      <c r="PLP605" s="224"/>
      <c r="PLQ605" s="222"/>
      <c r="PLR605" s="222"/>
      <c r="PLS605" s="222"/>
      <c r="PLT605" s="222"/>
      <c r="PLU605" s="222"/>
      <c r="PLV605" s="222"/>
      <c r="PLW605" s="223"/>
      <c r="PLX605" s="224"/>
      <c r="PLY605" s="222"/>
      <c r="PLZ605" s="222"/>
      <c r="PMA605" s="222"/>
      <c r="PMB605" s="222"/>
      <c r="PMC605" s="222"/>
      <c r="PMD605" s="222"/>
      <c r="PME605" s="223"/>
      <c r="PMF605" s="224"/>
      <c r="PMG605" s="222"/>
      <c r="PMH605" s="222"/>
      <c r="PMI605" s="222"/>
      <c r="PMJ605" s="222"/>
      <c r="PMK605" s="222"/>
      <c r="PML605" s="222"/>
      <c r="PMM605" s="223"/>
      <c r="PMN605" s="224"/>
      <c r="PMO605" s="222"/>
      <c r="PMP605" s="222"/>
      <c r="PMQ605" s="222"/>
      <c r="PMR605" s="222"/>
      <c r="PMS605" s="222"/>
      <c r="PMT605" s="222"/>
      <c r="PMU605" s="223"/>
      <c r="PMV605" s="224"/>
      <c r="PMW605" s="222"/>
      <c r="PMX605" s="222"/>
      <c r="PMY605" s="222"/>
      <c r="PMZ605" s="222"/>
      <c r="PNA605" s="222"/>
      <c r="PNB605" s="222"/>
      <c r="PNC605" s="223"/>
      <c r="PND605" s="224"/>
      <c r="PNE605" s="222"/>
      <c r="PNF605" s="222"/>
      <c r="PNG605" s="222"/>
      <c r="PNH605" s="222"/>
      <c r="PNI605" s="222"/>
      <c r="PNJ605" s="222"/>
      <c r="PNK605" s="223"/>
      <c r="PNL605" s="224"/>
      <c r="PNM605" s="222"/>
      <c r="PNN605" s="222"/>
      <c r="PNO605" s="222"/>
      <c r="PNP605" s="222"/>
      <c r="PNQ605" s="222"/>
      <c r="PNR605" s="222"/>
      <c r="PNS605" s="223"/>
      <c r="PNT605" s="224"/>
      <c r="PNU605" s="222"/>
      <c r="PNV605" s="222"/>
      <c r="PNW605" s="222"/>
      <c r="PNX605" s="222"/>
      <c r="PNY605" s="222"/>
      <c r="PNZ605" s="222"/>
      <c r="POA605" s="223"/>
      <c r="POB605" s="224"/>
      <c r="POC605" s="222"/>
      <c r="POD605" s="222"/>
      <c r="POE605" s="222"/>
      <c r="POF605" s="222"/>
      <c r="POG605" s="222"/>
      <c r="POH605" s="222"/>
      <c r="POI605" s="223"/>
      <c r="POJ605" s="224"/>
      <c r="POK605" s="222"/>
      <c r="POL605" s="222"/>
      <c r="POM605" s="222"/>
      <c r="PON605" s="222"/>
      <c r="POO605" s="222"/>
      <c r="POP605" s="222"/>
      <c r="POQ605" s="223"/>
      <c r="POR605" s="224"/>
      <c r="POS605" s="222"/>
      <c r="POT605" s="222"/>
      <c r="POU605" s="222"/>
      <c r="POV605" s="222"/>
      <c r="POW605" s="222"/>
      <c r="POX605" s="222"/>
      <c r="POY605" s="223"/>
      <c r="POZ605" s="224"/>
      <c r="PPA605" s="222"/>
      <c r="PPB605" s="222"/>
      <c r="PPC605" s="222"/>
      <c r="PPD605" s="222"/>
      <c r="PPE605" s="222"/>
      <c r="PPF605" s="222"/>
      <c r="PPG605" s="223"/>
      <c r="PPH605" s="224"/>
      <c r="PPI605" s="222"/>
      <c r="PPJ605" s="222"/>
      <c r="PPK605" s="222"/>
      <c r="PPL605" s="222"/>
      <c r="PPM605" s="222"/>
      <c r="PPN605" s="222"/>
      <c r="PPO605" s="223"/>
      <c r="PPP605" s="224"/>
      <c r="PPQ605" s="222"/>
      <c r="PPR605" s="222"/>
      <c r="PPS605" s="222"/>
      <c r="PPT605" s="222"/>
      <c r="PPU605" s="222"/>
      <c r="PPV605" s="222"/>
      <c r="PPW605" s="223"/>
      <c r="PPX605" s="224"/>
      <c r="PPY605" s="222"/>
      <c r="PPZ605" s="222"/>
      <c r="PQA605" s="222"/>
      <c r="PQB605" s="222"/>
      <c r="PQC605" s="222"/>
      <c r="PQD605" s="222"/>
      <c r="PQE605" s="223"/>
      <c r="PQF605" s="224"/>
      <c r="PQG605" s="222"/>
      <c r="PQH605" s="222"/>
      <c r="PQI605" s="222"/>
      <c r="PQJ605" s="222"/>
      <c r="PQK605" s="222"/>
      <c r="PQL605" s="222"/>
      <c r="PQM605" s="223"/>
      <c r="PQN605" s="224"/>
      <c r="PQO605" s="222"/>
      <c r="PQP605" s="222"/>
      <c r="PQQ605" s="222"/>
      <c r="PQR605" s="222"/>
      <c r="PQS605" s="222"/>
      <c r="PQT605" s="222"/>
      <c r="PQU605" s="223"/>
      <c r="PQV605" s="224"/>
      <c r="PQW605" s="222"/>
      <c r="PQX605" s="222"/>
      <c r="PQY605" s="222"/>
      <c r="PQZ605" s="222"/>
      <c r="PRA605" s="222"/>
      <c r="PRB605" s="222"/>
      <c r="PRC605" s="223"/>
      <c r="PRD605" s="224"/>
      <c r="PRE605" s="222"/>
      <c r="PRF605" s="222"/>
      <c r="PRG605" s="222"/>
      <c r="PRH605" s="222"/>
      <c r="PRI605" s="222"/>
      <c r="PRJ605" s="222"/>
      <c r="PRK605" s="223"/>
      <c r="PRL605" s="224"/>
      <c r="PRM605" s="222"/>
      <c r="PRN605" s="222"/>
      <c r="PRO605" s="222"/>
      <c r="PRP605" s="222"/>
      <c r="PRQ605" s="222"/>
      <c r="PRR605" s="222"/>
      <c r="PRS605" s="223"/>
      <c r="PRT605" s="224"/>
      <c r="PRU605" s="222"/>
      <c r="PRV605" s="222"/>
      <c r="PRW605" s="222"/>
      <c r="PRX605" s="222"/>
      <c r="PRY605" s="222"/>
      <c r="PRZ605" s="222"/>
      <c r="PSA605" s="223"/>
      <c r="PSB605" s="224"/>
      <c r="PSC605" s="222"/>
      <c r="PSD605" s="222"/>
      <c r="PSE605" s="222"/>
      <c r="PSF605" s="222"/>
      <c r="PSG605" s="222"/>
      <c r="PSH605" s="222"/>
      <c r="PSI605" s="223"/>
      <c r="PSJ605" s="224"/>
      <c r="PSK605" s="222"/>
      <c r="PSL605" s="222"/>
      <c r="PSM605" s="222"/>
      <c r="PSN605" s="222"/>
      <c r="PSO605" s="222"/>
      <c r="PSP605" s="222"/>
      <c r="PSQ605" s="223"/>
      <c r="PSR605" s="224"/>
      <c r="PSS605" s="222"/>
      <c r="PST605" s="222"/>
      <c r="PSU605" s="222"/>
      <c r="PSV605" s="222"/>
      <c r="PSW605" s="222"/>
      <c r="PSX605" s="222"/>
      <c r="PSY605" s="223"/>
      <c r="PSZ605" s="224"/>
      <c r="PTA605" s="222"/>
      <c r="PTB605" s="222"/>
      <c r="PTC605" s="222"/>
      <c r="PTD605" s="222"/>
      <c r="PTE605" s="222"/>
      <c r="PTF605" s="222"/>
      <c r="PTG605" s="223"/>
      <c r="PTH605" s="224"/>
      <c r="PTI605" s="222"/>
      <c r="PTJ605" s="222"/>
      <c r="PTK605" s="222"/>
      <c r="PTL605" s="222"/>
      <c r="PTM605" s="222"/>
      <c r="PTN605" s="222"/>
      <c r="PTO605" s="223"/>
      <c r="PTP605" s="224"/>
      <c r="PTQ605" s="222"/>
      <c r="PTR605" s="222"/>
      <c r="PTS605" s="222"/>
      <c r="PTT605" s="222"/>
      <c r="PTU605" s="222"/>
      <c r="PTV605" s="222"/>
      <c r="PTW605" s="223"/>
      <c r="PTX605" s="224"/>
      <c r="PTY605" s="222"/>
      <c r="PTZ605" s="222"/>
      <c r="PUA605" s="222"/>
      <c r="PUB605" s="222"/>
      <c r="PUC605" s="222"/>
      <c r="PUD605" s="222"/>
      <c r="PUE605" s="223"/>
      <c r="PUF605" s="224"/>
      <c r="PUG605" s="222"/>
      <c r="PUH605" s="222"/>
      <c r="PUI605" s="222"/>
      <c r="PUJ605" s="222"/>
      <c r="PUK605" s="222"/>
      <c r="PUL605" s="222"/>
      <c r="PUM605" s="223"/>
      <c r="PUN605" s="224"/>
      <c r="PUO605" s="222"/>
      <c r="PUP605" s="222"/>
      <c r="PUQ605" s="222"/>
      <c r="PUR605" s="222"/>
      <c r="PUS605" s="222"/>
      <c r="PUT605" s="222"/>
      <c r="PUU605" s="223"/>
      <c r="PUV605" s="224"/>
      <c r="PUW605" s="222"/>
      <c r="PUX605" s="222"/>
      <c r="PUY605" s="222"/>
      <c r="PUZ605" s="222"/>
      <c r="PVA605" s="222"/>
      <c r="PVB605" s="222"/>
      <c r="PVC605" s="223"/>
      <c r="PVD605" s="224"/>
      <c r="PVE605" s="222"/>
      <c r="PVF605" s="222"/>
      <c r="PVG605" s="222"/>
      <c r="PVH605" s="222"/>
      <c r="PVI605" s="222"/>
      <c r="PVJ605" s="222"/>
      <c r="PVK605" s="223"/>
      <c r="PVL605" s="224"/>
      <c r="PVM605" s="222"/>
      <c r="PVN605" s="222"/>
      <c r="PVO605" s="222"/>
      <c r="PVP605" s="222"/>
      <c r="PVQ605" s="222"/>
      <c r="PVR605" s="222"/>
      <c r="PVS605" s="223"/>
      <c r="PVT605" s="224"/>
      <c r="PVU605" s="222"/>
      <c r="PVV605" s="222"/>
      <c r="PVW605" s="222"/>
      <c r="PVX605" s="222"/>
      <c r="PVY605" s="222"/>
      <c r="PVZ605" s="222"/>
      <c r="PWA605" s="223"/>
      <c r="PWB605" s="224"/>
      <c r="PWC605" s="222"/>
      <c r="PWD605" s="222"/>
      <c r="PWE605" s="222"/>
      <c r="PWF605" s="222"/>
      <c r="PWG605" s="222"/>
      <c r="PWH605" s="222"/>
      <c r="PWI605" s="223"/>
      <c r="PWJ605" s="224"/>
      <c r="PWK605" s="222"/>
      <c r="PWL605" s="222"/>
      <c r="PWM605" s="222"/>
      <c r="PWN605" s="222"/>
      <c r="PWO605" s="222"/>
      <c r="PWP605" s="222"/>
      <c r="PWQ605" s="223"/>
      <c r="PWR605" s="224"/>
      <c r="PWS605" s="222"/>
      <c r="PWT605" s="222"/>
      <c r="PWU605" s="222"/>
      <c r="PWV605" s="222"/>
      <c r="PWW605" s="222"/>
      <c r="PWX605" s="222"/>
      <c r="PWY605" s="223"/>
      <c r="PWZ605" s="224"/>
      <c r="PXA605" s="222"/>
      <c r="PXB605" s="222"/>
      <c r="PXC605" s="222"/>
      <c r="PXD605" s="222"/>
      <c r="PXE605" s="222"/>
      <c r="PXF605" s="222"/>
      <c r="PXG605" s="223"/>
      <c r="PXH605" s="224"/>
      <c r="PXI605" s="222"/>
      <c r="PXJ605" s="222"/>
      <c r="PXK605" s="222"/>
      <c r="PXL605" s="222"/>
      <c r="PXM605" s="222"/>
      <c r="PXN605" s="222"/>
      <c r="PXO605" s="223"/>
      <c r="PXP605" s="224"/>
      <c r="PXQ605" s="222"/>
      <c r="PXR605" s="222"/>
      <c r="PXS605" s="222"/>
      <c r="PXT605" s="222"/>
      <c r="PXU605" s="222"/>
      <c r="PXV605" s="222"/>
      <c r="PXW605" s="223"/>
      <c r="PXX605" s="224"/>
      <c r="PXY605" s="222"/>
      <c r="PXZ605" s="222"/>
      <c r="PYA605" s="222"/>
      <c r="PYB605" s="222"/>
      <c r="PYC605" s="222"/>
      <c r="PYD605" s="222"/>
      <c r="PYE605" s="223"/>
      <c r="PYF605" s="224"/>
      <c r="PYG605" s="222"/>
      <c r="PYH605" s="222"/>
      <c r="PYI605" s="222"/>
      <c r="PYJ605" s="222"/>
      <c r="PYK605" s="222"/>
      <c r="PYL605" s="222"/>
      <c r="PYM605" s="223"/>
      <c r="PYN605" s="224"/>
      <c r="PYO605" s="222"/>
      <c r="PYP605" s="222"/>
      <c r="PYQ605" s="222"/>
      <c r="PYR605" s="222"/>
      <c r="PYS605" s="222"/>
      <c r="PYT605" s="222"/>
      <c r="PYU605" s="223"/>
      <c r="PYV605" s="224"/>
      <c r="PYW605" s="222"/>
      <c r="PYX605" s="222"/>
      <c r="PYY605" s="222"/>
      <c r="PYZ605" s="222"/>
      <c r="PZA605" s="222"/>
      <c r="PZB605" s="222"/>
      <c r="PZC605" s="223"/>
      <c r="PZD605" s="224"/>
      <c r="PZE605" s="222"/>
      <c r="PZF605" s="222"/>
      <c r="PZG605" s="222"/>
      <c r="PZH605" s="222"/>
      <c r="PZI605" s="222"/>
      <c r="PZJ605" s="222"/>
      <c r="PZK605" s="223"/>
      <c r="PZL605" s="224"/>
      <c r="PZM605" s="222"/>
      <c r="PZN605" s="222"/>
      <c r="PZO605" s="222"/>
      <c r="PZP605" s="222"/>
      <c r="PZQ605" s="222"/>
      <c r="PZR605" s="222"/>
      <c r="PZS605" s="223"/>
      <c r="PZT605" s="224"/>
      <c r="PZU605" s="222"/>
      <c r="PZV605" s="222"/>
      <c r="PZW605" s="222"/>
      <c r="PZX605" s="222"/>
      <c r="PZY605" s="222"/>
      <c r="PZZ605" s="222"/>
      <c r="QAA605" s="223"/>
      <c r="QAB605" s="224"/>
      <c r="QAC605" s="222"/>
      <c r="QAD605" s="222"/>
      <c r="QAE605" s="222"/>
      <c r="QAF605" s="222"/>
      <c r="QAG605" s="222"/>
      <c r="QAH605" s="222"/>
      <c r="QAI605" s="223"/>
      <c r="QAJ605" s="224"/>
      <c r="QAK605" s="222"/>
      <c r="QAL605" s="222"/>
      <c r="QAM605" s="222"/>
      <c r="QAN605" s="222"/>
      <c r="QAO605" s="222"/>
      <c r="QAP605" s="222"/>
      <c r="QAQ605" s="223"/>
      <c r="QAR605" s="224"/>
      <c r="QAS605" s="222"/>
      <c r="QAT605" s="222"/>
      <c r="QAU605" s="222"/>
      <c r="QAV605" s="222"/>
      <c r="QAW605" s="222"/>
      <c r="QAX605" s="222"/>
      <c r="QAY605" s="223"/>
      <c r="QAZ605" s="224"/>
      <c r="QBA605" s="222"/>
      <c r="QBB605" s="222"/>
      <c r="QBC605" s="222"/>
      <c r="QBD605" s="222"/>
      <c r="QBE605" s="222"/>
      <c r="QBF605" s="222"/>
      <c r="QBG605" s="223"/>
      <c r="QBH605" s="224"/>
      <c r="QBI605" s="222"/>
      <c r="QBJ605" s="222"/>
      <c r="QBK605" s="222"/>
      <c r="QBL605" s="222"/>
      <c r="QBM605" s="222"/>
      <c r="QBN605" s="222"/>
      <c r="QBO605" s="223"/>
      <c r="QBP605" s="224"/>
      <c r="QBQ605" s="222"/>
      <c r="QBR605" s="222"/>
      <c r="QBS605" s="222"/>
      <c r="QBT605" s="222"/>
      <c r="QBU605" s="222"/>
      <c r="QBV605" s="222"/>
      <c r="QBW605" s="223"/>
      <c r="QBX605" s="224"/>
      <c r="QBY605" s="222"/>
      <c r="QBZ605" s="222"/>
      <c r="QCA605" s="222"/>
      <c r="QCB605" s="222"/>
      <c r="QCC605" s="222"/>
      <c r="QCD605" s="222"/>
      <c r="QCE605" s="223"/>
      <c r="QCF605" s="224"/>
      <c r="QCG605" s="222"/>
      <c r="QCH605" s="222"/>
      <c r="QCI605" s="222"/>
      <c r="QCJ605" s="222"/>
      <c r="QCK605" s="222"/>
      <c r="QCL605" s="222"/>
      <c r="QCM605" s="223"/>
      <c r="QCN605" s="224"/>
      <c r="QCO605" s="222"/>
      <c r="QCP605" s="222"/>
      <c r="QCQ605" s="222"/>
      <c r="QCR605" s="222"/>
      <c r="QCS605" s="222"/>
      <c r="QCT605" s="222"/>
      <c r="QCU605" s="223"/>
      <c r="QCV605" s="224"/>
      <c r="QCW605" s="222"/>
      <c r="QCX605" s="222"/>
      <c r="QCY605" s="222"/>
      <c r="QCZ605" s="222"/>
      <c r="QDA605" s="222"/>
      <c r="QDB605" s="222"/>
      <c r="QDC605" s="223"/>
      <c r="QDD605" s="224"/>
      <c r="QDE605" s="222"/>
      <c r="QDF605" s="222"/>
      <c r="QDG605" s="222"/>
      <c r="QDH605" s="222"/>
      <c r="QDI605" s="222"/>
      <c r="QDJ605" s="222"/>
      <c r="QDK605" s="223"/>
      <c r="QDL605" s="224"/>
      <c r="QDM605" s="222"/>
      <c r="QDN605" s="222"/>
      <c r="QDO605" s="222"/>
      <c r="QDP605" s="222"/>
      <c r="QDQ605" s="222"/>
      <c r="QDR605" s="222"/>
      <c r="QDS605" s="223"/>
      <c r="QDT605" s="224"/>
      <c r="QDU605" s="222"/>
      <c r="QDV605" s="222"/>
      <c r="QDW605" s="222"/>
      <c r="QDX605" s="222"/>
      <c r="QDY605" s="222"/>
      <c r="QDZ605" s="222"/>
      <c r="QEA605" s="223"/>
      <c r="QEB605" s="224"/>
      <c r="QEC605" s="222"/>
      <c r="QED605" s="222"/>
      <c r="QEE605" s="222"/>
      <c r="QEF605" s="222"/>
      <c r="QEG605" s="222"/>
      <c r="QEH605" s="222"/>
      <c r="QEI605" s="223"/>
      <c r="QEJ605" s="224"/>
      <c r="QEK605" s="222"/>
      <c r="QEL605" s="222"/>
      <c r="QEM605" s="222"/>
      <c r="QEN605" s="222"/>
      <c r="QEO605" s="222"/>
      <c r="QEP605" s="222"/>
      <c r="QEQ605" s="223"/>
      <c r="QER605" s="224"/>
      <c r="QES605" s="222"/>
      <c r="QET605" s="222"/>
      <c r="QEU605" s="222"/>
      <c r="QEV605" s="222"/>
      <c r="QEW605" s="222"/>
      <c r="QEX605" s="222"/>
      <c r="QEY605" s="223"/>
      <c r="QEZ605" s="224"/>
      <c r="QFA605" s="222"/>
      <c r="QFB605" s="222"/>
      <c r="QFC605" s="222"/>
      <c r="QFD605" s="222"/>
      <c r="QFE605" s="222"/>
      <c r="QFF605" s="222"/>
      <c r="QFG605" s="223"/>
      <c r="QFH605" s="224"/>
      <c r="QFI605" s="222"/>
      <c r="QFJ605" s="222"/>
      <c r="QFK605" s="222"/>
      <c r="QFL605" s="222"/>
      <c r="QFM605" s="222"/>
      <c r="QFN605" s="222"/>
      <c r="QFO605" s="223"/>
      <c r="QFP605" s="224"/>
      <c r="QFQ605" s="222"/>
      <c r="QFR605" s="222"/>
      <c r="QFS605" s="222"/>
      <c r="QFT605" s="222"/>
      <c r="QFU605" s="222"/>
      <c r="QFV605" s="222"/>
      <c r="QFW605" s="223"/>
      <c r="QFX605" s="224"/>
      <c r="QFY605" s="222"/>
      <c r="QFZ605" s="222"/>
      <c r="QGA605" s="222"/>
      <c r="QGB605" s="222"/>
      <c r="QGC605" s="222"/>
      <c r="QGD605" s="222"/>
      <c r="QGE605" s="223"/>
      <c r="QGF605" s="224"/>
      <c r="QGG605" s="222"/>
      <c r="QGH605" s="222"/>
      <c r="QGI605" s="222"/>
      <c r="QGJ605" s="222"/>
      <c r="QGK605" s="222"/>
      <c r="QGL605" s="222"/>
      <c r="QGM605" s="223"/>
      <c r="QGN605" s="224"/>
      <c r="QGO605" s="222"/>
      <c r="QGP605" s="222"/>
      <c r="QGQ605" s="222"/>
      <c r="QGR605" s="222"/>
      <c r="QGS605" s="222"/>
      <c r="QGT605" s="222"/>
      <c r="QGU605" s="223"/>
      <c r="QGV605" s="224"/>
      <c r="QGW605" s="222"/>
      <c r="QGX605" s="222"/>
      <c r="QGY605" s="222"/>
      <c r="QGZ605" s="222"/>
      <c r="QHA605" s="222"/>
      <c r="QHB605" s="222"/>
      <c r="QHC605" s="223"/>
      <c r="QHD605" s="224"/>
      <c r="QHE605" s="222"/>
      <c r="QHF605" s="222"/>
      <c r="QHG605" s="222"/>
      <c r="QHH605" s="222"/>
      <c r="QHI605" s="222"/>
      <c r="QHJ605" s="222"/>
      <c r="QHK605" s="223"/>
      <c r="QHL605" s="224"/>
      <c r="QHM605" s="222"/>
      <c r="QHN605" s="222"/>
      <c r="QHO605" s="222"/>
      <c r="QHP605" s="222"/>
      <c r="QHQ605" s="222"/>
      <c r="QHR605" s="222"/>
      <c r="QHS605" s="223"/>
      <c r="QHT605" s="224"/>
      <c r="QHU605" s="222"/>
      <c r="QHV605" s="222"/>
      <c r="QHW605" s="222"/>
      <c r="QHX605" s="222"/>
      <c r="QHY605" s="222"/>
      <c r="QHZ605" s="222"/>
      <c r="QIA605" s="223"/>
      <c r="QIB605" s="224"/>
      <c r="QIC605" s="222"/>
      <c r="QID605" s="222"/>
      <c r="QIE605" s="222"/>
      <c r="QIF605" s="222"/>
      <c r="QIG605" s="222"/>
      <c r="QIH605" s="222"/>
      <c r="QII605" s="223"/>
      <c r="QIJ605" s="224"/>
      <c r="QIK605" s="222"/>
      <c r="QIL605" s="222"/>
      <c r="QIM605" s="222"/>
      <c r="QIN605" s="222"/>
      <c r="QIO605" s="222"/>
      <c r="QIP605" s="222"/>
      <c r="QIQ605" s="223"/>
      <c r="QIR605" s="224"/>
      <c r="QIS605" s="222"/>
      <c r="QIT605" s="222"/>
      <c r="QIU605" s="222"/>
      <c r="QIV605" s="222"/>
      <c r="QIW605" s="222"/>
      <c r="QIX605" s="222"/>
      <c r="QIY605" s="223"/>
      <c r="QIZ605" s="224"/>
      <c r="QJA605" s="222"/>
      <c r="QJB605" s="222"/>
      <c r="QJC605" s="222"/>
      <c r="QJD605" s="222"/>
      <c r="QJE605" s="222"/>
      <c r="QJF605" s="222"/>
      <c r="QJG605" s="223"/>
      <c r="QJH605" s="224"/>
      <c r="QJI605" s="222"/>
      <c r="QJJ605" s="222"/>
      <c r="QJK605" s="222"/>
      <c r="QJL605" s="222"/>
      <c r="QJM605" s="222"/>
      <c r="QJN605" s="222"/>
      <c r="QJO605" s="223"/>
      <c r="QJP605" s="224"/>
      <c r="QJQ605" s="222"/>
      <c r="QJR605" s="222"/>
      <c r="QJS605" s="222"/>
      <c r="QJT605" s="222"/>
      <c r="QJU605" s="222"/>
      <c r="QJV605" s="222"/>
      <c r="QJW605" s="223"/>
      <c r="QJX605" s="224"/>
      <c r="QJY605" s="222"/>
      <c r="QJZ605" s="222"/>
      <c r="QKA605" s="222"/>
      <c r="QKB605" s="222"/>
      <c r="QKC605" s="222"/>
      <c r="QKD605" s="222"/>
      <c r="QKE605" s="223"/>
      <c r="QKF605" s="224"/>
      <c r="QKG605" s="222"/>
      <c r="QKH605" s="222"/>
      <c r="QKI605" s="222"/>
      <c r="QKJ605" s="222"/>
      <c r="QKK605" s="222"/>
      <c r="QKL605" s="222"/>
      <c r="QKM605" s="223"/>
      <c r="QKN605" s="224"/>
      <c r="QKO605" s="222"/>
      <c r="QKP605" s="222"/>
      <c r="QKQ605" s="222"/>
      <c r="QKR605" s="222"/>
      <c r="QKS605" s="222"/>
      <c r="QKT605" s="222"/>
      <c r="QKU605" s="223"/>
      <c r="QKV605" s="224"/>
      <c r="QKW605" s="222"/>
      <c r="QKX605" s="222"/>
      <c r="QKY605" s="222"/>
      <c r="QKZ605" s="222"/>
      <c r="QLA605" s="222"/>
      <c r="QLB605" s="222"/>
      <c r="QLC605" s="223"/>
      <c r="QLD605" s="224"/>
      <c r="QLE605" s="222"/>
      <c r="QLF605" s="222"/>
      <c r="QLG605" s="222"/>
      <c r="QLH605" s="222"/>
      <c r="QLI605" s="222"/>
      <c r="QLJ605" s="222"/>
      <c r="QLK605" s="223"/>
      <c r="QLL605" s="224"/>
      <c r="QLM605" s="222"/>
      <c r="QLN605" s="222"/>
      <c r="QLO605" s="222"/>
      <c r="QLP605" s="222"/>
      <c r="QLQ605" s="222"/>
      <c r="QLR605" s="222"/>
      <c r="QLS605" s="223"/>
      <c r="QLT605" s="224"/>
      <c r="QLU605" s="222"/>
      <c r="QLV605" s="222"/>
      <c r="QLW605" s="222"/>
      <c r="QLX605" s="222"/>
      <c r="QLY605" s="222"/>
      <c r="QLZ605" s="222"/>
      <c r="QMA605" s="223"/>
      <c r="QMB605" s="224"/>
      <c r="QMC605" s="222"/>
      <c r="QMD605" s="222"/>
      <c r="QME605" s="222"/>
      <c r="QMF605" s="222"/>
      <c r="QMG605" s="222"/>
      <c r="QMH605" s="222"/>
      <c r="QMI605" s="223"/>
      <c r="QMJ605" s="224"/>
      <c r="QMK605" s="222"/>
      <c r="QML605" s="222"/>
      <c r="QMM605" s="222"/>
      <c r="QMN605" s="222"/>
      <c r="QMO605" s="222"/>
      <c r="QMP605" s="222"/>
      <c r="QMQ605" s="223"/>
      <c r="QMR605" s="224"/>
      <c r="QMS605" s="222"/>
      <c r="QMT605" s="222"/>
      <c r="QMU605" s="222"/>
      <c r="QMV605" s="222"/>
      <c r="QMW605" s="222"/>
      <c r="QMX605" s="222"/>
      <c r="QMY605" s="223"/>
      <c r="QMZ605" s="224"/>
      <c r="QNA605" s="222"/>
      <c r="QNB605" s="222"/>
      <c r="QNC605" s="222"/>
      <c r="QND605" s="222"/>
      <c r="QNE605" s="222"/>
      <c r="QNF605" s="222"/>
      <c r="QNG605" s="223"/>
      <c r="QNH605" s="224"/>
      <c r="QNI605" s="222"/>
      <c r="QNJ605" s="222"/>
      <c r="QNK605" s="222"/>
      <c r="QNL605" s="222"/>
      <c r="QNM605" s="222"/>
      <c r="QNN605" s="222"/>
      <c r="QNO605" s="223"/>
      <c r="QNP605" s="224"/>
      <c r="QNQ605" s="222"/>
      <c r="QNR605" s="222"/>
      <c r="QNS605" s="222"/>
      <c r="QNT605" s="222"/>
      <c r="QNU605" s="222"/>
      <c r="QNV605" s="222"/>
      <c r="QNW605" s="223"/>
      <c r="QNX605" s="224"/>
      <c r="QNY605" s="222"/>
      <c r="QNZ605" s="222"/>
      <c r="QOA605" s="222"/>
      <c r="QOB605" s="222"/>
      <c r="QOC605" s="222"/>
      <c r="QOD605" s="222"/>
      <c r="QOE605" s="223"/>
      <c r="QOF605" s="224"/>
      <c r="QOG605" s="222"/>
      <c r="QOH605" s="222"/>
      <c r="QOI605" s="222"/>
      <c r="QOJ605" s="222"/>
      <c r="QOK605" s="222"/>
      <c r="QOL605" s="222"/>
      <c r="QOM605" s="223"/>
      <c r="QON605" s="224"/>
      <c r="QOO605" s="222"/>
      <c r="QOP605" s="222"/>
      <c r="QOQ605" s="222"/>
      <c r="QOR605" s="222"/>
      <c r="QOS605" s="222"/>
      <c r="QOT605" s="222"/>
      <c r="QOU605" s="223"/>
      <c r="QOV605" s="224"/>
      <c r="QOW605" s="222"/>
      <c r="QOX605" s="222"/>
      <c r="QOY605" s="222"/>
      <c r="QOZ605" s="222"/>
      <c r="QPA605" s="222"/>
      <c r="QPB605" s="222"/>
      <c r="QPC605" s="223"/>
      <c r="QPD605" s="224"/>
      <c r="QPE605" s="222"/>
      <c r="QPF605" s="222"/>
      <c r="QPG605" s="222"/>
      <c r="QPH605" s="222"/>
      <c r="QPI605" s="222"/>
      <c r="QPJ605" s="222"/>
      <c r="QPK605" s="223"/>
      <c r="QPL605" s="224"/>
      <c r="QPM605" s="222"/>
      <c r="QPN605" s="222"/>
      <c r="QPO605" s="222"/>
      <c r="QPP605" s="222"/>
      <c r="QPQ605" s="222"/>
      <c r="QPR605" s="222"/>
      <c r="QPS605" s="223"/>
      <c r="QPT605" s="224"/>
      <c r="QPU605" s="222"/>
      <c r="QPV605" s="222"/>
      <c r="QPW605" s="222"/>
      <c r="QPX605" s="222"/>
      <c r="QPY605" s="222"/>
      <c r="QPZ605" s="222"/>
      <c r="QQA605" s="223"/>
      <c r="QQB605" s="224"/>
      <c r="QQC605" s="222"/>
      <c r="QQD605" s="222"/>
      <c r="QQE605" s="222"/>
      <c r="QQF605" s="222"/>
      <c r="QQG605" s="222"/>
      <c r="QQH605" s="222"/>
      <c r="QQI605" s="223"/>
      <c r="QQJ605" s="224"/>
      <c r="QQK605" s="222"/>
      <c r="QQL605" s="222"/>
      <c r="QQM605" s="222"/>
      <c r="QQN605" s="222"/>
      <c r="QQO605" s="222"/>
      <c r="QQP605" s="222"/>
      <c r="QQQ605" s="223"/>
      <c r="QQR605" s="224"/>
      <c r="QQS605" s="222"/>
      <c r="QQT605" s="222"/>
      <c r="QQU605" s="222"/>
      <c r="QQV605" s="222"/>
      <c r="QQW605" s="222"/>
      <c r="QQX605" s="222"/>
      <c r="QQY605" s="223"/>
      <c r="QQZ605" s="224"/>
      <c r="QRA605" s="222"/>
      <c r="QRB605" s="222"/>
      <c r="QRC605" s="222"/>
      <c r="QRD605" s="222"/>
      <c r="QRE605" s="222"/>
      <c r="QRF605" s="222"/>
      <c r="QRG605" s="223"/>
      <c r="QRH605" s="224"/>
      <c r="QRI605" s="222"/>
      <c r="QRJ605" s="222"/>
      <c r="QRK605" s="222"/>
      <c r="QRL605" s="222"/>
      <c r="QRM605" s="222"/>
      <c r="QRN605" s="222"/>
      <c r="QRO605" s="223"/>
      <c r="QRP605" s="224"/>
      <c r="QRQ605" s="222"/>
      <c r="QRR605" s="222"/>
      <c r="QRS605" s="222"/>
      <c r="QRT605" s="222"/>
      <c r="QRU605" s="222"/>
      <c r="QRV605" s="222"/>
      <c r="QRW605" s="223"/>
      <c r="QRX605" s="224"/>
      <c r="QRY605" s="222"/>
      <c r="QRZ605" s="222"/>
      <c r="QSA605" s="222"/>
      <c r="QSB605" s="222"/>
      <c r="QSC605" s="222"/>
      <c r="QSD605" s="222"/>
      <c r="QSE605" s="223"/>
      <c r="QSF605" s="224"/>
      <c r="QSG605" s="222"/>
      <c r="QSH605" s="222"/>
      <c r="QSI605" s="222"/>
      <c r="QSJ605" s="222"/>
      <c r="QSK605" s="222"/>
      <c r="QSL605" s="222"/>
      <c r="QSM605" s="223"/>
      <c r="QSN605" s="224"/>
      <c r="QSO605" s="222"/>
      <c r="QSP605" s="222"/>
      <c r="QSQ605" s="222"/>
      <c r="QSR605" s="222"/>
      <c r="QSS605" s="222"/>
      <c r="QST605" s="222"/>
      <c r="QSU605" s="223"/>
      <c r="QSV605" s="224"/>
      <c r="QSW605" s="222"/>
      <c r="QSX605" s="222"/>
      <c r="QSY605" s="222"/>
      <c r="QSZ605" s="222"/>
      <c r="QTA605" s="222"/>
      <c r="QTB605" s="222"/>
      <c r="QTC605" s="223"/>
      <c r="QTD605" s="224"/>
      <c r="QTE605" s="222"/>
      <c r="QTF605" s="222"/>
      <c r="QTG605" s="222"/>
      <c r="QTH605" s="222"/>
      <c r="QTI605" s="222"/>
      <c r="QTJ605" s="222"/>
      <c r="QTK605" s="223"/>
      <c r="QTL605" s="224"/>
      <c r="QTM605" s="222"/>
      <c r="QTN605" s="222"/>
      <c r="QTO605" s="222"/>
      <c r="QTP605" s="222"/>
      <c r="QTQ605" s="222"/>
      <c r="QTR605" s="222"/>
      <c r="QTS605" s="223"/>
      <c r="QTT605" s="224"/>
      <c r="QTU605" s="222"/>
      <c r="QTV605" s="222"/>
      <c r="QTW605" s="222"/>
      <c r="QTX605" s="222"/>
      <c r="QTY605" s="222"/>
      <c r="QTZ605" s="222"/>
      <c r="QUA605" s="223"/>
      <c r="QUB605" s="224"/>
      <c r="QUC605" s="222"/>
      <c r="QUD605" s="222"/>
      <c r="QUE605" s="222"/>
      <c r="QUF605" s="222"/>
      <c r="QUG605" s="222"/>
      <c r="QUH605" s="222"/>
      <c r="QUI605" s="223"/>
      <c r="QUJ605" s="224"/>
      <c r="QUK605" s="222"/>
      <c r="QUL605" s="222"/>
      <c r="QUM605" s="222"/>
      <c r="QUN605" s="222"/>
      <c r="QUO605" s="222"/>
      <c r="QUP605" s="222"/>
      <c r="QUQ605" s="223"/>
      <c r="QUR605" s="224"/>
      <c r="QUS605" s="222"/>
      <c r="QUT605" s="222"/>
      <c r="QUU605" s="222"/>
      <c r="QUV605" s="222"/>
      <c r="QUW605" s="222"/>
      <c r="QUX605" s="222"/>
      <c r="QUY605" s="223"/>
      <c r="QUZ605" s="224"/>
      <c r="QVA605" s="222"/>
      <c r="QVB605" s="222"/>
      <c r="QVC605" s="222"/>
      <c r="QVD605" s="222"/>
      <c r="QVE605" s="222"/>
      <c r="QVF605" s="222"/>
      <c r="QVG605" s="223"/>
      <c r="QVH605" s="224"/>
      <c r="QVI605" s="222"/>
      <c r="QVJ605" s="222"/>
      <c r="QVK605" s="222"/>
      <c r="QVL605" s="222"/>
      <c r="QVM605" s="222"/>
      <c r="QVN605" s="222"/>
      <c r="QVO605" s="223"/>
      <c r="QVP605" s="224"/>
      <c r="QVQ605" s="222"/>
      <c r="QVR605" s="222"/>
      <c r="QVS605" s="222"/>
      <c r="QVT605" s="222"/>
      <c r="QVU605" s="222"/>
      <c r="QVV605" s="222"/>
      <c r="QVW605" s="223"/>
      <c r="QVX605" s="224"/>
      <c r="QVY605" s="222"/>
      <c r="QVZ605" s="222"/>
      <c r="QWA605" s="222"/>
      <c r="QWB605" s="222"/>
      <c r="QWC605" s="222"/>
      <c r="QWD605" s="222"/>
      <c r="QWE605" s="223"/>
      <c r="QWF605" s="224"/>
      <c r="QWG605" s="222"/>
      <c r="QWH605" s="222"/>
      <c r="QWI605" s="222"/>
      <c r="QWJ605" s="222"/>
      <c r="QWK605" s="222"/>
      <c r="QWL605" s="222"/>
      <c r="QWM605" s="223"/>
      <c r="QWN605" s="224"/>
      <c r="QWO605" s="222"/>
      <c r="QWP605" s="222"/>
      <c r="QWQ605" s="222"/>
      <c r="QWR605" s="222"/>
      <c r="QWS605" s="222"/>
      <c r="QWT605" s="222"/>
      <c r="QWU605" s="223"/>
      <c r="QWV605" s="224"/>
      <c r="QWW605" s="222"/>
      <c r="QWX605" s="222"/>
      <c r="QWY605" s="222"/>
      <c r="QWZ605" s="222"/>
      <c r="QXA605" s="222"/>
      <c r="QXB605" s="222"/>
      <c r="QXC605" s="223"/>
      <c r="QXD605" s="224"/>
      <c r="QXE605" s="222"/>
      <c r="QXF605" s="222"/>
      <c r="QXG605" s="222"/>
      <c r="QXH605" s="222"/>
      <c r="QXI605" s="222"/>
      <c r="QXJ605" s="222"/>
      <c r="QXK605" s="223"/>
      <c r="QXL605" s="224"/>
      <c r="QXM605" s="222"/>
      <c r="QXN605" s="222"/>
      <c r="QXO605" s="222"/>
      <c r="QXP605" s="222"/>
      <c r="QXQ605" s="222"/>
      <c r="QXR605" s="222"/>
      <c r="QXS605" s="223"/>
      <c r="QXT605" s="224"/>
      <c r="QXU605" s="222"/>
      <c r="QXV605" s="222"/>
      <c r="QXW605" s="222"/>
      <c r="QXX605" s="222"/>
      <c r="QXY605" s="222"/>
      <c r="QXZ605" s="222"/>
      <c r="QYA605" s="223"/>
      <c r="QYB605" s="224"/>
      <c r="QYC605" s="222"/>
      <c r="QYD605" s="222"/>
      <c r="QYE605" s="222"/>
      <c r="QYF605" s="222"/>
      <c r="QYG605" s="222"/>
      <c r="QYH605" s="222"/>
      <c r="QYI605" s="223"/>
      <c r="QYJ605" s="224"/>
      <c r="QYK605" s="222"/>
      <c r="QYL605" s="222"/>
      <c r="QYM605" s="222"/>
      <c r="QYN605" s="222"/>
      <c r="QYO605" s="222"/>
      <c r="QYP605" s="222"/>
      <c r="QYQ605" s="223"/>
      <c r="QYR605" s="224"/>
      <c r="QYS605" s="222"/>
      <c r="QYT605" s="222"/>
      <c r="QYU605" s="222"/>
      <c r="QYV605" s="222"/>
      <c r="QYW605" s="222"/>
      <c r="QYX605" s="222"/>
      <c r="QYY605" s="223"/>
      <c r="QYZ605" s="224"/>
      <c r="QZA605" s="222"/>
      <c r="QZB605" s="222"/>
      <c r="QZC605" s="222"/>
      <c r="QZD605" s="222"/>
      <c r="QZE605" s="222"/>
      <c r="QZF605" s="222"/>
      <c r="QZG605" s="223"/>
      <c r="QZH605" s="224"/>
      <c r="QZI605" s="222"/>
      <c r="QZJ605" s="222"/>
      <c r="QZK605" s="222"/>
      <c r="QZL605" s="222"/>
      <c r="QZM605" s="222"/>
      <c r="QZN605" s="222"/>
      <c r="QZO605" s="223"/>
      <c r="QZP605" s="224"/>
      <c r="QZQ605" s="222"/>
      <c r="QZR605" s="222"/>
      <c r="QZS605" s="222"/>
      <c r="QZT605" s="222"/>
      <c r="QZU605" s="222"/>
      <c r="QZV605" s="222"/>
      <c r="QZW605" s="223"/>
      <c r="QZX605" s="224"/>
      <c r="QZY605" s="222"/>
      <c r="QZZ605" s="222"/>
      <c r="RAA605" s="222"/>
      <c r="RAB605" s="222"/>
      <c r="RAC605" s="222"/>
      <c r="RAD605" s="222"/>
      <c r="RAE605" s="223"/>
      <c r="RAF605" s="224"/>
      <c r="RAG605" s="222"/>
      <c r="RAH605" s="222"/>
      <c r="RAI605" s="222"/>
      <c r="RAJ605" s="222"/>
      <c r="RAK605" s="222"/>
      <c r="RAL605" s="222"/>
      <c r="RAM605" s="223"/>
      <c r="RAN605" s="224"/>
      <c r="RAO605" s="222"/>
      <c r="RAP605" s="222"/>
      <c r="RAQ605" s="222"/>
      <c r="RAR605" s="222"/>
      <c r="RAS605" s="222"/>
      <c r="RAT605" s="222"/>
      <c r="RAU605" s="223"/>
      <c r="RAV605" s="224"/>
      <c r="RAW605" s="222"/>
      <c r="RAX605" s="222"/>
      <c r="RAY605" s="222"/>
      <c r="RAZ605" s="222"/>
      <c r="RBA605" s="222"/>
      <c r="RBB605" s="222"/>
      <c r="RBC605" s="223"/>
      <c r="RBD605" s="224"/>
      <c r="RBE605" s="222"/>
      <c r="RBF605" s="222"/>
      <c r="RBG605" s="222"/>
      <c r="RBH605" s="222"/>
      <c r="RBI605" s="222"/>
      <c r="RBJ605" s="222"/>
      <c r="RBK605" s="223"/>
      <c r="RBL605" s="224"/>
      <c r="RBM605" s="222"/>
      <c r="RBN605" s="222"/>
      <c r="RBO605" s="222"/>
      <c r="RBP605" s="222"/>
      <c r="RBQ605" s="222"/>
      <c r="RBR605" s="222"/>
      <c r="RBS605" s="223"/>
      <c r="RBT605" s="224"/>
      <c r="RBU605" s="222"/>
      <c r="RBV605" s="222"/>
      <c r="RBW605" s="222"/>
      <c r="RBX605" s="222"/>
      <c r="RBY605" s="222"/>
      <c r="RBZ605" s="222"/>
      <c r="RCA605" s="223"/>
      <c r="RCB605" s="224"/>
      <c r="RCC605" s="222"/>
      <c r="RCD605" s="222"/>
      <c r="RCE605" s="222"/>
      <c r="RCF605" s="222"/>
      <c r="RCG605" s="222"/>
      <c r="RCH605" s="222"/>
      <c r="RCI605" s="223"/>
      <c r="RCJ605" s="224"/>
      <c r="RCK605" s="222"/>
      <c r="RCL605" s="222"/>
      <c r="RCM605" s="222"/>
      <c r="RCN605" s="222"/>
      <c r="RCO605" s="222"/>
      <c r="RCP605" s="222"/>
      <c r="RCQ605" s="223"/>
      <c r="RCR605" s="224"/>
      <c r="RCS605" s="222"/>
      <c r="RCT605" s="222"/>
      <c r="RCU605" s="222"/>
      <c r="RCV605" s="222"/>
      <c r="RCW605" s="222"/>
      <c r="RCX605" s="222"/>
      <c r="RCY605" s="223"/>
      <c r="RCZ605" s="224"/>
      <c r="RDA605" s="222"/>
      <c r="RDB605" s="222"/>
      <c r="RDC605" s="222"/>
      <c r="RDD605" s="222"/>
      <c r="RDE605" s="222"/>
      <c r="RDF605" s="222"/>
      <c r="RDG605" s="223"/>
      <c r="RDH605" s="224"/>
      <c r="RDI605" s="222"/>
      <c r="RDJ605" s="222"/>
      <c r="RDK605" s="222"/>
      <c r="RDL605" s="222"/>
      <c r="RDM605" s="222"/>
      <c r="RDN605" s="222"/>
      <c r="RDO605" s="223"/>
      <c r="RDP605" s="224"/>
      <c r="RDQ605" s="222"/>
      <c r="RDR605" s="222"/>
      <c r="RDS605" s="222"/>
      <c r="RDT605" s="222"/>
      <c r="RDU605" s="222"/>
      <c r="RDV605" s="222"/>
      <c r="RDW605" s="223"/>
      <c r="RDX605" s="224"/>
      <c r="RDY605" s="222"/>
      <c r="RDZ605" s="222"/>
      <c r="REA605" s="222"/>
      <c r="REB605" s="222"/>
      <c r="REC605" s="222"/>
      <c r="RED605" s="222"/>
      <c r="REE605" s="223"/>
      <c r="REF605" s="224"/>
      <c r="REG605" s="222"/>
      <c r="REH605" s="222"/>
      <c r="REI605" s="222"/>
      <c r="REJ605" s="222"/>
      <c r="REK605" s="222"/>
      <c r="REL605" s="222"/>
      <c r="REM605" s="223"/>
      <c r="REN605" s="224"/>
      <c r="REO605" s="222"/>
      <c r="REP605" s="222"/>
      <c r="REQ605" s="222"/>
      <c r="RER605" s="222"/>
      <c r="RES605" s="222"/>
      <c r="RET605" s="222"/>
      <c r="REU605" s="223"/>
      <c r="REV605" s="224"/>
      <c r="REW605" s="222"/>
      <c r="REX605" s="222"/>
      <c r="REY605" s="222"/>
      <c r="REZ605" s="222"/>
      <c r="RFA605" s="222"/>
      <c r="RFB605" s="222"/>
      <c r="RFC605" s="223"/>
      <c r="RFD605" s="224"/>
      <c r="RFE605" s="222"/>
      <c r="RFF605" s="222"/>
      <c r="RFG605" s="222"/>
      <c r="RFH605" s="222"/>
      <c r="RFI605" s="222"/>
      <c r="RFJ605" s="222"/>
      <c r="RFK605" s="223"/>
      <c r="RFL605" s="224"/>
      <c r="RFM605" s="222"/>
      <c r="RFN605" s="222"/>
      <c r="RFO605" s="222"/>
      <c r="RFP605" s="222"/>
      <c r="RFQ605" s="222"/>
      <c r="RFR605" s="222"/>
      <c r="RFS605" s="223"/>
      <c r="RFT605" s="224"/>
      <c r="RFU605" s="222"/>
      <c r="RFV605" s="222"/>
      <c r="RFW605" s="222"/>
      <c r="RFX605" s="222"/>
      <c r="RFY605" s="222"/>
      <c r="RFZ605" s="222"/>
      <c r="RGA605" s="223"/>
      <c r="RGB605" s="224"/>
      <c r="RGC605" s="222"/>
      <c r="RGD605" s="222"/>
      <c r="RGE605" s="222"/>
      <c r="RGF605" s="222"/>
      <c r="RGG605" s="222"/>
      <c r="RGH605" s="222"/>
      <c r="RGI605" s="223"/>
      <c r="RGJ605" s="224"/>
      <c r="RGK605" s="222"/>
      <c r="RGL605" s="222"/>
      <c r="RGM605" s="222"/>
      <c r="RGN605" s="222"/>
      <c r="RGO605" s="222"/>
      <c r="RGP605" s="222"/>
      <c r="RGQ605" s="223"/>
      <c r="RGR605" s="224"/>
      <c r="RGS605" s="222"/>
      <c r="RGT605" s="222"/>
      <c r="RGU605" s="222"/>
      <c r="RGV605" s="222"/>
      <c r="RGW605" s="222"/>
      <c r="RGX605" s="222"/>
      <c r="RGY605" s="223"/>
      <c r="RGZ605" s="224"/>
      <c r="RHA605" s="222"/>
      <c r="RHB605" s="222"/>
      <c r="RHC605" s="222"/>
      <c r="RHD605" s="222"/>
      <c r="RHE605" s="222"/>
      <c r="RHF605" s="222"/>
      <c r="RHG605" s="223"/>
      <c r="RHH605" s="224"/>
      <c r="RHI605" s="222"/>
      <c r="RHJ605" s="222"/>
      <c r="RHK605" s="222"/>
      <c r="RHL605" s="222"/>
      <c r="RHM605" s="222"/>
      <c r="RHN605" s="222"/>
      <c r="RHO605" s="223"/>
      <c r="RHP605" s="224"/>
      <c r="RHQ605" s="222"/>
      <c r="RHR605" s="222"/>
      <c r="RHS605" s="222"/>
      <c r="RHT605" s="222"/>
      <c r="RHU605" s="222"/>
      <c r="RHV605" s="222"/>
      <c r="RHW605" s="223"/>
      <c r="RHX605" s="224"/>
      <c r="RHY605" s="222"/>
      <c r="RHZ605" s="222"/>
      <c r="RIA605" s="222"/>
      <c r="RIB605" s="222"/>
      <c r="RIC605" s="222"/>
      <c r="RID605" s="222"/>
      <c r="RIE605" s="223"/>
      <c r="RIF605" s="224"/>
      <c r="RIG605" s="222"/>
      <c r="RIH605" s="222"/>
      <c r="RII605" s="222"/>
      <c r="RIJ605" s="222"/>
      <c r="RIK605" s="222"/>
      <c r="RIL605" s="222"/>
      <c r="RIM605" s="223"/>
      <c r="RIN605" s="224"/>
      <c r="RIO605" s="222"/>
      <c r="RIP605" s="222"/>
      <c r="RIQ605" s="222"/>
      <c r="RIR605" s="222"/>
      <c r="RIS605" s="222"/>
      <c r="RIT605" s="222"/>
      <c r="RIU605" s="223"/>
      <c r="RIV605" s="224"/>
      <c r="RIW605" s="222"/>
      <c r="RIX605" s="222"/>
      <c r="RIY605" s="222"/>
      <c r="RIZ605" s="222"/>
      <c r="RJA605" s="222"/>
      <c r="RJB605" s="222"/>
      <c r="RJC605" s="223"/>
      <c r="RJD605" s="224"/>
      <c r="RJE605" s="222"/>
      <c r="RJF605" s="222"/>
      <c r="RJG605" s="222"/>
      <c r="RJH605" s="222"/>
      <c r="RJI605" s="222"/>
      <c r="RJJ605" s="222"/>
      <c r="RJK605" s="223"/>
      <c r="RJL605" s="224"/>
      <c r="RJM605" s="222"/>
      <c r="RJN605" s="222"/>
      <c r="RJO605" s="222"/>
      <c r="RJP605" s="222"/>
      <c r="RJQ605" s="222"/>
      <c r="RJR605" s="222"/>
      <c r="RJS605" s="223"/>
      <c r="RJT605" s="224"/>
      <c r="RJU605" s="222"/>
      <c r="RJV605" s="222"/>
      <c r="RJW605" s="222"/>
      <c r="RJX605" s="222"/>
      <c r="RJY605" s="222"/>
      <c r="RJZ605" s="222"/>
      <c r="RKA605" s="223"/>
      <c r="RKB605" s="224"/>
      <c r="RKC605" s="222"/>
      <c r="RKD605" s="222"/>
      <c r="RKE605" s="222"/>
      <c r="RKF605" s="222"/>
      <c r="RKG605" s="222"/>
      <c r="RKH605" s="222"/>
      <c r="RKI605" s="223"/>
      <c r="RKJ605" s="224"/>
      <c r="RKK605" s="222"/>
      <c r="RKL605" s="222"/>
      <c r="RKM605" s="222"/>
      <c r="RKN605" s="222"/>
      <c r="RKO605" s="222"/>
      <c r="RKP605" s="222"/>
      <c r="RKQ605" s="223"/>
      <c r="RKR605" s="224"/>
      <c r="RKS605" s="222"/>
      <c r="RKT605" s="222"/>
      <c r="RKU605" s="222"/>
      <c r="RKV605" s="222"/>
      <c r="RKW605" s="222"/>
      <c r="RKX605" s="222"/>
      <c r="RKY605" s="223"/>
      <c r="RKZ605" s="224"/>
      <c r="RLA605" s="222"/>
      <c r="RLB605" s="222"/>
      <c r="RLC605" s="222"/>
      <c r="RLD605" s="222"/>
      <c r="RLE605" s="222"/>
      <c r="RLF605" s="222"/>
      <c r="RLG605" s="223"/>
      <c r="RLH605" s="224"/>
      <c r="RLI605" s="222"/>
      <c r="RLJ605" s="222"/>
      <c r="RLK605" s="222"/>
      <c r="RLL605" s="222"/>
      <c r="RLM605" s="222"/>
      <c r="RLN605" s="222"/>
      <c r="RLO605" s="223"/>
      <c r="RLP605" s="224"/>
      <c r="RLQ605" s="222"/>
      <c r="RLR605" s="222"/>
      <c r="RLS605" s="222"/>
      <c r="RLT605" s="222"/>
      <c r="RLU605" s="222"/>
      <c r="RLV605" s="222"/>
      <c r="RLW605" s="223"/>
      <c r="RLX605" s="224"/>
      <c r="RLY605" s="222"/>
      <c r="RLZ605" s="222"/>
      <c r="RMA605" s="222"/>
      <c r="RMB605" s="222"/>
      <c r="RMC605" s="222"/>
      <c r="RMD605" s="222"/>
      <c r="RME605" s="223"/>
      <c r="RMF605" s="224"/>
      <c r="RMG605" s="222"/>
      <c r="RMH605" s="222"/>
      <c r="RMI605" s="222"/>
      <c r="RMJ605" s="222"/>
      <c r="RMK605" s="222"/>
      <c r="RML605" s="222"/>
      <c r="RMM605" s="223"/>
      <c r="RMN605" s="224"/>
      <c r="RMO605" s="222"/>
      <c r="RMP605" s="222"/>
      <c r="RMQ605" s="222"/>
      <c r="RMR605" s="222"/>
      <c r="RMS605" s="222"/>
      <c r="RMT605" s="222"/>
      <c r="RMU605" s="223"/>
      <c r="RMV605" s="224"/>
      <c r="RMW605" s="222"/>
      <c r="RMX605" s="222"/>
      <c r="RMY605" s="222"/>
      <c r="RMZ605" s="222"/>
      <c r="RNA605" s="222"/>
      <c r="RNB605" s="222"/>
      <c r="RNC605" s="223"/>
      <c r="RND605" s="224"/>
      <c r="RNE605" s="222"/>
      <c r="RNF605" s="222"/>
      <c r="RNG605" s="222"/>
      <c r="RNH605" s="222"/>
      <c r="RNI605" s="222"/>
      <c r="RNJ605" s="222"/>
      <c r="RNK605" s="223"/>
      <c r="RNL605" s="224"/>
      <c r="RNM605" s="222"/>
      <c r="RNN605" s="222"/>
      <c r="RNO605" s="222"/>
      <c r="RNP605" s="222"/>
      <c r="RNQ605" s="222"/>
      <c r="RNR605" s="222"/>
      <c r="RNS605" s="223"/>
      <c r="RNT605" s="224"/>
      <c r="RNU605" s="222"/>
      <c r="RNV605" s="222"/>
      <c r="RNW605" s="222"/>
      <c r="RNX605" s="222"/>
      <c r="RNY605" s="222"/>
      <c r="RNZ605" s="222"/>
      <c r="ROA605" s="223"/>
      <c r="ROB605" s="224"/>
      <c r="ROC605" s="222"/>
      <c r="ROD605" s="222"/>
      <c r="ROE605" s="222"/>
      <c r="ROF605" s="222"/>
      <c r="ROG605" s="222"/>
      <c r="ROH605" s="222"/>
      <c r="ROI605" s="223"/>
      <c r="ROJ605" s="224"/>
      <c r="ROK605" s="222"/>
      <c r="ROL605" s="222"/>
      <c r="ROM605" s="222"/>
      <c r="RON605" s="222"/>
      <c r="ROO605" s="222"/>
      <c r="ROP605" s="222"/>
      <c r="ROQ605" s="223"/>
      <c r="ROR605" s="224"/>
      <c r="ROS605" s="222"/>
      <c r="ROT605" s="222"/>
      <c r="ROU605" s="222"/>
      <c r="ROV605" s="222"/>
      <c r="ROW605" s="222"/>
      <c r="ROX605" s="222"/>
      <c r="ROY605" s="223"/>
      <c r="ROZ605" s="224"/>
      <c r="RPA605" s="222"/>
      <c r="RPB605" s="222"/>
      <c r="RPC605" s="222"/>
      <c r="RPD605" s="222"/>
      <c r="RPE605" s="222"/>
      <c r="RPF605" s="222"/>
      <c r="RPG605" s="223"/>
      <c r="RPH605" s="224"/>
      <c r="RPI605" s="222"/>
      <c r="RPJ605" s="222"/>
      <c r="RPK605" s="222"/>
      <c r="RPL605" s="222"/>
      <c r="RPM605" s="222"/>
      <c r="RPN605" s="222"/>
      <c r="RPO605" s="223"/>
      <c r="RPP605" s="224"/>
      <c r="RPQ605" s="222"/>
      <c r="RPR605" s="222"/>
      <c r="RPS605" s="222"/>
      <c r="RPT605" s="222"/>
      <c r="RPU605" s="222"/>
      <c r="RPV605" s="222"/>
      <c r="RPW605" s="223"/>
      <c r="RPX605" s="224"/>
      <c r="RPY605" s="222"/>
      <c r="RPZ605" s="222"/>
      <c r="RQA605" s="222"/>
      <c r="RQB605" s="222"/>
      <c r="RQC605" s="222"/>
      <c r="RQD605" s="222"/>
      <c r="RQE605" s="223"/>
      <c r="RQF605" s="224"/>
      <c r="RQG605" s="222"/>
      <c r="RQH605" s="222"/>
      <c r="RQI605" s="222"/>
      <c r="RQJ605" s="222"/>
      <c r="RQK605" s="222"/>
      <c r="RQL605" s="222"/>
      <c r="RQM605" s="223"/>
      <c r="RQN605" s="224"/>
      <c r="RQO605" s="222"/>
      <c r="RQP605" s="222"/>
      <c r="RQQ605" s="222"/>
      <c r="RQR605" s="222"/>
      <c r="RQS605" s="222"/>
      <c r="RQT605" s="222"/>
      <c r="RQU605" s="223"/>
      <c r="RQV605" s="224"/>
      <c r="RQW605" s="222"/>
      <c r="RQX605" s="222"/>
      <c r="RQY605" s="222"/>
      <c r="RQZ605" s="222"/>
      <c r="RRA605" s="222"/>
      <c r="RRB605" s="222"/>
      <c r="RRC605" s="223"/>
      <c r="RRD605" s="224"/>
      <c r="RRE605" s="222"/>
      <c r="RRF605" s="222"/>
      <c r="RRG605" s="222"/>
      <c r="RRH605" s="222"/>
      <c r="RRI605" s="222"/>
      <c r="RRJ605" s="222"/>
      <c r="RRK605" s="223"/>
      <c r="RRL605" s="224"/>
      <c r="RRM605" s="222"/>
      <c r="RRN605" s="222"/>
      <c r="RRO605" s="222"/>
      <c r="RRP605" s="222"/>
      <c r="RRQ605" s="222"/>
      <c r="RRR605" s="222"/>
      <c r="RRS605" s="223"/>
      <c r="RRT605" s="224"/>
      <c r="RRU605" s="222"/>
      <c r="RRV605" s="222"/>
      <c r="RRW605" s="222"/>
      <c r="RRX605" s="222"/>
      <c r="RRY605" s="222"/>
      <c r="RRZ605" s="222"/>
      <c r="RSA605" s="223"/>
      <c r="RSB605" s="224"/>
      <c r="RSC605" s="222"/>
      <c r="RSD605" s="222"/>
      <c r="RSE605" s="222"/>
      <c r="RSF605" s="222"/>
      <c r="RSG605" s="222"/>
      <c r="RSH605" s="222"/>
      <c r="RSI605" s="223"/>
      <c r="RSJ605" s="224"/>
      <c r="RSK605" s="222"/>
      <c r="RSL605" s="222"/>
      <c r="RSM605" s="222"/>
      <c r="RSN605" s="222"/>
      <c r="RSO605" s="222"/>
      <c r="RSP605" s="222"/>
      <c r="RSQ605" s="223"/>
      <c r="RSR605" s="224"/>
      <c r="RSS605" s="222"/>
      <c r="RST605" s="222"/>
      <c r="RSU605" s="222"/>
      <c r="RSV605" s="222"/>
      <c r="RSW605" s="222"/>
      <c r="RSX605" s="222"/>
      <c r="RSY605" s="223"/>
      <c r="RSZ605" s="224"/>
      <c r="RTA605" s="222"/>
      <c r="RTB605" s="222"/>
      <c r="RTC605" s="222"/>
      <c r="RTD605" s="222"/>
      <c r="RTE605" s="222"/>
      <c r="RTF605" s="222"/>
      <c r="RTG605" s="223"/>
      <c r="RTH605" s="224"/>
      <c r="RTI605" s="222"/>
      <c r="RTJ605" s="222"/>
      <c r="RTK605" s="222"/>
      <c r="RTL605" s="222"/>
      <c r="RTM605" s="222"/>
      <c r="RTN605" s="222"/>
      <c r="RTO605" s="223"/>
      <c r="RTP605" s="224"/>
      <c r="RTQ605" s="222"/>
      <c r="RTR605" s="222"/>
      <c r="RTS605" s="222"/>
      <c r="RTT605" s="222"/>
      <c r="RTU605" s="222"/>
      <c r="RTV605" s="222"/>
      <c r="RTW605" s="223"/>
      <c r="RTX605" s="224"/>
      <c r="RTY605" s="222"/>
      <c r="RTZ605" s="222"/>
      <c r="RUA605" s="222"/>
      <c r="RUB605" s="222"/>
      <c r="RUC605" s="222"/>
      <c r="RUD605" s="222"/>
      <c r="RUE605" s="223"/>
      <c r="RUF605" s="224"/>
      <c r="RUG605" s="222"/>
      <c r="RUH605" s="222"/>
      <c r="RUI605" s="222"/>
      <c r="RUJ605" s="222"/>
      <c r="RUK605" s="222"/>
      <c r="RUL605" s="222"/>
      <c r="RUM605" s="223"/>
      <c r="RUN605" s="224"/>
      <c r="RUO605" s="222"/>
      <c r="RUP605" s="222"/>
      <c r="RUQ605" s="222"/>
      <c r="RUR605" s="222"/>
      <c r="RUS605" s="222"/>
      <c r="RUT605" s="222"/>
      <c r="RUU605" s="223"/>
      <c r="RUV605" s="224"/>
      <c r="RUW605" s="222"/>
      <c r="RUX605" s="222"/>
      <c r="RUY605" s="222"/>
      <c r="RUZ605" s="222"/>
      <c r="RVA605" s="222"/>
      <c r="RVB605" s="222"/>
      <c r="RVC605" s="223"/>
      <c r="RVD605" s="224"/>
      <c r="RVE605" s="222"/>
      <c r="RVF605" s="222"/>
      <c r="RVG605" s="222"/>
      <c r="RVH605" s="222"/>
      <c r="RVI605" s="222"/>
      <c r="RVJ605" s="222"/>
      <c r="RVK605" s="223"/>
      <c r="RVL605" s="224"/>
      <c r="RVM605" s="222"/>
      <c r="RVN605" s="222"/>
      <c r="RVO605" s="222"/>
      <c r="RVP605" s="222"/>
      <c r="RVQ605" s="222"/>
      <c r="RVR605" s="222"/>
      <c r="RVS605" s="223"/>
      <c r="RVT605" s="224"/>
      <c r="RVU605" s="222"/>
      <c r="RVV605" s="222"/>
      <c r="RVW605" s="222"/>
      <c r="RVX605" s="222"/>
      <c r="RVY605" s="222"/>
      <c r="RVZ605" s="222"/>
      <c r="RWA605" s="223"/>
      <c r="RWB605" s="224"/>
      <c r="RWC605" s="222"/>
      <c r="RWD605" s="222"/>
      <c r="RWE605" s="222"/>
      <c r="RWF605" s="222"/>
      <c r="RWG605" s="222"/>
      <c r="RWH605" s="222"/>
      <c r="RWI605" s="223"/>
      <c r="RWJ605" s="224"/>
      <c r="RWK605" s="222"/>
      <c r="RWL605" s="222"/>
      <c r="RWM605" s="222"/>
      <c r="RWN605" s="222"/>
      <c r="RWO605" s="222"/>
      <c r="RWP605" s="222"/>
      <c r="RWQ605" s="223"/>
      <c r="RWR605" s="224"/>
      <c r="RWS605" s="222"/>
      <c r="RWT605" s="222"/>
      <c r="RWU605" s="222"/>
      <c r="RWV605" s="222"/>
      <c r="RWW605" s="222"/>
      <c r="RWX605" s="222"/>
      <c r="RWY605" s="223"/>
      <c r="RWZ605" s="224"/>
      <c r="RXA605" s="222"/>
      <c r="RXB605" s="222"/>
      <c r="RXC605" s="222"/>
      <c r="RXD605" s="222"/>
      <c r="RXE605" s="222"/>
      <c r="RXF605" s="222"/>
      <c r="RXG605" s="223"/>
      <c r="RXH605" s="224"/>
      <c r="RXI605" s="222"/>
      <c r="RXJ605" s="222"/>
      <c r="RXK605" s="222"/>
      <c r="RXL605" s="222"/>
      <c r="RXM605" s="222"/>
      <c r="RXN605" s="222"/>
      <c r="RXO605" s="223"/>
      <c r="RXP605" s="224"/>
      <c r="RXQ605" s="222"/>
      <c r="RXR605" s="222"/>
      <c r="RXS605" s="222"/>
      <c r="RXT605" s="222"/>
      <c r="RXU605" s="222"/>
      <c r="RXV605" s="222"/>
      <c r="RXW605" s="223"/>
      <c r="RXX605" s="224"/>
      <c r="RXY605" s="222"/>
      <c r="RXZ605" s="222"/>
      <c r="RYA605" s="222"/>
      <c r="RYB605" s="222"/>
      <c r="RYC605" s="222"/>
      <c r="RYD605" s="222"/>
      <c r="RYE605" s="223"/>
      <c r="RYF605" s="224"/>
      <c r="RYG605" s="222"/>
      <c r="RYH605" s="222"/>
      <c r="RYI605" s="222"/>
      <c r="RYJ605" s="222"/>
      <c r="RYK605" s="222"/>
      <c r="RYL605" s="222"/>
      <c r="RYM605" s="223"/>
      <c r="RYN605" s="224"/>
      <c r="RYO605" s="222"/>
      <c r="RYP605" s="222"/>
      <c r="RYQ605" s="222"/>
      <c r="RYR605" s="222"/>
      <c r="RYS605" s="222"/>
      <c r="RYT605" s="222"/>
      <c r="RYU605" s="223"/>
      <c r="RYV605" s="224"/>
      <c r="RYW605" s="222"/>
      <c r="RYX605" s="222"/>
      <c r="RYY605" s="222"/>
      <c r="RYZ605" s="222"/>
      <c r="RZA605" s="222"/>
      <c r="RZB605" s="222"/>
      <c r="RZC605" s="223"/>
      <c r="RZD605" s="224"/>
      <c r="RZE605" s="222"/>
      <c r="RZF605" s="222"/>
      <c r="RZG605" s="222"/>
      <c r="RZH605" s="222"/>
      <c r="RZI605" s="222"/>
      <c r="RZJ605" s="222"/>
      <c r="RZK605" s="223"/>
      <c r="RZL605" s="224"/>
      <c r="RZM605" s="222"/>
      <c r="RZN605" s="222"/>
      <c r="RZO605" s="222"/>
      <c r="RZP605" s="222"/>
      <c r="RZQ605" s="222"/>
      <c r="RZR605" s="222"/>
      <c r="RZS605" s="223"/>
      <c r="RZT605" s="224"/>
      <c r="RZU605" s="222"/>
      <c r="RZV605" s="222"/>
      <c r="RZW605" s="222"/>
      <c r="RZX605" s="222"/>
      <c r="RZY605" s="222"/>
      <c r="RZZ605" s="222"/>
      <c r="SAA605" s="223"/>
      <c r="SAB605" s="224"/>
      <c r="SAC605" s="222"/>
      <c r="SAD605" s="222"/>
      <c r="SAE605" s="222"/>
      <c r="SAF605" s="222"/>
      <c r="SAG605" s="222"/>
      <c r="SAH605" s="222"/>
      <c r="SAI605" s="223"/>
      <c r="SAJ605" s="224"/>
      <c r="SAK605" s="222"/>
      <c r="SAL605" s="222"/>
      <c r="SAM605" s="222"/>
      <c r="SAN605" s="222"/>
      <c r="SAO605" s="222"/>
      <c r="SAP605" s="222"/>
      <c r="SAQ605" s="223"/>
      <c r="SAR605" s="224"/>
      <c r="SAS605" s="222"/>
      <c r="SAT605" s="222"/>
      <c r="SAU605" s="222"/>
      <c r="SAV605" s="222"/>
      <c r="SAW605" s="222"/>
      <c r="SAX605" s="222"/>
      <c r="SAY605" s="223"/>
      <c r="SAZ605" s="224"/>
      <c r="SBA605" s="222"/>
      <c r="SBB605" s="222"/>
      <c r="SBC605" s="222"/>
      <c r="SBD605" s="222"/>
      <c r="SBE605" s="222"/>
      <c r="SBF605" s="222"/>
      <c r="SBG605" s="223"/>
      <c r="SBH605" s="224"/>
      <c r="SBI605" s="222"/>
      <c r="SBJ605" s="222"/>
      <c r="SBK605" s="222"/>
      <c r="SBL605" s="222"/>
      <c r="SBM605" s="222"/>
      <c r="SBN605" s="222"/>
      <c r="SBO605" s="223"/>
      <c r="SBP605" s="224"/>
      <c r="SBQ605" s="222"/>
      <c r="SBR605" s="222"/>
      <c r="SBS605" s="222"/>
      <c r="SBT605" s="222"/>
      <c r="SBU605" s="222"/>
      <c r="SBV605" s="222"/>
      <c r="SBW605" s="223"/>
      <c r="SBX605" s="224"/>
      <c r="SBY605" s="222"/>
      <c r="SBZ605" s="222"/>
      <c r="SCA605" s="222"/>
      <c r="SCB605" s="222"/>
      <c r="SCC605" s="222"/>
      <c r="SCD605" s="222"/>
      <c r="SCE605" s="223"/>
      <c r="SCF605" s="224"/>
      <c r="SCG605" s="222"/>
      <c r="SCH605" s="222"/>
      <c r="SCI605" s="222"/>
      <c r="SCJ605" s="222"/>
      <c r="SCK605" s="222"/>
      <c r="SCL605" s="222"/>
      <c r="SCM605" s="223"/>
      <c r="SCN605" s="224"/>
      <c r="SCO605" s="222"/>
      <c r="SCP605" s="222"/>
      <c r="SCQ605" s="222"/>
      <c r="SCR605" s="222"/>
      <c r="SCS605" s="222"/>
      <c r="SCT605" s="222"/>
      <c r="SCU605" s="223"/>
      <c r="SCV605" s="224"/>
      <c r="SCW605" s="222"/>
      <c r="SCX605" s="222"/>
      <c r="SCY605" s="222"/>
      <c r="SCZ605" s="222"/>
      <c r="SDA605" s="222"/>
      <c r="SDB605" s="222"/>
      <c r="SDC605" s="223"/>
      <c r="SDD605" s="224"/>
      <c r="SDE605" s="222"/>
      <c r="SDF605" s="222"/>
      <c r="SDG605" s="222"/>
      <c r="SDH605" s="222"/>
      <c r="SDI605" s="222"/>
      <c r="SDJ605" s="222"/>
      <c r="SDK605" s="223"/>
      <c r="SDL605" s="224"/>
      <c r="SDM605" s="222"/>
      <c r="SDN605" s="222"/>
      <c r="SDO605" s="222"/>
      <c r="SDP605" s="222"/>
      <c r="SDQ605" s="222"/>
      <c r="SDR605" s="222"/>
      <c r="SDS605" s="223"/>
      <c r="SDT605" s="224"/>
      <c r="SDU605" s="222"/>
      <c r="SDV605" s="222"/>
      <c r="SDW605" s="222"/>
      <c r="SDX605" s="222"/>
      <c r="SDY605" s="222"/>
      <c r="SDZ605" s="222"/>
      <c r="SEA605" s="223"/>
      <c r="SEB605" s="224"/>
      <c r="SEC605" s="222"/>
      <c r="SED605" s="222"/>
      <c r="SEE605" s="222"/>
      <c r="SEF605" s="222"/>
      <c r="SEG605" s="222"/>
      <c r="SEH605" s="222"/>
      <c r="SEI605" s="223"/>
      <c r="SEJ605" s="224"/>
      <c r="SEK605" s="222"/>
      <c r="SEL605" s="222"/>
      <c r="SEM605" s="222"/>
      <c r="SEN605" s="222"/>
      <c r="SEO605" s="222"/>
      <c r="SEP605" s="222"/>
      <c r="SEQ605" s="223"/>
      <c r="SER605" s="224"/>
      <c r="SES605" s="222"/>
      <c r="SET605" s="222"/>
      <c r="SEU605" s="222"/>
      <c r="SEV605" s="222"/>
      <c r="SEW605" s="222"/>
      <c r="SEX605" s="222"/>
      <c r="SEY605" s="223"/>
      <c r="SEZ605" s="224"/>
      <c r="SFA605" s="222"/>
      <c r="SFB605" s="222"/>
      <c r="SFC605" s="222"/>
      <c r="SFD605" s="222"/>
      <c r="SFE605" s="222"/>
      <c r="SFF605" s="222"/>
      <c r="SFG605" s="223"/>
      <c r="SFH605" s="224"/>
      <c r="SFI605" s="222"/>
      <c r="SFJ605" s="222"/>
      <c r="SFK605" s="222"/>
      <c r="SFL605" s="222"/>
      <c r="SFM605" s="222"/>
      <c r="SFN605" s="222"/>
      <c r="SFO605" s="223"/>
      <c r="SFP605" s="224"/>
      <c r="SFQ605" s="222"/>
      <c r="SFR605" s="222"/>
      <c r="SFS605" s="222"/>
      <c r="SFT605" s="222"/>
      <c r="SFU605" s="222"/>
      <c r="SFV605" s="222"/>
      <c r="SFW605" s="223"/>
      <c r="SFX605" s="224"/>
      <c r="SFY605" s="222"/>
      <c r="SFZ605" s="222"/>
      <c r="SGA605" s="222"/>
      <c r="SGB605" s="222"/>
      <c r="SGC605" s="222"/>
      <c r="SGD605" s="222"/>
      <c r="SGE605" s="223"/>
      <c r="SGF605" s="224"/>
      <c r="SGG605" s="222"/>
      <c r="SGH605" s="222"/>
      <c r="SGI605" s="222"/>
      <c r="SGJ605" s="222"/>
      <c r="SGK605" s="222"/>
      <c r="SGL605" s="222"/>
      <c r="SGM605" s="223"/>
      <c r="SGN605" s="224"/>
      <c r="SGO605" s="222"/>
      <c r="SGP605" s="222"/>
      <c r="SGQ605" s="222"/>
      <c r="SGR605" s="222"/>
      <c r="SGS605" s="222"/>
      <c r="SGT605" s="222"/>
      <c r="SGU605" s="223"/>
      <c r="SGV605" s="224"/>
      <c r="SGW605" s="222"/>
      <c r="SGX605" s="222"/>
      <c r="SGY605" s="222"/>
      <c r="SGZ605" s="222"/>
      <c r="SHA605" s="222"/>
      <c r="SHB605" s="222"/>
      <c r="SHC605" s="223"/>
      <c r="SHD605" s="224"/>
      <c r="SHE605" s="222"/>
      <c r="SHF605" s="222"/>
      <c r="SHG605" s="222"/>
      <c r="SHH605" s="222"/>
      <c r="SHI605" s="222"/>
      <c r="SHJ605" s="222"/>
      <c r="SHK605" s="223"/>
      <c r="SHL605" s="224"/>
      <c r="SHM605" s="222"/>
      <c r="SHN605" s="222"/>
      <c r="SHO605" s="222"/>
      <c r="SHP605" s="222"/>
      <c r="SHQ605" s="222"/>
      <c r="SHR605" s="222"/>
      <c r="SHS605" s="223"/>
      <c r="SHT605" s="224"/>
      <c r="SHU605" s="222"/>
      <c r="SHV605" s="222"/>
      <c r="SHW605" s="222"/>
      <c r="SHX605" s="222"/>
      <c r="SHY605" s="222"/>
      <c r="SHZ605" s="222"/>
      <c r="SIA605" s="223"/>
      <c r="SIB605" s="224"/>
      <c r="SIC605" s="222"/>
      <c r="SID605" s="222"/>
      <c r="SIE605" s="222"/>
      <c r="SIF605" s="222"/>
      <c r="SIG605" s="222"/>
      <c r="SIH605" s="222"/>
      <c r="SII605" s="223"/>
      <c r="SIJ605" s="224"/>
      <c r="SIK605" s="222"/>
      <c r="SIL605" s="222"/>
      <c r="SIM605" s="222"/>
      <c r="SIN605" s="222"/>
      <c r="SIO605" s="222"/>
      <c r="SIP605" s="222"/>
      <c r="SIQ605" s="223"/>
      <c r="SIR605" s="224"/>
      <c r="SIS605" s="222"/>
      <c r="SIT605" s="222"/>
      <c r="SIU605" s="222"/>
      <c r="SIV605" s="222"/>
      <c r="SIW605" s="222"/>
      <c r="SIX605" s="222"/>
      <c r="SIY605" s="223"/>
      <c r="SIZ605" s="224"/>
      <c r="SJA605" s="222"/>
      <c r="SJB605" s="222"/>
      <c r="SJC605" s="222"/>
      <c r="SJD605" s="222"/>
      <c r="SJE605" s="222"/>
      <c r="SJF605" s="222"/>
      <c r="SJG605" s="223"/>
      <c r="SJH605" s="224"/>
      <c r="SJI605" s="222"/>
      <c r="SJJ605" s="222"/>
      <c r="SJK605" s="222"/>
      <c r="SJL605" s="222"/>
      <c r="SJM605" s="222"/>
      <c r="SJN605" s="222"/>
      <c r="SJO605" s="223"/>
      <c r="SJP605" s="224"/>
      <c r="SJQ605" s="222"/>
      <c r="SJR605" s="222"/>
      <c r="SJS605" s="222"/>
      <c r="SJT605" s="222"/>
      <c r="SJU605" s="222"/>
      <c r="SJV605" s="222"/>
      <c r="SJW605" s="223"/>
      <c r="SJX605" s="224"/>
      <c r="SJY605" s="222"/>
      <c r="SJZ605" s="222"/>
      <c r="SKA605" s="222"/>
      <c r="SKB605" s="222"/>
      <c r="SKC605" s="222"/>
      <c r="SKD605" s="222"/>
      <c r="SKE605" s="223"/>
      <c r="SKF605" s="224"/>
      <c r="SKG605" s="222"/>
      <c r="SKH605" s="222"/>
      <c r="SKI605" s="222"/>
      <c r="SKJ605" s="222"/>
      <c r="SKK605" s="222"/>
      <c r="SKL605" s="222"/>
      <c r="SKM605" s="223"/>
      <c r="SKN605" s="224"/>
      <c r="SKO605" s="222"/>
      <c r="SKP605" s="222"/>
      <c r="SKQ605" s="222"/>
      <c r="SKR605" s="222"/>
      <c r="SKS605" s="222"/>
      <c r="SKT605" s="222"/>
      <c r="SKU605" s="223"/>
      <c r="SKV605" s="224"/>
      <c r="SKW605" s="222"/>
      <c r="SKX605" s="222"/>
      <c r="SKY605" s="222"/>
      <c r="SKZ605" s="222"/>
      <c r="SLA605" s="222"/>
      <c r="SLB605" s="222"/>
      <c r="SLC605" s="223"/>
      <c r="SLD605" s="224"/>
      <c r="SLE605" s="222"/>
      <c r="SLF605" s="222"/>
      <c r="SLG605" s="222"/>
      <c r="SLH605" s="222"/>
      <c r="SLI605" s="222"/>
      <c r="SLJ605" s="222"/>
      <c r="SLK605" s="223"/>
      <c r="SLL605" s="224"/>
      <c r="SLM605" s="222"/>
      <c r="SLN605" s="222"/>
      <c r="SLO605" s="222"/>
      <c r="SLP605" s="222"/>
      <c r="SLQ605" s="222"/>
      <c r="SLR605" s="222"/>
      <c r="SLS605" s="223"/>
      <c r="SLT605" s="224"/>
      <c r="SLU605" s="222"/>
      <c r="SLV605" s="222"/>
      <c r="SLW605" s="222"/>
      <c r="SLX605" s="222"/>
      <c r="SLY605" s="222"/>
      <c r="SLZ605" s="222"/>
      <c r="SMA605" s="223"/>
      <c r="SMB605" s="224"/>
      <c r="SMC605" s="222"/>
      <c r="SMD605" s="222"/>
      <c r="SME605" s="222"/>
      <c r="SMF605" s="222"/>
      <c r="SMG605" s="222"/>
      <c r="SMH605" s="222"/>
      <c r="SMI605" s="223"/>
      <c r="SMJ605" s="224"/>
      <c r="SMK605" s="222"/>
      <c r="SML605" s="222"/>
      <c r="SMM605" s="222"/>
      <c r="SMN605" s="222"/>
      <c r="SMO605" s="222"/>
      <c r="SMP605" s="222"/>
      <c r="SMQ605" s="223"/>
      <c r="SMR605" s="224"/>
      <c r="SMS605" s="222"/>
      <c r="SMT605" s="222"/>
      <c r="SMU605" s="222"/>
      <c r="SMV605" s="222"/>
      <c r="SMW605" s="222"/>
      <c r="SMX605" s="222"/>
      <c r="SMY605" s="223"/>
      <c r="SMZ605" s="224"/>
      <c r="SNA605" s="222"/>
      <c r="SNB605" s="222"/>
      <c r="SNC605" s="222"/>
      <c r="SND605" s="222"/>
      <c r="SNE605" s="222"/>
      <c r="SNF605" s="222"/>
      <c r="SNG605" s="223"/>
      <c r="SNH605" s="224"/>
      <c r="SNI605" s="222"/>
      <c r="SNJ605" s="222"/>
      <c r="SNK605" s="222"/>
      <c r="SNL605" s="222"/>
      <c r="SNM605" s="222"/>
      <c r="SNN605" s="222"/>
      <c r="SNO605" s="223"/>
      <c r="SNP605" s="224"/>
      <c r="SNQ605" s="222"/>
      <c r="SNR605" s="222"/>
      <c r="SNS605" s="222"/>
      <c r="SNT605" s="222"/>
      <c r="SNU605" s="222"/>
      <c r="SNV605" s="222"/>
      <c r="SNW605" s="223"/>
      <c r="SNX605" s="224"/>
      <c r="SNY605" s="222"/>
      <c r="SNZ605" s="222"/>
      <c r="SOA605" s="222"/>
      <c r="SOB605" s="222"/>
      <c r="SOC605" s="222"/>
      <c r="SOD605" s="222"/>
      <c r="SOE605" s="223"/>
      <c r="SOF605" s="224"/>
      <c r="SOG605" s="222"/>
      <c r="SOH605" s="222"/>
      <c r="SOI605" s="222"/>
      <c r="SOJ605" s="222"/>
      <c r="SOK605" s="222"/>
      <c r="SOL605" s="222"/>
      <c r="SOM605" s="223"/>
      <c r="SON605" s="224"/>
      <c r="SOO605" s="222"/>
      <c r="SOP605" s="222"/>
      <c r="SOQ605" s="222"/>
      <c r="SOR605" s="222"/>
      <c r="SOS605" s="222"/>
      <c r="SOT605" s="222"/>
      <c r="SOU605" s="223"/>
      <c r="SOV605" s="224"/>
      <c r="SOW605" s="222"/>
      <c r="SOX605" s="222"/>
      <c r="SOY605" s="222"/>
      <c r="SOZ605" s="222"/>
      <c r="SPA605" s="222"/>
      <c r="SPB605" s="222"/>
      <c r="SPC605" s="223"/>
      <c r="SPD605" s="224"/>
      <c r="SPE605" s="222"/>
      <c r="SPF605" s="222"/>
      <c r="SPG605" s="222"/>
      <c r="SPH605" s="222"/>
      <c r="SPI605" s="222"/>
      <c r="SPJ605" s="222"/>
      <c r="SPK605" s="223"/>
      <c r="SPL605" s="224"/>
      <c r="SPM605" s="222"/>
      <c r="SPN605" s="222"/>
      <c r="SPO605" s="222"/>
      <c r="SPP605" s="222"/>
      <c r="SPQ605" s="222"/>
      <c r="SPR605" s="222"/>
      <c r="SPS605" s="223"/>
      <c r="SPT605" s="224"/>
      <c r="SPU605" s="222"/>
      <c r="SPV605" s="222"/>
      <c r="SPW605" s="222"/>
      <c r="SPX605" s="222"/>
      <c r="SPY605" s="222"/>
      <c r="SPZ605" s="222"/>
      <c r="SQA605" s="223"/>
      <c r="SQB605" s="224"/>
      <c r="SQC605" s="222"/>
      <c r="SQD605" s="222"/>
      <c r="SQE605" s="222"/>
      <c r="SQF605" s="222"/>
      <c r="SQG605" s="222"/>
      <c r="SQH605" s="222"/>
      <c r="SQI605" s="223"/>
      <c r="SQJ605" s="224"/>
      <c r="SQK605" s="222"/>
      <c r="SQL605" s="222"/>
      <c r="SQM605" s="222"/>
      <c r="SQN605" s="222"/>
      <c r="SQO605" s="222"/>
      <c r="SQP605" s="222"/>
      <c r="SQQ605" s="223"/>
      <c r="SQR605" s="224"/>
      <c r="SQS605" s="222"/>
      <c r="SQT605" s="222"/>
      <c r="SQU605" s="222"/>
      <c r="SQV605" s="222"/>
      <c r="SQW605" s="222"/>
      <c r="SQX605" s="222"/>
      <c r="SQY605" s="223"/>
      <c r="SQZ605" s="224"/>
      <c r="SRA605" s="222"/>
      <c r="SRB605" s="222"/>
      <c r="SRC605" s="222"/>
      <c r="SRD605" s="222"/>
      <c r="SRE605" s="222"/>
      <c r="SRF605" s="222"/>
      <c r="SRG605" s="223"/>
      <c r="SRH605" s="224"/>
      <c r="SRI605" s="222"/>
      <c r="SRJ605" s="222"/>
      <c r="SRK605" s="222"/>
      <c r="SRL605" s="222"/>
      <c r="SRM605" s="222"/>
      <c r="SRN605" s="222"/>
      <c r="SRO605" s="223"/>
      <c r="SRP605" s="224"/>
      <c r="SRQ605" s="222"/>
      <c r="SRR605" s="222"/>
      <c r="SRS605" s="222"/>
      <c r="SRT605" s="222"/>
      <c r="SRU605" s="222"/>
      <c r="SRV605" s="222"/>
      <c r="SRW605" s="223"/>
      <c r="SRX605" s="224"/>
      <c r="SRY605" s="222"/>
      <c r="SRZ605" s="222"/>
      <c r="SSA605" s="222"/>
      <c r="SSB605" s="222"/>
      <c r="SSC605" s="222"/>
      <c r="SSD605" s="222"/>
      <c r="SSE605" s="223"/>
      <c r="SSF605" s="224"/>
      <c r="SSG605" s="222"/>
      <c r="SSH605" s="222"/>
      <c r="SSI605" s="222"/>
      <c r="SSJ605" s="222"/>
      <c r="SSK605" s="222"/>
      <c r="SSL605" s="222"/>
      <c r="SSM605" s="223"/>
      <c r="SSN605" s="224"/>
      <c r="SSO605" s="222"/>
      <c r="SSP605" s="222"/>
      <c r="SSQ605" s="222"/>
      <c r="SSR605" s="222"/>
      <c r="SSS605" s="222"/>
      <c r="SST605" s="222"/>
      <c r="SSU605" s="223"/>
      <c r="SSV605" s="224"/>
      <c r="SSW605" s="222"/>
      <c r="SSX605" s="222"/>
      <c r="SSY605" s="222"/>
      <c r="SSZ605" s="222"/>
      <c r="STA605" s="222"/>
      <c r="STB605" s="222"/>
      <c r="STC605" s="223"/>
      <c r="STD605" s="224"/>
      <c r="STE605" s="222"/>
      <c r="STF605" s="222"/>
      <c r="STG605" s="222"/>
      <c r="STH605" s="222"/>
      <c r="STI605" s="222"/>
      <c r="STJ605" s="222"/>
      <c r="STK605" s="223"/>
      <c r="STL605" s="224"/>
      <c r="STM605" s="222"/>
      <c r="STN605" s="222"/>
      <c r="STO605" s="222"/>
      <c r="STP605" s="222"/>
      <c r="STQ605" s="222"/>
      <c r="STR605" s="222"/>
      <c r="STS605" s="223"/>
      <c r="STT605" s="224"/>
      <c r="STU605" s="222"/>
      <c r="STV605" s="222"/>
      <c r="STW605" s="222"/>
      <c r="STX605" s="222"/>
      <c r="STY605" s="222"/>
      <c r="STZ605" s="222"/>
      <c r="SUA605" s="223"/>
      <c r="SUB605" s="224"/>
      <c r="SUC605" s="222"/>
      <c r="SUD605" s="222"/>
      <c r="SUE605" s="222"/>
      <c r="SUF605" s="222"/>
      <c r="SUG605" s="222"/>
      <c r="SUH605" s="222"/>
      <c r="SUI605" s="223"/>
      <c r="SUJ605" s="224"/>
      <c r="SUK605" s="222"/>
      <c r="SUL605" s="222"/>
      <c r="SUM605" s="222"/>
      <c r="SUN605" s="222"/>
      <c r="SUO605" s="222"/>
      <c r="SUP605" s="222"/>
      <c r="SUQ605" s="223"/>
      <c r="SUR605" s="224"/>
      <c r="SUS605" s="222"/>
      <c r="SUT605" s="222"/>
      <c r="SUU605" s="222"/>
      <c r="SUV605" s="222"/>
      <c r="SUW605" s="222"/>
      <c r="SUX605" s="222"/>
      <c r="SUY605" s="223"/>
      <c r="SUZ605" s="224"/>
      <c r="SVA605" s="222"/>
      <c r="SVB605" s="222"/>
      <c r="SVC605" s="222"/>
      <c r="SVD605" s="222"/>
      <c r="SVE605" s="222"/>
      <c r="SVF605" s="222"/>
      <c r="SVG605" s="223"/>
      <c r="SVH605" s="224"/>
      <c r="SVI605" s="222"/>
      <c r="SVJ605" s="222"/>
      <c r="SVK605" s="222"/>
      <c r="SVL605" s="222"/>
      <c r="SVM605" s="222"/>
      <c r="SVN605" s="222"/>
      <c r="SVO605" s="223"/>
      <c r="SVP605" s="224"/>
      <c r="SVQ605" s="222"/>
      <c r="SVR605" s="222"/>
      <c r="SVS605" s="222"/>
      <c r="SVT605" s="222"/>
      <c r="SVU605" s="222"/>
      <c r="SVV605" s="222"/>
      <c r="SVW605" s="223"/>
      <c r="SVX605" s="224"/>
      <c r="SVY605" s="222"/>
      <c r="SVZ605" s="222"/>
      <c r="SWA605" s="222"/>
      <c r="SWB605" s="222"/>
      <c r="SWC605" s="222"/>
      <c r="SWD605" s="222"/>
      <c r="SWE605" s="223"/>
      <c r="SWF605" s="224"/>
      <c r="SWG605" s="222"/>
      <c r="SWH605" s="222"/>
      <c r="SWI605" s="222"/>
      <c r="SWJ605" s="222"/>
      <c r="SWK605" s="222"/>
      <c r="SWL605" s="222"/>
      <c r="SWM605" s="223"/>
      <c r="SWN605" s="224"/>
      <c r="SWO605" s="222"/>
      <c r="SWP605" s="222"/>
      <c r="SWQ605" s="222"/>
      <c r="SWR605" s="222"/>
      <c r="SWS605" s="222"/>
      <c r="SWT605" s="222"/>
      <c r="SWU605" s="223"/>
      <c r="SWV605" s="224"/>
      <c r="SWW605" s="222"/>
      <c r="SWX605" s="222"/>
      <c r="SWY605" s="222"/>
      <c r="SWZ605" s="222"/>
      <c r="SXA605" s="222"/>
      <c r="SXB605" s="222"/>
      <c r="SXC605" s="223"/>
      <c r="SXD605" s="224"/>
      <c r="SXE605" s="222"/>
      <c r="SXF605" s="222"/>
      <c r="SXG605" s="222"/>
      <c r="SXH605" s="222"/>
      <c r="SXI605" s="222"/>
      <c r="SXJ605" s="222"/>
      <c r="SXK605" s="223"/>
      <c r="SXL605" s="224"/>
      <c r="SXM605" s="222"/>
      <c r="SXN605" s="222"/>
      <c r="SXO605" s="222"/>
      <c r="SXP605" s="222"/>
      <c r="SXQ605" s="222"/>
      <c r="SXR605" s="222"/>
      <c r="SXS605" s="223"/>
      <c r="SXT605" s="224"/>
      <c r="SXU605" s="222"/>
      <c r="SXV605" s="222"/>
      <c r="SXW605" s="222"/>
      <c r="SXX605" s="222"/>
      <c r="SXY605" s="222"/>
      <c r="SXZ605" s="222"/>
      <c r="SYA605" s="223"/>
      <c r="SYB605" s="224"/>
      <c r="SYC605" s="222"/>
      <c r="SYD605" s="222"/>
      <c r="SYE605" s="222"/>
      <c r="SYF605" s="222"/>
      <c r="SYG605" s="222"/>
      <c r="SYH605" s="222"/>
      <c r="SYI605" s="223"/>
      <c r="SYJ605" s="224"/>
      <c r="SYK605" s="222"/>
      <c r="SYL605" s="222"/>
      <c r="SYM605" s="222"/>
      <c r="SYN605" s="222"/>
      <c r="SYO605" s="222"/>
      <c r="SYP605" s="222"/>
      <c r="SYQ605" s="223"/>
      <c r="SYR605" s="224"/>
      <c r="SYS605" s="222"/>
      <c r="SYT605" s="222"/>
      <c r="SYU605" s="222"/>
      <c r="SYV605" s="222"/>
      <c r="SYW605" s="222"/>
      <c r="SYX605" s="222"/>
      <c r="SYY605" s="223"/>
      <c r="SYZ605" s="224"/>
      <c r="SZA605" s="222"/>
      <c r="SZB605" s="222"/>
      <c r="SZC605" s="222"/>
      <c r="SZD605" s="222"/>
      <c r="SZE605" s="222"/>
      <c r="SZF605" s="222"/>
      <c r="SZG605" s="223"/>
      <c r="SZH605" s="224"/>
      <c r="SZI605" s="222"/>
      <c r="SZJ605" s="222"/>
      <c r="SZK605" s="222"/>
      <c r="SZL605" s="222"/>
      <c r="SZM605" s="222"/>
      <c r="SZN605" s="222"/>
      <c r="SZO605" s="223"/>
      <c r="SZP605" s="224"/>
      <c r="SZQ605" s="222"/>
      <c r="SZR605" s="222"/>
      <c r="SZS605" s="222"/>
      <c r="SZT605" s="222"/>
      <c r="SZU605" s="222"/>
      <c r="SZV605" s="222"/>
      <c r="SZW605" s="223"/>
      <c r="SZX605" s="224"/>
      <c r="SZY605" s="222"/>
      <c r="SZZ605" s="222"/>
      <c r="TAA605" s="222"/>
      <c r="TAB605" s="222"/>
      <c r="TAC605" s="222"/>
      <c r="TAD605" s="222"/>
      <c r="TAE605" s="223"/>
      <c r="TAF605" s="224"/>
      <c r="TAG605" s="222"/>
      <c r="TAH605" s="222"/>
      <c r="TAI605" s="222"/>
      <c r="TAJ605" s="222"/>
      <c r="TAK605" s="222"/>
      <c r="TAL605" s="222"/>
      <c r="TAM605" s="223"/>
      <c r="TAN605" s="224"/>
      <c r="TAO605" s="222"/>
      <c r="TAP605" s="222"/>
      <c r="TAQ605" s="222"/>
      <c r="TAR605" s="222"/>
      <c r="TAS605" s="222"/>
      <c r="TAT605" s="222"/>
      <c r="TAU605" s="223"/>
      <c r="TAV605" s="224"/>
      <c r="TAW605" s="222"/>
      <c r="TAX605" s="222"/>
      <c r="TAY605" s="222"/>
      <c r="TAZ605" s="222"/>
      <c r="TBA605" s="222"/>
      <c r="TBB605" s="222"/>
      <c r="TBC605" s="223"/>
      <c r="TBD605" s="224"/>
      <c r="TBE605" s="222"/>
      <c r="TBF605" s="222"/>
      <c r="TBG605" s="222"/>
      <c r="TBH605" s="222"/>
      <c r="TBI605" s="222"/>
      <c r="TBJ605" s="222"/>
      <c r="TBK605" s="223"/>
      <c r="TBL605" s="224"/>
      <c r="TBM605" s="222"/>
      <c r="TBN605" s="222"/>
      <c r="TBO605" s="222"/>
      <c r="TBP605" s="222"/>
      <c r="TBQ605" s="222"/>
      <c r="TBR605" s="222"/>
      <c r="TBS605" s="223"/>
      <c r="TBT605" s="224"/>
      <c r="TBU605" s="222"/>
      <c r="TBV605" s="222"/>
      <c r="TBW605" s="222"/>
      <c r="TBX605" s="222"/>
      <c r="TBY605" s="222"/>
      <c r="TBZ605" s="222"/>
      <c r="TCA605" s="223"/>
      <c r="TCB605" s="224"/>
      <c r="TCC605" s="222"/>
      <c r="TCD605" s="222"/>
      <c r="TCE605" s="222"/>
      <c r="TCF605" s="222"/>
      <c r="TCG605" s="222"/>
      <c r="TCH605" s="222"/>
      <c r="TCI605" s="223"/>
      <c r="TCJ605" s="224"/>
      <c r="TCK605" s="222"/>
      <c r="TCL605" s="222"/>
      <c r="TCM605" s="222"/>
      <c r="TCN605" s="222"/>
      <c r="TCO605" s="222"/>
      <c r="TCP605" s="222"/>
      <c r="TCQ605" s="223"/>
      <c r="TCR605" s="224"/>
      <c r="TCS605" s="222"/>
      <c r="TCT605" s="222"/>
      <c r="TCU605" s="222"/>
      <c r="TCV605" s="222"/>
      <c r="TCW605" s="222"/>
      <c r="TCX605" s="222"/>
      <c r="TCY605" s="223"/>
      <c r="TCZ605" s="224"/>
      <c r="TDA605" s="222"/>
      <c r="TDB605" s="222"/>
      <c r="TDC605" s="222"/>
      <c r="TDD605" s="222"/>
      <c r="TDE605" s="222"/>
      <c r="TDF605" s="222"/>
      <c r="TDG605" s="223"/>
      <c r="TDH605" s="224"/>
      <c r="TDI605" s="222"/>
      <c r="TDJ605" s="222"/>
      <c r="TDK605" s="222"/>
      <c r="TDL605" s="222"/>
      <c r="TDM605" s="222"/>
      <c r="TDN605" s="222"/>
      <c r="TDO605" s="223"/>
      <c r="TDP605" s="224"/>
      <c r="TDQ605" s="222"/>
      <c r="TDR605" s="222"/>
      <c r="TDS605" s="222"/>
      <c r="TDT605" s="222"/>
      <c r="TDU605" s="222"/>
      <c r="TDV605" s="222"/>
      <c r="TDW605" s="223"/>
      <c r="TDX605" s="224"/>
      <c r="TDY605" s="222"/>
      <c r="TDZ605" s="222"/>
      <c r="TEA605" s="222"/>
      <c r="TEB605" s="222"/>
      <c r="TEC605" s="222"/>
      <c r="TED605" s="222"/>
      <c r="TEE605" s="223"/>
      <c r="TEF605" s="224"/>
      <c r="TEG605" s="222"/>
      <c r="TEH605" s="222"/>
      <c r="TEI605" s="222"/>
      <c r="TEJ605" s="222"/>
      <c r="TEK605" s="222"/>
      <c r="TEL605" s="222"/>
      <c r="TEM605" s="223"/>
      <c r="TEN605" s="224"/>
      <c r="TEO605" s="222"/>
      <c r="TEP605" s="222"/>
      <c r="TEQ605" s="222"/>
      <c r="TER605" s="222"/>
      <c r="TES605" s="222"/>
      <c r="TET605" s="222"/>
      <c r="TEU605" s="223"/>
      <c r="TEV605" s="224"/>
      <c r="TEW605" s="222"/>
      <c r="TEX605" s="222"/>
      <c r="TEY605" s="222"/>
      <c r="TEZ605" s="222"/>
      <c r="TFA605" s="222"/>
      <c r="TFB605" s="222"/>
      <c r="TFC605" s="223"/>
      <c r="TFD605" s="224"/>
      <c r="TFE605" s="222"/>
      <c r="TFF605" s="222"/>
      <c r="TFG605" s="222"/>
      <c r="TFH605" s="222"/>
      <c r="TFI605" s="222"/>
      <c r="TFJ605" s="222"/>
      <c r="TFK605" s="223"/>
      <c r="TFL605" s="224"/>
      <c r="TFM605" s="222"/>
      <c r="TFN605" s="222"/>
      <c r="TFO605" s="222"/>
      <c r="TFP605" s="222"/>
      <c r="TFQ605" s="222"/>
      <c r="TFR605" s="222"/>
      <c r="TFS605" s="223"/>
      <c r="TFT605" s="224"/>
      <c r="TFU605" s="222"/>
      <c r="TFV605" s="222"/>
      <c r="TFW605" s="222"/>
      <c r="TFX605" s="222"/>
      <c r="TFY605" s="222"/>
      <c r="TFZ605" s="222"/>
      <c r="TGA605" s="223"/>
      <c r="TGB605" s="224"/>
      <c r="TGC605" s="222"/>
      <c r="TGD605" s="222"/>
      <c r="TGE605" s="222"/>
      <c r="TGF605" s="222"/>
      <c r="TGG605" s="222"/>
      <c r="TGH605" s="222"/>
      <c r="TGI605" s="223"/>
      <c r="TGJ605" s="224"/>
      <c r="TGK605" s="222"/>
      <c r="TGL605" s="222"/>
      <c r="TGM605" s="222"/>
      <c r="TGN605" s="222"/>
      <c r="TGO605" s="222"/>
      <c r="TGP605" s="222"/>
      <c r="TGQ605" s="223"/>
      <c r="TGR605" s="224"/>
      <c r="TGS605" s="222"/>
      <c r="TGT605" s="222"/>
      <c r="TGU605" s="222"/>
      <c r="TGV605" s="222"/>
      <c r="TGW605" s="222"/>
      <c r="TGX605" s="222"/>
      <c r="TGY605" s="223"/>
      <c r="TGZ605" s="224"/>
      <c r="THA605" s="222"/>
      <c r="THB605" s="222"/>
      <c r="THC605" s="222"/>
      <c r="THD605" s="222"/>
      <c r="THE605" s="222"/>
      <c r="THF605" s="222"/>
      <c r="THG605" s="223"/>
      <c r="THH605" s="224"/>
      <c r="THI605" s="222"/>
      <c r="THJ605" s="222"/>
      <c r="THK605" s="222"/>
      <c r="THL605" s="222"/>
      <c r="THM605" s="222"/>
      <c r="THN605" s="222"/>
      <c r="THO605" s="223"/>
      <c r="THP605" s="224"/>
      <c r="THQ605" s="222"/>
      <c r="THR605" s="222"/>
      <c r="THS605" s="222"/>
      <c r="THT605" s="222"/>
      <c r="THU605" s="222"/>
      <c r="THV605" s="222"/>
      <c r="THW605" s="223"/>
      <c r="THX605" s="224"/>
      <c r="THY605" s="222"/>
      <c r="THZ605" s="222"/>
      <c r="TIA605" s="222"/>
      <c r="TIB605" s="222"/>
      <c r="TIC605" s="222"/>
      <c r="TID605" s="222"/>
      <c r="TIE605" s="223"/>
      <c r="TIF605" s="224"/>
      <c r="TIG605" s="222"/>
      <c r="TIH605" s="222"/>
      <c r="TII605" s="222"/>
      <c r="TIJ605" s="222"/>
      <c r="TIK605" s="222"/>
      <c r="TIL605" s="222"/>
      <c r="TIM605" s="223"/>
      <c r="TIN605" s="224"/>
      <c r="TIO605" s="222"/>
      <c r="TIP605" s="222"/>
      <c r="TIQ605" s="222"/>
      <c r="TIR605" s="222"/>
      <c r="TIS605" s="222"/>
      <c r="TIT605" s="222"/>
      <c r="TIU605" s="223"/>
      <c r="TIV605" s="224"/>
      <c r="TIW605" s="222"/>
      <c r="TIX605" s="222"/>
      <c r="TIY605" s="222"/>
      <c r="TIZ605" s="222"/>
      <c r="TJA605" s="222"/>
      <c r="TJB605" s="222"/>
      <c r="TJC605" s="223"/>
      <c r="TJD605" s="224"/>
      <c r="TJE605" s="222"/>
      <c r="TJF605" s="222"/>
      <c r="TJG605" s="222"/>
      <c r="TJH605" s="222"/>
      <c r="TJI605" s="222"/>
      <c r="TJJ605" s="222"/>
      <c r="TJK605" s="223"/>
      <c r="TJL605" s="224"/>
      <c r="TJM605" s="222"/>
      <c r="TJN605" s="222"/>
      <c r="TJO605" s="222"/>
      <c r="TJP605" s="222"/>
      <c r="TJQ605" s="222"/>
      <c r="TJR605" s="222"/>
      <c r="TJS605" s="223"/>
      <c r="TJT605" s="224"/>
      <c r="TJU605" s="222"/>
      <c r="TJV605" s="222"/>
      <c r="TJW605" s="222"/>
      <c r="TJX605" s="222"/>
      <c r="TJY605" s="222"/>
      <c r="TJZ605" s="222"/>
      <c r="TKA605" s="223"/>
      <c r="TKB605" s="224"/>
      <c r="TKC605" s="222"/>
      <c r="TKD605" s="222"/>
      <c r="TKE605" s="222"/>
      <c r="TKF605" s="222"/>
      <c r="TKG605" s="222"/>
      <c r="TKH605" s="222"/>
      <c r="TKI605" s="223"/>
      <c r="TKJ605" s="224"/>
      <c r="TKK605" s="222"/>
      <c r="TKL605" s="222"/>
      <c r="TKM605" s="222"/>
      <c r="TKN605" s="222"/>
      <c r="TKO605" s="222"/>
      <c r="TKP605" s="222"/>
      <c r="TKQ605" s="223"/>
      <c r="TKR605" s="224"/>
      <c r="TKS605" s="222"/>
      <c r="TKT605" s="222"/>
      <c r="TKU605" s="222"/>
      <c r="TKV605" s="222"/>
      <c r="TKW605" s="222"/>
      <c r="TKX605" s="222"/>
      <c r="TKY605" s="223"/>
      <c r="TKZ605" s="224"/>
      <c r="TLA605" s="222"/>
      <c r="TLB605" s="222"/>
      <c r="TLC605" s="222"/>
      <c r="TLD605" s="222"/>
      <c r="TLE605" s="222"/>
      <c r="TLF605" s="222"/>
      <c r="TLG605" s="223"/>
      <c r="TLH605" s="224"/>
      <c r="TLI605" s="222"/>
      <c r="TLJ605" s="222"/>
      <c r="TLK605" s="222"/>
      <c r="TLL605" s="222"/>
      <c r="TLM605" s="222"/>
      <c r="TLN605" s="222"/>
      <c r="TLO605" s="223"/>
      <c r="TLP605" s="224"/>
      <c r="TLQ605" s="222"/>
      <c r="TLR605" s="222"/>
      <c r="TLS605" s="222"/>
      <c r="TLT605" s="222"/>
      <c r="TLU605" s="222"/>
      <c r="TLV605" s="222"/>
      <c r="TLW605" s="223"/>
      <c r="TLX605" s="224"/>
      <c r="TLY605" s="222"/>
      <c r="TLZ605" s="222"/>
      <c r="TMA605" s="222"/>
      <c r="TMB605" s="222"/>
      <c r="TMC605" s="222"/>
      <c r="TMD605" s="222"/>
      <c r="TME605" s="223"/>
      <c r="TMF605" s="224"/>
      <c r="TMG605" s="222"/>
      <c r="TMH605" s="222"/>
      <c r="TMI605" s="222"/>
      <c r="TMJ605" s="222"/>
      <c r="TMK605" s="222"/>
      <c r="TML605" s="222"/>
      <c r="TMM605" s="223"/>
      <c r="TMN605" s="224"/>
      <c r="TMO605" s="222"/>
      <c r="TMP605" s="222"/>
      <c r="TMQ605" s="222"/>
      <c r="TMR605" s="222"/>
      <c r="TMS605" s="222"/>
      <c r="TMT605" s="222"/>
      <c r="TMU605" s="223"/>
      <c r="TMV605" s="224"/>
      <c r="TMW605" s="222"/>
      <c r="TMX605" s="222"/>
      <c r="TMY605" s="222"/>
      <c r="TMZ605" s="222"/>
      <c r="TNA605" s="222"/>
      <c r="TNB605" s="222"/>
      <c r="TNC605" s="223"/>
      <c r="TND605" s="224"/>
      <c r="TNE605" s="222"/>
      <c r="TNF605" s="222"/>
      <c r="TNG605" s="222"/>
      <c r="TNH605" s="222"/>
      <c r="TNI605" s="222"/>
      <c r="TNJ605" s="222"/>
      <c r="TNK605" s="223"/>
      <c r="TNL605" s="224"/>
      <c r="TNM605" s="222"/>
      <c r="TNN605" s="222"/>
      <c r="TNO605" s="222"/>
      <c r="TNP605" s="222"/>
      <c r="TNQ605" s="222"/>
      <c r="TNR605" s="222"/>
      <c r="TNS605" s="223"/>
      <c r="TNT605" s="224"/>
      <c r="TNU605" s="222"/>
      <c r="TNV605" s="222"/>
      <c r="TNW605" s="222"/>
      <c r="TNX605" s="222"/>
      <c r="TNY605" s="222"/>
      <c r="TNZ605" s="222"/>
      <c r="TOA605" s="223"/>
      <c r="TOB605" s="224"/>
      <c r="TOC605" s="222"/>
      <c r="TOD605" s="222"/>
      <c r="TOE605" s="222"/>
      <c r="TOF605" s="222"/>
      <c r="TOG605" s="222"/>
      <c r="TOH605" s="222"/>
      <c r="TOI605" s="223"/>
      <c r="TOJ605" s="224"/>
      <c r="TOK605" s="222"/>
      <c r="TOL605" s="222"/>
      <c r="TOM605" s="222"/>
      <c r="TON605" s="222"/>
      <c r="TOO605" s="222"/>
      <c r="TOP605" s="222"/>
      <c r="TOQ605" s="223"/>
      <c r="TOR605" s="224"/>
      <c r="TOS605" s="222"/>
      <c r="TOT605" s="222"/>
      <c r="TOU605" s="222"/>
      <c r="TOV605" s="222"/>
      <c r="TOW605" s="222"/>
      <c r="TOX605" s="222"/>
      <c r="TOY605" s="223"/>
      <c r="TOZ605" s="224"/>
      <c r="TPA605" s="222"/>
      <c r="TPB605" s="222"/>
      <c r="TPC605" s="222"/>
      <c r="TPD605" s="222"/>
      <c r="TPE605" s="222"/>
      <c r="TPF605" s="222"/>
      <c r="TPG605" s="223"/>
      <c r="TPH605" s="224"/>
      <c r="TPI605" s="222"/>
      <c r="TPJ605" s="222"/>
      <c r="TPK605" s="222"/>
      <c r="TPL605" s="222"/>
      <c r="TPM605" s="222"/>
      <c r="TPN605" s="222"/>
      <c r="TPO605" s="223"/>
      <c r="TPP605" s="224"/>
      <c r="TPQ605" s="222"/>
      <c r="TPR605" s="222"/>
      <c r="TPS605" s="222"/>
      <c r="TPT605" s="222"/>
      <c r="TPU605" s="222"/>
      <c r="TPV605" s="222"/>
      <c r="TPW605" s="223"/>
      <c r="TPX605" s="224"/>
      <c r="TPY605" s="222"/>
      <c r="TPZ605" s="222"/>
      <c r="TQA605" s="222"/>
      <c r="TQB605" s="222"/>
      <c r="TQC605" s="222"/>
      <c r="TQD605" s="222"/>
      <c r="TQE605" s="223"/>
      <c r="TQF605" s="224"/>
      <c r="TQG605" s="222"/>
      <c r="TQH605" s="222"/>
      <c r="TQI605" s="222"/>
      <c r="TQJ605" s="222"/>
      <c r="TQK605" s="222"/>
      <c r="TQL605" s="222"/>
      <c r="TQM605" s="223"/>
      <c r="TQN605" s="224"/>
      <c r="TQO605" s="222"/>
      <c r="TQP605" s="222"/>
      <c r="TQQ605" s="222"/>
      <c r="TQR605" s="222"/>
      <c r="TQS605" s="222"/>
      <c r="TQT605" s="222"/>
      <c r="TQU605" s="223"/>
      <c r="TQV605" s="224"/>
      <c r="TQW605" s="222"/>
      <c r="TQX605" s="222"/>
      <c r="TQY605" s="222"/>
      <c r="TQZ605" s="222"/>
      <c r="TRA605" s="222"/>
      <c r="TRB605" s="222"/>
      <c r="TRC605" s="223"/>
      <c r="TRD605" s="224"/>
      <c r="TRE605" s="222"/>
      <c r="TRF605" s="222"/>
      <c r="TRG605" s="222"/>
      <c r="TRH605" s="222"/>
      <c r="TRI605" s="222"/>
      <c r="TRJ605" s="222"/>
      <c r="TRK605" s="223"/>
      <c r="TRL605" s="224"/>
      <c r="TRM605" s="222"/>
      <c r="TRN605" s="222"/>
      <c r="TRO605" s="222"/>
      <c r="TRP605" s="222"/>
      <c r="TRQ605" s="222"/>
      <c r="TRR605" s="222"/>
      <c r="TRS605" s="223"/>
      <c r="TRT605" s="224"/>
      <c r="TRU605" s="222"/>
      <c r="TRV605" s="222"/>
      <c r="TRW605" s="222"/>
      <c r="TRX605" s="222"/>
      <c r="TRY605" s="222"/>
      <c r="TRZ605" s="222"/>
      <c r="TSA605" s="223"/>
      <c r="TSB605" s="224"/>
      <c r="TSC605" s="222"/>
      <c r="TSD605" s="222"/>
      <c r="TSE605" s="222"/>
      <c r="TSF605" s="222"/>
      <c r="TSG605" s="222"/>
      <c r="TSH605" s="222"/>
      <c r="TSI605" s="223"/>
      <c r="TSJ605" s="224"/>
      <c r="TSK605" s="222"/>
      <c r="TSL605" s="222"/>
      <c r="TSM605" s="222"/>
      <c r="TSN605" s="222"/>
      <c r="TSO605" s="222"/>
      <c r="TSP605" s="222"/>
      <c r="TSQ605" s="223"/>
      <c r="TSR605" s="224"/>
      <c r="TSS605" s="222"/>
      <c r="TST605" s="222"/>
      <c r="TSU605" s="222"/>
      <c r="TSV605" s="222"/>
      <c r="TSW605" s="222"/>
      <c r="TSX605" s="222"/>
      <c r="TSY605" s="223"/>
      <c r="TSZ605" s="224"/>
      <c r="TTA605" s="222"/>
      <c r="TTB605" s="222"/>
      <c r="TTC605" s="222"/>
      <c r="TTD605" s="222"/>
      <c r="TTE605" s="222"/>
      <c r="TTF605" s="222"/>
      <c r="TTG605" s="223"/>
      <c r="TTH605" s="224"/>
      <c r="TTI605" s="222"/>
      <c r="TTJ605" s="222"/>
      <c r="TTK605" s="222"/>
      <c r="TTL605" s="222"/>
      <c r="TTM605" s="222"/>
      <c r="TTN605" s="222"/>
      <c r="TTO605" s="223"/>
      <c r="TTP605" s="224"/>
      <c r="TTQ605" s="222"/>
      <c r="TTR605" s="222"/>
      <c r="TTS605" s="222"/>
      <c r="TTT605" s="222"/>
      <c r="TTU605" s="222"/>
      <c r="TTV605" s="222"/>
      <c r="TTW605" s="223"/>
      <c r="TTX605" s="224"/>
      <c r="TTY605" s="222"/>
      <c r="TTZ605" s="222"/>
      <c r="TUA605" s="222"/>
      <c r="TUB605" s="222"/>
      <c r="TUC605" s="222"/>
      <c r="TUD605" s="222"/>
      <c r="TUE605" s="223"/>
      <c r="TUF605" s="224"/>
      <c r="TUG605" s="222"/>
      <c r="TUH605" s="222"/>
      <c r="TUI605" s="222"/>
      <c r="TUJ605" s="222"/>
      <c r="TUK605" s="222"/>
      <c r="TUL605" s="222"/>
      <c r="TUM605" s="223"/>
      <c r="TUN605" s="224"/>
      <c r="TUO605" s="222"/>
      <c r="TUP605" s="222"/>
      <c r="TUQ605" s="222"/>
      <c r="TUR605" s="222"/>
      <c r="TUS605" s="222"/>
      <c r="TUT605" s="222"/>
      <c r="TUU605" s="223"/>
      <c r="TUV605" s="224"/>
      <c r="TUW605" s="222"/>
      <c r="TUX605" s="222"/>
      <c r="TUY605" s="222"/>
      <c r="TUZ605" s="222"/>
      <c r="TVA605" s="222"/>
      <c r="TVB605" s="222"/>
      <c r="TVC605" s="223"/>
      <c r="TVD605" s="224"/>
      <c r="TVE605" s="222"/>
      <c r="TVF605" s="222"/>
      <c r="TVG605" s="222"/>
      <c r="TVH605" s="222"/>
      <c r="TVI605" s="222"/>
      <c r="TVJ605" s="222"/>
      <c r="TVK605" s="223"/>
      <c r="TVL605" s="224"/>
      <c r="TVM605" s="222"/>
      <c r="TVN605" s="222"/>
      <c r="TVO605" s="222"/>
      <c r="TVP605" s="222"/>
      <c r="TVQ605" s="222"/>
      <c r="TVR605" s="222"/>
      <c r="TVS605" s="223"/>
      <c r="TVT605" s="224"/>
      <c r="TVU605" s="222"/>
      <c r="TVV605" s="222"/>
      <c r="TVW605" s="222"/>
      <c r="TVX605" s="222"/>
      <c r="TVY605" s="222"/>
      <c r="TVZ605" s="222"/>
      <c r="TWA605" s="223"/>
      <c r="TWB605" s="224"/>
      <c r="TWC605" s="222"/>
      <c r="TWD605" s="222"/>
      <c r="TWE605" s="222"/>
      <c r="TWF605" s="222"/>
      <c r="TWG605" s="222"/>
      <c r="TWH605" s="222"/>
      <c r="TWI605" s="223"/>
      <c r="TWJ605" s="224"/>
      <c r="TWK605" s="222"/>
      <c r="TWL605" s="222"/>
      <c r="TWM605" s="222"/>
      <c r="TWN605" s="222"/>
      <c r="TWO605" s="222"/>
      <c r="TWP605" s="222"/>
      <c r="TWQ605" s="223"/>
      <c r="TWR605" s="224"/>
      <c r="TWS605" s="222"/>
      <c r="TWT605" s="222"/>
      <c r="TWU605" s="222"/>
      <c r="TWV605" s="222"/>
      <c r="TWW605" s="222"/>
      <c r="TWX605" s="222"/>
      <c r="TWY605" s="223"/>
      <c r="TWZ605" s="224"/>
      <c r="TXA605" s="222"/>
      <c r="TXB605" s="222"/>
      <c r="TXC605" s="222"/>
      <c r="TXD605" s="222"/>
      <c r="TXE605" s="222"/>
      <c r="TXF605" s="222"/>
      <c r="TXG605" s="223"/>
      <c r="TXH605" s="224"/>
      <c r="TXI605" s="222"/>
      <c r="TXJ605" s="222"/>
      <c r="TXK605" s="222"/>
      <c r="TXL605" s="222"/>
      <c r="TXM605" s="222"/>
      <c r="TXN605" s="222"/>
      <c r="TXO605" s="223"/>
      <c r="TXP605" s="224"/>
      <c r="TXQ605" s="222"/>
      <c r="TXR605" s="222"/>
      <c r="TXS605" s="222"/>
      <c r="TXT605" s="222"/>
      <c r="TXU605" s="222"/>
      <c r="TXV605" s="222"/>
      <c r="TXW605" s="223"/>
      <c r="TXX605" s="224"/>
      <c r="TXY605" s="222"/>
      <c r="TXZ605" s="222"/>
      <c r="TYA605" s="222"/>
      <c r="TYB605" s="222"/>
      <c r="TYC605" s="222"/>
      <c r="TYD605" s="222"/>
      <c r="TYE605" s="223"/>
      <c r="TYF605" s="224"/>
      <c r="TYG605" s="222"/>
      <c r="TYH605" s="222"/>
      <c r="TYI605" s="222"/>
      <c r="TYJ605" s="222"/>
      <c r="TYK605" s="222"/>
      <c r="TYL605" s="222"/>
      <c r="TYM605" s="223"/>
      <c r="TYN605" s="224"/>
      <c r="TYO605" s="222"/>
      <c r="TYP605" s="222"/>
      <c r="TYQ605" s="222"/>
      <c r="TYR605" s="222"/>
      <c r="TYS605" s="222"/>
      <c r="TYT605" s="222"/>
      <c r="TYU605" s="223"/>
      <c r="TYV605" s="224"/>
      <c r="TYW605" s="222"/>
      <c r="TYX605" s="222"/>
      <c r="TYY605" s="222"/>
      <c r="TYZ605" s="222"/>
      <c r="TZA605" s="222"/>
      <c r="TZB605" s="222"/>
      <c r="TZC605" s="223"/>
      <c r="TZD605" s="224"/>
      <c r="TZE605" s="222"/>
      <c r="TZF605" s="222"/>
      <c r="TZG605" s="222"/>
      <c r="TZH605" s="222"/>
      <c r="TZI605" s="222"/>
      <c r="TZJ605" s="222"/>
      <c r="TZK605" s="223"/>
      <c r="TZL605" s="224"/>
      <c r="TZM605" s="222"/>
      <c r="TZN605" s="222"/>
      <c r="TZO605" s="222"/>
      <c r="TZP605" s="222"/>
      <c r="TZQ605" s="222"/>
      <c r="TZR605" s="222"/>
      <c r="TZS605" s="223"/>
      <c r="TZT605" s="224"/>
      <c r="TZU605" s="222"/>
      <c r="TZV605" s="222"/>
      <c r="TZW605" s="222"/>
      <c r="TZX605" s="222"/>
      <c r="TZY605" s="222"/>
      <c r="TZZ605" s="222"/>
      <c r="UAA605" s="223"/>
      <c r="UAB605" s="224"/>
      <c r="UAC605" s="222"/>
      <c r="UAD605" s="222"/>
      <c r="UAE605" s="222"/>
      <c r="UAF605" s="222"/>
      <c r="UAG605" s="222"/>
      <c r="UAH605" s="222"/>
      <c r="UAI605" s="223"/>
      <c r="UAJ605" s="224"/>
      <c r="UAK605" s="222"/>
      <c r="UAL605" s="222"/>
      <c r="UAM605" s="222"/>
      <c r="UAN605" s="222"/>
      <c r="UAO605" s="222"/>
      <c r="UAP605" s="222"/>
      <c r="UAQ605" s="223"/>
      <c r="UAR605" s="224"/>
      <c r="UAS605" s="222"/>
      <c r="UAT605" s="222"/>
      <c r="UAU605" s="222"/>
      <c r="UAV605" s="222"/>
      <c r="UAW605" s="222"/>
      <c r="UAX605" s="222"/>
      <c r="UAY605" s="223"/>
      <c r="UAZ605" s="224"/>
      <c r="UBA605" s="222"/>
      <c r="UBB605" s="222"/>
      <c r="UBC605" s="222"/>
      <c r="UBD605" s="222"/>
      <c r="UBE605" s="222"/>
      <c r="UBF605" s="222"/>
      <c r="UBG605" s="223"/>
      <c r="UBH605" s="224"/>
      <c r="UBI605" s="222"/>
      <c r="UBJ605" s="222"/>
      <c r="UBK605" s="222"/>
      <c r="UBL605" s="222"/>
      <c r="UBM605" s="222"/>
      <c r="UBN605" s="222"/>
      <c r="UBO605" s="223"/>
      <c r="UBP605" s="224"/>
      <c r="UBQ605" s="222"/>
      <c r="UBR605" s="222"/>
      <c r="UBS605" s="222"/>
      <c r="UBT605" s="222"/>
      <c r="UBU605" s="222"/>
      <c r="UBV605" s="222"/>
      <c r="UBW605" s="223"/>
      <c r="UBX605" s="224"/>
      <c r="UBY605" s="222"/>
      <c r="UBZ605" s="222"/>
      <c r="UCA605" s="222"/>
      <c r="UCB605" s="222"/>
      <c r="UCC605" s="222"/>
      <c r="UCD605" s="222"/>
      <c r="UCE605" s="223"/>
      <c r="UCF605" s="224"/>
      <c r="UCG605" s="222"/>
      <c r="UCH605" s="222"/>
      <c r="UCI605" s="222"/>
      <c r="UCJ605" s="222"/>
      <c r="UCK605" s="222"/>
      <c r="UCL605" s="222"/>
      <c r="UCM605" s="223"/>
      <c r="UCN605" s="224"/>
      <c r="UCO605" s="222"/>
      <c r="UCP605" s="222"/>
      <c r="UCQ605" s="222"/>
      <c r="UCR605" s="222"/>
      <c r="UCS605" s="222"/>
      <c r="UCT605" s="222"/>
      <c r="UCU605" s="223"/>
      <c r="UCV605" s="224"/>
      <c r="UCW605" s="222"/>
      <c r="UCX605" s="222"/>
      <c r="UCY605" s="222"/>
      <c r="UCZ605" s="222"/>
      <c r="UDA605" s="222"/>
      <c r="UDB605" s="222"/>
      <c r="UDC605" s="223"/>
      <c r="UDD605" s="224"/>
      <c r="UDE605" s="222"/>
      <c r="UDF605" s="222"/>
      <c r="UDG605" s="222"/>
      <c r="UDH605" s="222"/>
      <c r="UDI605" s="222"/>
      <c r="UDJ605" s="222"/>
      <c r="UDK605" s="223"/>
      <c r="UDL605" s="224"/>
      <c r="UDM605" s="222"/>
      <c r="UDN605" s="222"/>
      <c r="UDO605" s="222"/>
      <c r="UDP605" s="222"/>
      <c r="UDQ605" s="222"/>
      <c r="UDR605" s="222"/>
      <c r="UDS605" s="223"/>
      <c r="UDT605" s="224"/>
      <c r="UDU605" s="222"/>
      <c r="UDV605" s="222"/>
      <c r="UDW605" s="222"/>
      <c r="UDX605" s="222"/>
      <c r="UDY605" s="222"/>
      <c r="UDZ605" s="222"/>
      <c r="UEA605" s="223"/>
      <c r="UEB605" s="224"/>
      <c r="UEC605" s="222"/>
      <c r="UED605" s="222"/>
      <c r="UEE605" s="222"/>
      <c r="UEF605" s="222"/>
      <c r="UEG605" s="222"/>
      <c r="UEH605" s="222"/>
      <c r="UEI605" s="223"/>
      <c r="UEJ605" s="224"/>
      <c r="UEK605" s="222"/>
      <c r="UEL605" s="222"/>
      <c r="UEM605" s="222"/>
      <c r="UEN605" s="222"/>
      <c r="UEO605" s="222"/>
      <c r="UEP605" s="222"/>
      <c r="UEQ605" s="223"/>
      <c r="UER605" s="224"/>
      <c r="UES605" s="222"/>
      <c r="UET605" s="222"/>
      <c r="UEU605" s="222"/>
      <c r="UEV605" s="222"/>
      <c r="UEW605" s="222"/>
      <c r="UEX605" s="222"/>
      <c r="UEY605" s="223"/>
      <c r="UEZ605" s="224"/>
      <c r="UFA605" s="222"/>
      <c r="UFB605" s="222"/>
      <c r="UFC605" s="222"/>
      <c r="UFD605" s="222"/>
      <c r="UFE605" s="222"/>
      <c r="UFF605" s="222"/>
      <c r="UFG605" s="223"/>
      <c r="UFH605" s="224"/>
      <c r="UFI605" s="222"/>
      <c r="UFJ605" s="222"/>
      <c r="UFK605" s="222"/>
      <c r="UFL605" s="222"/>
      <c r="UFM605" s="222"/>
      <c r="UFN605" s="222"/>
      <c r="UFO605" s="223"/>
      <c r="UFP605" s="224"/>
      <c r="UFQ605" s="222"/>
      <c r="UFR605" s="222"/>
      <c r="UFS605" s="222"/>
      <c r="UFT605" s="222"/>
      <c r="UFU605" s="222"/>
      <c r="UFV605" s="222"/>
      <c r="UFW605" s="223"/>
      <c r="UFX605" s="224"/>
      <c r="UFY605" s="222"/>
      <c r="UFZ605" s="222"/>
      <c r="UGA605" s="222"/>
      <c r="UGB605" s="222"/>
      <c r="UGC605" s="222"/>
      <c r="UGD605" s="222"/>
      <c r="UGE605" s="223"/>
      <c r="UGF605" s="224"/>
      <c r="UGG605" s="222"/>
      <c r="UGH605" s="222"/>
      <c r="UGI605" s="222"/>
      <c r="UGJ605" s="222"/>
      <c r="UGK605" s="222"/>
      <c r="UGL605" s="222"/>
      <c r="UGM605" s="223"/>
      <c r="UGN605" s="224"/>
      <c r="UGO605" s="222"/>
      <c r="UGP605" s="222"/>
      <c r="UGQ605" s="222"/>
      <c r="UGR605" s="222"/>
      <c r="UGS605" s="222"/>
      <c r="UGT605" s="222"/>
      <c r="UGU605" s="223"/>
      <c r="UGV605" s="224"/>
      <c r="UGW605" s="222"/>
      <c r="UGX605" s="222"/>
      <c r="UGY605" s="222"/>
      <c r="UGZ605" s="222"/>
      <c r="UHA605" s="222"/>
      <c r="UHB605" s="222"/>
      <c r="UHC605" s="223"/>
      <c r="UHD605" s="224"/>
      <c r="UHE605" s="222"/>
      <c r="UHF605" s="222"/>
      <c r="UHG605" s="222"/>
      <c r="UHH605" s="222"/>
      <c r="UHI605" s="222"/>
      <c r="UHJ605" s="222"/>
      <c r="UHK605" s="223"/>
      <c r="UHL605" s="224"/>
      <c r="UHM605" s="222"/>
      <c r="UHN605" s="222"/>
      <c r="UHO605" s="222"/>
      <c r="UHP605" s="222"/>
      <c r="UHQ605" s="222"/>
      <c r="UHR605" s="222"/>
      <c r="UHS605" s="223"/>
      <c r="UHT605" s="224"/>
      <c r="UHU605" s="222"/>
      <c r="UHV605" s="222"/>
      <c r="UHW605" s="222"/>
      <c r="UHX605" s="222"/>
      <c r="UHY605" s="222"/>
      <c r="UHZ605" s="222"/>
      <c r="UIA605" s="223"/>
      <c r="UIB605" s="224"/>
      <c r="UIC605" s="222"/>
      <c r="UID605" s="222"/>
      <c r="UIE605" s="222"/>
      <c r="UIF605" s="222"/>
      <c r="UIG605" s="222"/>
      <c r="UIH605" s="222"/>
      <c r="UII605" s="223"/>
      <c r="UIJ605" s="224"/>
      <c r="UIK605" s="222"/>
      <c r="UIL605" s="222"/>
      <c r="UIM605" s="222"/>
      <c r="UIN605" s="222"/>
      <c r="UIO605" s="222"/>
      <c r="UIP605" s="222"/>
      <c r="UIQ605" s="223"/>
      <c r="UIR605" s="224"/>
      <c r="UIS605" s="222"/>
      <c r="UIT605" s="222"/>
      <c r="UIU605" s="222"/>
      <c r="UIV605" s="222"/>
      <c r="UIW605" s="222"/>
      <c r="UIX605" s="222"/>
      <c r="UIY605" s="223"/>
      <c r="UIZ605" s="224"/>
      <c r="UJA605" s="222"/>
      <c r="UJB605" s="222"/>
      <c r="UJC605" s="222"/>
      <c r="UJD605" s="222"/>
      <c r="UJE605" s="222"/>
      <c r="UJF605" s="222"/>
      <c r="UJG605" s="223"/>
      <c r="UJH605" s="224"/>
      <c r="UJI605" s="222"/>
      <c r="UJJ605" s="222"/>
      <c r="UJK605" s="222"/>
      <c r="UJL605" s="222"/>
      <c r="UJM605" s="222"/>
      <c r="UJN605" s="222"/>
      <c r="UJO605" s="223"/>
      <c r="UJP605" s="224"/>
      <c r="UJQ605" s="222"/>
      <c r="UJR605" s="222"/>
      <c r="UJS605" s="222"/>
      <c r="UJT605" s="222"/>
      <c r="UJU605" s="222"/>
      <c r="UJV605" s="222"/>
      <c r="UJW605" s="223"/>
      <c r="UJX605" s="224"/>
      <c r="UJY605" s="222"/>
      <c r="UJZ605" s="222"/>
      <c r="UKA605" s="222"/>
      <c r="UKB605" s="222"/>
      <c r="UKC605" s="222"/>
      <c r="UKD605" s="222"/>
      <c r="UKE605" s="223"/>
      <c r="UKF605" s="224"/>
      <c r="UKG605" s="222"/>
      <c r="UKH605" s="222"/>
      <c r="UKI605" s="222"/>
      <c r="UKJ605" s="222"/>
      <c r="UKK605" s="222"/>
      <c r="UKL605" s="222"/>
      <c r="UKM605" s="223"/>
      <c r="UKN605" s="224"/>
      <c r="UKO605" s="222"/>
      <c r="UKP605" s="222"/>
      <c r="UKQ605" s="222"/>
      <c r="UKR605" s="222"/>
      <c r="UKS605" s="222"/>
      <c r="UKT605" s="222"/>
      <c r="UKU605" s="223"/>
      <c r="UKV605" s="224"/>
      <c r="UKW605" s="222"/>
      <c r="UKX605" s="222"/>
      <c r="UKY605" s="222"/>
      <c r="UKZ605" s="222"/>
      <c r="ULA605" s="222"/>
      <c r="ULB605" s="222"/>
      <c r="ULC605" s="223"/>
      <c r="ULD605" s="224"/>
      <c r="ULE605" s="222"/>
      <c r="ULF605" s="222"/>
      <c r="ULG605" s="222"/>
      <c r="ULH605" s="222"/>
      <c r="ULI605" s="222"/>
      <c r="ULJ605" s="222"/>
      <c r="ULK605" s="223"/>
      <c r="ULL605" s="224"/>
      <c r="ULM605" s="222"/>
      <c r="ULN605" s="222"/>
      <c r="ULO605" s="222"/>
      <c r="ULP605" s="222"/>
      <c r="ULQ605" s="222"/>
      <c r="ULR605" s="222"/>
      <c r="ULS605" s="223"/>
      <c r="ULT605" s="224"/>
      <c r="ULU605" s="222"/>
      <c r="ULV605" s="222"/>
      <c r="ULW605" s="222"/>
      <c r="ULX605" s="222"/>
      <c r="ULY605" s="222"/>
      <c r="ULZ605" s="222"/>
      <c r="UMA605" s="223"/>
      <c r="UMB605" s="224"/>
      <c r="UMC605" s="222"/>
      <c r="UMD605" s="222"/>
      <c r="UME605" s="222"/>
      <c r="UMF605" s="222"/>
      <c r="UMG605" s="222"/>
      <c r="UMH605" s="222"/>
      <c r="UMI605" s="223"/>
      <c r="UMJ605" s="224"/>
      <c r="UMK605" s="222"/>
      <c r="UML605" s="222"/>
      <c r="UMM605" s="222"/>
      <c r="UMN605" s="222"/>
      <c r="UMO605" s="222"/>
      <c r="UMP605" s="222"/>
      <c r="UMQ605" s="223"/>
      <c r="UMR605" s="224"/>
      <c r="UMS605" s="222"/>
      <c r="UMT605" s="222"/>
      <c r="UMU605" s="222"/>
      <c r="UMV605" s="222"/>
      <c r="UMW605" s="222"/>
      <c r="UMX605" s="222"/>
      <c r="UMY605" s="223"/>
      <c r="UMZ605" s="224"/>
      <c r="UNA605" s="222"/>
      <c r="UNB605" s="222"/>
      <c r="UNC605" s="222"/>
      <c r="UND605" s="222"/>
      <c r="UNE605" s="222"/>
      <c r="UNF605" s="222"/>
      <c r="UNG605" s="223"/>
      <c r="UNH605" s="224"/>
      <c r="UNI605" s="222"/>
      <c r="UNJ605" s="222"/>
      <c r="UNK605" s="222"/>
      <c r="UNL605" s="222"/>
      <c r="UNM605" s="222"/>
      <c r="UNN605" s="222"/>
      <c r="UNO605" s="223"/>
      <c r="UNP605" s="224"/>
      <c r="UNQ605" s="222"/>
      <c r="UNR605" s="222"/>
      <c r="UNS605" s="222"/>
      <c r="UNT605" s="222"/>
      <c r="UNU605" s="222"/>
      <c r="UNV605" s="222"/>
      <c r="UNW605" s="223"/>
      <c r="UNX605" s="224"/>
      <c r="UNY605" s="222"/>
      <c r="UNZ605" s="222"/>
      <c r="UOA605" s="222"/>
      <c r="UOB605" s="222"/>
      <c r="UOC605" s="222"/>
      <c r="UOD605" s="222"/>
      <c r="UOE605" s="223"/>
      <c r="UOF605" s="224"/>
      <c r="UOG605" s="222"/>
      <c r="UOH605" s="222"/>
      <c r="UOI605" s="222"/>
      <c r="UOJ605" s="222"/>
      <c r="UOK605" s="222"/>
      <c r="UOL605" s="222"/>
      <c r="UOM605" s="223"/>
      <c r="UON605" s="224"/>
      <c r="UOO605" s="222"/>
      <c r="UOP605" s="222"/>
      <c r="UOQ605" s="222"/>
      <c r="UOR605" s="222"/>
      <c r="UOS605" s="222"/>
      <c r="UOT605" s="222"/>
      <c r="UOU605" s="223"/>
      <c r="UOV605" s="224"/>
      <c r="UOW605" s="222"/>
      <c r="UOX605" s="222"/>
      <c r="UOY605" s="222"/>
      <c r="UOZ605" s="222"/>
      <c r="UPA605" s="222"/>
      <c r="UPB605" s="222"/>
      <c r="UPC605" s="223"/>
      <c r="UPD605" s="224"/>
      <c r="UPE605" s="222"/>
      <c r="UPF605" s="222"/>
      <c r="UPG605" s="222"/>
      <c r="UPH605" s="222"/>
      <c r="UPI605" s="222"/>
      <c r="UPJ605" s="222"/>
      <c r="UPK605" s="223"/>
      <c r="UPL605" s="224"/>
      <c r="UPM605" s="222"/>
      <c r="UPN605" s="222"/>
      <c r="UPO605" s="222"/>
      <c r="UPP605" s="222"/>
      <c r="UPQ605" s="222"/>
      <c r="UPR605" s="222"/>
      <c r="UPS605" s="223"/>
      <c r="UPT605" s="224"/>
      <c r="UPU605" s="222"/>
      <c r="UPV605" s="222"/>
      <c r="UPW605" s="222"/>
      <c r="UPX605" s="222"/>
      <c r="UPY605" s="222"/>
      <c r="UPZ605" s="222"/>
      <c r="UQA605" s="223"/>
      <c r="UQB605" s="224"/>
      <c r="UQC605" s="222"/>
      <c r="UQD605" s="222"/>
      <c r="UQE605" s="222"/>
      <c r="UQF605" s="222"/>
      <c r="UQG605" s="222"/>
      <c r="UQH605" s="222"/>
      <c r="UQI605" s="223"/>
      <c r="UQJ605" s="224"/>
      <c r="UQK605" s="222"/>
      <c r="UQL605" s="222"/>
      <c r="UQM605" s="222"/>
      <c r="UQN605" s="222"/>
      <c r="UQO605" s="222"/>
      <c r="UQP605" s="222"/>
      <c r="UQQ605" s="223"/>
      <c r="UQR605" s="224"/>
      <c r="UQS605" s="222"/>
      <c r="UQT605" s="222"/>
      <c r="UQU605" s="222"/>
      <c r="UQV605" s="222"/>
      <c r="UQW605" s="222"/>
      <c r="UQX605" s="222"/>
      <c r="UQY605" s="223"/>
      <c r="UQZ605" s="224"/>
      <c r="URA605" s="222"/>
      <c r="URB605" s="222"/>
      <c r="URC605" s="222"/>
      <c r="URD605" s="222"/>
      <c r="URE605" s="222"/>
      <c r="URF605" s="222"/>
      <c r="URG605" s="223"/>
      <c r="URH605" s="224"/>
      <c r="URI605" s="222"/>
      <c r="URJ605" s="222"/>
      <c r="URK605" s="222"/>
      <c r="URL605" s="222"/>
      <c r="URM605" s="222"/>
      <c r="URN605" s="222"/>
      <c r="URO605" s="223"/>
      <c r="URP605" s="224"/>
      <c r="URQ605" s="222"/>
      <c r="URR605" s="222"/>
      <c r="URS605" s="222"/>
      <c r="URT605" s="222"/>
      <c r="URU605" s="222"/>
      <c r="URV605" s="222"/>
      <c r="URW605" s="223"/>
      <c r="URX605" s="224"/>
      <c r="URY605" s="222"/>
      <c r="URZ605" s="222"/>
      <c r="USA605" s="222"/>
      <c r="USB605" s="222"/>
      <c r="USC605" s="222"/>
      <c r="USD605" s="222"/>
      <c r="USE605" s="223"/>
      <c r="USF605" s="224"/>
      <c r="USG605" s="222"/>
      <c r="USH605" s="222"/>
      <c r="USI605" s="222"/>
      <c r="USJ605" s="222"/>
      <c r="USK605" s="222"/>
      <c r="USL605" s="222"/>
      <c r="USM605" s="223"/>
      <c r="USN605" s="224"/>
      <c r="USO605" s="222"/>
      <c r="USP605" s="222"/>
      <c r="USQ605" s="222"/>
      <c r="USR605" s="222"/>
      <c r="USS605" s="222"/>
      <c r="UST605" s="222"/>
      <c r="USU605" s="223"/>
      <c r="USV605" s="224"/>
      <c r="USW605" s="222"/>
      <c r="USX605" s="222"/>
      <c r="USY605" s="222"/>
      <c r="USZ605" s="222"/>
      <c r="UTA605" s="222"/>
      <c r="UTB605" s="222"/>
      <c r="UTC605" s="223"/>
      <c r="UTD605" s="224"/>
      <c r="UTE605" s="222"/>
      <c r="UTF605" s="222"/>
      <c r="UTG605" s="222"/>
      <c r="UTH605" s="222"/>
      <c r="UTI605" s="222"/>
      <c r="UTJ605" s="222"/>
      <c r="UTK605" s="223"/>
      <c r="UTL605" s="224"/>
      <c r="UTM605" s="222"/>
      <c r="UTN605" s="222"/>
      <c r="UTO605" s="222"/>
      <c r="UTP605" s="222"/>
      <c r="UTQ605" s="222"/>
      <c r="UTR605" s="222"/>
      <c r="UTS605" s="223"/>
      <c r="UTT605" s="224"/>
      <c r="UTU605" s="222"/>
      <c r="UTV605" s="222"/>
      <c r="UTW605" s="222"/>
      <c r="UTX605" s="222"/>
      <c r="UTY605" s="222"/>
      <c r="UTZ605" s="222"/>
      <c r="UUA605" s="223"/>
      <c r="UUB605" s="224"/>
      <c r="UUC605" s="222"/>
      <c r="UUD605" s="222"/>
      <c r="UUE605" s="222"/>
      <c r="UUF605" s="222"/>
      <c r="UUG605" s="222"/>
      <c r="UUH605" s="222"/>
      <c r="UUI605" s="223"/>
      <c r="UUJ605" s="224"/>
      <c r="UUK605" s="222"/>
      <c r="UUL605" s="222"/>
      <c r="UUM605" s="222"/>
      <c r="UUN605" s="222"/>
      <c r="UUO605" s="222"/>
      <c r="UUP605" s="222"/>
      <c r="UUQ605" s="223"/>
      <c r="UUR605" s="224"/>
      <c r="UUS605" s="222"/>
      <c r="UUT605" s="222"/>
      <c r="UUU605" s="222"/>
      <c r="UUV605" s="222"/>
      <c r="UUW605" s="222"/>
      <c r="UUX605" s="222"/>
      <c r="UUY605" s="223"/>
      <c r="UUZ605" s="224"/>
      <c r="UVA605" s="222"/>
      <c r="UVB605" s="222"/>
      <c r="UVC605" s="222"/>
      <c r="UVD605" s="222"/>
      <c r="UVE605" s="222"/>
      <c r="UVF605" s="222"/>
      <c r="UVG605" s="223"/>
      <c r="UVH605" s="224"/>
      <c r="UVI605" s="222"/>
      <c r="UVJ605" s="222"/>
      <c r="UVK605" s="222"/>
      <c r="UVL605" s="222"/>
      <c r="UVM605" s="222"/>
      <c r="UVN605" s="222"/>
      <c r="UVO605" s="223"/>
      <c r="UVP605" s="224"/>
      <c r="UVQ605" s="222"/>
      <c r="UVR605" s="222"/>
      <c r="UVS605" s="222"/>
      <c r="UVT605" s="222"/>
      <c r="UVU605" s="222"/>
      <c r="UVV605" s="222"/>
      <c r="UVW605" s="223"/>
      <c r="UVX605" s="224"/>
      <c r="UVY605" s="222"/>
      <c r="UVZ605" s="222"/>
      <c r="UWA605" s="222"/>
      <c r="UWB605" s="222"/>
      <c r="UWC605" s="222"/>
      <c r="UWD605" s="222"/>
      <c r="UWE605" s="223"/>
      <c r="UWF605" s="224"/>
      <c r="UWG605" s="222"/>
      <c r="UWH605" s="222"/>
      <c r="UWI605" s="222"/>
      <c r="UWJ605" s="222"/>
      <c r="UWK605" s="222"/>
      <c r="UWL605" s="222"/>
      <c r="UWM605" s="223"/>
      <c r="UWN605" s="224"/>
      <c r="UWO605" s="222"/>
      <c r="UWP605" s="222"/>
      <c r="UWQ605" s="222"/>
      <c r="UWR605" s="222"/>
      <c r="UWS605" s="222"/>
      <c r="UWT605" s="222"/>
      <c r="UWU605" s="223"/>
      <c r="UWV605" s="224"/>
      <c r="UWW605" s="222"/>
      <c r="UWX605" s="222"/>
      <c r="UWY605" s="222"/>
      <c r="UWZ605" s="222"/>
      <c r="UXA605" s="222"/>
      <c r="UXB605" s="222"/>
      <c r="UXC605" s="223"/>
      <c r="UXD605" s="224"/>
      <c r="UXE605" s="222"/>
      <c r="UXF605" s="222"/>
      <c r="UXG605" s="222"/>
      <c r="UXH605" s="222"/>
      <c r="UXI605" s="222"/>
      <c r="UXJ605" s="222"/>
      <c r="UXK605" s="223"/>
      <c r="UXL605" s="224"/>
      <c r="UXM605" s="222"/>
      <c r="UXN605" s="222"/>
      <c r="UXO605" s="222"/>
      <c r="UXP605" s="222"/>
      <c r="UXQ605" s="222"/>
      <c r="UXR605" s="222"/>
      <c r="UXS605" s="223"/>
      <c r="UXT605" s="224"/>
      <c r="UXU605" s="222"/>
      <c r="UXV605" s="222"/>
      <c r="UXW605" s="222"/>
      <c r="UXX605" s="222"/>
      <c r="UXY605" s="222"/>
      <c r="UXZ605" s="222"/>
      <c r="UYA605" s="223"/>
      <c r="UYB605" s="224"/>
      <c r="UYC605" s="222"/>
      <c r="UYD605" s="222"/>
      <c r="UYE605" s="222"/>
      <c r="UYF605" s="222"/>
      <c r="UYG605" s="222"/>
      <c r="UYH605" s="222"/>
      <c r="UYI605" s="223"/>
      <c r="UYJ605" s="224"/>
      <c r="UYK605" s="222"/>
      <c r="UYL605" s="222"/>
      <c r="UYM605" s="222"/>
      <c r="UYN605" s="222"/>
      <c r="UYO605" s="222"/>
      <c r="UYP605" s="222"/>
      <c r="UYQ605" s="223"/>
      <c r="UYR605" s="224"/>
      <c r="UYS605" s="222"/>
      <c r="UYT605" s="222"/>
      <c r="UYU605" s="222"/>
      <c r="UYV605" s="222"/>
      <c r="UYW605" s="222"/>
      <c r="UYX605" s="222"/>
      <c r="UYY605" s="223"/>
      <c r="UYZ605" s="224"/>
      <c r="UZA605" s="222"/>
      <c r="UZB605" s="222"/>
      <c r="UZC605" s="222"/>
      <c r="UZD605" s="222"/>
      <c r="UZE605" s="222"/>
      <c r="UZF605" s="222"/>
      <c r="UZG605" s="223"/>
      <c r="UZH605" s="224"/>
      <c r="UZI605" s="222"/>
      <c r="UZJ605" s="222"/>
      <c r="UZK605" s="222"/>
      <c r="UZL605" s="222"/>
      <c r="UZM605" s="222"/>
      <c r="UZN605" s="222"/>
      <c r="UZO605" s="223"/>
      <c r="UZP605" s="224"/>
      <c r="UZQ605" s="222"/>
      <c r="UZR605" s="222"/>
      <c r="UZS605" s="222"/>
      <c r="UZT605" s="222"/>
      <c r="UZU605" s="222"/>
      <c r="UZV605" s="222"/>
      <c r="UZW605" s="223"/>
      <c r="UZX605" s="224"/>
      <c r="UZY605" s="222"/>
      <c r="UZZ605" s="222"/>
      <c r="VAA605" s="222"/>
      <c r="VAB605" s="222"/>
      <c r="VAC605" s="222"/>
      <c r="VAD605" s="222"/>
      <c r="VAE605" s="223"/>
      <c r="VAF605" s="224"/>
      <c r="VAG605" s="222"/>
      <c r="VAH605" s="222"/>
      <c r="VAI605" s="222"/>
      <c r="VAJ605" s="222"/>
      <c r="VAK605" s="222"/>
      <c r="VAL605" s="222"/>
      <c r="VAM605" s="223"/>
      <c r="VAN605" s="224"/>
      <c r="VAO605" s="222"/>
      <c r="VAP605" s="222"/>
      <c r="VAQ605" s="222"/>
      <c r="VAR605" s="222"/>
      <c r="VAS605" s="222"/>
      <c r="VAT605" s="222"/>
      <c r="VAU605" s="223"/>
      <c r="VAV605" s="224"/>
      <c r="VAW605" s="222"/>
      <c r="VAX605" s="222"/>
      <c r="VAY605" s="222"/>
      <c r="VAZ605" s="222"/>
      <c r="VBA605" s="222"/>
      <c r="VBB605" s="222"/>
      <c r="VBC605" s="223"/>
      <c r="VBD605" s="224"/>
      <c r="VBE605" s="222"/>
      <c r="VBF605" s="222"/>
      <c r="VBG605" s="222"/>
      <c r="VBH605" s="222"/>
      <c r="VBI605" s="222"/>
      <c r="VBJ605" s="222"/>
      <c r="VBK605" s="223"/>
      <c r="VBL605" s="224"/>
      <c r="VBM605" s="222"/>
      <c r="VBN605" s="222"/>
      <c r="VBO605" s="222"/>
      <c r="VBP605" s="222"/>
      <c r="VBQ605" s="222"/>
      <c r="VBR605" s="222"/>
      <c r="VBS605" s="223"/>
      <c r="VBT605" s="224"/>
      <c r="VBU605" s="222"/>
      <c r="VBV605" s="222"/>
      <c r="VBW605" s="222"/>
      <c r="VBX605" s="222"/>
      <c r="VBY605" s="222"/>
      <c r="VBZ605" s="222"/>
      <c r="VCA605" s="223"/>
      <c r="VCB605" s="224"/>
      <c r="VCC605" s="222"/>
      <c r="VCD605" s="222"/>
      <c r="VCE605" s="222"/>
      <c r="VCF605" s="222"/>
      <c r="VCG605" s="222"/>
      <c r="VCH605" s="222"/>
      <c r="VCI605" s="223"/>
      <c r="VCJ605" s="224"/>
      <c r="VCK605" s="222"/>
      <c r="VCL605" s="222"/>
      <c r="VCM605" s="222"/>
      <c r="VCN605" s="222"/>
      <c r="VCO605" s="222"/>
      <c r="VCP605" s="222"/>
      <c r="VCQ605" s="223"/>
      <c r="VCR605" s="224"/>
      <c r="VCS605" s="222"/>
      <c r="VCT605" s="222"/>
      <c r="VCU605" s="222"/>
      <c r="VCV605" s="222"/>
      <c r="VCW605" s="222"/>
      <c r="VCX605" s="222"/>
      <c r="VCY605" s="223"/>
      <c r="VCZ605" s="224"/>
      <c r="VDA605" s="222"/>
      <c r="VDB605" s="222"/>
      <c r="VDC605" s="222"/>
      <c r="VDD605" s="222"/>
      <c r="VDE605" s="222"/>
      <c r="VDF605" s="222"/>
      <c r="VDG605" s="223"/>
      <c r="VDH605" s="224"/>
      <c r="VDI605" s="222"/>
      <c r="VDJ605" s="222"/>
      <c r="VDK605" s="222"/>
      <c r="VDL605" s="222"/>
      <c r="VDM605" s="222"/>
      <c r="VDN605" s="222"/>
      <c r="VDO605" s="223"/>
      <c r="VDP605" s="224"/>
      <c r="VDQ605" s="222"/>
      <c r="VDR605" s="222"/>
      <c r="VDS605" s="222"/>
      <c r="VDT605" s="222"/>
      <c r="VDU605" s="222"/>
      <c r="VDV605" s="222"/>
      <c r="VDW605" s="223"/>
      <c r="VDX605" s="224"/>
      <c r="VDY605" s="222"/>
      <c r="VDZ605" s="222"/>
      <c r="VEA605" s="222"/>
      <c r="VEB605" s="222"/>
      <c r="VEC605" s="222"/>
      <c r="VED605" s="222"/>
      <c r="VEE605" s="223"/>
      <c r="VEF605" s="224"/>
      <c r="VEG605" s="222"/>
      <c r="VEH605" s="222"/>
      <c r="VEI605" s="222"/>
      <c r="VEJ605" s="222"/>
      <c r="VEK605" s="222"/>
      <c r="VEL605" s="222"/>
      <c r="VEM605" s="223"/>
      <c r="VEN605" s="224"/>
      <c r="VEO605" s="222"/>
      <c r="VEP605" s="222"/>
      <c r="VEQ605" s="222"/>
      <c r="VER605" s="222"/>
      <c r="VES605" s="222"/>
      <c r="VET605" s="222"/>
      <c r="VEU605" s="223"/>
      <c r="VEV605" s="224"/>
      <c r="VEW605" s="222"/>
      <c r="VEX605" s="222"/>
      <c r="VEY605" s="222"/>
      <c r="VEZ605" s="222"/>
      <c r="VFA605" s="222"/>
      <c r="VFB605" s="222"/>
      <c r="VFC605" s="223"/>
      <c r="VFD605" s="224"/>
      <c r="VFE605" s="222"/>
      <c r="VFF605" s="222"/>
      <c r="VFG605" s="222"/>
      <c r="VFH605" s="222"/>
      <c r="VFI605" s="222"/>
      <c r="VFJ605" s="222"/>
      <c r="VFK605" s="223"/>
      <c r="VFL605" s="224"/>
      <c r="VFM605" s="222"/>
      <c r="VFN605" s="222"/>
      <c r="VFO605" s="222"/>
      <c r="VFP605" s="222"/>
      <c r="VFQ605" s="222"/>
      <c r="VFR605" s="222"/>
      <c r="VFS605" s="223"/>
      <c r="VFT605" s="224"/>
      <c r="VFU605" s="222"/>
      <c r="VFV605" s="222"/>
      <c r="VFW605" s="222"/>
      <c r="VFX605" s="222"/>
      <c r="VFY605" s="222"/>
      <c r="VFZ605" s="222"/>
      <c r="VGA605" s="223"/>
      <c r="VGB605" s="224"/>
      <c r="VGC605" s="222"/>
      <c r="VGD605" s="222"/>
      <c r="VGE605" s="222"/>
      <c r="VGF605" s="222"/>
      <c r="VGG605" s="222"/>
      <c r="VGH605" s="222"/>
      <c r="VGI605" s="223"/>
      <c r="VGJ605" s="224"/>
      <c r="VGK605" s="222"/>
      <c r="VGL605" s="222"/>
      <c r="VGM605" s="222"/>
      <c r="VGN605" s="222"/>
      <c r="VGO605" s="222"/>
      <c r="VGP605" s="222"/>
      <c r="VGQ605" s="223"/>
      <c r="VGR605" s="224"/>
      <c r="VGS605" s="222"/>
      <c r="VGT605" s="222"/>
      <c r="VGU605" s="222"/>
      <c r="VGV605" s="222"/>
      <c r="VGW605" s="222"/>
      <c r="VGX605" s="222"/>
      <c r="VGY605" s="223"/>
      <c r="VGZ605" s="224"/>
      <c r="VHA605" s="222"/>
      <c r="VHB605" s="222"/>
      <c r="VHC605" s="222"/>
      <c r="VHD605" s="222"/>
      <c r="VHE605" s="222"/>
      <c r="VHF605" s="222"/>
      <c r="VHG605" s="223"/>
      <c r="VHH605" s="224"/>
      <c r="VHI605" s="222"/>
      <c r="VHJ605" s="222"/>
      <c r="VHK605" s="222"/>
      <c r="VHL605" s="222"/>
      <c r="VHM605" s="222"/>
      <c r="VHN605" s="222"/>
      <c r="VHO605" s="223"/>
      <c r="VHP605" s="224"/>
      <c r="VHQ605" s="222"/>
      <c r="VHR605" s="222"/>
      <c r="VHS605" s="222"/>
      <c r="VHT605" s="222"/>
      <c r="VHU605" s="222"/>
      <c r="VHV605" s="222"/>
      <c r="VHW605" s="223"/>
      <c r="VHX605" s="224"/>
      <c r="VHY605" s="222"/>
      <c r="VHZ605" s="222"/>
      <c r="VIA605" s="222"/>
      <c r="VIB605" s="222"/>
      <c r="VIC605" s="222"/>
      <c r="VID605" s="222"/>
      <c r="VIE605" s="223"/>
      <c r="VIF605" s="224"/>
      <c r="VIG605" s="222"/>
      <c r="VIH605" s="222"/>
      <c r="VII605" s="222"/>
      <c r="VIJ605" s="222"/>
      <c r="VIK605" s="222"/>
      <c r="VIL605" s="222"/>
      <c r="VIM605" s="223"/>
      <c r="VIN605" s="224"/>
      <c r="VIO605" s="222"/>
      <c r="VIP605" s="222"/>
      <c r="VIQ605" s="222"/>
      <c r="VIR605" s="222"/>
      <c r="VIS605" s="222"/>
      <c r="VIT605" s="222"/>
      <c r="VIU605" s="223"/>
      <c r="VIV605" s="224"/>
      <c r="VIW605" s="222"/>
      <c r="VIX605" s="222"/>
      <c r="VIY605" s="222"/>
      <c r="VIZ605" s="222"/>
      <c r="VJA605" s="222"/>
      <c r="VJB605" s="222"/>
      <c r="VJC605" s="223"/>
      <c r="VJD605" s="224"/>
      <c r="VJE605" s="222"/>
      <c r="VJF605" s="222"/>
      <c r="VJG605" s="222"/>
      <c r="VJH605" s="222"/>
      <c r="VJI605" s="222"/>
      <c r="VJJ605" s="222"/>
      <c r="VJK605" s="223"/>
      <c r="VJL605" s="224"/>
      <c r="VJM605" s="222"/>
      <c r="VJN605" s="222"/>
      <c r="VJO605" s="222"/>
      <c r="VJP605" s="222"/>
      <c r="VJQ605" s="222"/>
      <c r="VJR605" s="222"/>
      <c r="VJS605" s="223"/>
      <c r="VJT605" s="224"/>
      <c r="VJU605" s="222"/>
      <c r="VJV605" s="222"/>
      <c r="VJW605" s="222"/>
      <c r="VJX605" s="222"/>
      <c r="VJY605" s="222"/>
      <c r="VJZ605" s="222"/>
      <c r="VKA605" s="223"/>
      <c r="VKB605" s="224"/>
      <c r="VKC605" s="222"/>
      <c r="VKD605" s="222"/>
      <c r="VKE605" s="222"/>
      <c r="VKF605" s="222"/>
      <c r="VKG605" s="222"/>
      <c r="VKH605" s="222"/>
      <c r="VKI605" s="223"/>
      <c r="VKJ605" s="224"/>
      <c r="VKK605" s="222"/>
      <c r="VKL605" s="222"/>
      <c r="VKM605" s="222"/>
      <c r="VKN605" s="222"/>
      <c r="VKO605" s="222"/>
      <c r="VKP605" s="222"/>
      <c r="VKQ605" s="223"/>
      <c r="VKR605" s="224"/>
      <c r="VKS605" s="222"/>
      <c r="VKT605" s="222"/>
      <c r="VKU605" s="222"/>
      <c r="VKV605" s="222"/>
      <c r="VKW605" s="222"/>
      <c r="VKX605" s="222"/>
      <c r="VKY605" s="223"/>
      <c r="VKZ605" s="224"/>
      <c r="VLA605" s="222"/>
      <c r="VLB605" s="222"/>
      <c r="VLC605" s="222"/>
      <c r="VLD605" s="222"/>
      <c r="VLE605" s="222"/>
      <c r="VLF605" s="222"/>
      <c r="VLG605" s="223"/>
      <c r="VLH605" s="224"/>
      <c r="VLI605" s="222"/>
      <c r="VLJ605" s="222"/>
      <c r="VLK605" s="222"/>
      <c r="VLL605" s="222"/>
      <c r="VLM605" s="222"/>
      <c r="VLN605" s="222"/>
      <c r="VLO605" s="223"/>
      <c r="VLP605" s="224"/>
      <c r="VLQ605" s="222"/>
      <c r="VLR605" s="222"/>
      <c r="VLS605" s="222"/>
      <c r="VLT605" s="222"/>
      <c r="VLU605" s="222"/>
      <c r="VLV605" s="222"/>
      <c r="VLW605" s="223"/>
      <c r="VLX605" s="224"/>
      <c r="VLY605" s="222"/>
      <c r="VLZ605" s="222"/>
      <c r="VMA605" s="222"/>
      <c r="VMB605" s="222"/>
      <c r="VMC605" s="222"/>
      <c r="VMD605" s="222"/>
      <c r="VME605" s="223"/>
      <c r="VMF605" s="224"/>
      <c r="VMG605" s="222"/>
      <c r="VMH605" s="222"/>
      <c r="VMI605" s="222"/>
      <c r="VMJ605" s="222"/>
      <c r="VMK605" s="222"/>
      <c r="VML605" s="222"/>
      <c r="VMM605" s="223"/>
      <c r="VMN605" s="224"/>
      <c r="VMO605" s="222"/>
      <c r="VMP605" s="222"/>
      <c r="VMQ605" s="222"/>
      <c r="VMR605" s="222"/>
      <c r="VMS605" s="222"/>
      <c r="VMT605" s="222"/>
      <c r="VMU605" s="223"/>
      <c r="VMV605" s="224"/>
      <c r="VMW605" s="222"/>
      <c r="VMX605" s="222"/>
      <c r="VMY605" s="222"/>
      <c r="VMZ605" s="222"/>
      <c r="VNA605" s="222"/>
      <c r="VNB605" s="222"/>
      <c r="VNC605" s="223"/>
      <c r="VND605" s="224"/>
      <c r="VNE605" s="222"/>
      <c r="VNF605" s="222"/>
      <c r="VNG605" s="222"/>
      <c r="VNH605" s="222"/>
      <c r="VNI605" s="222"/>
      <c r="VNJ605" s="222"/>
      <c r="VNK605" s="223"/>
      <c r="VNL605" s="224"/>
      <c r="VNM605" s="222"/>
      <c r="VNN605" s="222"/>
      <c r="VNO605" s="222"/>
      <c r="VNP605" s="222"/>
      <c r="VNQ605" s="222"/>
      <c r="VNR605" s="222"/>
      <c r="VNS605" s="223"/>
      <c r="VNT605" s="224"/>
      <c r="VNU605" s="222"/>
      <c r="VNV605" s="222"/>
      <c r="VNW605" s="222"/>
      <c r="VNX605" s="222"/>
      <c r="VNY605" s="222"/>
      <c r="VNZ605" s="222"/>
      <c r="VOA605" s="223"/>
      <c r="VOB605" s="224"/>
      <c r="VOC605" s="222"/>
      <c r="VOD605" s="222"/>
      <c r="VOE605" s="222"/>
      <c r="VOF605" s="222"/>
      <c r="VOG605" s="222"/>
      <c r="VOH605" s="222"/>
      <c r="VOI605" s="223"/>
      <c r="VOJ605" s="224"/>
      <c r="VOK605" s="222"/>
      <c r="VOL605" s="222"/>
      <c r="VOM605" s="222"/>
      <c r="VON605" s="222"/>
      <c r="VOO605" s="222"/>
      <c r="VOP605" s="222"/>
      <c r="VOQ605" s="223"/>
      <c r="VOR605" s="224"/>
      <c r="VOS605" s="222"/>
      <c r="VOT605" s="222"/>
      <c r="VOU605" s="222"/>
      <c r="VOV605" s="222"/>
      <c r="VOW605" s="222"/>
      <c r="VOX605" s="222"/>
      <c r="VOY605" s="223"/>
      <c r="VOZ605" s="224"/>
      <c r="VPA605" s="222"/>
      <c r="VPB605" s="222"/>
      <c r="VPC605" s="222"/>
      <c r="VPD605" s="222"/>
      <c r="VPE605" s="222"/>
      <c r="VPF605" s="222"/>
      <c r="VPG605" s="223"/>
      <c r="VPH605" s="224"/>
      <c r="VPI605" s="222"/>
      <c r="VPJ605" s="222"/>
      <c r="VPK605" s="222"/>
      <c r="VPL605" s="222"/>
      <c r="VPM605" s="222"/>
      <c r="VPN605" s="222"/>
      <c r="VPO605" s="223"/>
      <c r="VPP605" s="224"/>
      <c r="VPQ605" s="222"/>
      <c r="VPR605" s="222"/>
      <c r="VPS605" s="222"/>
      <c r="VPT605" s="222"/>
      <c r="VPU605" s="222"/>
      <c r="VPV605" s="222"/>
      <c r="VPW605" s="223"/>
      <c r="VPX605" s="224"/>
      <c r="VPY605" s="222"/>
      <c r="VPZ605" s="222"/>
      <c r="VQA605" s="222"/>
      <c r="VQB605" s="222"/>
      <c r="VQC605" s="222"/>
      <c r="VQD605" s="222"/>
      <c r="VQE605" s="223"/>
      <c r="VQF605" s="224"/>
      <c r="VQG605" s="222"/>
      <c r="VQH605" s="222"/>
      <c r="VQI605" s="222"/>
      <c r="VQJ605" s="222"/>
      <c r="VQK605" s="222"/>
      <c r="VQL605" s="222"/>
      <c r="VQM605" s="223"/>
      <c r="VQN605" s="224"/>
      <c r="VQO605" s="222"/>
      <c r="VQP605" s="222"/>
      <c r="VQQ605" s="222"/>
      <c r="VQR605" s="222"/>
      <c r="VQS605" s="222"/>
      <c r="VQT605" s="222"/>
      <c r="VQU605" s="223"/>
      <c r="VQV605" s="224"/>
      <c r="VQW605" s="222"/>
      <c r="VQX605" s="222"/>
      <c r="VQY605" s="222"/>
      <c r="VQZ605" s="222"/>
      <c r="VRA605" s="222"/>
      <c r="VRB605" s="222"/>
      <c r="VRC605" s="223"/>
      <c r="VRD605" s="224"/>
      <c r="VRE605" s="222"/>
      <c r="VRF605" s="222"/>
      <c r="VRG605" s="222"/>
      <c r="VRH605" s="222"/>
      <c r="VRI605" s="222"/>
      <c r="VRJ605" s="222"/>
      <c r="VRK605" s="223"/>
      <c r="VRL605" s="224"/>
      <c r="VRM605" s="222"/>
      <c r="VRN605" s="222"/>
      <c r="VRO605" s="222"/>
      <c r="VRP605" s="222"/>
      <c r="VRQ605" s="222"/>
      <c r="VRR605" s="222"/>
      <c r="VRS605" s="223"/>
      <c r="VRT605" s="224"/>
      <c r="VRU605" s="222"/>
      <c r="VRV605" s="222"/>
      <c r="VRW605" s="222"/>
      <c r="VRX605" s="222"/>
      <c r="VRY605" s="222"/>
      <c r="VRZ605" s="222"/>
      <c r="VSA605" s="223"/>
      <c r="VSB605" s="224"/>
      <c r="VSC605" s="222"/>
      <c r="VSD605" s="222"/>
      <c r="VSE605" s="222"/>
      <c r="VSF605" s="222"/>
      <c r="VSG605" s="222"/>
      <c r="VSH605" s="222"/>
      <c r="VSI605" s="223"/>
      <c r="VSJ605" s="224"/>
      <c r="VSK605" s="222"/>
      <c r="VSL605" s="222"/>
      <c r="VSM605" s="222"/>
      <c r="VSN605" s="222"/>
      <c r="VSO605" s="222"/>
      <c r="VSP605" s="222"/>
      <c r="VSQ605" s="223"/>
      <c r="VSR605" s="224"/>
      <c r="VSS605" s="222"/>
      <c r="VST605" s="222"/>
      <c r="VSU605" s="222"/>
      <c r="VSV605" s="222"/>
      <c r="VSW605" s="222"/>
      <c r="VSX605" s="222"/>
      <c r="VSY605" s="223"/>
      <c r="VSZ605" s="224"/>
      <c r="VTA605" s="222"/>
      <c r="VTB605" s="222"/>
      <c r="VTC605" s="222"/>
      <c r="VTD605" s="222"/>
      <c r="VTE605" s="222"/>
      <c r="VTF605" s="222"/>
      <c r="VTG605" s="223"/>
      <c r="VTH605" s="224"/>
      <c r="VTI605" s="222"/>
      <c r="VTJ605" s="222"/>
      <c r="VTK605" s="222"/>
      <c r="VTL605" s="222"/>
      <c r="VTM605" s="222"/>
      <c r="VTN605" s="222"/>
      <c r="VTO605" s="223"/>
      <c r="VTP605" s="224"/>
      <c r="VTQ605" s="222"/>
      <c r="VTR605" s="222"/>
      <c r="VTS605" s="222"/>
      <c r="VTT605" s="222"/>
      <c r="VTU605" s="222"/>
      <c r="VTV605" s="222"/>
      <c r="VTW605" s="223"/>
      <c r="VTX605" s="224"/>
      <c r="VTY605" s="222"/>
      <c r="VTZ605" s="222"/>
      <c r="VUA605" s="222"/>
      <c r="VUB605" s="222"/>
      <c r="VUC605" s="222"/>
      <c r="VUD605" s="222"/>
      <c r="VUE605" s="223"/>
      <c r="VUF605" s="224"/>
      <c r="VUG605" s="222"/>
      <c r="VUH605" s="222"/>
      <c r="VUI605" s="222"/>
      <c r="VUJ605" s="222"/>
      <c r="VUK605" s="222"/>
      <c r="VUL605" s="222"/>
      <c r="VUM605" s="223"/>
      <c r="VUN605" s="224"/>
      <c r="VUO605" s="222"/>
      <c r="VUP605" s="222"/>
      <c r="VUQ605" s="222"/>
      <c r="VUR605" s="222"/>
      <c r="VUS605" s="222"/>
      <c r="VUT605" s="222"/>
      <c r="VUU605" s="223"/>
      <c r="VUV605" s="224"/>
      <c r="VUW605" s="222"/>
      <c r="VUX605" s="222"/>
      <c r="VUY605" s="222"/>
      <c r="VUZ605" s="222"/>
      <c r="VVA605" s="222"/>
      <c r="VVB605" s="222"/>
      <c r="VVC605" s="223"/>
      <c r="VVD605" s="224"/>
      <c r="VVE605" s="222"/>
      <c r="VVF605" s="222"/>
      <c r="VVG605" s="222"/>
      <c r="VVH605" s="222"/>
      <c r="VVI605" s="222"/>
      <c r="VVJ605" s="222"/>
      <c r="VVK605" s="223"/>
      <c r="VVL605" s="224"/>
      <c r="VVM605" s="222"/>
      <c r="VVN605" s="222"/>
      <c r="VVO605" s="222"/>
      <c r="VVP605" s="222"/>
      <c r="VVQ605" s="222"/>
      <c r="VVR605" s="222"/>
      <c r="VVS605" s="223"/>
      <c r="VVT605" s="224"/>
      <c r="VVU605" s="222"/>
      <c r="VVV605" s="222"/>
      <c r="VVW605" s="222"/>
      <c r="VVX605" s="222"/>
      <c r="VVY605" s="222"/>
      <c r="VVZ605" s="222"/>
      <c r="VWA605" s="223"/>
      <c r="VWB605" s="224"/>
      <c r="VWC605" s="222"/>
      <c r="VWD605" s="222"/>
      <c r="VWE605" s="222"/>
      <c r="VWF605" s="222"/>
      <c r="VWG605" s="222"/>
      <c r="VWH605" s="222"/>
      <c r="VWI605" s="223"/>
      <c r="VWJ605" s="224"/>
      <c r="VWK605" s="222"/>
      <c r="VWL605" s="222"/>
      <c r="VWM605" s="222"/>
      <c r="VWN605" s="222"/>
      <c r="VWO605" s="222"/>
      <c r="VWP605" s="222"/>
      <c r="VWQ605" s="223"/>
      <c r="VWR605" s="224"/>
      <c r="VWS605" s="222"/>
      <c r="VWT605" s="222"/>
      <c r="VWU605" s="222"/>
      <c r="VWV605" s="222"/>
      <c r="VWW605" s="222"/>
      <c r="VWX605" s="222"/>
      <c r="VWY605" s="223"/>
      <c r="VWZ605" s="224"/>
      <c r="VXA605" s="222"/>
      <c r="VXB605" s="222"/>
      <c r="VXC605" s="222"/>
      <c r="VXD605" s="222"/>
      <c r="VXE605" s="222"/>
      <c r="VXF605" s="222"/>
      <c r="VXG605" s="223"/>
      <c r="VXH605" s="224"/>
      <c r="VXI605" s="222"/>
      <c r="VXJ605" s="222"/>
      <c r="VXK605" s="222"/>
      <c r="VXL605" s="222"/>
      <c r="VXM605" s="222"/>
      <c r="VXN605" s="222"/>
      <c r="VXO605" s="223"/>
      <c r="VXP605" s="224"/>
      <c r="VXQ605" s="222"/>
      <c r="VXR605" s="222"/>
      <c r="VXS605" s="222"/>
      <c r="VXT605" s="222"/>
      <c r="VXU605" s="222"/>
      <c r="VXV605" s="222"/>
      <c r="VXW605" s="223"/>
      <c r="VXX605" s="224"/>
      <c r="VXY605" s="222"/>
      <c r="VXZ605" s="222"/>
      <c r="VYA605" s="222"/>
      <c r="VYB605" s="222"/>
      <c r="VYC605" s="222"/>
      <c r="VYD605" s="222"/>
      <c r="VYE605" s="223"/>
      <c r="VYF605" s="224"/>
      <c r="VYG605" s="222"/>
      <c r="VYH605" s="222"/>
      <c r="VYI605" s="222"/>
      <c r="VYJ605" s="222"/>
      <c r="VYK605" s="222"/>
      <c r="VYL605" s="222"/>
      <c r="VYM605" s="223"/>
      <c r="VYN605" s="224"/>
      <c r="VYO605" s="222"/>
      <c r="VYP605" s="222"/>
      <c r="VYQ605" s="222"/>
      <c r="VYR605" s="222"/>
      <c r="VYS605" s="222"/>
      <c r="VYT605" s="222"/>
      <c r="VYU605" s="223"/>
      <c r="VYV605" s="224"/>
      <c r="VYW605" s="222"/>
      <c r="VYX605" s="222"/>
      <c r="VYY605" s="222"/>
      <c r="VYZ605" s="222"/>
      <c r="VZA605" s="222"/>
      <c r="VZB605" s="222"/>
      <c r="VZC605" s="223"/>
      <c r="VZD605" s="224"/>
      <c r="VZE605" s="222"/>
      <c r="VZF605" s="222"/>
      <c r="VZG605" s="222"/>
      <c r="VZH605" s="222"/>
      <c r="VZI605" s="222"/>
      <c r="VZJ605" s="222"/>
      <c r="VZK605" s="223"/>
      <c r="VZL605" s="224"/>
      <c r="VZM605" s="222"/>
      <c r="VZN605" s="222"/>
      <c r="VZO605" s="222"/>
      <c r="VZP605" s="222"/>
      <c r="VZQ605" s="222"/>
      <c r="VZR605" s="222"/>
      <c r="VZS605" s="223"/>
      <c r="VZT605" s="224"/>
      <c r="VZU605" s="222"/>
      <c r="VZV605" s="222"/>
      <c r="VZW605" s="222"/>
      <c r="VZX605" s="222"/>
      <c r="VZY605" s="222"/>
      <c r="VZZ605" s="222"/>
      <c r="WAA605" s="223"/>
      <c r="WAB605" s="224"/>
      <c r="WAC605" s="222"/>
      <c r="WAD605" s="222"/>
      <c r="WAE605" s="222"/>
      <c r="WAF605" s="222"/>
      <c r="WAG605" s="222"/>
      <c r="WAH605" s="222"/>
      <c r="WAI605" s="223"/>
      <c r="WAJ605" s="224"/>
      <c r="WAK605" s="222"/>
      <c r="WAL605" s="222"/>
      <c r="WAM605" s="222"/>
      <c r="WAN605" s="222"/>
      <c r="WAO605" s="222"/>
      <c r="WAP605" s="222"/>
      <c r="WAQ605" s="223"/>
      <c r="WAR605" s="224"/>
      <c r="WAS605" s="222"/>
      <c r="WAT605" s="222"/>
      <c r="WAU605" s="222"/>
      <c r="WAV605" s="222"/>
      <c r="WAW605" s="222"/>
      <c r="WAX605" s="222"/>
      <c r="WAY605" s="223"/>
      <c r="WAZ605" s="224"/>
      <c r="WBA605" s="222"/>
      <c r="WBB605" s="222"/>
      <c r="WBC605" s="222"/>
      <c r="WBD605" s="222"/>
      <c r="WBE605" s="222"/>
      <c r="WBF605" s="222"/>
      <c r="WBG605" s="223"/>
      <c r="WBH605" s="224"/>
      <c r="WBI605" s="222"/>
      <c r="WBJ605" s="222"/>
      <c r="WBK605" s="222"/>
      <c r="WBL605" s="222"/>
      <c r="WBM605" s="222"/>
      <c r="WBN605" s="222"/>
      <c r="WBO605" s="223"/>
      <c r="WBP605" s="224"/>
      <c r="WBQ605" s="222"/>
      <c r="WBR605" s="222"/>
      <c r="WBS605" s="222"/>
      <c r="WBT605" s="222"/>
      <c r="WBU605" s="222"/>
      <c r="WBV605" s="222"/>
      <c r="WBW605" s="223"/>
      <c r="WBX605" s="224"/>
      <c r="WBY605" s="222"/>
      <c r="WBZ605" s="222"/>
      <c r="WCA605" s="222"/>
      <c r="WCB605" s="222"/>
      <c r="WCC605" s="222"/>
      <c r="WCD605" s="222"/>
      <c r="WCE605" s="223"/>
      <c r="WCF605" s="224"/>
      <c r="WCG605" s="222"/>
      <c r="WCH605" s="222"/>
      <c r="WCI605" s="222"/>
      <c r="WCJ605" s="222"/>
      <c r="WCK605" s="222"/>
      <c r="WCL605" s="222"/>
      <c r="WCM605" s="223"/>
      <c r="WCN605" s="224"/>
      <c r="WCO605" s="222"/>
      <c r="WCP605" s="222"/>
      <c r="WCQ605" s="222"/>
      <c r="WCR605" s="222"/>
      <c r="WCS605" s="222"/>
      <c r="WCT605" s="222"/>
      <c r="WCU605" s="223"/>
      <c r="WCV605" s="224"/>
      <c r="WCW605" s="222"/>
      <c r="WCX605" s="222"/>
      <c r="WCY605" s="222"/>
      <c r="WCZ605" s="222"/>
      <c r="WDA605" s="222"/>
      <c r="WDB605" s="222"/>
      <c r="WDC605" s="223"/>
      <c r="WDD605" s="224"/>
      <c r="WDE605" s="222"/>
      <c r="WDF605" s="222"/>
      <c r="WDG605" s="222"/>
      <c r="WDH605" s="222"/>
      <c r="WDI605" s="222"/>
      <c r="WDJ605" s="222"/>
      <c r="WDK605" s="223"/>
      <c r="WDL605" s="224"/>
      <c r="WDM605" s="222"/>
      <c r="WDN605" s="222"/>
      <c r="WDO605" s="222"/>
      <c r="WDP605" s="222"/>
      <c r="WDQ605" s="222"/>
      <c r="WDR605" s="222"/>
      <c r="WDS605" s="223"/>
      <c r="WDT605" s="224"/>
      <c r="WDU605" s="222"/>
      <c r="WDV605" s="222"/>
      <c r="WDW605" s="222"/>
      <c r="WDX605" s="222"/>
      <c r="WDY605" s="222"/>
      <c r="WDZ605" s="222"/>
      <c r="WEA605" s="223"/>
      <c r="WEB605" s="224"/>
      <c r="WEC605" s="222"/>
      <c r="WED605" s="222"/>
      <c r="WEE605" s="222"/>
      <c r="WEF605" s="222"/>
      <c r="WEG605" s="222"/>
      <c r="WEH605" s="222"/>
      <c r="WEI605" s="223"/>
      <c r="WEJ605" s="224"/>
      <c r="WEK605" s="222"/>
      <c r="WEL605" s="222"/>
      <c r="WEM605" s="222"/>
      <c r="WEN605" s="222"/>
      <c r="WEO605" s="222"/>
      <c r="WEP605" s="222"/>
      <c r="WEQ605" s="223"/>
      <c r="WER605" s="224"/>
      <c r="WES605" s="222"/>
      <c r="WET605" s="222"/>
      <c r="WEU605" s="222"/>
      <c r="WEV605" s="222"/>
      <c r="WEW605" s="222"/>
      <c r="WEX605" s="222"/>
      <c r="WEY605" s="223"/>
      <c r="WEZ605" s="224"/>
      <c r="WFA605" s="222"/>
      <c r="WFB605" s="222"/>
      <c r="WFC605" s="222"/>
      <c r="WFD605" s="222"/>
      <c r="WFE605" s="222"/>
      <c r="WFF605" s="222"/>
      <c r="WFG605" s="223"/>
      <c r="WFH605" s="224"/>
      <c r="WFI605" s="222"/>
      <c r="WFJ605" s="222"/>
      <c r="WFK605" s="222"/>
      <c r="WFL605" s="222"/>
      <c r="WFM605" s="222"/>
      <c r="WFN605" s="222"/>
      <c r="WFO605" s="223"/>
      <c r="WFP605" s="224"/>
      <c r="WFQ605" s="222"/>
      <c r="WFR605" s="222"/>
      <c r="WFS605" s="222"/>
      <c r="WFT605" s="222"/>
      <c r="WFU605" s="222"/>
      <c r="WFV605" s="222"/>
      <c r="WFW605" s="223"/>
      <c r="WFX605" s="224"/>
      <c r="WFY605" s="222"/>
      <c r="WFZ605" s="222"/>
      <c r="WGA605" s="222"/>
      <c r="WGB605" s="222"/>
      <c r="WGC605" s="222"/>
      <c r="WGD605" s="222"/>
      <c r="WGE605" s="223"/>
      <c r="WGF605" s="224"/>
      <c r="WGG605" s="222"/>
      <c r="WGH605" s="222"/>
      <c r="WGI605" s="222"/>
      <c r="WGJ605" s="222"/>
      <c r="WGK605" s="222"/>
      <c r="WGL605" s="222"/>
      <c r="WGM605" s="223"/>
      <c r="WGN605" s="224"/>
      <c r="WGO605" s="222"/>
      <c r="WGP605" s="222"/>
      <c r="WGQ605" s="222"/>
      <c r="WGR605" s="222"/>
      <c r="WGS605" s="222"/>
      <c r="WGT605" s="222"/>
      <c r="WGU605" s="223"/>
      <c r="WGV605" s="224"/>
      <c r="WGW605" s="222"/>
      <c r="WGX605" s="222"/>
      <c r="WGY605" s="222"/>
      <c r="WGZ605" s="222"/>
      <c r="WHA605" s="222"/>
      <c r="WHB605" s="222"/>
      <c r="WHC605" s="223"/>
      <c r="WHD605" s="224"/>
      <c r="WHE605" s="222"/>
      <c r="WHF605" s="222"/>
      <c r="WHG605" s="222"/>
      <c r="WHH605" s="222"/>
      <c r="WHI605" s="222"/>
      <c r="WHJ605" s="222"/>
      <c r="WHK605" s="223"/>
      <c r="WHL605" s="224"/>
      <c r="WHM605" s="222"/>
      <c r="WHN605" s="222"/>
      <c r="WHO605" s="222"/>
      <c r="WHP605" s="222"/>
      <c r="WHQ605" s="222"/>
      <c r="WHR605" s="222"/>
      <c r="WHS605" s="223"/>
      <c r="WHT605" s="224"/>
      <c r="WHU605" s="222"/>
      <c r="WHV605" s="222"/>
      <c r="WHW605" s="222"/>
      <c r="WHX605" s="222"/>
      <c r="WHY605" s="222"/>
      <c r="WHZ605" s="222"/>
      <c r="WIA605" s="223"/>
      <c r="WIB605" s="224"/>
      <c r="WIC605" s="222"/>
      <c r="WID605" s="222"/>
      <c r="WIE605" s="222"/>
      <c r="WIF605" s="222"/>
      <c r="WIG605" s="222"/>
      <c r="WIH605" s="222"/>
      <c r="WII605" s="223"/>
      <c r="WIJ605" s="224"/>
      <c r="WIK605" s="222"/>
      <c r="WIL605" s="222"/>
      <c r="WIM605" s="222"/>
      <c r="WIN605" s="222"/>
      <c r="WIO605" s="222"/>
      <c r="WIP605" s="222"/>
      <c r="WIQ605" s="223"/>
      <c r="WIR605" s="224"/>
      <c r="WIS605" s="222"/>
      <c r="WIT605" s="222"/>
      <c r="WIU605" s="222"/>
      <c r="WIV605" s="222"/>
      <c r="WIW605" s="222"/>
      <c r="WIX605" s="222"/>
      <c r="WIY605" s="223"/>
      <c r="WIZ605" s="224"/>
      <c r="WJA605" s="222"/>
      <c r="WJB605" s="222"/>
      <c r="WJC605" s="222"/>
      <c r="WJD605" s="222"/>
      <c r="WJE605" s="222"/>
      <c r="WJF605" s="222"/>
      <c r="WJG605" s="223"/>
      <c r="WJH605" s="224"/>
      <c r="WJI605" s="222"/>
      <c r="WJJ605" s="222"/>
      <c r="WJK605" s="222"/>
      <c r="WJL605" s="222"/>
      <c r="WJM605" s="222"/>
      <c r="WJN605" s="222"/>
      <c r="WJO605" s="223"/>
      <c r="WJP605" s="224"/>
      <c r="WJQ605" s="222"/>
      <c r="WJR605" s="222"/>
      <c r="WJS605" s="222"/>
      <c r="WJT605" s="222"/>
      <c r="WJU605" s="222"/>
      <c r="WJV605" s="222"/>
      <c r="WJW605" s="223"/>
      <c r="WJX605" s="224"/>
      <c r="WJY605" s="222"/>
      <c r="WJZ605" s="222"/>
      <c r="WKA605" s="222"/>
      <c r="WKB605" s="222"/>
      <c r="WKC605" s="222"/>
      <c r="WKD605" s="222"/>
      <c r="WKE605" s="223"/>
      <c r="WKF605" s="224"/>
      <c r="WKG605" s="222"/>
      <c r="WKH605" s="222"/>
      <c r="WKI605" s="222"/>
      <c r="WKJ605" s="222"/>
      <c r="WKK605" s="222"/>
      <c r="WKL605" s="222"/>
      <c r="WKM605" s="223"/>
      <c r="WKN605" s="224"/>
      <c r="WKO605" s="222"/>
      <c r="WKP605" s="222"/>
      <c r="WKQ605" s="222"/>
      <c r="WKR605" s="222"/>
      <c r="WKS605" s="222"/>
      <c r="WKT605" s="222"/>
      <c r="WKU605" s="223"/>
      <c r="WKV605" s="224"/>
      <c r="WKW605" s="222"/>
      <c r="WKX605" s="222"/>
      <c r="WKY605" s="222"/>
      <c r="WKZ605" s="222"/>
      <c r="WLA605" s="222"/>
      <c r="WLB605" s="222"/>
      <c r="WLC605" s="223"/>
      <c r="WLD605" s="224"/>
      <c r="WLE605" s="222"/>
      <c r="WLF605" s="222"/>
      <c r="WLG605" s="222"/>
      <c r="WLH605" s="222"/>
      <c r="WLI605" s="222"/>
      <c r="WLJ605" s="222"/>
      <c r="WLK605" s="223"/>
      <c r="WLL605" s="224"/>
      <c r="WLM605" s="222"/>
      <c r="WLN605" s="222"/>
      <c r="WLO605" s="222"/>
      <c r="WLP605" s="222"/>
      <c r="WLQ605" s="222"/>
      <c r="WLR605" s="222"/>
      <c r="WLS605" s="223"/>
      <c r="WLT605" s="224"/>
      <c r="WLU605" s="222"/>
      <c r="WLV605" s="222"/>
      <c r="WLW605" s="222"/>
      <c r="WLX605" s="222"/>
      <c r="WLY605" s="222"/>
      <c r="WLZ605" s="222"/>
      <c r="WMA605" s="223"/>
      <c r="WMB605" s="224"/>
      <c r="WMC605" s="222"/>
      <c r="WMD605" s="222"/>
      <c r="WME605" s="222"/>
      <c r="WMF605" s="222"/>
      <c r="WMG605" s="222"/>
      <c r="WMH605" s="222"/>
      <c r="WMI605" s="223"/>
      <c r="WMJ605" s="224"/>
      <c r="WMK605" s="222"/>
      <c r="WML605" s="222"/>
      <c r="WMM605" s="222"/>
      <c r="WMN605" s="222"/>
      <c r="WMO605" s="222"/>
      <c r="WMP605" s="222"/>
      <c r="WMQ605" s="223"/>
      <c r="WMR605" s="224"/>
      <c r="WMS605" s="222"/>
      <c r="WMT605" s="222"/>
      <c r="WMU605" s="222"/>
      <c r="WMV605" s="222"/>
      <c r="WMW605" s="222"/>
      <c r="WMX605" s="222"/>
      <c r="WMY605" s="223"/>
      <c r="WMZ605" s="224"/>
      <c r="WNA605" s="222"/>
      <c r="WNB605" s="222"/>
      <c r="WNC605" s="222"/>
      <c r="WND605" s="222"/>
      <c r="WNE605" s="222"/>
      <c r="WNF605" s="222"/>
      <c r="WNG605" s="223"/>
      <c r="WNH605" s="224"/>
      <c r="WNI605" s="222"/>
      <c r="WNJ605" s="222"/>
      <c r="WNK605" s="222"/>
      <c r="WNL605" s="222"/>
      <c r="WNM605" s="222"/>
      <c r="WNN605" s="222"/>
      <c r="WNO605" s="223"/>
      <c r="WNP605" s="224"/>
      <c r="WNQ605" s="222"/>
      <c r="WNR605" s="222"/>
      <c r="WNS605" s="222"/>
      <c r="WNT605" s="222"/>
      <c r="WNU605" s="222"/>
      <c r="WNV605" s="222"/>
      <c r="WNW605" s="223"/>
      <c r="WNX605" s="224"/>
      <c r="WNY605" s="222"/>
      <c r="WNZ605" s="222"/>
      <c r="WOA605" s="222"/>
      <c r="WOB605" s="222"/>
      <c r="WOC605" s="222"/>
      <c r="WOD605" s="222"/>
      <c r="WOE605" s="223"/>
      <c r="WOF605" s="224"/>
      <c r="WOG605" s="222"/>
      <c r="WOH605" s="222"/>
      <c r="WOI605" s="222"/>
      <c r="WOJ605" s="222"/>
      <c r="WOK605" s="222"/>
      <c r="WOL605" s="222"/>
      <c r="WOM605" s="223"/>
      <c r="WON605" s="224"/>
      <c r="WOO605" s="222"/>
      <c r="WOP605" s="222"/>
      <c r="WOQ605" s="222"/>
      <c r="WOR605" s="222"/>
      <c r="WOS605" s="222"/>
      <c r="WOT605" s="222"/>
      <c r="WOU605" s="223"/>
      <c r="WOV605" s="224"/>
      <c r="WOW605" s="222"/>
      <c r="WOX605" s="222"/>
      <c r="WOY605" s="222"/>
      <c r="WOZ605" s="222"/>
      <c r="WPA605" s="222"/>
      <c r="WPB605" s="222"/>
      <c r="WPC605" s="223"/>
      <c r="WPD605" s="224"/>
      <c r="WPE605" s="222"/>
      <c r="WPF605" s="222"/>
      <c r="WPG605" s="222"/>
      <c r="WPH605" s="222"/>
      <c r="WPI605" s="222"/>
      <c r="WPJ605" s="222"/>
      <c r="WPK605" s="223"/>
      <c r="WPL605" s="224"/>
      <c r="WPM605" s="222"/>
      <c r="WPN605" s="222"/>
      <c r="WPO605" s="222"/>
      <c r="WPP605" s="222"/>
      <c r="WPQ605" s="222"/>
      <c r="WPR605" s="222"/>
      <c r="WPS605" s="223"/>
      <c r="WPT605" s="224"/>
      <c r="WPU605" s="222"/>
      <c r="WPV605" s="222"/>
      <c r="WPW605" s="222"/>
      <c r="WPX605" s="222"/>
      <c r="WPY605" s="222"/>
      <c r="WPZ605" s="222"/>
      <c r="WQA605" s="223"/>
      <c r="WQB605" s="224"/>
      <c r="WQC605" s="222"/>
      <c r="WQD605" s="222"/>
      <c r="WQE605" s="222"/>
      <c r="WQF605" s="222"/>
      <c r="WQG605" s="222"/>
      <c r="WQH605" s="222"/>
      <c r="WQI605" s="223"/>
      <c r="WQJ605" s="224"/>
      <c r="WQK605" s="222"/>
      <c r="WQL605" s="222"/>
      <c r="WQM605" s="222"/>
      <c r="WQN605" s="222"/>
      <c r="WQO605" s="222"/>
      <c r="WQP605" s="222"/>
      <c r="WQQ605" s="223"/>
      <c r="WQR605" s="224"/>
      <c r="WQS605" s="222"/>
      <c r="WQT605" s="222"/>
      <c r="WQU605" s="222"/>
      <c r="WQV605" s="222"/>
      <c r="WQW605" s="222"/>
      <c r="WQX605" s="222"/>
      <c r="WQY605" s="223"/>
      <c r="WQZ605" s="224"/>
      <c r="WRA605" s="222"/>
      <c r="WRB605" s="222"/>
      <c r="WRC605" s="222"/>
      <c r="WRD605" s="222"/>
      <c r="WRE605" s="222"/>
      <c r="WRF605" s="222"/>
      <c r="WRG605" s="223"/>
      <c r="WRH605" s="224"/>
      <c r="WRI605" s="222"/>
      <c r="WRJ605" s="222"/>
      <c r="WRK605" s="222"/>
      <c r="WRL605" s="222"/>
      <c r="WRM605" s="222"/>
      <c r="WRN605" s="222"/>
      <c r="WRO605" s="223"/>
      <c r="WRP605" s="224"/>
      <c r="WRQ605" s="222"/>
      <c r="WRR605" s="222"/>
      <c r="WRS605" s="222"/>
      <c r="WRT605" s="222"/>
      <c r="WRU605" s="222"/>
      <c r="WRV605" s="222"/>
      <c r="WRW605" s="223"/>
      <c r="WRX605" s="224"/>
      <c r="WRY605" s="222"/>
      <c r="WRZ605" s="222"/>
      <c r="WSA605" s="222"/>
      <c r="WSB605" s="222"/>
      <c r="WSC605" s="222"/>
      <c r="WSD605" s="222"/>
      <c r="WSE605" s="223"/>
      <c r="WSF605" s="224"/>
      <c r="WSG605" s="222"/>
      <c r="WSH605" s="222"/>
      <c r="WSI605" s="222"/>
      <c r="WSJ605" s="222"/>
      <c r="WSK605" s="222"/>
      <c r="WSL605" s="222"/>
      <c r="WSM605" s="223"/>
      <c r="WSN605" s="224"/>
      <c r="WSO605" s="222"/>
      <c r="WSP605" s="222"/>
      <c r="WSQ605" s="222"/>
      <c r="WSR605" s="222"/>
      <c r="WSS605" s="222"/>
      <c r="WST605" s="222"/>
      <c r="WSU605" s="223"/>
      <c r="WSV605" s="224"/>
      <c r="WSW605" s="222"/>
      <c r="WSX605" s="222"/>
      <c r="WSY605" s="222"/>
      <c r="WSZ605" s="222"/>
      <c r="WTA605" s="222"/>
      <c r="WTB605" s="222"/>
      <c r="WTC605" s="223"/>
      <c r="WTD605" s="224"/>
      <c r="WTE605" s="222"/>
      <c r="WTF605" s="222"/>
      <c r="WTG605" s="222"/>
      <c r="WTH605" s="222"/>
      <c r="WTI605" s="222"/>
      <c r="WTJ605" s="222"/>
      <c r="WTK605" s="223"/>
      <c r="WTL605" s="224"/>
      <c r="WTM605" s="222"/>
      <c r="WTN605" s="222"/>
      <c r="WTO605" s="222"/>
      <c r="WTP605" s="222"/>
      <c r="WTQ605" s="222"/>
      <c r="WTR605" s="222"/>
      <c r="WTS605" s="223"/>
      <c r="WTT605" s="224"/>
      <c r="WTU605" s="222"/>
      <c r="WTV605" s="222"/>
      <c r="WTW605" s="222"/>
      <c r="WTX605" s="222"/>
      <c r="WTY605" s="222"/>
      <c r="WTZ605" s="222"/>
      <c r="WUA605" s="223"/>
      <c r="WUB605" s="224"/>
      <c r="WUC605" s="222"/>
      <c r="WUD605" s="222"/>
      <c r="WUE605" s="222"/>
      <c r="WUF605" s="222"/>
      <c r="WUG605" s="222"/>
      <c r="WUH605" s="222"/>
      <c r="WUI605" s="223"/>
      <c r="WUJ605" s="224"/>
      <c r="WUK605" s="222"/>
      <c r="WUL605" s="222"/>
      <c r="WUM605" s="222"/>
      <c r="WUN605" s="222"/>
      <c r="WUO605" s="222"/>
      <c r="WUP605" s="222"/>
      <c r="WUQ605" s="223"/>
      <c r="WUR605" s="224"/>
      <c r="WUS605" s="222"/>
      <c r="WUT605" s="222"/>
      <c r="WUU605" s="222"/>
      <c r="WUV605" s="222"/>
      <c r="WUW605" s="222"/>
      <c r="WUX605" s="222"/>
      <c r="WUY605" s="223"/>
      <c r="WUZ605" s="224"/>
      <c r="WVA605" s="222"/>
      <c r="WVB605" s="222"/>
      <c r="WVC605" s="222"/>
      <c r="WVD605" s="222"/>
      <c r="WVE605" s="222"/>
      <c r="WVF605" s="222"/>
      <c r="WVG605" s="223"/>
      <c r="WVH605" s="224"/>
      <c r="WVI605" s="222"/>
      <c r="WVJ605" s="222"/>
      <c r="WVK605" s="222"/>
      <c r="WVL605" s="222"/>
      <c r="WVM605" s="222"/>
      <c r="WVN605" s="222"/>
      <c r="WVO605" s="223"/>
      <c r="WVP605" s="224"/>
      <c r="WVQ605" s="222"/>
      <c r="WVR605" s="222"/>
      <c r="WVS605" s="222"/>
      <c r="WVT605" s="222"/>
      <c r="WVU605" s="222"/>
      <c r="WVV605" s="222"/>
      <c r="WVW605" s="223"/>
      <c r="WVX605" s="224"/>
      <c r="WVY605" s="222"/>
      <c r="WVZ605" s="222"/>
      <c r="WWA605" s="222"/>
      <c r="WWB605" s="222"/>
      <c r="WWC605" s="222"/>
      <c r="WWD605" s="222"/>
      <c r="WWE605" s="223"/>
      <c r="WWF605" s="224"/>
      <c r="WWG605" s="222"/>
      <c r="WWH605" s="222"/>
      <c r="WWI605" s="222"/>
      <c r="WWJ605" s="222"/>
      <c r="WWK605" s="222"/>
      <c r="WWL605" s="222"/>
      <c r="WWM605" s="223"/>
      <c r="WWN605" s="224"/>
      <c r="WWO605" s="222"/>
      <c r="WWP605" s="222"/>
      <c r="WWQ605" s="222"/>
      <c r="WWR605" s="222"/>
      <c r="WWS605" s="222"/>
      <c r="WWT605" s="222"/>
      <c r="WWU605" s="223"/>
      <c r="WWV605" s="224"/>
      <c r="WWW605" s="222"/>
      <c r="WWX605" s="222"/>
      <c r="WWY605" s="222"/>
      <c r="WWZ605" s="222"/>
      <c r="WXA605" s="222"/>
      <c r="WXB605" s="222"/>
      <c r="WXC605" s="223"/>
      <c r="WXD605" s="224"/>
      <c r="WXE605" s="222"/>
      <c r="WXF605" s="222"/>
      <c r="WXG605" s="222"/>
      <c r="WXH605" s="222"/>
      <c r="WXI605" s="222"/>
      <c r="WXJ605" s="222"/>
      <c r="WXK605" s="223"/>
      <c r="WXL605" s="224"/>
      <c r="WXM605" s="222"/>
      <c r="WXN605" s="222"/>
      <c r="WXO605" s="222"/>
      <c r="WXP605" s="222"/>
      <c r="WXQ605" s="222"/>
      <c r="WXR605" s="222"/>
      <c r="WXS605" s="223"/>
      <c r="WXT605" s="224"/>
      <c r="WXU605" s="222"/>
      <c r="WXV605" s="222"/>
      <c r="WXW605" s="222"/>
      <c r="WXX605" s="222"/>
      <c r="WXY605" s="222"/>
      <c r="WXZ605" s="222"/>
      <c r="WYA605" s="223"/>
      <c r="WYB605" s="224"/>
      <c r="WYC605" s="222"/>
      <c r="WYD605" s="222"/>
      <c r="WYE605" s="222"/>
      <c r="WYF605" s="222"/>
      <c r="WYG605" s="222"/>
      <c r="WYH605" s="222"/>
      <c r="WYI605" s="223"/>
      <c r="WYJ605" s="224"/>
      <c r="WYK605" s="222"/>
      <c r="WYL605" s="222"/>
      <c r="WYM605" s="222"/>
      <c r="WYN605" s="222"/>
      <c r="WYO605" s="222"/>
      <c r="WYP605" s="222"/>
      <c r="WYQ605" s="223"/>
      <c r="WYR605" s="224"/>
      <c r="WYS605" s="222"/>
      <c r="WYT605" s="222"/>
      <c r="WYU605" s="222"/>
      <c r="WYV605" s="222"/>
      <c r="WYW605" s="222"/>
      <c r="WYX605" s="222"/>
      <c r="WYY605" s="223"/>
      <c r="WYZ605" s="224"/>
      <c r="WZA605" s="222"/>
      <c r="WZB605" s="222"/>
      <c r="WZC605" s="222"/>
      <c r="WZD605" s="222"/>
      <c r="WZE605" s="222"/>
      <c r="WZF605" s="222"/>
      <c r="WZG605" s="223"/>
      <c r="WZH605" s="224"/>
      <c r="WZI605" s="222"/>
      <c r="WZJ605" s="222"/>
      <c r="WZK605" s="222"/>
      <c r="WZL605" s="222"/>
      <c r="WZM605" s="222"/>
      <c r="WZN605" s="222"/>
      <c r="WZO605" s="223"/>
      <c r="WZP605" s="224"/>
      <c r="WZQ605" s="222"/>
      <c r="WZR605" s="222"/>
      <c r="WZS605" s="222"/>
      <c r="WZT605" s="222"/>
      <c r="WZU605" s="222"/>
      <c r="WZV605" s="222"/>
      <c r="WZW605" s="223"/>
      <c r="WZX605" s="224"/>
      <c r="WZY605" s="222"/>
      <c r="WZZ605" s="222"/>
      <c r="XAA605" s="222"/>
      <c r="XAB605" s="222"/>
      <c r="XAC605" s="222"/>
      <c r="XAD605" s="222"/>
      <c r="XAE605" s="223"/>
      <c r="XAF605" s="224"/>
      <c r="XAG605" s="222"/>
      <c r="XAH605" s="222"/>
      <c r="XAI605" s="222"/>
      <c r="XAJ605" s="222"/>
      <c r="XAK605" s="222"/>
      <c r="XAL605" s="222"/>
      <c r="XAM605" s="223"/>
      <c r="XAN605" s="224"/>
      <c r="XAO605" s="222"/>
      <c r="XAP605" s="222"/>
      <c r="XAQ605" s="222"/>
      <c r="XAR605" s="222"/>
      <c r="XAS605" s="222"/>
      <c r="XAT605" s="222"/>
      <c r="XAU605" s="223"/>
      <c r="XAV605" s="224"/>
      <c r="XAW605" s="222"/>
      <c r="XAX605" s="222"/>
      <c r="XAY605" s="222"/>
      <c r="XAZ605" s="222"/>
      <c r="XBA605" s="222"/>
      <c r="XBB605" s="222"/>
      <c r="XBC605" s="223"/>
      <c r="XBD605" s="224"/>
      <c r="XBE605" s="222"/>
      <c r="XBF605" s="222"/>
      <c r="XBG605" s="222"/>
      <c r="XBH605" s="222"/>
      <c r="XBI605" s="222"/>
      <c r="XBJ605" s="222"/>
      <c r="XBK605" s="223"/>
      <c r="XBL605" s="224"/>
      <c r="XBM605" s="222"/>
      <c r="XBN605" s="222"/>
      <c r="XBO605" s="222"/>
      <c r="XBP605" s="222"/>
      <c r="XBQ605" s="222"/>
      <c r="XBR605" s="222"/>
      <c r="XBS605" s="223"/>
      <c r="XBT605" s="224"/>
      <c r="XBU605" s="222"/>
      <c r="XBV605" s="222"/>
      <c r="XBW605" s="222"/>
      <c r="XBX605" s="222"/>
      <c r="XBY605" s="222"/>
      <c r="XBZ605" s="222"/>
      <c r="XCA605" s="223"/>
      <c r="XCB605" s="224"/>
      <c r="XCC605" s="222"/>
      <c r="XCD605" s="222"/>
      <c r="XCE605" s="222"/>
      <c r="XCF605" s="222"/>
      <c r="XCG605" s="222"/>
      <c r="XCH605" s="222"/>
      <c r="XCI605" s="223"/>
      <c r="XCJ605" s="224"/>
      <c r="XCK605" s="222"/>
      <c r="XCL605" s="222"/>
      <c r="XCM605" s="222"/>
      <c r="XCN605" s="222"/>
      <c r="XCO605" s="222"/>
      <c r="XCP605" s="222"/>
      <c r="XCQ605" s="223"/>
      <c r="XCR605" s="224"/>
      <c r="XCS605" s="222"/>
      <c r="XCT605" s="222"/>
      <c r="XCU605" s="222"/>
      <c r="XCV605" s="222"/>
      <c r="XCW605" s="222"/>
      <c r="XCX605" s="222"/>
      <c r="XCY605" s="223"/>
      <c r="XCZ605" s="224"/>
      <c r="XDA605" s="222"/>
      <c r="XDB605" s="222"/>
      <c r="XDC605" s="222"/>
      <c r="XDD605" s="222"/>
      <c r="XDE605" s="222"/>
      <c r="XDF605" s="222"/>
      <c r="XDG605" s="223"/>
      <c r="XDH605" s="224"/>
      <c r="XDI605" s="222"/>
      <c r="XDJ605" s="222"/>
      <c r="XDK605" s="222"/>
      <c r="XDL605" s="222"/>
      <c r="XDM605" s="222"/>
      <c r="XDN605" s="222"/>
      <c r="XDO605" s="223"/>
      <c r="XDP605" s="224"/>
      <c r="XDQ605" s="222"/>
      <c r="XDR605" s="222"/>
      <c r="XDS605" s="222"/>
      <c r="XDT605" s="222"/>
      <c r="XDU605" s="222"/>
      <c r="XDV605" s="222"/>
      <c r="XDW605" s="223"/>
      <c r="XDX605" s="224"/>
      <c r="XDY605" s="222"/>
      <c r="XDZ605" s="222"/>
      <c r="XEA605" s="222"/>
      <c r="XEB605" s="222"/>
      <c r="XEC605" s="222"/>
      <c r="XED605" s="222"/>
      <c r="XEE605" s="223"/>
      <c r="XEF605" s="224"/>
      <c r="XEG605" s="222"/>
      <c r="XEH605" s="222"/>
      <c r="XEI605" s="222"/>
      <c r="XEJ605" s="222"/>
      <c r="XEK605" s="222"/>
      <c r="XEL605" s="222"/>
      <c r="XEM605" s="223"/>
      <c r="XEN605" s="224"/>
      <c r="XEO605" s="222"/>
      <c r="XEP605" s="222"/>
      <c r="XEQ605" s="222"/>
      <c r="XER605" s="222"/>
      <c r="XES605" s="222"/>
      <c r="XET605" s="222"/>
      <c r="XEU605" s="223"/>
      <c r="XEV605" s="224"/>
      <c r="XEW605" s="222"/>
      <c r="XEX605" s="222"/>
      <c r="XEY605" s="222"/>
      <c r="XEZ605" s="222"/>
      <c r="XFA605" s="222"/>
      <c r="XFB605" s="222"/>
      <c r="XFC605" s="223"/>
      <c r="XFD605" s="224"/>
    </row>
    <row r="606" spans="1:16384" x14ac:dyDescent="0.2">
      <c r="A606" s="225" t="s">
        <v>2100</v>
      </c>
      <c r="B606" s="226">
        <v>41523</v>
      </c>
      <c r="C606" s="226">
        <v>42638</v>
      </c>
      <c r="D606" s="227" t="s">
        <v>1092</v>
      </c>
      <c r="E606" s="227" t="s">
        <v>422</v>
      </c>
      <c r="F606" s="227" t="s">
        <v>2102</v>
      </c>
      <c r="G606" s="227" t="s">
        <v>2101</v>
      </c>
      <c r="H606" s="227" t="s">
        <v>2103</v>
      </c>
      <c r="I606" s="369">
        <v>60000</v>
      </c>
      <c r="J606" s="222"/>
      <c r="K606" s="222"/>
      <c r="L606" s="222"/>
      <c r="M606" s="222"/>
      <c r="N606" s="222"/>
      <c r="O606" s="223"/>
      <c r="P606" s="224"/>
      <c r="Q606" s="222"/>
      <c r="R606" s="222"/>
      <c r="S606" s="222"/>
      <c r="T606" s="222"/>
      <c r="U606" s="222"/>
      <c r="V606" s="222"/>
      <c r="W606" s="223"/>
      <c r="X606" s="224"/>
      <c r="Y606" s="222"/>
      <c r="Z606" s="222"/>
      <c r="AA606" s="222"/>
      <c r="AB606" s="222"/>
      <c r="AC606" s="222"/>
      <c r="AD606" s="222"/>
      <c r="AE606" s="223"/>
      <c r="AF606" s="224"/>
      <c r="AG606" s="222"/>
      <c r="AH606" s="222"/>
      <c r="AI606" s="222"/>
      <c r="AJ606" s="222"/>
      <c r="AK606" s="222"/>
      <c r="AL606" s="222"/>
      <c r="AM606" s="223"/>
      <c r="AN606" s="224"/>
      <c r="AO606" s="222"/>
      <c r="AP606" s="222"/>
      <c r="AQ606" s="222"/>
      <c r="AR606" s="222"/>
      <c r="AS606" s="222"/>
      <c r="AT606" s="222"/>
      <c r="AU606" s="223"/>
      <c r="AV606" s="224"/>
      <c r="AW606" s="222"/>
      <c r="AX606" s="222"/>
      <c r="AY606" s="222"/>
      <c r="AZ606" s="222"/>
      <c r="BA606" s="222"/>
      <c r="BB606" s="222"/>
      <c r="BC606" s="223"/>
      <c r="BD606" s="224"/>
      <c r="BE606" s="222"/>
      <c r="BF606" s="222"/>
      <c r="BG606" s="222"/>
      <c r="BH606" s="222"/>
      <c r="BI606" s="222"/>
      <c r="BJ606" s="222"/>
      <c r="BK606" s="223"/>
      <c r="BL606" s="224"/>
      <c r="BM606" s="222"/>
      <c r="BN606" s="222"/>
      <c r="BO606" s="222"/>
      <c r="BP606" s="222"/>
      <c r="BQ606" s="222"/>
      <c r="BR606" s="222"/>
      <c r="BS606" s="223"/>
      <c r="BT606" s="224"/>
      <c r="BU606" s="222"/>
      <c r="BV606" s="222"/>
      <c r="BW606" s="222"/>
      <c r="BX606" s="222"/>
      <c r="BY606" s="222"/>
      <c r="BZ606" s="222"/>
      <c r="CA606" s="223"/>
      <c r="CB606" s="224"/>
      <c r="CC606" s="222"/>
      <c r="CD606" s="222"/>
      <c r="CE606" s="222"/>
      <c r="CF606" s="222"/>
      <c r="CG606" s="222"/>
      <c r="CH606" s="222"/>
      <c r="CI606" s="223"/>
      <c r="CJ606" s="224"/>
      <c r="CK606" s="222"/>
      <c r="CL606" s="222"/>
      <c r="CM606" s="222"/>
      <c r="CN606" s="222"/>
      <c r="CO606" s="222"/>
      <c r="CP606" s="222"/>
      <c r="CQ606" s="223"/>
      <c r="CR606" s="224"/>
      <c r="CS606" s="222"/>
      <c r="CT606" s="222"/>
      <c r="CU606" s="222"/>
      <c r="CV606" s="222"/>
      <c r="CW606" s="222"/>
      <c r="CX606" s="222"/>
      <c r="CY606" s="223"/>
      <c r="CZ606" s="224"/>
      <c r="DA606" s="222"/>
      <c r="DB606" s="222"/>
      <c r="DC606" s="222"/>
      <c r="DD606" s="222"/>
      <c r="DE606" s="222"/>
      <c r="DF606" s="222"/>
      <c r="DG606" s="223"/>
      <c r="DH606" s="224"/>
      <c r="DI606" s="222"/>
      <c r="DJ606" s="222"/>
      <c r="DK606" s="222"/>
      <c r="DL606" s="222"/>
      <c r="DM606" s="222"/>
      <c r="DN606" s="222"/>
      <c r="DO606" s="223"/>
      <c r="DP606" s="224"/>
      <c r="DQ606" s="222"/>
      <c r="DR606" s="222"/>
      <c r="DS606" s="222"/>
      <c r="DT606" s="222"/>
      <c r="DU606" s="222"/>
      <c r="DV606" s="222"/>
      <c r="DW606" s="223"/>
      <c r="DX606" s="224"/>
      <c r="DY606" s="222"/>
      <c r="DZ606" s="222"/>
      <c r="EA606" s="222"/>
      <c r="EB606" s="222"/>
      <c r="EC606" s="222"/>
      <c r="ED606" s="222"/>
      <c r="EE606" s="223"/>
      <c r="EF606" s="224"/>
      <c r="EG606" s="222"/>
      <c r="EH606" s="222"/>
      <c r="EI606" s="222"/>
      <c r="EJ606" s="222"/>
      <c r="EK606" s="222"/>
      <c r="EL606" s="222"/>
      <c r="EM606" s="223"/>
      <c r="EN606" s="224"/>
      <c r="EO606" s="222"/>
      <c r="EP606" s="222"/>
      <c r="EQ606" s="222"/>
      <c r="ER606" s="222"/>
      <c r="ES606" s="222"/>
      <c r="ET606" s="222"/>
      <c r="EU606" s="223"/>
      <c r="EV606" s="224"/>
      <c r="EW606" s="222"/>
      <c r="EX606" s="222"/>
      <c r="EY606" s="222"/>
      <c r="EZ606" s="222"/>
      <c r="FA606" s="222"/>
      <c r="FB606" s="222"/>
      <c r="FC606" s="223"/>
      <c r="FD606" s="224"/>
      <c r="FE606" s="222"/>
      <c r="FF606" s="222"/>
      <c r="FG606" s="222"/>
      <c r="FH606" s="222"/>
      <c r="FI606" s="222"/>
      <c r="FJ606" s="222"/>
      <c r="FK606" s="223"/>
      <c r="FL606" s="224"/>
      <c r="FM606" s="222"/>
      <c r="FN606" s="222"/>
      <c r="FO606" s="222"/>
      <c r="FP606" s="222"/>
      <c r="FQ606" s="222"/>
      <c r="FR606" s="222"/>
      <c r="FS606" s="223"/>
      <c r="FT606" s="224"/>
      <c r="FU606" s="222"/>
      <c r="FV606" s="222"/>
      <c r="FW606" s="222"/>
      <c r="FX606" s="222"/>
      <c r="FY606" s="222"/>
      <c r="FZ606" s="222"/>
      <c r="GA606" s="223"/>
      <c r="GB606" s="224"/>
      <c r="GC606" s="222"/>
      <c r="GD606" s="222"/>
      <c r="GE606" s="222"/>
      <c r="GF606" s="222"/>
      <c r="GG606" s="222"/>
      <c r="GH606" s="222"/>
      <c r="GI606" s="223"/>
      <c r="GJ606" s="224"/>
      <c r="GK606" s="222"/>
      <c r="GL606" s="222"/>
      <c r="GM606" s="222"/>
      <c r="GN606" s="222"/>
      <c r="GO606" s="222"/>
      <c r="GP606" s="222"/>
      <c r="GQ606" s="223"/>
      <c r="GR606" s="224"/>
      <c r="GS606" s="222"/>
      <c r="GT606" s="222"/>
      <c r="GU606" s="222"/>
      <c r="GV606" s="222"/>
      <c r="GW606" s="222"/>
      <c r="GX606" s="222"/>
      <c r="GY606" s="223"/>
      <c r="GZ606" s="224"/>
      <c r="HA606" s="222"/>
      <c r="HB606" s="222"/>
      <c r="HC606" s="222"/>
      <c r="HD606" s="222"/>
      <c r="HE606" s="222"/>
      <c r="HF606" s="222"/>
      <c r="HG606" s="223"/>
      <c r="HH606" s="224"/>
      <c r="HI606" s="222"/>
      <c r="HJ606" s="222"/>
      <c r="HK606" s="222"/>
      <c r="HL606" s="222"/>
      <c r="HM606" s="222"/>
      <c r="HN606" s="222"/>
      <c r="HO606" s="223"/>
      <c r="HP606" s="224"/>
      <c r="HQ606" s="222"/>
      <c r="HR606" s="222"/>
      <c r="HS606" s="222"/>
      <c r="HT606" s="222"/>
      <c r="HU606" s="222"/>
      <c r="HV606" s="222"/>
      <c r="HW606" s="223"/>
      <c r="HX606" s="224"/>
      <c r="HY606" s="222"/>
      <c r="HZ606" s="222"/>
      <c r="IA606" s="222"/>
      <c r="IB606" s="222"/>
      <c r="IC606" s="222"/>
      <c r="ID606" s="222"/>
      <c r="IE606" s="223"/>
      <c r="IF606" s="224"/>
      <c r="IG606" s="222"/>
      <c r="IH606" s="222"/>
      <c r="II606" s="222"/>
      <c r="IJ606" s="222"/>
      <c r="IK606" s="222"/>
      <c r="IL606" s="222"/>
      <c r="IM606" s="223"/>
      <c r="IN606" s="224"/>
      <c r="IO606" s="222"/>
      <c r="IP606" s="222"/>
      <c r="IQ606" s="222"/>
      <c r="IR606" s="222"/>
      <c r="IS606" s="222"/>
      <c r="IT606" s="222"/>
      <c r="IU606" s="223"/>
      <c r="IV606" s="224"/>
      <c r="IW606" s="222"/>
      <c r="IX606" s="222"/>
      <c r="IY606" s="222"/>
      <c r="IZ606" s="222"/>
      <c r="JA606" s="222"/>
      <c r="JB606" s="222"/>
      <c r="JC606" s="223"/>
      <c r="JD606" s="224"/>
      <c r="JE606" s="222"/>
      <c r="JF606" s="222"/>
      <c r="JG606" s="222"/>
      <c r="JH606" s="222"/>
      <c r="JI606" s="222"/>
      <c r="JJ606" s="222"/>
      <c r="JK606" s="223"/>
      <c r="JL606" s="224"/>
      <c r="JM606" s="222"/>
      <c r="JN606" s="222"/>
      <c r="JO606" s="222"/>
      <c r="JP606" s="222"/>
      <c r="JQ606" s="222"/>
      <c r="JR606" s="222"/>
      <c r="JS606" s="223"/>
      <c r="JT606" s="224"/>
      <c r="JU606" s="222"/>
      <c r="JV606" s="222"/>
      <c r="JW606" s="222"/>
      <c r="JX606" s="222"/>
      <c r="JY606" s="222"/>
      <c r="JZ606" s="222"/>
      <c r="KA606" s="223"/>
      <c r="KB606" s="224"/>
      <c r="KC606" s="222"/>
      <c r="KD606" s="222"/>
      <c r="KE606" s="222"/>
      <c r="KF606" s="222"/>
      <c r="KG606" s="222"/>
      <c r="KH606" s="222"/>
      <c r="KI606" s="223"/>
      <c r="KJ606" s="224"/>
      <c r="KK606" s="222"/>
      <c r="KL606" s="222"/>
      <c r="KM606" s="222"/>
      <c r="KN606" s="222"/>
      <c r="KO606" s="222"/>
      <c r="KP606" s="222"/>
      <c r="KQ606" s="223"/>
      <c r="KR606" s="224"/>
      <c r="KS606" s="222"/>
      <c r="KT606" s="222"/>
      <c r="KU606" s="222"/>
      <c r="KV606" s="222"/>
      <c r="KW606" s="222"/>
      <c r="KX606" s="222"/>
      <c r="KY606" s="223"/>
      <c r="KZ606" s="224"/>
      <c r="LA606" s="222"/>
      <c r="LB606" s="222"/>
      <c r="LC606" s="222"/>
      <c r="LD606" s="222"/>
      <c r="LE606" s="222"/>
      <c r="LF606" s="222"/>
      <c r="LG606" s="223"/>
      <c r="LH606" s="224"/>
      <c r="LI606" s="222"/>
      <c r="LJ606" s="222"/>
      <c r="LK606" s="222"/>
      <c r="LL606" s="222"/>
      <c r="LM606" s="222"/>
      <c r="LN606" s="222"/>
      <c r="LO606" s="223"/>
      <c r="LP606" s="224"/>
      <c r="LQ606" s="222"/>
      <c r="LR606" s="222"/>
      <c r="LS606" s="222"/>
      <c r="LT606" s="222"/>
      <c r="LU606" s="222"/>
      <c r="LV606" s="222"/>
      <c r="LW606" s="223"/>
      <c r="LX606" s="224"/>
      <c r="LY606" s="222"/>
      <c r="LZ606" s="222"/>
      <c r="MA606" s="222"/>
      <c r="MB606" s="222"/>
      <c r="MC606" s="222"/>
      <c r="MD606" s="222"/>
      <c r="ME606" s="223"/>
      <c r="MF606" s="224"/>
      <c r="MG606" s="222"/>
      <c r="MH606" s="222"/>
      <c r="MI606" s="222"/>
      <c r="MJ606" s="222"/>
      <c r="MK606" s="222"/>
      <c r="ML606" s="222"/>
      <c r="MM606" s="223"/>
      <c r="MN606" s="224"/>
      <c r="MO606" s="222"/>
      <c r="MP606" s="222"/>
      <c r="MQ606" s="222"/>
      <c r="MR606" s="222"/>
      <c r="MS606" s="222"/>
      <c r="MT606" s="222"/>
      <c r="MU606" s="223"/>
      <c r="MV606" s="224"/>
      <c r="MW606" s="222"/>
      <c r="MX606" s="222"/>
      <c r="MY606" s="222"/>
      <c r="MZ606" s="222"/>
      <c r="NA606" s="222"/>
      <c r="NB606" s="222"/>
      <c r="NC606" s="223"/>
      <c r="ND606" s="224"/>
      <c r="NE606" s="222"/>
      <c r="NF606" s="222"/>
      <c r="NG606" s="222"/>
      <c r="NH606" s="222"/>
      <c r="NI606" s="222"/>
      <c r="NJ606" s="222"/>
      <c r="NK606" s="223"/>
      <c r="NL606" s="224"/>
      <c r="NM606" s="222"/>
      <c r="NN606" s="222"/>
      <c r="NO606" s="222"/>
      <c r="NP606" s="222"/>
      <c r="NQ606" s="222"/>
      <c r="NR606" s="222"/>
      <c r="NS606" s="223"/>
      <c r="NT606" s="224"/>
      <c r="NU606" s="222"/>
      <c r="NV606" s="222"/>
      <c r="NW606" s="222"/>
      <c r="NX606" s="222"/>
      <c r="NY606" s="222"/>
      <c r="NZ606" s="222"/>
      <c r="OA606" s="223"/>
      <c r="OB606" s="224"/>
      <c r="OC606" s="222"/>
      <c r="OD606" s="222"/>
      <c r="OE606" s="222"/>
      <c r="OF606" s="222"/>
      <c r="OG606" s="222"/>
      <c r="OH606" s="222"/>
      <c r="OI606" s="223"/>
      <c r="OJ606" s="224"/>
      <c r="OK606" s="222"/>
      <c r="OL606" s="222"/>
      <c r="OM606" s="222"/>
      <c r="ON606" s="222"/>
      <c r="OO606" s="222"/>
      <c r="OP606" s="222"/>
      <c r="OQ606" s="223"/>
      <c r="OR606" s="224"/>
      <c r="OS606" s="222"/>
      <c r="OT606" s="222"/>
      <c r="OU606" s="222"/>
      <c r="OV606" s="222"/>
      <c r="OW606" s="222"/>
      <c r="OX606" s="222"/>
      <c r="OY606" s="223"/>
      <c r="OZ606" s="224"/>
      <c r="PA606" s="222"/>
      <c r="PB606" s="222"/>
      <c r="PC606" s="222"/>
      <c r="PD606" s="222"/>
      <c r="PE606" s="222"/>
      <c r="PF606" s="222"/>
      <c r="PG606" s="223"/>
      <c r="PH606" s="224"/>
      <c r="PI606" s="222"/>
      <c r="PJ606" s="222"/>
      <c r="PK606" s="222"/>
      <c r="PL606" s="222"/>
      <c r="PM606" s="222"/>
      <c r="PN606" s="222"/>
      <c r="PO606" s="223"/>
      <c r="PP606" s="224"/>
      <c r="PQ606" s="222"/>
      <c r="PR606" s="222"/>
      <c r="PS606" s="222"/>
      <c r="PT606" s="222"/>
      <c r="PU606" s="222"/>
      <c r="PV606" s="222"/>
      <c r="PW606" s="223"/>
      <c r="PX606" s="224"/>
      <c r="PY606" s="222"/>
      <c r="PZ606" s="222"/>
      <c r="QA606" s="222"/>
      <c r="QB606" s="222"/>
      <c r="QC606" s="222"/>
      <c r="QD606" s="222"/>
      <c r="QE606" s="223"/>
      <c r="QF606" s="224"/>
      <c r="QG606" s="222"/>
      <c r="QH606" s="222"/>
      <c r="QI606" s="222"/>
      <c r="QJ606" s="222"/>
      <c r="QK606" s="222"/>
      <c r="QL606" s="222"/>
      <c r="QM606" s="223"/>
      <c r="QN606" s="224"/>
      <c r="QO606" s="222"/>
      <c r="QP606" s="222"/>
      <c r="QQ606" s="222"/>
      <c r="QR606" s="222"/>
      <c r="QS606" s="222"/>
      <c r="QT606" s="222"/>
      <c r="QU606" s="223"/>
      <c r="QV606" s="224"/>
      <c r="QW606" s="222"/>
      <c r="QX606" s="222"/>
      <c r="QY606" s="222"/>
      <c r="QZ606" s="222"/>
      <c r="RA606" s="222"/>
      <c r="RB606" s="222"/>
      <c r="RC606" s="223"/>
      <c r="RD606" s="224"/>
      <c r="RE606" s="222"/>
      <c r="RF606" s="222"/>
      <c r="RG606" s="222"/>
      <c r="RH606" s="222"/>
      <c r="RI606" s="222"/>
      <c r="RJ606" s="222"/>
      <c r="RK606" s="223"/>
      <c r="RL606" s="224"/>
      <c r="RM606" s="222"/>
      <c r="RN606" s="222"/>
      <c r="RO606" s="222"/>
      <c r="RP606" s="222"/>
      <c r="RQ606" s="222"/>
      <c r="RR606" s="222"/>
      <c r="RS606" s="223"/>
      <c r="RT606" s="224"/>
      <c r="RU606" s="222"/>
      <c r="RV606" s="222"/>
      <c r="RW606" s="222"/>
      <c r="RX606" s="222"/>
      <c r="RY606" s="222"/>
      <c r="RZ606" s="222"/>
      <c r="SA606" s="223"/>
      <c r="SB606" s="224"/>
      <c r="SC606" s="222"/>
      <c r="SD606" s="222"/>
      <c r="SE606" s="222"/>
      <c r="SF606" s="222"/>
      <c r="SG606" s="222"/>
      <c r="SH606" s="222"/>
      <c r="SI606" s="223"/>
      <c r="SJ606" s="224"/>
      <c r="SK606" s="222"/>
      <c r="SL606" s="222"/>
      <c r="SM606" s="222"/>
      <c r="SN606" s="222"/>
      <c r="SO606" s="222"/>
      <c r="SP606" s="222"/>
      <c r="SQ606" s="223"/>
      <c r="SR606" s="224"/>
      <c r="SS606" s="222"/>
      <c r="ST606" s="222"/>
      <c r="SU606" s="222"/>
      <c r="SV606" s="222"/>
      <c r="SW606" s="222"/>
      <c r="SX606" s="222"/>
      <c r="SY606" s="223"/>
      <c r="SZ606" s="224"/>
      <c r="TA606" s="222"/>
      <c r="TB606" s="222"/>
      <c r="TC606" s="222"/>
      <c r="TD606" s="222"/>
      <c r="TE606" s="222"/>
      <c r="TF606" s="222"/>
      <c r="TG606" s="223"/>
      <c r="TH606" s="224"/>
      <c r="TI606" s="222"/>
      <c r="TJ606" s="222"/>
      <c r="TK606" s="222"/>
      <c r="TL606" s="222"/>
      <c r="TM606" s="222"/>
      <c r="TN606" s="222"/>
      <c r="TO606" s="223"/>
      <c r="TP606" s="224"/>
      <c r="TQ606" s="222"/>
      <c r="TR606" s="222"/>
      <c r="TS606" s="222"/>
      <c r="TT606" s="222"/>
      <c r="TU606" s="222"/>
      <c r="TV606" s="222"/>
      <c r="TW606" s="223"/>
      <c r="TX606" s="224"/>
      <c r="TY606" s="222"/>
      <c r="TZ606" s="222"/>
      <c r="UA606" s="222"/>
      <c r="UB606" s="222"/>
      <c r="UC606" s="222"/>
      <c r="UD606" s="222"/>
      <c r="UE606" s="223"/>
      <c r="UF606" s="224"/>
      <c r="UG606" s="222"/>
      <c r="UH606" s="222"/>
      <c r="UI606" s="222"/>
      <c r="UJ606" s="222"/>
      <c r="UK606" s="222"/>
      <c r="UL606" s="222"/>
      <c r="UM606" s="223"/>
      <c r="UN606" s="224"/>
      <c r="UO606" s="222"/>
      <c r="UP606" s="222"/>
      <c r="UQ606" s="222"/>
      <c r="UR606" s="222"/>
      <c r="US606" s="222"/>
      <c r="UT606" s="222"/>
      <c r="UU606" s="223"/>
      <c r="UV606" s="224"/>
      <c r="UW606" s="222"/>
      <c r="UX606" s="222"/>
      <c r="UY606" s="222"/>
      <c r="UZ606" s="222"/>
      <c r="VA606" s="222"/>
      <c r="VB606" s="222"/>
      <c r="VC606" s="223"/>
      <c r="VD606" s="224"/>
      <c r="VE606" s="222"/>
      <c r="VF606" s="222"/>
      <c r="VG606" s="222"/>
      <c r="VH606" s="222"/>
      <c r="VI606" s="222"/>
      <c r="VJ606" s="222"/>
      <c r="VK606" s="223"/>
      <c r="VL606" s="224"/>
      <c r="VM606" s="222"/>
      <c r="VN606" s="222"/>
      <c r="VO606" s="222"/>
      <c r="VP606" s="222"/>
      <c r="VQ606" s="222"/>
      <c r="VR606" s="222"/>
      <c r="VS606" s="223"/>
      <c r="VT606" s="224"/>
      <c r="VU606" s="222"/>
      <c r="VV606" s="222"/>
      <c r="VW606" s="222"/>
      <c r="VX606" s="222"/>
      <c r="VY606" s="222"/>
      <c r="VZ606" s="222"/>
      <c r="WA606" s="223"/>
      <c r="WB606" s="224"/>
      <c r="WC606" s="222"/>
      <c r="WD606" s="222"/>
      <c r="WE606" s="222"/>
      <c r="WF606" s="222"/>
      <c r="WG606" s="222"/>
      <c r="WH606" s="222"/>
      <c r="WI606" s="223"/>
      <c r="WJ606" s="224"/>
      <c r="WK606" s="222"/>
      <c r="WL606" s="222"/>
      <c r="WM606" s="222"/>
      <c r="WN606" s="222"/>
      <c r="WO606" s="222"/>
      <c r="WP606" s="222"/>
      <c r="WQ606" s="223"/>
      <c r="WR606" s="224"/>
      <c r="WS606" s="222"/>
      <c r="WT606" s="222"/>
      <c r="WU606" s="222"/>
      <c r="WV606" s="222"/>
      <c r="WW606" s="222"/>
      <c r="WX606" s="222"/>
      <c r="WY606" s="223"/>
      <c r="WZ606" s="224"/>
      <c r="XA606" s="222"/>
      <c r="XB606" s="222"/>
      <c r="XC606" s="222"/>
      <c r="XD606" s="222"/>
      <c r="XE606" s="222"/>
      <c r="XF606" s="222"/>
      <c r="XG606" s="223"/>
      <c r="XH606" s="224"/>
      <c r="XI606" s="222"/>
      <c r="XJ606" s="222"/>
      <c r="XK606" s="222"/>
      <c r="XL606" s="222"/>
      <c r="XM606" s="222"/>
      <c r="XN606" s="222"/>
      <c r="XO606" s="223"/>
      <c r="XP606" s="224"/>
      <c r="XQ606" s="222"/>
      <c r="XR606" s="222"/>
      <c r="XS606" s="222"/>
      <c r="XT606" s="222"/>
      <c r="XU606" s="222"/>
      <c r="XV606" s="222"/>
      <c r="XW606" s="223"/>
      <c r="XX606" s="224"/>
      <c r="XY606" s="222"/>
      <c r="XZ606" s="222"/>
      <c r="YA606" s="222"/>
      <c r="YB606" s="222"/>
      <c r="YC606" s="222"/>
      <c r="YD606" s="222"/>
      <c r="YE606" s="223"/>
      <c r="YF606" s="224"/>
      <c r="YG606" s="222"/>
      <c r="YH606" s="222"/>
      <c r="YI606" s="222"/>
      <c r="YJ606" s="222"/>
      <c r="YK606" s="222"/>
      <c r="YL606" s="222"/>
      <c r="YM606" s="223"/>
      <c r="YN606" s="224"/>
      <c r="YO606" s="222"/>
      <c r="YP606" s="222"/>
      <c r="YQ606" s="222"/>
      <c r="YR606" s="222"/>
      <c r="YS606" s="222"/>
      <c r="YT606" s="222"/>
      <c r="YU606" s="223"/>
      <c r="YV606" s="224"/>
      <c r="YW606" s="222"/>
      <c r="YX606" s="222"/>
      <c r="YY606" s="222"/>
      <c r="YZ606" s="222"/>
      <c r="ZA606" s="222"/>
      <c r="ZB606" s="222"/>
      <c r="ZC606" s="223"/>
      <c r="ZD606" s="224"/>
      <c r="ZE606" s="222"/>
      <c r="ZF606" s="222"/>
      <c r="ZG606" s="222"/>
      <c r="ZH606" s="222"/>
      <c r="ZI606" s="222"/>
      <c r="ZJ606" s="222"/>
      <c r="ZK606" s="223"/>
      <c r="ZL606" s="224"/>
      <c r="ZM606" s="222"/>
      <c r="ZN606" s="222"/>
      <c r="ZO606" s="222"/>
      <c r="ZP606" s="222"/>
      <c r="ZQ606" s="222"/>
      <c r="ZR606" s="222"/>
      <c r="ZS606" s="223"/>
      <c r="ZT606" s="224"/>
      <c r="ZU606" s="222"/>
      <c r="ZV606" s="222"/>
      <c r="ZW606" s="222"/>
      <c r="ZX606" s="222"/>
      <c r="ZY606" s="222"/>
      <c r="ZZ606" s="222"/>
      <c r="AAA606" s="223"/>
      <c r="AAB606" s="224"/>
      <c r="AAC606" s="222"/>
      <c r="AAD606" s="222"/>
      <c r="AAE606" s="222"/>
      <c r="AAF606" s="222"/>
      <c r="AAG606" s="222"/>
      <c r="AAH606" s="222"/>
      <c r="AAI606" s="223"/>
      <c r="AAJ606" s="224"/>
      <c r="AAK606" s="222"/>
      <c r="AAL606" s="222"/>
      <c r="AAM606" s="222"/>
      <c r="AAN606" s="222"/>
      <c r="AAO606" s="222"/>
      <c r="AAP606" s="222"/>
      <c r="AAQ606" s="223"/>
      <c r="AAR606" s="224"/>
      <c r="AAS606" s="222"/>
      <c r="AAT606" s="222"/>
      <c r="AAU606" s="222"/>
      <c r="AAV606" s="222"/>
      <c r="AAW606" s="222"/>
      <c r="AAX606" s="222"/>
      <c r="AAY606" s="223"/>
      <c r="AAZ606" s="224"/>
      <c r="ABA606" s="222"/>
      <c r="ABB606" s="222"/>
      <c r="ABC606" s="222"/>
      <c r="ABD606" s="222"/>
      <c r="ABE606" s="222"/>
      <c r="ABF606" s="222"/>
      <c r="ABG606" s="223"/>
      <c r="ABH606" s="224"/>
      <c r="ABI606" s="222"/>
      <c r="ABJ606" s="222"/>
      <c r="ABK606" s="222"/>
      <c r="ABL606" s="222"/>
      <c r="ABM606" s="222"/>
      <c r="ABN606" s="222"/>
      <c r="ABO606" s="223"/>
      <c r="ABP606" s="224"/>
      <c r="ABQ606" s="222"/>
      <c r="ABR606" s="222"/>
      <c r="ABS606" s="222"/>
      <c r="ABT606" s="222"/>
      <c r="ABU606" s="222"/>
      <c r="ABV606" s="222"/>
      <c r="ABW606" s="223"/>
      <c r="ABX606" s="224"/>
      <c r="ABY606" s="222"/>
      <c r="ABZ606" s="222"/>
      <c r="ACA606" s="222"/>
      <c r="ACB606" s="222"/>
      <c r="ACC606" s="222"/>
      <c r="ACD606" s="222"/>
      <c r="ACE606" s="223"/>
      <c r="ACF606" s="224"/>
      <c r="ACG606" s="222"/>
      <c r="ACH606" s="222"/>
      <c r="ACI606" s="222"/>
      <c r="ACJ606" s="222"/>
      <c r="ACK606" s="222"/>
      <c r="ACL606" s="222"/>
      <c r="ACM606" s="223"/>
      <c r="ACN606" s="224"/>
      <c r="ACO606" s="222"/>
      <c r="ACP606" s="222"/>
      <c r="ACQ606" s="222"/>
      <c r="ACR606" s="222"/>
      <c r="ACS606" s="222"/>
      <c r="ACT606" s="222"/>
      <c r="ACU606" s="223"/>
      <c r="ACV606" s="224"/>
      <c r="ACW606" s="222"/>
      <c r="ACX606" s="222"/>
      <c r="ACY606" s="222"/>
      <c r="ACZ606" s="222"/>
      <c r="ADA606" s="222"/>
      <c r="ADB606" s="222"/>
      <c r="ADC606" s="223"/>
      <c r="ADD606" s="224"/>
      <c r="ADE606" s="222"/>
      <c r="ADF606" s="222"/>
      <c r="ADG606" s="222"/>
      <c r="ADH606" s="222"/>
      <c r="ADI606" s="222"/>
      <c r="ADJ606" s="222"/>
      <c r="ADK606" s="223"/>
      <c r="ADL606" s="224"/>
      <c r="ADM606" s="222"/>
      <c r="ADN606" s="222"/>
      <c r="ADO606" s="222"/>
      <c r="ADP606" s="222"/>
      <c r="ADQ606" s="222"/>
      <c r="ADR606" s="222"/>
      <c r="ADS606" s="223"/>
      <c r="ADT606" s="224"/>
      <c r="ADU606" s="222"/>
      <c r="ADV606" s="222"/>
      <c r="ADW606" s="222"/>
      <c r="ADX606" s="222"/>
      <c r="ADY606" s="222"/>
      <c r="ADZ606" s="222"/>
      <c r="AEA606" s="223"/>
      <c r="AEB606" s="224"/>
      <c r="AEC606" s="222"/>
      <c r="AED606" s="222"/>
      <c r="AEE606" s="222"/>
      <c r="AEF606" s="222"/>
      <c r="AEG606" s="222"/>
      <c r="AEH606" s="222"/>
      <c r="AEI606" s="223"/>
      <c r="AEJ606" s="224"/>
      <c r="AEK606" s="222"/>
      <c r="AEL606" s="222"/>
      <c r="AEM606" s="222"/>
      <c r="AEN606" s="222"/>
      <c r="AEO606" s="222"/>
      <c r="AEP606" s="222"/>
      <c r="AEQ606" s="223"/>
      <c r="AER606" s="224"/>
      <c r="AES606" s="222"/>
      <c r="AET606" s="222"/>
      <c r="AEU606" s="222"/>
      <c r="AEV606" s="222"/>
      <c r="AEW606" s="222"/>
      <c r="AEX606" s="222"/>
      <c r="AEY606" s="223"/>
      <c r="AEZ606" s="224"/>
      <c r="AFA606" s="222"/>
      <c r="AFB606" s="222"/>
      <c r="AFC606" s="222"/>
      <c r="AFD606" s="222"/>
      <c r="AFE606" s="222"/>
      <c r="AFF606" s="222"/>
      <c r="AFG606" s="223"/>
      <c r="AFH606" s="224"/>
      <c r="AFI606" s="222"/>
      <c r="AFJ606" s="222"/>
      <c r="AFK606" s="222"/>
      <c r="AFL606" s="222"/>
      <c r="AFM606" s="222"/>
      <c r="AFN606" s="222"/>
      <c r="AFO606" s="223"/>
      <c r="AFP606" s="224"/>
      <c r="AFQ606" s="222"/>
      <c r="AFR606" s="222"/>
      <c r="AFS606" s="222"/>
      <c r="AFT606" s="222"/>
      <c r="AFU606" s="222"/>
      <c r="AFV606" s="222"/>
      <c r="AFW606" s="223"/>
      <c r="AFX606" s="224"/>
      <c r="AFY606" s="222"/>
      <c r="AFZ606" s="222"/>
      <c r="AGA606" s="222"/>
      <c r="AGB606" s="222"/>
      <c r="AGC606" s="222"/>
      <c r="AGD606" s="222"/>
      <c r="AGE606" s="223"/>
      <c r="AGF606" s="224"/>
      <c r="AGG606" s="222"/>
      <c r="AGH606" s="222"/>
      <c r="AGI606" s="222"/>
      <c r="AGJ606" s="222"/>
      <c r="AGK606" s="222"/>
      <c r="AGL606" s="222"/>
      <c r="AGM606" s="223"/>
      <c r="AGN606" s="224"/>
      <c r="AGO606" s="222"/>
      <c r="AGP606" s="222"/>
      <c r="AGQ606" s="222"/>
      <c r="AGR606" s="222"/>
      <c r="AGS606" s="222"/>
      <c r="AGT606" s="222"/>
      <c r="AGU606" s="223"/>
      <c r="AGV606" s="224"/>
      <c r="AGW606" s="222"/>
      <c r="AGX606" s="222"/>
      <c r="AGY606" s="222"/>
      <c r="AGZ606" s="222"/>
      <c r="AHA606" s="222"/>
      <c r="AHB606" s="222"/>
      <c r="AHC606" s="223"/>
      <c r="AHD606" s="224"/>
      <c r="AHE606" s="222"/>
      <c r="AHF606" s="222"/>
      <c r="AHG606" s="222"/>
      <c r="AHH606" s="222"/>
      <c r="AHI606" s="222"/>
      <c r="AHJ606" s="222"/>
      <c r="AHK606" s="223"/>
      <c r="AHL606" s="224"/>
      <c r="AHM606" s="222"/>
      <c r="AHN606" s="222"/>
      <c r="AHO606" s="222"/>
      <c r="AHP606" s="222"/>
      <c r="AHQ606" s="222"/>
      <c r="AHR606" s="222"/>
      <c r="AHS606" s="223"/>
      <c r="AHT606" s="224"/>
      <c r="AHU606" s="222"/>
      <c r="AHV606" s="222"/>
      <c r="AHW606" s="222"/>
      <c r="AHX606" s="222"/>
      <c r="AHY606" s="222"/>
      <c r="AHZ606" s="222"/>
      <c r="AIA606" s="223"/>
      <c r="AIB606" s="224"/>
      <c r="AIC606" s="222"/>
      <c r="AID606" s="222"/>
      <c r="AIE606" s="222"/>
      <c r="AIF606" s="222"/>
      <c r="AIG606" s="222"/>
      <c r="AIH606" s="222"/>
      <c r="AII606" s="223"/>
      <c r="AIJ606" s="224"/>
      <c r="AIK606" s="222"/>
      <c r="AIL606" s="222"/>
      <c r="AIM606" s="222"/>
      <c r="AIN606" s="222"/>
      <c r="AIO606" s="222"/>
      <c r="AIP606" s="222"/>
      <c r="AIQ606" s="223"/>
      <c r="AIR606" s="224"/>
      <c r="AIS606" s="222"/>
      <c r="AIT606" s="222"/>
      <c r="AIU606" s="222"/>
      <c r="AIV606" s="222"/>
      <c r="AIW606" s="222"/>
      <c r="AIX606" s="222"/>
      <c r="AIY606" s="223"/>
      <c r="AIZ606" s="224"/>
      <c r="AJA606" s="222"/>
      <c r="AJB606" s="222"/>
      <c r="AJC606" s="222"/>
      <c r="AJD606" s="222"/>
      <c r="AJE606" s="222"/>
      <c r="AJF606" s="222"/>
      <c r="AJG606" s="223"/>
      <c r="AJH606" s="224"/>
      <c r="AJI606" s="222"/>
      <c r="AJJ606" s="222"/>
      <c r="AJK606" s="222"/>
      <c r="AJL606" s="222"/>
      <c r="AJM606" s="222"/>
      <c r="AJN606" s="222"/>
      <c r="AJO606" s="223"/>
      <c r="AJP606" s="224"/>
      <c r="AJQ606" s="222"/>
      <c r="AJR606" s="222"/>
      <c r="AJS606" s="222"/>
      <c r="AJT606" s="222"/>
      <c r="AJU606" s="222"/>
      <c r="AJV606" s="222"/>
      <c r="AJW606" s="223"/>
      <c r="AJX606" s="224"/>
      <c r="AJY606" s="222"/>
      <c r="AJZ606" s="222"/>
      <c r="AKA606" s="222"/>
      <c r="AKB606" s="222"/>
      <c r="AKC606" s="222"/>
      <c r="AKD606" s="222"/>
      <c r="AKE606" s="223"/>
      <c r="AKF606" s="224"/>
      <c r="AKG606" s="222"/>
      <c r="AKH606" s="222"/>
      <c r="AKI606" s="222"/>
      <c r="AKJ606" s="222"/>
      <c r="AKK606" s="222"/>
      <c r="AKL606" s="222"/>
      <c r="AKM606" s="223"/>
      <c r="AKN606" s="224"/>
      <c r="AKO606" s="222"/>
      <c r="AKP606" s="222"/>
      <c r="AKQ606" s="222"/>
      <c r="AKR606" s="222"/>
      <c r="AKS606" s="222"/>
      <c r="AKT606" s="222"/>
      <c r="AKU606" s="223"/>
      <c r="AKV606" s="224"/>
      <c r="AKW606" s="222"/>
      <c r="AKX606" s="222"/>
      <c r="AKY606" s="222"/>
      <c r="AKZ606" s="222"/>
      <c r="ALA606" s="222"/>
      <c r="ALB606" s="222"/>
      <c r="ALC606" s="223"/>
      <c r="ALD606" s="224"/>
      <c r="ALE606" s="222"/>
      <c r="ALF606" s="222"/>
      <c r="ALG606" s="222"/>
      <c r="ALH606" s="222"/>
      <c r="ALI606" s="222"/>
      <c r="ALJ606" s="222"/>
      <c r="ALK606" s="223"/>
      <c r="ALL606" s="224"/>
      <c r="ALM606" s="222"/>
      <c r="ALN606" s="222"/>
      <c r="ALO606" s="222"/>
      <c r="ALP606" s="222"/>
      <c r="ALQ606" s="222"/>
      <c r="ALR606" s="222"/>
      <c r="ALS606" s="223"/>
      <c r="ALT606" s="224"/>
      <c r="ALU606" s="222"/>
      <c r="ALV606" s="222"/>
      <c r="ALW606" s="222"/>
      <c r="ALX606" s="222"/>
      <c r="ALY606" s="222"/>
      <c r="ALZ606" s="222"/>
      <c r="AMA606" s="223"/>
      <c r="AMB606" s="224"/>
      <c r="AMC606" s="222"/>
      <c r="AMD606" s="222"/>
      <c r="AME606" s="222"/>
      <c r="AMF606" s="222"/>
      <c r="AMG606" s="222"/>
      <c r="AMH606" s="222"/>
      <c r="AMI606" s="223"/>
      <c r="AMJ606" s="224"/>
      <c r="AMK606" s="222"/>
      <c r="AML606" s="222"/>
      <c r="AMM606" s="222"/>
      <c r="AMN606" s="222"/>
      <c r="AMO606" s="222"/>
      <c r="AMP606" s="222"/>
      <c r="AMQ606" s="223"/>
      <c r="AMR606" s="224"/>
      <c r="AMS606" s="222"/>
      <c r="AMT606" s="222"/>
      <c r="AMU606" s="222"/>
      <c r="AMV606" s="222"/>
      <c r="AMW606" s="222"/>
      <c r="AMX606" s="222"/>
      <c r="AMY606" s="223"/>
      <c r="AMZ606" s="224"/>
      <c r="ANA606" s="222"/>
      <c r="ANB606" s="222"/>
      <c r="ANC606" s="222"/>
      <c r="AND606" s="222"/>
      <c r="ANE606" s="222"/>
      <c r="ANF606" s="222"/>
      <c r="ANG606" s="223"/>
      <c r="ANH606" s="224"/>
      <c r="ANI606" s="222"/>
      <c r="ANJ606" s="222"/>
      <c r="ANK606" s="222"/>
      <c r="ANL606" s="222"/>
      <c r="ANM606" s="222"/>
      <c r="ANN606" s="222"/>
      <c r="ANO606" s="223"/>
      <c r="ANP606" s="224"/>
      <c r="ANQ606" s="222"/>
      <c r="ANR606" s="222"/>
      <c r="ANS606" s="222"/>
      <c r="ANT606" s="222"/>
      <c r="ANU606" s="222"/>
      <c r="ANV606" s="222"/>
      <c r="ANW606" s="223"/>
      <c r="ANX606" s="224"/>
      <c r="ANY606" s="222"/>
      <c r="ANZ606" s="222"/>
      <c r="AOA606" s="222"/>
      <c r="AOB606" s="222"/>
      <c r="AOC606" s="222"/>
      <c r="AOD606" s="222"/>
      <c r="AOE606" s="223"/>
      <c r="AOF606" s="224"/>
      <c r="AOG606" s="222"/>
      <c r="AOH606" s="222"/>
      <c r="AOI606" s="222"/>
      <c r="AOJ606" s="222"/>
      <c r="AOK606" s="222"/>
      <c r="AOL606" s="222"/>
      <c r="AOM606" s="223"/>
      <c r="AON606" s="224"/>
      <c r="AOO606" s="222"/>
      <c r="AOP606" s="222"/>
      <c r="AOQ606" s="222"/>
      <c r="AOR606" s="222"/>
      <c r="AOS606" s="222"/>
      <c r="AOT606" s="222"/>
      <c r="AOU606" s="223"/>
      <c r="AOV606" s="224"/>
      <c r="AOW606" s="222"/>
      <c r="AOX606" s="222"/>
      <c r="AOY606" s="222"/>
      <c r="AOZ606" s="222"/>
      <c r="APA606" s="222"/>
      <c r="APB606" s="222"/>
      <c r="APC606" s="223"/>
      <c r="APD606" s="224"/>
      <c r="APE606" s="222"/>
      <c r="APF606" s="222"/>
      <c r="APG606" s="222"/>
      <c r="APH606" s="222"/>
      <c r="API606" s="222"/>
      <c r="APJ606" s="222"/>
      <c r="APK606" s="223"/>
      <c r="APL606" s="224"/>
      <c r="APM606" s="222"/>
      <c r="APN606" s="222"/>
      <c r="APO606" s="222"/>
      <c r="APP606" s="222"/>
      <c r="APQ606" s="222"/>
      <c r="APR606" s="222"/>
      <c r="APS606" s="223"/>
      <c r="APT606" s="224"/>
      <c r="APU606" s="222"/>
      <c r="APV606" s="222"/>
      <c r="APW606" s="222"/>
      <c r="APX606" s="222"/>
      <c r="APY606" s="222"/>
      <c r="APZ606" s="222"/>
      <c r="AQA606" s="223"/>
      <c r="AQB606" s="224"/>
      <c r="AQC606" s="222"/>
      <c r="AQD606" s="222"/>
      <c r="AQE606" s="222"/>
      <c r="AQF606" s="222"/>
      <c r="AQG606" s="222"/>
      <c r="AQH606" s="222"/>
      <c r="AQI606" s="223"/>
      <c r="AQJ606" s="224"/>
      <c r="AQK606" s="222"/>
      <c r="AQL606" s="222"/>
      <c r="AQM606" s="222"/>
      <c r="AQN606" s="222"/>
      <c r="AQO606" s="222"/>
      <c r="AQP606" s="222"/>
      <c r="AQQ606" s="223"/>
      <c r="AQR606" s="224"/>
      <c r="AQS606" s="222"/>
      <c r="AQT606" s="222"/>
      <c r="AQU606" s="222"/>
      <c r="AQV606" s="222"/>
      <c r="AQW606" s="222"/>
      <c r="AQX606" s="222"/>
      <c r="AQY606" s="223"/>
      <c r="AQZ606" s="224"/>
      <c r="ARA606" s="222"/>
      <c r="ARB606" s="222"/>
      <c r="ARC606" s="222"/>
      <c r="ARD606" s="222"/>
      <c r="ARE606" s="222"/>
      <c r="ARF606" s="222"/>
      <c r="ARG606" s="223"/>
      <c r="ARH606" s="224"/>
      <c r="ARI606" s="222"/>
      <c r="ARJ606" s="222"/>
      <c r="ARK606" s="222"/>
      <c r="ARL606" s="222"/>
      <c r="ARM606" s="222"/>
      <c r="ARN606" s="222"/>
      <c r="ARO606" s="223"/>
      <c r="ARP606" s="224"/>
      <c r="ARQ606" s="222"/>
      <c r="ARR606" s="222"/>
      <c r="ARS606" s="222"/>
      <c r="ART606" s="222"/>
      <c r="ARU606" s="222"/>
      <c r="ARV606" s="222"/>
      <c r="ARW606" s="223"/>
      <c r="ARX606" s="224"/>
      <c r="ARY606" s="222"/>
      <c r="ARZ606" s="222"/>
      <c r="ASA606" s="222"/>
      <c r="ASB606" s="222"/>
      <c r="ASC606" s="222"/>
      <c r="ASD606" s="222"/>
      <c r="ASE606" s="223"/>
      <c r="ASF606" s="224"/>
      <c r="ASG606" s="222"/>
      <c r="ASH606" s="222"/>
      <c r="ASI606" s="222"/>
      <c r="ASJ606" s="222"/>
      <c r="ASK606" s="222"/>
      <c r="ASL606" s="222"/>
      <c r="ASM606" s="223"/>
      <c r="ASN606" s="224"/>
      <c r="ASO606" s="222"/>
      <c r="ASP606" s="222"/>
      <c r="ASQ606" s="222"/>
      <c r="ASR606" s="222"/>
      <c r="ASS606" s="222"/>
      <c r="AST606" s="222"/>
      <c r="ASU606" s="223"/>
      <c r="ASV606" s="224"/>
      <c r="ASW606" s="222"/>
      <c r="ASX606" s="222"/>
      <c r="ASY606" s="222"/>
      <c r="ASZ606" s="222"/>
      <c r="ATA606" s="222"/>
      <c r="ATB606" s="222"/>
      <c r="ATC606" s="223"/>
      <c r="ATD606" s="224"/>
      <c r="ATE606" s="222"/>
      <c r="ATF606" s="222"/>
      <c r="ATG606" s="222"/>
      <c r="ATH606" s="222"/>
      <c r="ATI606" s="222"/>
      <c r="ATJ606" s="222"/>
      <c r="ATK606" s="223"/>
      <c r="ATL606" s="224"/>
      <c r="ATM606" s="222"/>
      <c r="ATN606" s="222"/>
      <c r="ATO606" s="222"/>
      <c r="ATP606" s="222"/>
      <c r="ATQ606" s="222"/>
      <c r="ATR606" s="222"/>
      <c r="ATS606" s="223"/>
      <c r="ATT606" s="224"/>
      <c r="ATU606" s="222"/>
      <c r="ATV606" s="222"/>
      <c r="ATW606" s="222"/>
      <c r="ATX606" s="222"/>
      <c r="ATY606" s="222"/>
      <c r="ATZ606" s="222"/>
      <c r="AUA606" s="223"/>
      <c r="AUB606" s="224"/>
      <c r="AUC606" s="222"/>
      <c r="AUD606" s="222"/>
      <c r="AUE606" s="222"/>
      <c r="AUF606" s="222"/>
      <c r="AUG606" s="222"/>
      <c r="AUH606" s="222"/>
      <c r="AUI606" s="223"/>
      <c r="AUJ606" s="224"/>
      <c r="AUK606" s="222"/>
      <c r="AUL606" s="222"/>
      <c r="AUM606" s="222"/>
      <c r="AUN606" s="222"/>
      <c r="AUO606" s="222"/>
      <c r="AUP606" s="222"/>
      <c r="AUQ606" s="223"/>
      <c r="AUR606" s="224"/>
      <c r="AUS606" s="222"/>
      <c r="AUT606" s="222"/>
      <c r="AUU606" s="222"/>
      <c r="AUV606" s="222"/>
      <c r="AUW606" s="222"/>
      <c r="AUX606" s="222"/>
      <c r="AUY606" s="223"/>
      <c r="AUZ606" s="224"/>
      <c r="AVA606" s="222"/>
      <c r="AVB606" s="222"/>
      <c r="AVC606" s="222"/>
      <c r="AVD606" s="222"/>
      <c r="AVE606" s="222"/>
      <c r="AVF606" s="222"/>
      <c r="AVG606" s="223"/>
      <c r="AVH606" s="224"/>
      <c r="AVI606" s="222"/>
      <c r="AVJ606" s="222"/>
      <c r="AVK606" s="222"/>
      <c r="AVL606" s="222"/>
      <c r="AVM606" s="222"/>
      <c r="AVN606" s="222"/>
      <c r="AVO606" s="223"/>
      <c r="AVP606" s="224"/>
      <c r="AVQ606" s="222"/>
      <c r="AVR606" s="222"/>
      <c r="AVS606" s="222"/>
      <c r="AVT606" s="222"/>
      <c r="AVU606" s="222"/>
      <c r="AVV606" s="222"/>
      <c r="AVW606" s="223"/>
      <c r="AVX606" s="224"/>
      <c r="AVY606" s="222"/>
      <c r="AVZ606" s="222"/>
      <c r="AWA606" s="222"/>
      <c r="AWB606" s="222"/>
      <c r="AWC606" s="222"/>
      <c r="AWD606" s="222"/>
      <c r="AWE606" s="223"/>
      <c r="AWF606" s="224"/>
      <c r="AWG606" s="222"/>
      <c r="AWH606" s="222"/>
      <c r="AWI606" s="222"/>
      <c r="AWJ606" s="222"/>
      <c r="AWK606" s="222"/>
      <c r="AWL606" s="222"/>
      <c r="AWM606" s="223"/>
      <c r="AWN606" s="224"/>
      <c r="AWO606" s="222"/>
      <c r="AWP606" s="222"/>
      <c r="AWQ606" s="222"/>
      <c r="AWR606" s="222"/>
      <c r="AWS606" s="222"/>
      <c r="AWT606" s="222"/>
      <c r="AWU606" s="223"/>
      <c r="AWV606" s="224"/>
      <c r="AWW606" s="222"/>
      <c r="AWX606" s="222"/>
      <c r="AWY606" s="222"/>
      <c r="AWZ606" s="222"/>
      <c r="AXA606" s="222"/>
      <c r="AXB606" s="222"/>
      <c r="AXC606" s="223"/>
      <c r="AXD606" s="224"/>
      <c r="AXE606" s="222"/>
      <c r="AXF606" s="222"/>
      <c r="AXG606" s="222"/>
      <c r="AXH606" s="222"/>
      <c r="AXI606" s="222"/>
      <c r="AXJ606" s="222"/>
      <c r="AXK606" s="223"/>
      <c r="AXL606" s="224"/>
      <c r="AXM606" s="222"/>
      <c r="AXN606" s="222"/>
      <c r="AXO606" s="222"/>
      <c r="AXP606" s="222"/>
      <c r="AXQ606" s="222"/>
      <c r="AXR606" s="222"/>
      <c r="AXS606" s="223"/>
      <c r="AXT606" s="224"/>
      <c r="AXU606" s="222"/>
      <c r="AXV606" s="222"/>
      <c r="AXW606" s="222"/>
      <c r="AXX606" s="222"/>
      <c r="AXY606" s="222"/>
      <c r="AXZ606" s="222"/>
      <c r="AYA606" s="223"/>
      <c r="AYB606" s="224"/>
      <c r="AYC606" s="222"/>
      <c r="AYD606" s="222"/>
      <c r="AYE606" s="222"/>
      <c r="AYF606" s="222"/>
      <c r="AYG606" s="222"/>
      <c r="AYH606" s="222"/>
      <c r="AYI606" s="223"/>
      <c r="AYJ606" s="224"/>
      <c r="AYK606" s="222"/>
      <c r="AYL606" s="222"/>
      <c r="AYM606" s="222"/>
      <c r="AYN606" s="222"/>
      <c r="AYO606" s="222"/>
      <c r="AYP606" s="222"/>
      <c r="AYQ606" s="223"/>
      <c r="AYR606" s="224"/>
      <c r="AYS606" s="222"/>
      <c r="AYT606" s="222"/>
      <c r="AYU606" s="222"/>
      <c r="AYV606" s="222"/>
      <c r="AYW606" s="222"/>
      <c r="AYX606" s="222"/>
      <c r="AYY606" s="223"/>
      <c r="AYZ606" s="224"/>
      <c r="AZA606" s="222"/>
      <c r="AZB606" s="222"/>
      <c r="AZC606" s="222"/>
      <c r="AZD606" s="222"/>
      <c r="AZE606" s="222"/>
      <c r="AZF606" s="222"/>
      <c r="AZG606" s="223"/>
      <c r="AZH606" s="224"/>
      <c r="AZI606" s="222"/>
      <c r="AZJ606" s="222"/>
      <c r="AZK606" s="222"/>
      <c r="AZL606" s="222"/>
      <c r="AZM606" s="222"/>
      <c r="AZN606" s="222"/>
      <c r="AZO606" s="223"/>
      <c r="AZP606" s="224"/>
      <c r="AZQ606" s="222"/>
      <c r="AZR606" s="222"/>
      <c r="AZS606" s="222"/>
      <c r="AZT606" s="222"/>
      <c r="AZU606" s="222"/>
      <c r="AZV606" s="222"/>
      <c r="AZW606" s="223"/>
      <c r="AZX606" s="224"/>
      <c r="AZY606" s="222"/>
      <c r="AZZ606" s="222"/>
      <c r="BAA606" s="222"/>
      <c r="BAB606" s="222"/>
      <c r="BAC606" s="222"/>
      <c r="BAD606" s="222"/>
      <c r="BAE606" s="223"/>
      <c r="BAF606" s="224"/>
      <c r="BAG606" s="222"/>
      <c r="BAH606" s="222"/>
      <c r="BAI606" s="222"/>
      <c r="BAJ606" s="222"/>
      <c r="BAK606" s="222"/>
      <c r="BAL606" s="222"/>
      <c r="BAM606" s="223"/>
      <c r="BAN606" s="224"/>
      <c r="BAO606" s="222"/>
      <c r="BAP606" s="222"/>
      <c r="BAQ606" s="222"/>
      <c r="BAR606" s="222"/>
      <c r="BAS606" s="222"/>
      <c r="BAT606" s="222"/>
      <c r="BAU606" s="223"/>
      <c r="BAV606" s="224"/>
      <c r="BAW606" s="222"/>
      <c r="BAX606" s="222"/>
      <c r="BAY606" s="222"/>
      <c r="BAZ606" s="222"/>
      <c r="BBA606" s="222"/>
      <c r="BBB606" s="222"/>
      <c r="BBC606" s="223"/>
      <c r="BBD606" s="224"/>
      <c r="BBE606" s="222"/>
      <c r="BBF606" s="222"/>
      <c r="BBG606" s="222"/>
      <c r="BBH606" s="222"/>
      <c r="BBI606" s="222"/>
      <c r="BBJ606" s="222"/>
      <c r="BBK606" s="223"/>
      <c r="BBL606" s="224"/>
      <c r="BBM606" s="222"/>
      <c r="BBN606" s="222"/>
      <c r="BBO606" s="222"/>
      <c r="BBP606" s="222"/>
      <c r="BBQ606" s="222"/>
      <c r="BBR606" s="222"/>
      <c r="BBS606" s="223"/>
      <c r="BBT606" s="224"/>
      <c r="BBU606" s="222"/>
      <c r="BBV606" s="222"/>
      <c r="BBW606" s="222"/>
      <c r="BBX606" s="222"/>
      <c r="BBY606" s="222"/>
      <c r="BBZ606" s="222"/>
      <c r="BCA606" s="223"/>
      <c r="BCB606" s="224"/>
      <c r="BCC606" s="222"/>
      <c r="BCD606" s="222"/>
      <c r="BCE606" s="222"/>
      <c r="BCF606" s="222"/>
      <c r="BCG606" s="222"/>
      <c r="BCH606" s="222"/>
      <c r="BCI606" s="223"/>
      <c r="BCJ606" s="224"/>
      <c r="BCK606" s="222"/>
      <c r="BCL606" s="222"/>
      <c r="BCM606" s="222"/>
      <c r="BCN606" s="222"/>
      <c r="BCO606" s="222"/>
      <c r="BCP606" s="222"/>
      <c r="BCQ606" s="223"/>
      <c r="BCR606" s="224"/>
      <c r="BCS606" s="222"/>
      <c r="BCT606" s="222"/>
      <c r="BCU606" s="222"/>
      <c r="BCV606" s="222"/>
      <c r="BCW606" s="222"/>
      <c r="BCX606" s="222"/>
      <c r="BCY606" s="223"/>
      <c r="BCZ606" s="224"/>
      <c r="BDA606" s="222"/>
      <c r="BDB606" s="222"/>
      <c r="BDC606" s="222"/>
      <c r="BDD606" s="222"/>
      <c r="BDE606" s="222"/>
      <c r="BDF606" s="222"/>
      <c r="BDG606" s="223"/>
      <c r="BDH606" s="224"/>
      <c r="BDI606" s="222"/>
      <c r="BDJ606" s="222"/>
      <c r="BDK606" s="222"/>
      <c r="BDL606" s="222"/>
      <c r="BDM606" s="222"/>
      <c r="BDN606" s="222"/>
      <c r="BDO606" s="223"/>
      <c r="BDP606" s="224"/>
      <c r="BDQ606" s="222"/>
      <c r="BDR606" s="222"/>
      <c r="BDS606" s="222"/>
      <c r="BDT606" s="222"/>
      <c r="BDU606" s="222"/>
      <c r="BDV606" s="222"/>
      <c r="BDW606" s="223"/>
      <c r="BDX606" s="224"/>
      <c r="BDY606" s="222"/>
      <c r="BDZ606" s="222"/>
      <c r="BEA606" s="222"/>
      <c r="BEB606" s="222"/>
      <c r="BEC606" s="222"/>
      <c r="BED606" s="222"/>
      <c r="BEE606" s="223"/>
      <c r="BEF606" s="224"/>
      <c r="BEG606" s="222"/>
      <c r="BEH606" s="222"/>
      <c r="BEI606" s="222"/>
      <c r="BEJ606" s="222"/>
      <c r="BEK606" s="222"/>
      <c r="BEL606" s="222"/>
      <c r="BEM606" s="223"/>
      <c r="BEN606" s="224"/>
      <c r="BEO606" s="222"/>
      <c r="BEP606" s="222"/>
      <c r="BEQ606" s="222"/>
      <c r="BER606" s="222"/>
      <c r="BES606" s="222"/>
      <c r="BET606" s="222"/>
      <c r="BEU606" s="223"/>
      <c r="BEV606" s="224"/>
      <c r="BEW606" s="222"/>
      <c r="BEX606" s="222"/>
      <c r="BEY606" s="222"/>
      <c r="BEZ606" s="222"/>
      <c r="BFA606" s="222"/>
      <c r="BFB606" s="222"/>
      <c r="BFC606" s="223"/>
      <c r="BFD606" s="224"/>
      <c r="BFE606" s="222"/>
      <c r="BFF606" s="222"/>
      <c r="BFG606" s="222"/>
      <c r="BFH606" s="222"/>
      <c r="BFI606" s="222"/>
      <c r="BFJ606" s="222"/>
      <c r="BFK606" s="223"/>
      <c r="BFL606" s="224"/>
      <c r="BFM606" s="222"/>
      <c r="BFN606" s="222"/>
      <c r="BFO606" s="222"/>
      <c r="BFP606" s="222"/>
      <c r="BFQ606" s="222"/>
      <c r="BFR606" s="222"/>
      <c r="BFS606" s="223"/>
      <c r="BFT606" s="224"/>
      <c r="BFU606" s="222"/>
      <c r="BFV606" s="222"/>
      <c r="BFW606" s="222"/>
      <c r="BFX606" s="222"/>
      <c r="BFY606" s="222"/>
      <c r="BFZ606" s="222"/>
      <c r="BGA606" s="223"/>
      <c r="BGB606" s="224"/>
      <c r="BGC606" s="222"/>
      <c r="BGD606" s="222"/>
      <c r="BGE606" s="222"/>
      <c r="BGF606" s="222"/>
      <c r="BGG606" s="222"/>
      <c r="BGH606" s="222"/>
      <c r="BGI606" s="223"/>
      <c r="BGJ606" s="224"/>
      <c r="BGK606" s="222"/>
      <c r="BGL606" s="222"/>
      <c r="BGM606" s="222"/>
      <c r="BGN606" s="222"/>
      <c r="BGO606" s="222"/>
      <c r="BGP606" s="222"/>
      <c r="BGQ606" s="223"/>
      <c r="BGR606" s="224"/>
      <c r="BGS606" s="222"/>
      <c r="BGT606" s="222"/>
      <c r="BGU606" s="222"/>
      <c r="BGV606" s="222"/>
      <c r="BGW606" s="222"/>
      <c r="BGX606" s="222"/>
      <c r="BGY606" s="223"/>
      <c r="BGZ606" s="224"/>
      <c r="BHA606" s="222"/>
      <c r="BHB606" s="222"/>
      <c r="BHC606" s="222"/>
      <c r="BHD606" s="222"/>
      <c r="BHE606" s="222"/>
      <c r="BHF606" s="222"/>
      <c r="BHG606" s="223"/>
      <c r="BHH606" s="224"/>
      <c r="BHI606" s="222"/>
      <c r="BHJ606" s="222"/>
      <c r="BHK606" s="222"/>
      <c r="BHL606" s="222"/>
      <c r="BHM606" s="222"/>
      <c r="BHN606" s="222"/>
      <c r="BHO606" s="223"/>
      <c r="BHP606" s="224"/>
      <c r="BHQ606" s="222"/>
      <c r="BHR606" s="222"/>
      <c r="BHS606" s="222"/>
      <c r="BHT606" s="222"/>
      <c r="BHU606" s="222"/>
      <c r="BHV606" s="222"/>
      <c r="BHW606" s="223"/>
      <c r="BHX606" s="224"/>
      <c r="BHY606" s="222"/>
      <c r="BHZ606" s="222"/>
      <c r="BIA606" s="222"/>
      <c r="BIB606" s="222"/>
      <c r="BIC606" s="222"/>
      <c r="BID606" s="222"/>
      <c r="BIE606" s="223"/>
      <c r="BIF606" s="224"/>
      <c r="BIG606" s="222"/>
      <c r="BIH606" s="222"/>
      <c r="BII606" s="222"/>
      <c r="BIJ606" s="222"/>
      <c r="BIK606" s="222"/>
      <c r="BIL606" s="222"/>
      <c r="BIM606" s="223"/>
      <c r="BIN606" s="224"/>
      <c r="BIO606" s="222"/>
      <c r="BIP606" s="222"/>
      <c r="BIQ606" s="222"/>
      <c r="BIR606" s="222"/>
      <c r="BIS606" s="222"/>
      <c r="BIT606" s="222"/>
      <c r="BIU606" s="223"/>
      <c r="BIV606" s="224"/>
      <c r="BIW606" s="222"/>
      <c r="BIX606" s="222"/>
      <c r="BIY606" s="222"/>
      <c r="BIZ606" s="222"/>
      <c r="BJA606" s="222"/>
      <c r="BJB606" s="222"/>
      <c r="BJC606" s="223"/>
      <c r="BJD606" s="224"/>
      <c r="BJE606" s="222"/>
      <c r="BJF606" s="222"/>
      <c r="BJG606" s="222"/>
      <c r="BJH606" s="222"/>
      <c r="BJI606" s="222"/>
      <c r="BJJ606" s="222"/>
      <c r="BJK606" s="223"/>
      <c r="BJL606" s="224"/>
      <c r="BJM606" s="222"/>
      <c r="BJN606" s="222"/>
      <c r="BJO606" s="222"/>
      <c r="BJP606" s="222"/>
      <c r="BJQ606" s="222"/>
      <c r="BJR606" s="222"/>
      <c r="BJS606" s="223"/>
      <c r="BJT606" s="224"/>
      <c r="BJU606" s="222"/>
      <c r="BJV606" s="222"/>
      <c r="BJW606" s="222"/>
      <c r="BJX606" s="222"/>
      <c r="BJY606" s="222"/>
      <c r="BJZ606" s="222"/>
      <c r="BKA606" s="223"/>
      <c r="BKB606" s="224"/>
      <c r="BKC606" s="222"/>
      <c r="BKD606" s="222"/>
      <c r="BKE606" s="222"/>
      <c r="BKF606" s="222"/>
      <c r="BKG606" s="222"/>
      <c r="BKH606" s="222"/>
      <c r="BKI606" s="223"/>
      <c r="BKJ606" s="224"/>
      <c r="BKK606" s="222"/>
      <c r="BKL606" s="222"/>
      <c r="BKM606" s="222"/>
      <c r="BKN606" s="222"/>
      <c r="BKO606" s="222"/>
      <c r="BKP606" s="222"/>
      <c r="BKQ606" s="223"/>
      <c r="BKR606" s="224"/>
      <c r="BKS606" s="222"/>
      <c r="BKT606" s="222"/>
      <c r="BKU606" s="222"/>
      <c r="BKV606" s="222"/>
      <c r="BKW606" s="222"/>
      <c r="BKX606" s="222"/>
      <c r="BKY606" s="223"/>
      <c r="BKZ606" s="224"/>
      <c r="BLA606" s="222"/>
      <c r="BLB606" s="222"/>
      <c r="BLC606" s="222"/>
      <c r="BLD606" s="222"/>
      <c r="BLE606" s="222"/>
      <c r="BLF606" s="222"/>
      <c r="BLG606" s="223"/>
      <c r="BLH606" s="224"/>
      <c r="BLI606" s="222"/>
      <c r="BLJ606" s="222"/>
      <c r="BLK606" s="222"/>
      <c r="BLL606" s="222"/>
      <c r="BLM606" s="222"/>
      <c r="BLN606" s="222"/>
      <c r="BLO606" s="223"/>
      <c r="BLP606" s="224"/>
      <c r="BLQ606" s="222"/>
      <c r="BLR606" s="222"/>
      <c r="BLS606" s="222"/>
      <c r="BLT606" s="222"/>
      <c r="BLU606" s="222"/>
      <c r="BLV606" s="222"/>
      <c r="BLW606" s="223"/>
      <c r="BLX606" s="224"/>
      <c r="BLY606" s="222"/>
      <c r="BLZ606" s="222"/>
      <c r="BMA606" s="222"/>
      <c r="BMB606" s="222"/>
      <c r="BMC606" s="222"/>
      <c r="BMD606" s="222"/>
      <c r="BME606" s="223"/>
      <c r="BMF606" s="224"/>
      <c r="BMG606" s="222"/>
      <c r="BMH606" s="222"/>
      <c r="BMI606" s="222"/>
      <c r="BMJ606" s="222"/>
      <c r="BMK606" s="222"/>
      <c r="BML606" s="222"/>
      <c r="BMM606" s="223"/>
      <c r="BMN606" s="224"/>
      <c r="BMO606" s="222"/>
      <c r="BMP606" s="222"/>
      <c r="BMQ606" s="222"/>
      <c r="BMR606" s="222"/>
      <c r="BMS606" s="222"/>
      <c r="BMT606" s="222"/>
      <c r="BMU606" s="223"/>
      <c r="BMV606" s="224"/>
      <c r="BMW606" s="222"/>
      <c r="BMX606" s="222"/>
      <c r="BMY606" s="222"/>
      <c r="BMZ606" s="222"/>
      <c r="BNA606" s="222"/>
      <c r="BNB606" s="222"/>
      <c r="BNC606" s="223"/>
      <c r="BND606" s="224"/>
      <c r="BNE606" s="222"/>
      <c r="BNF606" s="222"/>
      <c r="BNG606" s="222"/>
      <c r="BNH606" s="222"/>
      <c r="BNI606" s="222"/>
      <c r="BNJ606" s="222"/>
      <c r="BNK606" s="223"/>
      <c r="BNL606" s="224"/>
      <c r="BNM606" s="222"/>
      <c r="BNN606" s="222"/>
      <c r="BNO606" s="222"/>
      <c r="BNP606" s="222"/>
      <c r="BNQ606" s="222"/>
      <c r="BNR606" s="222"/>
      <c r="BNS606" s="223"/>
      <c r="BNT606" s="224"/>
      <c r="BNU606" s="222"/>
      <c r="BNV606" s="222"/>
      <c r="BNW606" s="222"/>
      <c r="BNX606" s="222"/>
      <c r="BNY606" s="222"/>
      <c r="BNZ606" s="222"/>
      <c r="BOA606" s="223"/>
      <c r="BOB606" s="224"/>
      <c r="BOC606" s="222"/>
      <c r="BOD606" s="222"/>
      <c r="BOE606" s="222"/>
      <c r="BOF606" s="222"/>
      <c r="BOG606" s="222"/>
      <c r="BOH606" s="222"/>
      <c r="BOI606" s="223"/>
      <c r="BOJ606" s="224"/>
      <c r="BOK606" s="222"/>
      <c r="BOL606" s="222"/>
      <c r="BOM606" s="222"/>
      <c r="BON606" s="222"/>
      <c r="BOO606" s="222"/>
      <c r="BOP606" s="222"/>
      <c r="BOQ606" s="223"/>
      <c r="BOR606" s="224"/>
      <c r="BOS606" s="222"/>
      <c r="BOT606" s="222"/>
      <c r="BOU606" s="222"/>
      <c r="BOV606" s="222"/>
      <c r="BOW606" s="222"/>
      <c r="BOX606" s="222"/>
      <c r="BOY606" s="223"/>
      <c r="BOZ606" s="224"/>
      <c r="BPA606" s="222"/>
      <c r="BPB606" s="222"/>
      <c r="BPC606" s="222"/>
      <c r="BPD606" s="222"/>
      <c r="BPE606" s="222"/>
      <c r="BPF606" s="222"/>
      <c r="BPG606" s="223"/>
      <c r="BPH606" s="224"/>
      <c r="BPI606" s="222"/>
      <c r="BPJ606" s="222"/>
      <c r="BPK606" s="222"/>
      <c r="BPL606" s="222"/>
      <c r="BPM606" s="222"/>
      <c r="BPN606" s="222"/>
      <c r="BPO606" s="223"/>
      <c r="BPP606" s="224"/>
      <c r="BPQ606" s="222"/>
      <c r="BPR606" s="222"/>
      <c r="BPS606" s="222"/>
      <c r="BPT606" s="222"/>
      <c r="BPU606" s="222"/>
      <c r="BPV606" s="222"/>
      <c r="BPW606" s="223"/>
      <c r="BPX606" s="224"/>
      <c r="BPY606" s="222"/>
      <c r="BPZ606" s="222"/>
      <c r="BQA606" s="222"/>
      <c r="BQB606" s="222"/>
      <c r="BQC606" s="222"/>
      <c r="BQD606" s="222"/>
      <c r="BQE606" s="223"/>
      <c r="BQF606" s="224"/>
      <c r="BQG606" s="222"/>
      <c r="BQH606" s="222"/>
      <c r="BQI606" s="222"/>
      <c r="BQJ606" s="222"/>
      <c r="BQK606" s="222"/>
      <c r="BQL606" s="222"/>
      <c r="BQM606" s="223"/>
      <c r="BQN606" s="224"/>
      <c r="BQO606" s="222"/>
      <c r="BQP606" s="222"/>
      <c r="BQQ606" s="222"/>
      <c r="BQR606" s="222"/>
      <c r="BQS606" s="222"/>
      <c r="BQT606" s="222"/>
      <c r="BQU606" s="223"/>
      <c r="BQV606" s="224"/>
      <c r="BQW606" s="222"/>
      <c r="BQX606" s="222"/>
      <c r="BQY606" s="222"/>
      <c r="BQZ606" s="222"/>
      <c r="BRA606" s="222"/>
      <c r="BRB606" s="222"/>
      <c r="BRC606" s="223"/>
      <c r="BRD606" s="224"/>
      <c r="BRE606" s="222"/>
      <c r="BRF606" s="222"/>
      <c r="BRG606" s="222"/>
      <c r="BRH606" s="222"/>
      <c r="BRI606" s="222"/>
      <c r="BRJ606" s="222"/>
      <c r="BRK606" s="223"/>
      <c r="BRL606" s="224"/>
      <c r="BRM606" s="222"/>
      <c r="BRN606" s="222"/>
      <c r="BRO606" s="222"/>
      <c r="BRP606" s="222"/>
      <c r="BRQ606" s="222"/>
      <c r="BRR606" s="222"/>
      <c r="BRS606" s="223"/>
      <c r="BRT606" s="224"/>
      <c r="BRU606" s="222"/>
      <c r="BRV606" s="222"/>
      <c r="BRW606" s="222"/>
      <c r="BRX606" s="222"/>
      <c r="BRY606" s="222"/>
      <c r="BRZ606" s="222"/>
      <c r="BSA606" s="223"/>
      <c r="BSB606" s="224"/>
      <c r="BSC606" s="222"/>
      <c r="BSD606" s="222"/>
      <c r="BSE606" s="222"/>
      <c r="BSF606" s="222"/>
      <c r="BSG606" s="222"/>
      <c r="BSH606" s="222"/>
      <c r="BSI606" s="223"/>
      <c r="BSJ606" s="224"/>
      <c r="BSK606" s="222"/>
      <c r="BSL606" s="222"/>
      <c r="BSM606" s="222"/>
      <c r="BSN606" s="222"/>
      <c r="BSO606" s="222"/>
      <c r="BSP606" s="222"/>
      <c r="BSQ606" s="223"/>
      <c r="BSR606" s="224"/>
      <c r="BSS606" s="222"/>
      <c r="BST606" s="222"/>
      <c r="BSU606" s="222"/>
      <c r="BSV606" s="222"/>
      <c r="BSW606" s="222"/>
      <c r="BSX606" s="222"/>
      <c r="BSY606" s="223"/>
      <c r="BSZ606" s="224"/>
      <c r="BTA606" s="222"/>
      <c r="BTB606" s="222"/>
      <c r="BTC606" s="222"/>
      <c r="BTD606" s="222"/>
      <c r="BTE606" s="222"/>
      <c r="BTF606" s="222"/>
      <c r="BTG606" s="223"/>
      <c r="BTH606" s="224"/>
      <c r="BTI606" s="222"/>
      <c r="BTJ606" s="222"/>
      <c r="BTK606" s="222"/>
      <c r="BTL606" s="222"/>
      <c r="BTM606" s="222"/>
      <c r="BTN606" s="222"/>
      <c r="BTO606" s="223"/>
      <c r="BTP606" s="224"/>
      <c r="BTQ606" s="222"/>
      <c r="BTR606" s="222"/>
      <c r="BTS606" s="222"/>
      <c r="BTT606" s="222"/>
      <c r="BTU606" s="222"/>
      <c r="BTV606" s="222"/>
      <c r="BTW606" s="223"/>
      <c r="BTX606" s="224"/>
      <c r="BTY606" s="222"/>
      <c r="BTZ606" s="222"/>
      <c r="BUA606" s="222"/>
      <c r="BUB606" s="222"/>
      <c r="BUC606" s="222"/>
      <c r="BUD606" s="222"/>
      <c r="BUE606" s="223"/>
      <c r="BUF606" s="224"/>
      <c r="BUG606" s="222"/>
      <c r="BUH606" s="222"/>
      <c r="BUI606" s="222"/>
      <c r="BUJ606" s="222"/>
      <c r="BUK606" s="222"/>
      <c r="BUL606" s="222"/>
      <c r="BUM606" s="223"/>
      <c r="BUN606" s="224"/>
      <c r="BUO606" s="222"/>
      <c r="BUP606" s="222"/>
      <c r="BUQ606" s="222"/>
      <c r="BUR606" s="222"/>
      <c r="BUS606" s="222"/>
      <c r="BUT606" s="222"/>
      <c r="BUU606" s="223"/>
      <c r="BUV606" s="224"/>
      <c r="BUW606" s="222"/>
      <c r="BUX606" s="222"/>
      <c r="BUY606" s="222"/>
      <c r="BUZ606" s="222"/>
      <c r="BVA606" s="222"/>
      <c r="BVB606" s="222"/>
      <c r="BVC606" s="223"/>
      <c r="BVD606" s="224"/>
      <c r="BVE606" s="222"/>
      <c r="BVF606" s="222"/>
      <c r="BVG606" s="222"/>
      <c r="BVH606" s="222"/>
      <c r="BVI606" s="222"/>
      <c r="BVJ606" s="222"/>
      <c r="BVK606" s="223"/>
      <c r="BVL606" s="224"/>
      <c r="BVM606" s="222"/>
      <c r="BVN606" s="222"/>
      <c r="BVO606" s="222"/>
      <c r="BVP606" s="222"/>
      <c r="BVQ606" s="222"/>
      <c r="BVR606" s="222"/>
      <c r="BVS606" s="223"/>
      <c r="BVT606" s="224"/>
      <c r="BVU606" s="222"/>
      <c r="BVV606" s="222"/>
      <c r="BVW606" s="222"/>
      <c r="BVX606" s="222"/>
      <c r="BVY606" s="222"/>
      <c r="BVZ606" s="222"/>
      <c r="BWA606" s="223"/>
      <c r="BWB606" s="224"/>
      <c r="BWC606" s="222"/>
      <c r="BWD606" s="222"/>
      <c r="BWE606" s="222"/>
      <c r="BWF606" s="222"/>
      <c r="BWG606" s="222"/>
      <c r="BWH606" s="222"/>
      <c r="BWI606" s="223"/>
      <c r="BWJ606" s="224"/>
      <c r="BWK606" s="222"/>
      <c r="BWL606" s="222"/>
      <c r="BWM606" s="222"/>
      <c r="BWN606" s="222"/>
      <c r="BWO606" s="222"/>
      <c r="BWP606" s="222"/>
      <c r="BWQ606" s="223"/>
      <c r="BWR606" s="224"/>
      <c r="BWS606" s="222"/>
      <c r="BWT606" s="222"/>
      <c r="BWU606" s="222"/>
      <c r="BWV606" s="222"/>
      <c r="BWW606" s="222"/>
      <c r="BWX606" s="222"/>
      <c r="BWY606" s="223"/>
      <c r="BWZ606" s="224"/>
      <c r="BXA606" s="222"/>
      <c r="BXB606" s="222"/>
      <c r="BXC606" s="222"/>
      <c r="BXD606" s="222"/>
      <c r="BXE606" s="222"/>
      <c r="BXF606" s="222"/>
      <c r="BXG606" s="223"/>
      <c r="BXH606" s="224"/>
      <c r="BXI606" s="222"/>
      <c r="BXJ606" s="222"/>
      <c r="BXK606" s="222"/>
      <c r="BXL606" s="222"/>
      <c r="BXM606" s="222"/>
      <c r="BXN606" s="222"/>
      <c r="BXO606" s="223"/>
      <c r="BXP606" s="224"/>
      <c r="BXQ606" s="222"/>
      <c r="BXR606" s="222"/>
      <c r="BXS606" s="222"/>
      <c r="BXT606" s="222"/>
      <c r="BXU606" s="222"/>
      <c r="BXV606" s="222"/>
      <c r="BXW606" s="223"/>
      <c r="BXX606" s="224"/>
      <c r="BXY606" s="222"/>
      <c r="BXZ606" s="222"/>
      <c r="BYA606" s="222"/>
      <c r="BYB606" s="222"/>
      <c r="BYC606" s="222"/>
      <c r="BYD606" s="222"/>
      <c r="BYE606" s="223"/>
      <c r="BYF606" s="224"/>
      <c r="BYG606" s="222"/>
      <c r="BYH606" s="222"/>
      <c r="BYI606" s="222"/>
      <c r="BYJ606" s="222"/>
      <c r="BYK606" s="222"/>
      <c r="BYL606" s="222"/>
      <c r="BYM606" s="223"/>
      <c r="BYN606" s="224"/>
      <c r="BYO606" s="222"/>
      <c r="BYP606" s="222"/>
      <c r="BYQ606" s="222"/>
      <c r="BYR606" s="222"/>
      <c r="BYS606" s="222"/>
      <c r="BYT606" s="222"/>
      <c r="BYU606" s="223"/>
      <c r="BYV606" s="224"/>
      <c r="BYW606" s="222"/>
      <c r="BYX606" s="222"/>
      <c r="BYY606" s="222"/>
      <c r="BYZ606" s="222"/>
      <c r="BZA606" s="222"/>
      <c r="BZB606" s="222"/>
      <c r="BZC606" s="223"/>
      <c r="BZD606" s="224"/>
      <c r="BZE606" s="222"/>
      <c r="BZF606" s="222"/>
      <c r="BZG606" s="222"/>
      <c r="BZH606" s="222"/>
      <c r="BZI606" s="222"/>
      <c r="BZJ606" s="222"/>
      <c r="BZK606" s="223"/>
      <c r="BZL606" s="224"/>
      <c r="BZM606" s="222"/>
      <c r="BZN606" s="222"/>
      <c r="BZO606" s="222"/>
      <c r="BZP606" s="222"/>
      <c r="BZQ606" s="222"/>
      <c r="BZR606" s="222"/>
      <c r="BZS606" s="223"/>
      <c r="BZT606" s="224"/>
      <c r="BZU606" s="222"/>
      <c r="BZV606" s="222"/>
      <c r="BZW606" s="222"/>
      <c r="BZX606" s="222"/>
      <c r="BZY606" s="222"/>
      <c r="BZZ606" s="222"/>
      <c r="CAA606" s="223"/>
      <c r="CAB606" s="224"/>
      <c r="CAC606" s="222"/>
      <c r="CAD606" s="222"/>
      <c r="CAE606" s="222"/>
      <c r="CAF606" s="222"/>
      <c r="CAG606" s="222"/>
      <c r="CAH606" s="222"/>
      <c r="CAI606" s="223"/>
      <c r="CAJ606" s="224"/>
      <c r="CAK606" s="222"/>
      <c r="CAL606" s="222"/>
      <c r="CAM606" s="222"/>
      <c r="CAN606" s="222"/>
      <c r="CAO606" s="222"/>
      <c r="CAP606" s="222"/>
      <c r="CAQ606" s="223"/>
      <c r="CAR606" s="224"/>
      <c r="CAS606" s="222"/>
      <c r="CAT606" s="222"/>
      <c r="CAU606" s="222"/>
      <c r="CAV606" s="222"/>
      <c r="CAW606" s="222"/>
      <c r="CAX606" s="222"/>
      <c r="CAY606" s="223"/>
      <c r="CAZ606" s="224"/>
      <c r="CBA606" s="222"/>
      <c r="CBB606" s="222"/>
      <c r="CBC606" s="222"/>
      <c r="CBD606" s="222"/>
      <c r="CBE606" s="222"/>
      <c r="CBF606" s="222"/>
      <c r="CBG606" s="223"/>
      <c r="CBH606" s="224"/>
      <c r="CBI606" s="222"/>
      <c r="CBJ606" s="222"/>
      <c r="CBK606" s="222"/>
      <c r="CBL606" s="222"/>
      <c r="CBM606" s="222"/>
      <c r="CBN606" s="222"/>
      <c r="CBO606" s="223"/>
      <c r="CBP606" s="224"/>
      <c r="CBQ606" s="222"/>
      <c r="CBR606" s="222"/>
      <c r="CBS606" s="222"/>
      <c r="CBT606" s="222"/>
      <c r="CBU606" s="222"/>
      <c r="CBV606" s="222"/>
      <c r="CBW606" s="223"/>
      <c r="CBX606" s="224"/>
      <c r="CBY606" s="222"/>
      <c r="CBZ606" s="222"/>
      <c r="CCA606" s="222"/>
      <c r="CCB606" s="222"/>
      <c r="CCC606" s="222"/>
      <c r="CCD606" s="222"/>
      <c r="CCE606" s="223"/>
      <c r="CCF606" s="224"/>
      <c r="CCG606" s="222"/>
      <c r="CCH606" s="222"/>
      <c r="CCI606" s="222"/>
      <c r="CCJ606" s="222"/>
      <c r="CCK606" s="222"/>
      <c r="CCL606" s="222"/>
      <c r="CCM606" s="223"/>
      <c r="CCN606" s="224"/>
      <c r="CCO606" s="222"/>
      <c r="CCP606" s="222"/>
      <c r="CCQ606" s="222"/>
      <c r="CCR606" s="222"/>
      <c r="CCS606" s="222"/>
      <c r="CCT606" s="222"/>
      <c r="CCU606" s="223"/>
      <c r="CCV606" s="224"/>
      <c r="CCW606" s="222"/>
      <c r="CCX606" s="222"/>
      <c r="CCY606" s="222"/>
      <c r="CCZ606" s="222"/>
      <c r="CDA606" s="222"/>
      <c r="CDB606" s="222"/>
      <c r="CDC606" s="223"/>
      <c r="CDD606" s="224"/>
      <c r="CDE606" s="222"/>
      <c r="CDF606" s="222"/>
      <c r="CDG606" s="222"/>
      <c r="CDH606" s="222"/>
      <c r="CDI606" s="222"/>
      <c r="CDJ606" s="222"/>
      <c r="CDK606" s="223"/>
      <c r="CDL606" s="224"/>
      <c r="CDM606" s="222"/>
      <c r="CDN606" s="222"/>
      <c r="CDO606" s="222"/>
      <c r="CDP606" s="222"/>
      <c r="CDQ606" s="222"/>
      <c r="CDR606" s="222"/>
      <c r="CDS606" s="223"/>
      <c r="CDT606" s="224"/>
      <c r="CDU606" s="222"/>
      <c r="CDV606" s="222"/>
      <c r="CDW606" s="222"/>
      <c r="CDX606" s="222"/>
      <c r="CDY606" s="222"/>
      <c r="CDZ606" s="222"/>
      <c r="CEA606" s="223"/>
      <c r="CEB606" s="224"/>
      <c r="CEC606" s="222"/>
      <c r="CED606" s="222"/>
      <c r="CEE606" s="222"/>
      <c r="CEF606" s="222"/>
      <c r="CEG606" s="222"/>
      <c r="CEH606" s="222"/>
      <c r="CEI606" s="223"/>
      <c r="CEJ606" s="224"/>
      <c r="CEK606" s="222"/>
      <c r="CEL606" s="222"/>
      <c r="CEM606" s="222"/>
      <c r="CEN606" s="222"/>
      <c r="CEO606" s="222"/>
      <c r="CEP606" s="222"/>
      <c r="CEQ606" s="223"/>
      <c r="CER606" s="224"/>
      <c r="CES606" s="222"/>
      <c r="CET606" s="222"/>
      <c r="CEU606" s="222"/>
      <c r="CEV606" s="222"/>
      <c r="CEW606" s="222"/>
      <c r="CEX606" s="222"/>
      <c r="CEY606" s="223"/>
      <c r="CEZ606" s="224"/>
      <c r="CFA606" s="222"/>
      <c r="CFB606" s="222"/>
      <c r="CFC606" s="222"/>
      <c r="CFD606" s="222"/>
      <c r="CFE606" s="222"/>
      <c r="CFF606" s="222"/>
      <c r="CFG606" s="223"/>
      <c r="CFH606" s="224"/>
      <c r="CFI606" s="222"/>
      <c r="CFJ606" s="222"/>
      <c r="CFK606" s="222"/>
      <c r="CFL606" s="222"/>
      <c r="CFM606" s="222"/>
      <c r="CFN606" s="222"/>
      <c r="CFO606" s="223"/>
      <c r="CFP606" s="224"/>
      <c r="CFQ606" s="222"/>
      <c r="CFR606" s="222"/>
      <c r="CFS606" s="222"/>
      <c r="CFT606" s="222"/>
      <c r="CFU606" s="222"/>
      <c r="CFV606" s="222"/>
      <c r="CFW606" s="223"/>
      <c r="CFX606" s="224"/>
      <c r="CFY606" s="222"/>
      <c r="CFZ606" s="222"/>
      <c r="CGA606" s="222"/>
      <c r="CGB606" s="222"/>
      <c r="CGC606" s="222"/>
      <c r="CGD606" s="222"/>
      <c r="CGE606" s="223"/>
      <c r="CGF606" s="224"/>
      <c r="CGG606" s="222"/>
      <c r="CGH606" s="222"/>
      <c r="CGI606" s="222"/>
      <c r="CGJ606" s="222"/>
      <c r="CGK606" s="222"/>
      <c r="CGL606" s="222"/>
      <c r="CGM606" s="223"/>
      <c r="CGN606" s="224"/>
      <c r="CGO606" s="222"/>
      <c r="CGP606" s="222"/>
      <c r="CGQ606" s="222"/>
      <c r="CGR606" s="222"/>
      <c r="CGS606" s="222"/>
      <c r="CGT606" s="222"/>
      <c r="CGU606" s="223"/>
      <c r="CGV606" s="224"/>
      <c r="CGW606" s="222"/>
      <c r="CGX606" s="222"/>
      <c r="CGY606" s="222"/>
      <c r="CGZ606" s="222"/>
      <c r="CHA606" s="222"/>
      <c r="CHB606" s="222"/>
      <c r="CHC606" s="223"/>
      <c r="CHD606" s="224"/>
      <c r="CHE606" s="222"/>
      <c r="CHF606" s="222"/>
      <c r="CHG606" s="222"/>
      <c r="CHH606" s="222"/>
      <c r="CHI606" s="222"/>
      <c r="CHJ606" s="222"/>
      <c r="CHK606" s="223"/>
      <c r="CHL606" s="224"/>
      <c r="CHM606" s="222"/>
      <c r="CHN606" s="222"/>
      <c r="CHO606" s="222"/>
      <c r="CHP606" s="222"/>
      <c r="CHQ606" s="222"/>
      <c r="CHR606" s="222"/>
      <c r="CHS606" s="223"/>
      <c r="CHT606" s="224"/>
      <c r="CHU606" s="222"/>
      <c r="CHV606" s="222"/>
      <c r="CHW606" s="222"/>
      <c r="CHX606" s="222"/>
      <c r="CHY606" s="222"/>
      <c r="CHZ606" s="222"/>
      <c r="CIA606" s="223"/>
      <c r="CIB606" s="224"/>
      <c r="CIC606" s="222"/>
      <c r="CID606" s="222"/>
      <c r="CIE606" s="222"/>
      <c r="CIF606" s="222"/>
      <c r="CIG606" s="222"/>
      <c r="CIH606" s="222"/>
      <c r="CII606" s="223"/>
      <c r="CIJ606" s="224"/>
      <c r="CIK606" s="222"/>
      <c r="CIL606" s="222"/>
      <c r="CIM606" s="222"/>
      <c r="CIN606" s="222"/>
      <c r="CIO606" s="222"/>
      <c r="CIP606" s="222"/>
      <c r="CIQ606" s="223"/>
      <c r="CIR606" s="224"/>
      <c r="CIS606" s="222"/>
      <c r="CIT606" s="222"/>
      <c r="CIU606" s="222"/>
      <c r="CIV606" s="222"/>
      <c r="CIW606" s="222"/>
      <c r="CIX606" s="222"/>
      <c r="CIY606" s="223"/>
      <c r="CIZ606" s="224"/>
      <c r="CJA606" s="222"/>
      <c r="CJB606" s="222"/>
      <c r="CJC606" s="222"/>
      <c r="CJD606" s="222"/>
      <c r="CJE606" s="222"/>
      <c r="CJF606" s="222"/>
      <c r="CJG606" s="223"/>
      <c r="CJH606" s="224"/>
      <c r="CJI606" s="222"/>
      <c r="CJJ606" s="222"/>
      <c r="CJK606" s="222"/>
      <c r="CJL606" s="222"/>
      <c r="CJM606" s="222"/>
      <c r="CJN606" s="222"/>
      <c r="CJO606" s="223"/>
      <c r="CJP606" s="224"/>
      <c r="CJQ606" s="222"/>
      <c r="CJR606" s="222"/>
      <c r="CJS606" s="222"/>
      <c r="CJT606" s="222"/>
      <c r="CJU606" s="222"/>
      <c r="CJV606" s="222"/>
      <c r="CJW606" s="223"/>
      <c r="CJX606" s="224"/>
      <c r="CJY606" s="222"/>
      <c r="CJZ606" s="222"/>
      <c r="CKA606" s="222"/>
      <c r="CKB606" s="222"/>
      <c r="CKC606" s="222"/>
      <c r="CKD606" s="222"/>
      <c r="CKE606" s="223"/>
      <c r="CKF606" s="224"/>
      <c r="CKG606" s="222"/>
      <c r="CKH606" s="222"/>
      <c r="CKI606" s="222"/>
      <c r="CKJ606" s="222"/>
      <c r="CKK606" s="222"/>
      <c r="CKL606" s="222"/>
      <c r="CKM606" s="223"/>
      <c r="CKN606" s="224"/>
      <c r="CKO606" s="222"/>
      <c r="CKP606" s="222"/>
      <c r="CKQ606" s="222"/>
      <c r="CKR606" s="222"/>
      <c r="CKS606" s="222"/>
      <c r="CKT606" s="222"/>
      <c r="CKU606" s="223"/>
      <c r="CKV606" s="224"/>
      <c r="CKW606" s="222"/>
      <c r="CKX606" s="222"/>
      <c r="CKY606" s="222"/>
      <c r="CKZ606" s="222"/>
      <c r="CLA606" s="222"/>
      <c r="CLB606" s="222"/>
      <c r="CLC606" s="223"/>
      <c r="CLD606" s="224"/>
      <c r="CLE606" s="222"/>
      <c r="CLF606" s="222"/>
      <c r="CLG606" s="222"/>
      <c r="CLH606" s="222"/>
      <c r="CLI606" s="222"/>
      <c r="CLJ606" s="222"/>
      <c r="CLK606" s="223"/>
      <c r="CLL606" s="224"/>
      <c r="CLM606" s="222"/>
      <c r="CLN606" s="222"/>
      <c r="CLO606" s="222"/>
      <c r="CLP606" s="222"/>
      <c r="CLQ606" s="222"/>
      <c r="CLR606" s="222"/>
      <c r="CLS606" s="223"/>
      <c r="CLT606" s="224"/>
      <c r="CLU606" s="222"/>
      <c r="CLV606" s="222"/>
      <c r="CLW606" s="222"/>
      <c r="CLX606" s="222"/>
      <c r="CLY606" s="222"/>
      <c r="CLZ606" s="222"/>
      <c r="CMA606" s="223"/>
      <c r="CMB606" s="224"/>
      <c r="CMC606" s="222"/>
      <c r="CMD606" s="222"/>
      <c r="CME606" s="222"/>
      <c r="CMF606" s="222"/>
      <c r="CMG606" s="222"/>
      <c r="CMH606" s="222"/>
      <c r="CMI606" s="223"/>
      <c r="CMJ606" s="224"/>
      <c r="CMK606" s="222"/>
      <c r="CML606" s="222"/>
      <c r="CMM606" s="222"/>
      <c r="CMN606" s="222"/>
      <c r="CMO606" s="222"/>
      <c r="CMP606" s="222"/>
      <c r="CMQ606" s="223"/>
      <c r="CMR606" s="224"/>
      <c r="CMS606" s="222"/>
      <c r="CMT606" s="222"/>
      <c r="CMU606" s="222"/>
      <c r="CMV606" s="222"/>
      <c r="CMW606" s="222"/>
      <c r="CMX606" s="222"/>
      <c r="CMY606" s="223"/>
      <c r="CMZ606" s="224"/>
      <c r="CNA606" s="222"/>
      <c r="CNB606" s="222"/>
      <c r="CNC606" s="222"/>
      <c r="CND606" s="222"/>
      <c r="CNE606" s="222"/>
      <c r="CNF606" s="222"/>
      <c r="CNG606" s="223"/>
      <c r="CNH606" s="224"/>
      <c r="CNI606" s="222"/>
      <c r="CNJ606" s="222"/>
      <c r="CNK606" s="222"/>
      <c r="CNL606" s="222"/>
      <c r="CNM606" s="222"/>
      <c r="CNN606" s="222"/>
      <c r="CNO606" s="223"/>
      <c r="CNP606" s="224"/>
      <c r="CNQ606" s="222"/>
      <c r="CNR606" s="222"/>
      <c r="CNS606" s="222"/>
      <c r="CNT606" s="222"/>
      <c r="CNU606" s="222"/>
      <c r="CNV606" s="222"/>
      <c r="CNW606" s="223"/>
      <c r="CNX606" s="224"/>
      <c r="CNY606" s="222"/>
      <c r="CNZ606" s="222"/>
      <c r="COA606" s="222"/>
      <c r="COB606" s="222"/>
      <c r="COC606" s="222"/>
      <c r="COD606" s="222"/>
      <c r="COE606" s="223"/>
      <c r="COF606" s="224"/>
      <c r="COG606" s="222"/>
      <c r="COH606" s="222"/>
      <c r="COI606" s="222"/>
      <c r="COJ606" s="222"/>
      <c r="COK606" s="222"/>
      <c r="COL606" s="222"/>
      <c r="COM606" s="223"/>
      <c r="CON606" s="224"/>
      <c r="COO606" s="222"/>
      <c r="COP606" s="222"/>
      <c r="COQ606" s="222"/>
      <c r="COR606" s="222"/>
      <c r="COS606" s="222"/>
      <c r="COT606" s="222"/>
      <c r="COU606" s="223"/>
      <c r="COV606" s="224"/>
      <c r="COW606" s="222"/>
      <c r="COX606" s="222"/>
      <c r="COY606" s="222"/>
      <c r="COZ606" s="222"/>
      <c r="CPA606" s="222"/>
      <c r="CPB606" s="222"/>
      <c r="CPC606" s="223"/>
      <c r="CPD606" s="224"/>
      <c r="CPE606" s="222"/>
      <c r="CPF606" s="222"/>
      <c r="CPG606" s="222"/>
      <c r="CPH606" s="222"/>
      <c r="CPI606" s="222"/>
      <c r="CPJ606" s="222"/>
      <c r="CPK606" s="223"/>
      <c r="CPL606" s="224"/>
      <c r="CPM606" s="222"/>
      <c r="CPN606" s="222"/>
      <c r="CPO606" s="222"/>
      <c r="CPP606" s="222"/>
      <c r="CPQ606" s="222"/>
      <c r="CPR606" s="222"/>
      <c r="CPS606" s="223"/>
      <c r="CPT606" s="224"/>
      <c r="CPU606" s="222"/>
      <c r="CPV606" s="222"/>
      <c r="CPW606" s="222"/>
      <c r="CPX606" s="222"/>
      <c r="CPY606" s="222"/>
      <c r="CPZ606" s="222"/>
      <c r="CQA606" s="223"/>
      <c r="CQB606" s="224"/>
      <c r="CQC606" s="222"/>
      <c r="CQD606" s="222"/>
      <c r="CQE606" s="222"/>
      <c r="CQF606" s="222"/>
      <c r="CQG606" s="222"/>
      <c r="CQH606" s="222"/>
      <c r="CQI606" s="223"/>
      <c r="CQJ606" s="224"/>
      <c r="CQK606" s="222"/>
      <c r="CQL606" s="222"/>
      <c r="CQM606" s="222"/>
      <c r="CQN606" s="222"/>
      <c r="CQO606" s="222"/>
      <c r="CQP606" s="222"/>
      <c r="CQQ606" s="223"/>
      <c r="CQR606" s="224"/>
      <c r="CQS606" s="222"/>
      <c r="CQT606" s="222"/>
      <c r="CQU606" s="222"/>
      <c r="CQV606" s="222"/>
      <c r="CQW606" s="222"/>
      <c r="CQX606" s="222"/>
      <c r="CQY606" s="223"/>
      <c r="CQZ606" s="224"/>
      <c r="CRA606" s="222"/>
      <c r="CRB606" s="222"/>
      <c r="CRC606" s="222"/>
      <c r="CRD606" s="222"/>
      <c r="CRE606" s="222"/>
      <c r="CRF606" s="222"/>
      <c r="CRG606" s="223"/>
      <c r="CRH606" s="224"/>
      <c r="CRI606" s="222"/>
      <c r="CRJ606" s="222"/>
      <c r="CRK606" s="222"/>
      <c r="CRL606" s="222"/>
      <c r="CRM606" s="222"/>
      <c r="CRN606" s="222"/>
      <c r="CRO606" s="223"/>
      <c r="CRP606" s="224"/>
      <c r="CRQ606" s="222"/>
      <c r="CRR606" s="222"/>
      <c r="CRS606" s="222"/>
      <c r="CRT606" s="222"/>
      <c r="CRU606" s="222"/>
      <c r="CRV606" s="222"/>
      <c r="CRW606" s="223"/>
      <c r="CRX606" s="224"/>
      <c r="CRY606" s="222"/>
      <c r="CRZ606" s="222"/>
      <c r="CSA606" s="222"/>
      <c r="CSB606" s="222"/>
      <c r="CSC606" s="222"/>
      <c r="CSD606" s="222"/>
      <c r="CSE606" s="223"/>
      <c r="CSF606" s="224"/>
      <c r="CSG606" s="222"/>
      <c r="CSH606" s="222"/>
      <c r="CSI606" s="222"/>
      <c r="CSJ606" s="222"/>
      <c r="CSK606" s="222"/>
      <c r="CSL606" s="222"/>
      <c r="CSM606" s="223"/>
      <c r="CSN606" s="224"/>
      <c r="CSO606" s="222"/>
      <c r="CSP606" s="222"/>
      <c r="CSQ606" s="222"/>
      <c r="CSR606" s="222"/>
      <c r="CSS606" s="222"/>
      <c r="CST606" s="222"/>
      <c r="CSU606" s="223"/>
      <c r="CSV606" s="224"/>
      <c r="CSW606" s="222"/>
      <c r="CSX606" s="222"/>
      <c r="CSY606" s="222"/>
      <c r="CSZ606" s="222"/>
      <c r="CTA606" s="222"/>
      <c r="CTB606" s="222"/>
      <c r="CTC606" s="223"/>
      <c r="CTD606" s="224"/>
      <c r="CTE606" s="222"/>
      <c r="CTF606" s="222"/>
      <c r="CTG606" s="222"/>
      <c r="CTH606" s="222"/>
      <c r="CTI606" s="222"/>
      <c r="CTJ606" s="222"/>
      <c r="CTK606" s="223"/>
      <c r="CTL606" s="224"/>
      <c r="CTM606" s="222"/>
      <c r="CTN606" s="222"/>
      <c r="CTO606" s="222"/>
      <c r="CTP606" s="222"/>
      <c r="CTQ606" s="222"/>
      <c r="CTR606" s="222"/>
      <c r="CTS606" s="223"/>
      <c r="CTT606" s="224"/>
      <c r="CTU606" s="222"/>
      <c r="CTV606" s="222"/>
      <c r="CTW606" s="222"/>
      <c r="CTX606" s="222"/>
      <c r="CTY606" s="222"/>
      <c r="CTZ606" s="222"/>
      <c r="CUA606" s="223"/>
      <c r="CUB606" s="224"/>
      <c r="CUC606" s="222"/>
      <c r="CUD606" s="222"/>
      <c r="CUE606" s="222"/>
      <c r="CUF606" s="222"/>
      <c r="CUG606" s="222"/>
      <c r="CUH606" s="222"/>
      <c r="CUI606" s="223"/>
      <c r="CUJ606" s="224"/>
      <c r="CUK606" s="222"/>
      <c r="CUL606" s="222"/>
      <c r="CUM606" s="222"/>
      <c r="CUN606" s="222"/>
      <c r="CUO606" s="222"/>
      <c r="CUP606" s="222"/>
      <c r="CUQ606" s="223"/>
      <c r="CUR606" s="224"/>
      <c r="CUS606" s="222"/>
      <c r="CUT606" s="222"/>
      <c r="CUU606" s="222"/>
      <c r="CUV606" s="222"/>
      <c r="CUW606" s="222"/>
      <c r="CUX606" s="222"/>
      <c r="CUY606" s="223"/>
      <c r="CUZ606" s="224"/>
      <c r="CVA606" s="222"/>
      <c r="CVB606" s="222"/>
      <c r="CVC606" s="222"/>
      <c r="CVD606" s="222"/>
      <c r="CVE606" s="222"/>
      <c r="CVF606" s="222"/>
      <c r="CVG606" s="223"/>
      <c r="CVH606" s="224"/>
      <c r="CVI606" s="222"/>
      <c r="CVJ606" s="222"/>
      <c r="CVK606" s="222"/>
      <c r="CVL606" s="222"/>
      <c r="CVM606" s="222"/>
      <c r="CVN606" s="222"/>
      <c r="CVO606" s="223"/>
      <c r="CVP606" s="224"/>
      <c r="CVQ606" s="222"/>
      <c r="CVR606" s="222"/>
      <c r="CVS606" s="222"/>
      <c r="CVT606" s="222"/>
      <c r="CVU606" s="222"/>
      <c r="CVV606" s="222"/>
      <c r="CVW606" s="223"/>
      <c r="CVX606" s="224"/>
      <c r="CVY606" s="222"/>
      <c r="CVZ606" s="222"/>
      <c r="CWA606" s="222"/>
      <c r="CWB606" s="222"/>
      <c r="CWC606" s="222"/>
      <c r="CWD606" s="222"/>
      <c r="CWE606" s="223"/>
      <c r="CWF606" s="224"/>
      <c r="CWG606" s="222"/>
      <c r="CWH606" s="222"/>
      <c r="CWI606" s="222"/>
      <c r="CWJ606" s="222"/>
      <c r="CWK606" s="222"/>
      <c r="CWL606" s="222"/>
      <c r="CWM606" s="223"/>
      <c r="CWN606" s="224"/>
      <c r="CWO606" s="222"/>
      <c r="CWP606" s="222"/>
      <c r="CWQ606" s="222"/>
      <c r="CWR606" s="222"/>
      <c r="CWS606" s="222"/>
      <c r="CWT606" s="222"/>
      <c r="CWU606" s="223"/>
      <c r="CWV606" s="224"/>
      <c r="CWW606" s="222"/>
      <c r="CWX606" s="222"/>
      <c r="CWY606" s="222"/>
      <c r="CWZ606" s="222"/>
      <c r="CXA606" s="222"/>
      <c r="CXB606" s="222"/>
      <c r="CXC606" s="223"/>
      <c r="CXD606" s="224"/>
      <c r="CXE606" s="222"/>
      <c r="CXF606" s="222"/>
      <c r="CXG606" s="222"/>
      <c r="CXH606" s="222"/>
      <c r="CXI606" s="222"/>
      <c r="CXJ606" s="222"/>
      <c r="CXK606" s="223"/>
      <c r="CXL606" s="224"/>
      <c r="CXM606" s="222"/>
      <c r="CXN606" s="222"/>
      <c r="CXO606" s="222"/>
      <c r="CXP606" s="222"/>
      <c r="CXQ606" s="222"/>
      <c r="CXR606" s="222"/>
      <c r="CXS606" s="223"/>
      <c r="CXT606" s="224"/>
      <c r="CXU606" s="222"/>
      <c r="CXV606" s="222"/>
      <c r="CXW606" s="222"/>
      <c r="CXX606" s="222"/>
      <c r="CXY606" s="222"/>
      <c r="CXZ606" s="222"/>
      <c r="CYA606" s="223"/>
      <c r="CYB606" s="224"/>
      <c r="CYC606" s="222"/>
      <c r="CYD606" s="222"/>
      <c r="CYE606" s="222"/>
      <c r="CYF606" s="222"/>
      <c r="CYG606" s="222"/>
      <c r="CYH606" s="222"/>
      <c r="CYI606" s="223"/>
      <c r="CYJ606" s="224"/>
      <c r="CYK606" s="222"/>
      <c r="CYL606" s="222"/>
      <c r="CYM606" s="222"/>
      <c r="CYN606" s="222"/>
      <c r="CYO606" s="222"/>
      <c r="CYP606" s="222"/>
      <c r="CYQ606" s="223"/>
      <c r="CYR606" s="224"/>
      <c r="CYS606" s="222"/>
      <c r="CYT606" s="222"/>
      <c r="CYU606" s="222"/>
      <c r="CYV606" s="222"/>
      <c r="CYW606" s="222"/>
      <c r="CYX606" s="222"/>
      <c r="CYY606" s="223"/>
      <c r="CYZ606" s="224"/>
      <c r="CZA606" s="222"/>
      <c r="CZB606" s="222"/>
      <c r="CZC606" s="222"/>
      <c r="CZD606" s="222"/>
      <c r="CZE606" s="222"/>
      <c r="CZF606" s="222"/>
      <c r="CZG606" s="223"/>
      <c r="CZH606" s="224"/>
      <c r="CZI606" s="222"/>
      <c r="CZJ606" s="222"/>
      <c r="CZK606" s="222"/>
      <c r="CZL606" s="222"/>
      <c r="CZM606" s="222"/>
      <c r="CZN606" s="222"/>
      <c r="CZO606" s="223"/>
      <c r="CZP606" s="224"/>
      <c r="CZQ606" s="222"/>
      <c r="CZR606" s="222"/>
      <c r="CZS606" s="222"/>
      <c r="CZT606" s="222"/>
      <c r="CZU606" s="222"/>
      <c r="CZV606" s="222"/>
      <c r="CZW606" s="223"/>
      <c r="CZX606" s="224"/>
      <c r="CZY606" s="222"/>
      <c r="CZZ606" s="222"/>
      <c r="DAA606" s="222"/>
      <c r="DAB606" s="222"/>
      <c r="DAC606" s="222"/>
      <c r="DAD606" s="222"/>
      <c r="DAE606" s="223"/>
      <c r="DAF606" s="224"/>
      <c r="DAG606" s="222"/>
      <c r="DAH606" s="222"/>
      <c r="DAI606" s="222"/>
      <c r="DAJ606" s="222"/>
      <c r="DAK606" s="222"/>
      <c r="DAL606" s="222"/>
      <c r="DAM606" s="223"/>
      <c r="DAN606" s="224"/>
      <c r="DAO606" s="222"/>
      <c r="DAP606" s="222"/>
      <c r="DAQ606" s="222"/>
      <c r="DAR606" s="222"/>
      <c r="DAS606" s="222"/>
      <c r="DAT606" s="222"/>
      <c r="DAU606" s="223"/>
      <c r="DAV606" s="224"/>
      <c r="DAW606" s="222"/>
      <c r="DAX606" s="222"/>
      <c r="DAY606" s="222"/>
      <c r="DAZ606" s="222"/>
      <c r="DBA606" s="222"/>
      <c r="DBB606" s="222"/>
      <c r="DBC606" s="223"/>
      <c r="DBD606" s="224"/>
      <c r="DBE606" s="222"/>
      <c r="DBF606" s="222"/>
      <c r="DBG606" s="222"/>
      <c r="DBH606" s="222"/>
      <c r="DBI606" s="222"/>
      <c r="DBJ606" s="222"/>
      <c r="DBK606" s="223"/>
      <c r="DBL606" s="224"/>
      <c r="DBM606" s="222"/>
      <c r="DBN606" s="222"/>
      <c r="DBO606" s="222"/>
      <c r="DBP606" s="222"/>
      <c r="DBQ606" s="222"/>
      <c r="DBR606" s="222"/>
      <c r="DBS606" s="223"/>
      <c r="DBT606" s="224"/>
      <c r="DBU606" s="222"/>
      <c r="DBV606" s="222"/>
      <c r="DBW606" s="222"/>
      <c r="DBX606" s="222"/>
      <c r="DBY606" s="222"/>
      <c r="DBZ606" s="222"/>
      <c r="DCA606" s="223"/>
      <c r="DCB606" s="224"/>
      <c r="DCC606" s="222"/>
      <c r="DCD606" s="222"/>
      <c r="DCE606" s="222"/>
      <c r="DCF606" s="222"/>
      <c r="DCG606" s="222"/>
      <c r="DCH606" s="222"/>
      <c r="DCI606" s="223"/>
      <c r="DCJ606" s="224"/>
      <c r="DCK606" s="222"/>
      <c r="DCL606" s="222"/>
      <c r="DCM606" s="222"/>
      <c r="DCN606" s="222"/>
      <c r="DCO606" s="222"/>
      <c r="DCP606" s="222"/>
      <c r="DCQ606" s="223"/>
      <c r="DCR606" s="224"/>
      <c r="DCS606" s="222"/>
      <c r="DCT606" s="222"/>
      <c r="DCU606" s="222"/>
      <c r="DCV606" s="222"/>
      <c r="DCW606" s="222"/>
      <c r="DCX606" s="222"/>
      <c r="DCY606" s="223"/>
      <c r="DCZ606" s="224"/>
      <c r="DDA606" s="222"/>
      <c r="DDB606" s="222"/>
      <c r="DDC606" s="222"/>
      <c r="DDD606" s="222"/>
      <c r="DDE606" s="222"/>
      <c r="DDF606" s="222"/>
      <c r="DDG606" s="223"/>
      <c r="DDH606" s="224"/>
      <c r="DDI606" s="222"/>
      <c r="DDJ606" s="222"/>
      <c r="DDK606" s="222"/>
      <c r="DDL606" s="222"/>
      <c r="DDM606" s="222"/>
      <c r="DDN606" s="222"/>
      <c r="DDO606" s="223"/>
      <c r="DDP606" s="224"/>
      <c r="DDQ606" s="222"/>
      <c r="DDR606" s="222"/>
      <c r="DDS606" s="222"/>
      <c r="DDT606" s="222"/>
      <c r="DDU606" s="222"/>
      <c r="DDV606" s="222"/>
      <c r="DDW606" s="223"/>
      <c r="DDX606" s="224"/>
      <c r="DDY606" s="222"/>
      <c r="DDZ606" s="222"/>
      <c r="DEA606" s="222"/>
      <c r="DEB606" s="222"/>
      <c r="DEC606" s="222"/>
      <c r="DED606" s="222"/>
      <c r="DEE606" s="223"/>
      <c r="DEF606" s="224"/>
      <c r="DEG606" s="222"/>
      <c r="DEH606" s="222"/>
      <c r="DEI606" s="222"/>
      <c r="DEJ606" s="222"/>
      <c r="DEK606" s="222"/>
      <c r="DEL606" s="222"/>
      <c r="DEM606" s="223"/>
      <c r="DEN606" s="224"/>
      <c r="DEO606" s="222"/>
      <c r="DEP606" s="222"/>
      <c r="DEQ606" s="222"/>
      <c r="DER606" s="222"/>
      <c r="DES606" s="222"/>
      <c r="DET606" s="222"/>
      <c r="DEU606" s="223"/>
      <c r="DEV606" s="224"/>
      <c r="DEW606" s="222"/>
      <c r="DEX606" s="222"/>
      <c r="DEY606" s="222"/>
      <c r="DEZ606" s="222"/>
      <c r="DFA606" s="222"/>
      <c r="DFB606" s="222"/>
      <c r="DFC606" s="223"/>
      <c r="DFD606" s="224"/>
      <c r="DFE606" s="222"/>
      <c r="DFF606" s="222"/>
      <c r="DFG606" s="222"/>
      <c r="DFH606" s="222"/>
      <c r="DFI606" s="222"/>
      <c r="DFJ606" s="222"/>
      <c r="DFK606" s="223"/>
      <c r="DFL606" s="224"/>
      <c r="DFM606" s="222"/>
      <c r="DFN606" s="222"/>
      <c r="DFO606" s="222"/>
      <c r="DFP606" s="222"/>
      <c r="DFQ606" s="222"/>
      <c r="DFR606" s="222"/>
      <c r="DFS606" s="223"/>
      <c r="DFT606" s="224"/>
      <c r="DFU606" s="222"/>
      <c r="DFV606" s="222"/>
      <c r="DFW606" s="222"/>
      <c r="DFX606" s="222"/>
      <c r="DFY606" s="222"/>
      <c r="DFZ606" s="222"/>
      <c r="DGA606" s="223"/>
      <c r="DGB606" s="224"/>
      <c r="DGC606" s="222"/>
      <c r="DGD606" s="222"/>
      <c r="DGE606" s="222"/>
      <c r="DGF606" s="222"/>
      <c r="DGG606" s="222"/>
      <c r="DGH606" s="222"/>
      <c r="DGI606" s="223"/>
      <c r="DGJ606" s="224"/>
      <c r="DGK606" s="222"/>
      <c r="DGL606" s="222"/>
      <c r="DGM606" s="222"/>
      <c r="DGN606" s="222"/>
      <c r="DGO606" s="222"/>
      <c r="DGP606" s="222"/>
      <c r="DGQ606" s="223"/>
      <c r="DGR606" s="224"/>
      <c r="DGS606" s="222"/>
      <c r="DGT606" s="222"/>
      <c r="DGU606" s="222"/>
      <c r="DGV606" s="222"/>
      <c r="DGW606" s="222"/>
      <c r="DGX606" s="222"/>
      <c r="DGY606" s="223"/>
      <c r="DGZ606" s="224"/>
      <c r="DHA606" s="222"/>
      <c r="DHB606" s="222"/>
      <c r="DHC606" s="222"/>
      <c r="DHD606" s="222"/>
      <c r="DHE606" s="222"/>
      <c r="DHF606" s="222"/>
      <c r="DHG606" s="223"/>
      <c r="DHH606" s="224"/>
      <c r="DHI606" s="222"/>
      <c r="DHJ606" s="222"/>
      <c r="DHK606" s="222"/>
      <c r="DHL606" s="222"/>
      <c r="DHM606" s="222"/>
      <c r="DHN606" s="222"/>
      <c r="DHO606" s="223"/>
      <c r="DHP606" s="224"/>
      <c r="DHQ606" s="222"/>
      <c r="DHR606" s="222"/>
      <c r="DHS606" s="222"/>
      <c r="DHT606" s="222"/>
      <c r="DHU606" s="222"/>
      <c r="DHV606" s="222"/>
      <c r="DHW606" s="223"/>
      <c r="DHX606" s="224"/>
      <c r="DHY606" s="222"/>
      <c r="DHZ606" s="222"/>
      <c r="DIA606" s="222"/>
      <c r="DIB606" s="222"/>
      <c r="DIC606" s="222"/>
      <c r="DID606" s="222"/>
      <c r="DIE606" s="223"/>
      <c r="DIF606" s="224"/>
      <c r="DIG606" s="222"/>
      <c r="DIH606" s="222"/>
      <c r="DII606" s="222"/>
      <c r="DIJ606" s="222"/>
      <c r="DIK606" s="222"/>
      <c r="DIL606" s="222"/>
      <c r="DIM606" s="223"/>
      <c r="DIN606" s="224"/>
      <c r="DIO606" s="222"/>
      <c r="DIP606" s="222"/>
      <c r="DIQ606" s="222"/>
      <c r="DIR606" s="222"/>
      <c r="DIS606" s="222"/>
      <c r="DIT606" s="222"/>
      <c r="DIU606" s="223"/>
      <c r="DIV606" s="224"/>
      <c r="DIW606" s="222"/>
      <c r="DIX606" s="222"/>
      <c r="DIY606" s="222"/>
      <c r="DIZ606" s="222"/>
      <c r="DJA606" s="222"/>
      <c r="DJB606" s="222"/>
      <c r="DJC606" s="223"/>
      <c r="DJD606" s="224"/>
      <c r="DJE606" s="222"/>
      <c r="DJF606" s="222"/>
      <c r="DJG606" s="222"/>
      <c r="DJH606" s="222"/>
      <c r="DJI606" s="222"/>
      <c r="DJJ606" s="222"/>
      <c r="DJK606" s="223"/>
      <c r="DJL606" s="224"/>
      <c r="DJM606" s="222"/>
      <c r="DJN606" s="222"/>
      <c r="DJO606" s="222"/>
      <c r="DJP606" s="222"/>
      <c r="DJQ606" s="222"/>
      <c r="DJR606" s="222"/>
      <c r="DJS606" s="223"/>
      <c r="DJT606" s="224"/>
      <c r="DJU606" s="222"/>
      <c r="DJV606" s="222"/>
      <c r="DJW606" s="222"/>
      <c r="DJX606" s="222"/>
      <c r="DJY606" s="222"/>
      <c r="DJZ606" s="222"/>
      <c r="DKA606" s="223"/>
      <c r="DKB606" s="224"/>
      <c r="DKC606" s="222"/>
      <c r="DKD606" s="222"/>
      <c r="DKE606" s="222"/>
      <c r="DKF606" s="222"/>
      <c r="DKG606" s="222"/>
      <c r="DKH606" s="222"/>
      <c r="DKI606" s="223"/>
      <c r="DKJ606" s="224"/>
      <c r="DKK606" s="222"/>
      <c r="DKL606" s="222"/>
      <c r="DKM606" s="222"/>
      <c r="DKN606" s="222"/>
      <c r="DKO606" s="222"/>
      <c r="DKP606" s="222"/>
      <c r="DKQ606" s="223"/>
      <c r="DKR606" s="224"/>
      <c r="DKS606" s="222"/>
      <c r="DKT606" s="222"/>
      <c r="DKU606" s="222"/>
      <c r="DKV606" s="222"/>
      <c r="DKW606" s="222"/>
      <c r="DKX606" s="222"/>
      <c r="DKY606" s="223"/>
      <c r="DKZ606" s="224"/>
      <c r="DLA606" s="222"/>
      <c r="DLB606" s="222"/>
      <c r="DLC606" s="222"/>
      <c r="DLD606" s="222"/>
      <c r="DLE606" s="222"/>
      <c r="DLF606" s="222"/>
      <c r="DLG606" s="223"/>
      <c r="DLH606" s="224"/>
      <c r="DLI606" s="222"/>
      <c r="DLJ606" s="222"/>
      <c r="DLK606" s="222"/>
      <c r="DLL606" s="222"/>
      <c r="DLM606" s="222"/>
      <c r="DLN606" s="222"/>
      <c r="DLO606" s="223"/>
      <c r="DLP606" s="224"/>
      <c r="DLQ606" s="222"/>
      <c r="DLR606" s="222"/>
      <c r="DLS606" s="222"/>
      <c r="DLT606" s="222"/>
      <c r="DLU606" s="222"/>
      <c r="DLV606" s="222"/>
      <c r="DLW606" s="223"/>
      <c r="DLX606" s="224"/>
      <c r="DLY606" s="222"/>
      <c r="DLZ606" s="222"/>
      <c r="DMA606" s="222"/>
      <c r="DMB606" s="222"/>
      <c r="DMC606" s="222"/>
      <c r="DMD606" s="222"/>
      <c r="DME606" s="223"/>
      <c r="DMF606" s="224"/>
      <c r="DMG606" s="222"/>
      <c r="DMH606" s="222"/>
      <c r="DMI606" s="222"/>
      <c r="DMJ606" s="222"/>
      <c r="DMK606" s="222"/>
      <c r="DML606" s="222"/>
      <c r="DMM606" s="223"/>
      <c r="DMN606" s="224"/>
      <c r="DMO606" s="222"/>
      <c r="DMP606" s="222"/>
      <c r="DMQ606" s="222"/>
      <c r="DMR606" s="222"/>
      <c r="DMS606" s="222"/>
      <c r="DMT606" s="222"/>
      <c r="DMU606" s="223"/>
      <c r="DMV606" s="224"/>
      <c r="DMW606" s="222"/>
      <c r="DMX606" s="222"/>
      <c r="DMY606" s="222"/>
      <c r="DMZ606" s="222"/>
      <c r="DNA606" s="222"/>
      <c r="DNB606" s="222"/>
      <c r="DNC606" s="223"/>
      <c r="DND606" s="224"/>
      <c r="DNE606" s="222"/>
      <c r="DNF606" s="222"/>
      <c r="DNG606" s="222"/>
      <c r="DNH606" s="222"/>
      <c r="DNI606" s="222"/>
      <c r="DNJ606" s="222"/>
      <c r="DNK606" s="223"/>
      <c r="DNL606" s="224"/>
      <c r="DNM606" s="222"/>
      <c r="DNN606" s="222"/>
      <c r="DNO606" s="222"/>
      <c r="DNP606" s="222"/>
      <c r="DNQ606" s="222"/>
      <c r="DNR606" s="222"/>
      <c r="DNS606" s="223"/>
      <c r="DNT606" s="224"/>
      <c r="DNU606" s="222"/>
      <c r="DNV606" s="222"/>
      <c r="DNW606" s="222"/>
      <c r="DNX606" s="222"/>
      <c r="DNY606" s="222"/>
      <c r="DNZ606" s="222"/>
      <c r="DOA606" s="223"/>
      <c r="DOB606" s="224"/>
      <c r="DOC606" s="222"/>
      <c r="DOD606" s="222"/>
      <c r="DOE606" s="222"/>
      <c r="DOF606" s="222"/>
      <c r="DOG606" s="222"/>
      <c r="DOH606" s="222"/>
      <c r="DOI606" s="223"/>
      <c r="DOJ606" s="224"/>
      <c r="DOK606" s="222"/>
      <c r="DOL606" s="222"/>
      <c r="DOM606" s="222"/>
      <c r="DON606" s="222"/>
      <c r="DOO606" s="222"/>
      <c r="DOP606" s="222"/>
      <c r="DOQ606" s="223"/>
      <c r="DOR606" s="224"/>
      <c r="DOS606" s="222"/>
      <c r="DOT606" s="222"/>
      <c r="DOU606" s="222"/>
      <c r="DOV606" s="222"/>
      <c r="DOW606" s="222"/>
      <c r="DOX606" s="222"/>
      <c r="DOY606" s="223"/>
      <c r="DOZ606" s="224"/>
      <c r="DPA606" s="222"/>
      <c r="DPB606" s="222"/>
      <c r="DPC606" s="222"/>
      <c r="DPD606" s="222"/>
      <c r="DPE606" s="222"/>
      <c r="DPF606" s="222"/>
      <c r="DPG606" s="223"/>
      <c r="DPH606" s="224"/>
      <c r="DPI606" s="222"/>
      <c r="DPJ606" s="222"/>
      <c r="DPK606" s="222"/>
      <c r="DPL606" s="222"/>
      <c r="DPM606" s="222"/>
      <c r="DPN606" s="222"/>
      <c r="DPO606" s="223"/>
      <c r="DPP606" s="224"/>
      <c r="DPQ606" s="222"/>
      <c r="DPR606" s="222"/>
      <c r="DPS606" s="222"/>
      <c r="DPT606" s="222"/>
      <c r="DPU606" s="222"/>
      <c r="DPV606" s="222"/>
      <c r="DPW606" s="223"/>
      <c r="DPX606" s="224"/>
      <c r="DPY606" s="222"/>
      <c r="DPZ606" s="222"/>
      <c r="DQA606" s="222"/>
      <c r="DQB606" s="222"/>
      <c r="DQC606" s="222"/>
      <c r="DQD606" s="222"/>
      <c r="DQE606" s="223"/>
      <c r="DQF606" s="224"/>
      <c r="DQG606" s="222"/>
      <c r="DQH606" s="222"/>
      <c r="DQI606" s="222"/>
      <c r="DQJ606" s="222"/>
      <c r="DQK606" s="222"/>
      <c r="DQL606" s="222"/>
      <c r="DQM606" s="223"/>
      <c r="DQN606" s="224"/>
      <c r="DQO606" s="222"/>
      <c r="DQP606" s="222"/>
      <c r="DQQ606" s="222"/>
      <c r="DQR606" s="222"/>
      <c r="DQS606" s="222"/>
      <c r="DQT606" s="222"/>
      <c r="DQU606" s="223"/>
      <c r="DQV606" s="224"/>
      <c r="DQW606" s="222"/>
      <c r="DQX606" s="222"/>
      <c r="DQY606" s="222"/>
      <c r="DQZ606" s="222"/>
      <c r="DRA606" s="222"/>
      <c r="DRB606" s="222"/>
      <c r="DRC606" s="223"/>
      <c r="DRD606" s="224"/>
      <c r="DRE606" s="222"/>
      <c r="DRF606" s="222"/>
      <c r="DRG606" s="222"/>
      <c r="DRH606" s="222"/>
      <c r="DRI606" s="222"/>
      <c r="DRJ606" s="222"/>
      <c r="DRK606" s="223"/>
      <c r="DRL606" s="224"/>
      <c r="DRM606" s="222"/>
      <c r="DRN606" s="222"/>
      <c r="DRO606" s="222"/>
      <c r="DRP606" s="222"/>
      <c r="DRQ606" s="222"/>
      <c r="DRR606" s="222"/>
      <c r="DRS606" s="223"/>
      <c r="DRT606" s="224"/>
      <c r="DRU606" s="222"/>
      <c r="DRV606" s="222"/>
      <c r="DRW606" s="222"/>
      <c r="DRX606" s="222"/>
      <c r="DRY606" s="222"/>
      <c r="DRZ606" s="222"/>
      <c r="DSA606" s="223"/>
      <c r="DSB606" s="224"/>
      <c r="DSC606" s="222"/>
      <c r="DSD606" s="222"/>
      <c r="DSE606" s="222"/>
      <c r="DSF606" s="222"/>
      <c r="DSG606" s="222"/>
      <c r="DSH606" s="222"/>
      <c r="DSI606" s="223"/>
      <c r="DSJ606" s="224"/>
      <c r="DSK606" s="222"/>
      <c r="DSL606" s="222"/>
      <c r="DSM606" s="222"/>
      <c r="DSN606" s="222"/>
      <c r="DSO606" s="222"/>
      <c r="DSP606" s="222"/>
      <c r="DSQ606" s="223"/>
      <c r="DSR606" s="224"/>
      <c r="DSS606" s="222"/>
      <c r="DST606" s="222"/>
      <c r="DSU606" s="222"/>
      <c r="DSV606" s="222"/>
      <c r="DSW606" s="222"/>
      <c r="DSX606" s="222"/>
      <c r="DSY606" s="223"/>
      <c r="DSZ606" s="224"/>
      <c r="DTA606" s="222"/>
      <c r="DTB606" s="222"/>
      <c r="DTC606" s="222"/>
      <c r="DTD606" s="222"/>
      <c r="DTE606" s="222"/>
      <c r="DTF606" s="222"/>
      <c r="DTG606" s="223"/>
      <c r="DTH606" s="224"/>
      <c r="DTI606" s="222"/>
      <c r="DTJ606" s="222"/>
      <c r="DTK606" s="222"/>
      <c r="DTL606" s="222"/>
      <c r="DTM606" s="222"/>
      <c r="DTN606" s="222"/>
      <c r="DTO606" s="223"/>
      <c r="DTP606" s="224"/>
      <c r="DTQ606" s="222"/>
      <c r="DTR606" s="222"/>
      <c r="DTS606" s="222"/>
      <c r="DTT606" s="222"/>
      <c r="DTU606" s="222"/>
      <c r="DTV606" s="222"/>
      <c r="DTW606" s="223"/>
      <c r="DTX606" s="224"/>
      <c r="DTY606" s="222"/>
      <c r="DTZ606" s="222"/>
      <c r="DUA606" s="222"/>
      <c r="DUB606" s="222"/>
      <c r="DUC606" s="222"/>
      <c r="DUD606" s="222"/>
      <c r="DUE606" s="223"/>
      <c r="DUF606" s="224"/>
      <c r="DUG606" s="222"/>
      <c r="DUH606" s="222"/>
      <c r="DUI606" s="222"/>
      <c r="DUJ606" s="222"/>
      <c r="DUK606" s="222"/>
      <c r="DUL606" s="222"/>
      <c r="DUM606" s="223"/>
      <c r="DUN606" s="224"/>
      <c r="DUO606" s="222"/>
      <c r="DUP606" s="222"/>
      <c r="DUQ606" s="222"/>
      <c r="DUR606" s="222"/>
      <c r="DUS606" s="222"/>
      <c r="DUT606" s="222"/>
      <c r="DUU606" s="223"/>
      <c r="DUV606" s="224"/>
      <c r="DUW606" s="222"/>
      <c r="DUX606" s="222"/>
      <c r="DUY606" s="222"/>
      <c r="DUZ606" s="222"/>
      <c r="DVA606" s="222"/>
      <c r="DVB606" s="222"/>
      <c r="DVC606" s="223"/>
      <c r="DVD606" s="224"/>
      <c r="DVE606" s="222"/>
      <c r="DVF606" s="222"/>
      <c r="DVG606" s="222"/>
      <c r="DVH606" s="222"/>
      <c r="DVI606" s="222"/>
      <c r="DVJ606" s="222"/>
      <c r="DVK606" s="223"/>
      <c r="DVL606" s="224"/>
      <c r="DVM606" s="222"/>
      <c r="DVN606" s="222"/>
      <c r="DVO606" s="222"/>
      <c r="DVP606" s="222"/>
      <c r="DVQ606" s="222"/>
      <c r="DVR606" s="222"/>
      <c r="DVS606" s="223"/>
      <c r="DVT606" s="224"/>
      <c r="DVU606" s="222"/>
      <c r="DVV606" s="222"/>
      <c r="DVW606" s="222"/>
      <c r="DVX606" s="222"/>
      <c r="DVY606" s="222"/>
      <c r="DVZ606" s="222"/>
      <c r="DWA606" s="223"/>
      <c r="DWB606" s="224"/>
      <c r="DWC606" s="222"/>
      <c r="DWD606" s="222"/>
      <c r="DWE606" s="222"/>
      <c r="DWF606" s="222"/>
      <c r="DWG606" s="222"/>
      <c r="DWH606" s="222"/>
      <c r="DWI606" s="223"/>
      <c r="DWJ606" s="224"/>
      <c r="DWK606" s="222"/>
      <c r="DWL606" s="222"/>
      <c r="DWM606" s="222"/>
      <c r="DWN606" s="222"/>
      <c r="DWO606" s="222"/>
      <c r="DWP606" s="222"/>
      <c r="DWQ606" s="223"/>
      <c r="DWR606" s="224"/>
      <c r="DWS606" s="222"/>
      <c r="DWT606" s="222"/>
      <c r="DWU606" s="222"/>
      <c r="DWV606" s="222"/>
      <c r="DWW606" s="222"/>
      <c r="DWX606" s="222"/>
      <c r="DWY606" s="223"/>
      <c r="DWZ606" s="224"/>
      <c r="DXA606" s="222"/>
      <c r="DXB606" s="222"/>
      <c r="DXC606" s="222"/>
      <c r="DXD606" s="222"/>
      <c r="DXE606" s="222"/>
      <c r="DXF606" s="222"/>
      <c r="DXG606" s="223"/>
      <c r="DXH606" s="224"/>
      <c r="DXI606" s="222"/>
      <c r="DXJ606" s="222"/>
      <c r="DXK606" s="222"/>
      <c r="DXL606" s="222"/>
      <c r="DXM606" s="222"/>
      <c r="DXN606" s="222"/>
      <c r="DXO606" s="223"/>
      <c r="DXP606" s="224"/>
      <c r="DXQ606" s="222"/>
      <c r="DXR606" s="222"/>
      <c r="DXS606" s="222"/>
      <c r="DXT606" s="222"/>
      <c r="DXU606" s="222"/>
      <c r="DXV606" s="222"/>
      <c r="DXW606" s="223"/>
      <c r="DXX606" s="224"/>
      <c r="DXY606" s="222"/>
      <c r="DXZ606" s="222"/>
      <c r="DYA606" s="222"/>
      <c r="DYB606" s="222"/>
      <c r="DYC606" s="222"/>
      <c r="DYD606" s="222"/>
      <c r="DYE606" s="223"/>
      <c r="DYF606" s="224"/>
      <c r="DYG606" s="222"/>
      <c r="DYH606" s="222"/>
      <c r="DYI606" s="222"/>
      <c r="DYJ606" s="222"/>
      <c r="DYK606" s="222"/>
      <c r="DYL606" s="222"/>
      <c r="DYM606" s="223"/>
      <c r="DYN606" s="224"/>
      <c r="DYO606" s="222"/>
      <c r="DYP606" s="222"/>
      <c r="DYQ606" s="222"/>
      <c r="DYR606" s="222"/>
      <c r="DYS606" s="222"/>
      <c r="DYT606" s="222"/>
      <c r="DYU606" s="223"/>
      <c r="DYV606" s="224"/>
      <c r="DYW606" s="222"/>
      <c r="DYX606" s="222"/>
      <c r="DYY606" s="222"/>
      <c r="DYZ606" s="222"/>
      <c r="DZA606" s="222"/>
      <c r="DZB606" s="222"/>
      <c r="DZC606" s="223"/>
      <c r="DZD606" s="224"/>
      <c r="DZE606" s="222"/>
      <c r="DZF606" s="222"/>
      <c r="DZG606" s="222"/>
      <c r="DZH606" s="222"/>
      <c r="DZI606" s="222"/>
      <c r="DZJ606" s="222"/>
      <c r="DZK606" s="223"/>
      <c r="DZL606" s="224"/>
      <c r="DZM606" s="222"/>
      <c r="DZN606" s="222"/>
      <c r="DZO606" s="222"/>
      <c r="DZP606" s="222"/>
      <c r="DZQ606" s="222"/>
      <c r="DZR606" s="222"/>
      <c r="DZS606" s="223"/>
      <c r="DZT606" s="224"/>
      <c r="DZU606" s="222"/>
      <c r="DZV606" s="222"/>
      <c r="DZW606" s="222"/>
      <c r="DZX606" s="222"/>
      <c r="DZY606" s="222"/>
      <c r="DZZ606" s="222"/>
      <c r="EAA606" s="223"/>
      <c r="EAB606" s="224"/>
      <c r="EAC606" s="222"/>
      <c r="EAD606" s="222"/>
      <c r="EAE606" s="222"/>
      <c r="EAF606" s="222"/>
      <c r="EAG606" s="222"/>
      <c r="EAH606" s="222"/>
      <c r="EAI606" s="223"/>
      <c r="EAJ606" s="224"/>
      <c r="EAK606" s="222"/>
      <c r="EAL606" s="222"/>
      <c r="EAM606" s="222"/>
      <c r="EAN606" s="222"/>
      <c r="EAO606" s="222"/>
      <c r="EAP606" s="222"/>
      <c r="EAQ606" s="223"/>
      <c r="EAR606" s="224"/>
      <c r="EAS606" s="222"/>
      <c r="EAT606" s="222"/>
      <c r="EAU606" s="222"/>
      <c r="EAV606" s="222"/>
      <c r="EAW606" s="222"/>
      <c r="EAX606" s="222"/>
      <c r="EAY606" s="223"/>
      <c r="EAZ606" s="224"/>
      <c r="EBA606" s="222"/>
      <c r="EBB606" s="222"/>
      <c r="EBC606" s="222"/>
      <c r="EBD606" s="222"/>
      <c r="EBE606" s="222"/>
      <c r="EBF606" s="222"/>
      <c r="EBG606" s="223"/>
      <c r="EBH606" s="224"/>
      <c r="EBI606" s="222"/>
      <c r="EBJ606" s="222"/>
      <c r="EBK606" s="222"/>
      <c r="EBL606" s="222"/>
      <c r="EBM606" s="222"/>
      <c r="EBN606" s="222"/>
      <c r="EBO606" s="223"/>
      <c r="EBP606" s="224"/>
      <c r="EBQ606" s="222"/>
      <c r="EBR606" s="222"/>
      <c r="EBS606" s="222"/>
      <c r="EBT606" s="222"/>
      <c r="EBU606" s="222"/>
      <c r="EBV606" s="222"/>
      <c r="EBW606" s="223"/>
      <c r="EBX606" s="224"/>
      <c r="EBY606" s="222"/>
      <c r="EBZ606" s="222"/>
      <c r="ECA606" s="222"/>
      <c r="ECB606" s="222"/>
      <c r="ECC606" s="222"/>
      <c r="ECD606" s="222"/>
      <c r="ECE606" s="223"/>
      <c r="ECF606" s="224"/>
      <c r="ECG606" s="222"/>
      <c r="ECH606" s="222"/>
      <c r="ECI606" s="222"/>
      <c r="ECJ606" s="222"/>
      <c r="ECK606" s="222"/>
      <c r="ECL606" s="222"/>
      <c r="ECM606" s="223"/>
      <c r="ECN606" s="224"/>
      <c r="ECO606" s="222"/>
      <c r="ECP606" s="222"/>
      <c r="ECQ606" s="222"/>
      <c r="ECR606" s="222"/>
      <c r="ECS606" s="222"/>
      <c r="ECT606" s="222"/>
      <c r="ECU606" s="223"/>
      <c r="ECV606" s="224"/>
      <c r="ECW606" s="222"/>
      <c r="ECX606" s="222"/>
      <c r="ECY606" s="222"/>
      <c r="ECZ606" s="222"/>
      <c r="EDA606" s="222"/>
      <c r="EDB606" s="222"/>
      <c r="EDC606" s="223"/>
      <c r="EDD606" s="224"/>
      <c r="EDE606" s="222"/>
      <c r="EDF606" s="222"/>
      <c r="EDG606" s="222"/>
      <c r="EDH606" s="222"/>
      <c r="EDI606" s="222"/>
      <c r="EDJ606" s="222"/>
      <c r="EDK606" s="223"/>
      <c r="EDL606" s="224"/>
      <c r="EDM606" s="222"/>
      <c r="EDN606" s="222"/>
      <c r="EDO606" s="222"/>
      <c r="EDP606" s="222"/>
      <c r="EDQ606" s="222"/>
      <c r="EDR606" s="222"/>
      <c r="EDS606" s="223"/>
      <c r="EDT606" s="224"/>
      <c r="EDU606" s="222"/>
      <c r="EDV606" s="222"/>
      <c r="EDW606" s="222"/>
      <c r="EDX606" s="222"/>
      <c r="EDY606" s="222"/>
      <c r="EDZ606" s="222"/>
      <c r="EEA606" s="223"/>
      <c r="EEB606" s="224"/>
      <c r="EEC606" s="222"/>
      <c r="EED606" s="222"/>
      <c r="EEE606" s="222"/>
      <c r="EEF606" s="222"/>
      <c r="EEG606" s="222"/>
      <c r="EEH606" s="222"/>
      <c r="EEI606" s="223"/>
      <c r="EEJ606" s="224"/>
      <c r="EEK606" s="222"/>
      <c r="EEL606" s="222"/>
      <c r="EEM606" s="222"/>
      <c r="EEN606" s="222"/>
      <c r="EEO606" s="222"/>
      <c r="EEP606" s="222"/>
      <c r="EEQ606" s="223"/>
      <c r="EER606" s="224"/>
      <c r="EES606" s="222"/>
      <c r="EET606" s="222"/>
      <c r="EEU606" s="222"/>
      <c r="EEV606" s="222"/>
      <c r="EEW606" s="222"/>
      <c r="EEX606" s="222"/>
      <c r="EEY606" s="223"/>
      <c r="EEZ606" s="224"/>
      <c r="EFA606" s="222"/>
      <c r="EFB606" s="222"/>
      <c r="EFC606" s="222"/>
      <c r="EFD606" s="222"/>
      <c r="EFE606" s="222"/>
      <c r="EFF606" s="222"/>
      <c r="EFG606" s="223"/>
      <c r="EFH606" s="224"/>
      <c r="EFI606" s="222"/>
      <c r="EFJ606" s="222"/>
      <c r="EFK606" s="222"/>
      <c r="EFL606" s="222"/>
      <c r="EFM606" s="222"/>
      <c r="EFN606" s="222"/>
      <c r="EFO606" s="223"/>
      <c r="EFP606" s="224"/>
      <c r="EFQ606" s="222"/>
      <c r="EFR606" s="222"/>
      <c r="EFS606" s="222"/>
      <c r="EFT606" s="222"/>
      <c r="EFU606" s="222"/>
      <c r="EFV606" s="222"/>
      <c r="EFW606" s="223"/>
      <c r="EFX606" s="224"/>
      <c r="EFY606" s="222"/>
      <c r="EFZ606" s="222"/>
      <c r="EGA606" s="222"/>
      <c r="EGB606" s="222"/>
      <c r="EGC606" s="222"/>
      <c r="EGD606" s="222"/>
      <c r="EGE606" s="223"/>
      <c r="EGF606" s="224"/>
      <c r="EGG606" s="222"/>
      <c r="EGH606" s="222"/>
      <c r="EGI606" s="222"/>
      <c r="EGJ606" s="222"/>
      <c r="EGK606" s="222"/>
      <c r="EGL606" s="222"/>
      <c r="EGM606" s="223"/>
      <c r="EGN606" s="224"/>
      <c r="EGO606" s="222"/>
      <c r="EGP606" s="222"/>
      <c r="EGQ606" s="222"/>
      <c r="EGR606" s="222"/>
      <c r="EGS606" s="222"/>
      <c r="EGT606" s="222"/>
      <c r="EGU606" s="223"/>
      <c r="EGV606" s="224"/>
      <c r="EGW606" s="222"/>
      <c r="EGX606" s="222"/>
      <c r="EGY606" s="222"/>
      <c r="EGZ606" s="222"/>
      <c r="EHA606" s="222"/>
      <c r="EHB606" s="222"/>
      <c r="EHC606" s="223"/>
      <c r="EHD606" s="224"/>
      <c r="EHE606" s="222"/>
      <c r="EHF606" s="222"/>
      <c r="EHG606" s="222"/>
      <c r="EHH606" s="222"/>
      <c r="EHI606" s="222"/>
      <c r="EHJ606" s="222"/>
      <c r="EHK606" s="223"/>
      <c r="EHL606" s="224"/>
      <c r="EHM606" s="222"/>
      <c r="EHN606" s="222"/>
      <c r="EHO606" s="222"/>
      <c r="EHP606" s="222"/>
      <c r="EHQ606" s="222"/>
      <c r="EHR606" s="222"/>
      <c r="EHS606" s="223"/>
      <c r="EHT606" s="224"/>
      <c r="EHU606" s="222"/>
      <c r="EHV606" s="222"/>
      <c r="EHW606" s="222"/>
      <c r="EHX606" s="222"/>
      <c r="EHY606" s="222"/>
      <c r="EHZ606" s="222"/>
      <c r="EIA606" s="223"/>
      <c r="EIB606" s="224"/>
      <c r="EIC606" s="222"/>
      <c r="EID606" s="222"/>
      <c r="EIE606" s="222"/>
      <c r="EIF606" s="222"/>
      <c r="EIG606" s="222"/>
      <c r="EIH606" s="222"/>
      <c r="EII606" s="223"/>
      <c r="EIJ606" s="224"/>
      <c r="EIK606" s="222"/>
      <c r="EIL606" s="222"/>
      <c r="EIM606" s="222"/>
      <c r="EIN606" s="222"/>
      <c r="EIO606" s="222"/>
      <c r="EIP606" s="222"/>
      <c r="EIQ606" s="223"/>
      <c r="EIR606" s="224"/>
      <c r="EIS606" s="222"/>
      <c r="EIT606" s="222"/>
      <c r="EIU606" s="222"/>
      <c r="EIV606" s="222"/>
      <c r="EIW606" s="222"/>
      <c r="EIX606" s="222"/>
      <c r="EIY606" s="223"/>
      <c r="EIZ606" s="224"/>
      <c r="EJA606" s="222"/>
      <c r="EJB606" s="222"/>
      <c r="EJC606" s="222"/>
      <c r="EJD606" s="222"/>
      <c r="EJE606" s="222"/>
      <c r="EJF606" s="222"/>
      <c r="EJG606" s="223"/>
      <c r="EJH606" s="224"/>
      <c r="EJI606" s="222"/>
      <c r="EJJ606" s="222"/>
      <c r="EJK606" s="222"/>
      <c r="EJL606" s="222"/>
      <c r="EJM606" s="222"/>
      <c r="EJN606" s="222"/>
      <c r="EJO606" s="223"/>
      <c r="EJP606" s="224"/>
      <c r="EJQ606" s="222"/>
      <c r="EJR606" s="222"/>
      <c r="EJS606" s="222"/>
      <c r="EJT606" s="222"/>
      <c r="EJU606" s="222"/>
      <c r="EJV606" s="222"/>
      <c r="EJW606" s="223"/>
      <c r="EJX606" s="224"/>
      <c r="EJY606" s="222"/>
      <c r="EJZ606" s="222"/>
      <c r="EKA606" s="222"/>
      <c r="EKB606" s="222"/>
      <c r="EKC606" s="222"/>
      <c r="EKD606" s="222"/>
      <c r="EKE606" s="223"/>
      <c r="EKF606" s="224"/>
      <c r="EKG606" s="222"/>
      <c r="EKH606" s="222"/>
      <c r="EKI606" s="222"/>
      <c r="EKJ606" s="222"/>
      <c r="EKK606" s="222"/>
      <c r="EKL606" s="222"/>
      <c r="EKM606" s="223"/>
      <c r="EKN606" s="224"/>
      <c r="EKO606" s="222"/>
      <c r="EKP606" s="222"/>
      <c r="EKQ606" s="222"/>
      <c r="EKR606" s="222"/>
      <c r="EKS606" s="222"/>
      <c r="EKT606" s="222"/>
      <c r="EKU606" s="223"/>
      <c r="EKV606" s="224"/>
      <c r="EKW606" s="222"/>
      <c r="EKX606" s="222"/>
      <c r="EKY606" s="222"/>
      <c r="EKZ606" s="222"/>
      <c r="ELA606" s="222"/>
      <c r="ELB606" s="222"/>
      <c r="ELC606" s="223"/>
      <c r="ELD606" s="224"/>
      <c r="ELE606" s="222"/>
      <c r="ELF606" s="222"/>
      <c r="ELG606" s="222"/>
      <c r="ELH606" s="222"/>
      <c r="ELI606" s="222"/>
      <c r="ELJ606" s="222"/>
      <c r="ELK606" s="223"/>
      <c r="ELL606" s="224"/>
      <c r="ELM606" s="222"/>
      <c r="ELN606" s="222"/>
      <c r="ELO606" s="222"/>
      <c r="ELP606" s="222"/>
      <c r="ELQ606" s="222"/>
      <c r="ELR606" s="222"/>
      <c r="ELS606" s="223"/>
      <c r="ELT606" s="224"/>
      <c r="ELU606" s="222"/>
      <c r="ELV606" s="222"/>
      <c r="ELW606" s="222"/>
      <c r="ELX606" s="222"/>
      <c r="ELY606" s="222"/>
      <c r="ELZ606" s="222"/>
      <c r="EMA606" s="223"/>
      <c r="EMB606" s="224"/>
      <c r="EMC606" s="222"/>
      <c r="EMD606" s="222"/>
      <c r="EME606" s="222"/>
      <c r="EMF606" s="222"/>
      <c r="EMG606" s="222"/>
      <c r="EMH606" s="222"/>
      <c r="EMI606" s="223"/>
      <c r="EMJ606" s="224"/>
      <c r="EMK606" s="222"/>
      <c r="EML606" s="222"/>
      <c r="EMM606" s="222"/>
      <c r="EMN606" s="222"/>
      <c r="EMO606" s="222"/>
      <c r="EMP606" s="222"/>
      <c r="EMQ606" s="223"/>
      <c r="EMR606" s="224"/>
      <c r="EMS606" s="222"/>
      <c r="EMT606" s="222"/>
      <c r="EMU606" s="222"/>
      <c r="EMV606" s="222"/>
      <c r="EMW606" s="222"/>
      <c r="EMX606" s="222"/>
      <c r="EMY606" s="223"/>
      <c r="EMZ606" s="224"/>
      <c r="ENA606" s="222"/>
      <c r="ENB606" s="222"/>
      <c r="ENC606" s="222"/>
      <c r="END606" s="222"/>
      <c r="ENE606" s="222"/>
      <c r="ENF606" s="222"/>
      <c r="ENG606" s="223"/>
      <c r="ENH606" s="224"/>
      <c r="ENI606" s="222"/>
      <c r="ENJ606" s="222"/>
      <c r="ENK606" s="222"/>
      <c r="ENL606" s="222"/>
      <c r="ENM606" s="222"/>
      <c r="ENN606" s="222"/>
      <c r="ENO606" s="223"/>
      <c r="ENP606" s="224"/>
      <c r="ENQ606" s="222"/>
      <c r="ENR606" s="222"/>
      <c r="ENS606" s="222"/>
      <c r="ENT606" s="222"/>
      <c r="ENU606" s="222"/>
      <c r="ENV606" s="222"/>
      <c r="ENW606" s="223"/>
      <c r="ENX606" s="224"/>
      <c r="ENY606" s="222"/>
      <c r="ENZ606" s="222"/>
      <c r="EOA606" s="222"/>
      <c r="EOB606" s="222"/>
      <c r="EOC606" s="222"/>
      <c r="EOD606" s="222"/>
      <c r="EOE606" s="223"/>
      <c r="EOF606" s="224"/>
      <c r="EOG606" s="222"/>
      <c r="EOH606" s="222"/>
      <c r="EOI606" s="222"/>
      <c r="EOJ606" s="222"/>
      <c r="EOK606" s="222"/>
      <c r="EOL606" s="222"/>
      <c r="EOM606" s="223"/>
      <c r="EON606" s="224"/>
      <c r="EOO606" s="222"/>
      <c r="EOP606" s="222"/>
      <c r="EOQ606" s="222"/>
      <c r="EOR606" s="222"/>
      <c r="EOS606" s="222"/>
      <c r="EOT606" s="222"/>
      <c r="EOU606" s="223"/>
      <c r="EOV606" s="224"/>
      <c r="EOW606" s="222"/>
      <c r="EOX606" s="222"/>
      <c r="EOY606" s="222"/>
      <c r="EOZ606" s="222"/>
      <c r="EPA606" s="222"/>
      <c r="EPB606" s="222"/>
      <c r="EPC606" s="223"/>
      <c r="EPD606" s="224"/>
      <c r="EPE606" s="222"/>
      <c r="EPF606" s="222"/>
      <c r="EPG606" s="222"/>
      <c r="EPH606" s="222"/>
      <c r="EPI606" s="222"/>
      <c r="EPJ606" s="222"/>
      <c r="EPK606" s="223"/>
      <c r="EPL606" s="224"/>
      <c r="EPM606" s="222"/>
      <c r="EPN606" s="222"/>
      <c r="EPO606" s="222"/>
      <c r="EPP606" s="222"/>
      <c r="EPQ606" s="222"/>
      <c r="EPR606" s="222"/>
      <c r="EPS606" s="223"/>
      <c r="EPT606" s="224"/>
      <c r="EPU606" s="222"/>
      <c r="EPV606" s="222"/>
      <c r="EPW606" s="222"/>
      <c r="EPX606" s="222"/>
      <c r="EPY606" s="222"/>
      <c r="EPZ606" s="222"/>
      <c r="EQA606" s="223"/>
      <c r="EQB606" s="224"/>
      <c r="EQC606" s="222"/>
      <c r="EQD606" s="222"/>
      <c r="EQE606" s="222"/>
      <c r="EQF606" s="222"/>
      <c r="EQG606" s="222"/>
      <c r="EQH606" s="222"/>
      <c r="EQI606" s="223"/>
      <c r="EQJ606" s="224"/>
      <c r="EQK606" s="222"/>
      <c r="EQL606" s="222"/>
      <c r="EQM606" s="222"/>
      <c r="EQN606" s="222"/>
      <c r="EQO606" s="222"/>
      <c r="EQP606" s="222"/>
      <c r="EQQ606" s="223"/>
      <c r="EQR606" s="224"/>
      <c r="EQS606" s="222"/>
      <c r="EQT606" s="222"/>
      <c r="EQU606" s="222"/>
      <c r="EQV606" s="222"/>
      <c r="EQW606" s="222"/>
      <c r="EQX606" s="222"/>
      <c r="EQY606" s="223"/>
      <c r="EQZ606" s="224"/>
      <c r="ERA606" s="222"/>
      <c r="ERB606" s="222"/>
      <c r="ERC606" s="222"/>
      <c r="ERD606" s="222"/>
      <c r="ERE606" s="222"/>
      <c r="ERF606" s="222"/>
      <c r="ERG606" s="223"/>
      <c r="ERH606" s="224"/>
      <c r="ERI606" s="222"/>
      <c r="ERJ606" s="222"/>
      <c r="ERK606" s="222"/>
      <c r="ERL606" s="222"/>
      <c r="ERM606" s="222"/>
      <c r="ERN606" s="222"/>
      <c r="ERO606" s="223"/>
      <c r="ERP606" s="224"/>
      <c r="ERQ606" s="222"/>
      <c r="ERR606" s="222"/>
      <c r="ERS606" s="222"/>
      <c r="ERT606" s="222"/>
      <c r="ERU606" s="222"/>
      <c r="ERV606" s="222"/>
      <c r="ERW606" s="223"/>
      <c r="ERX606" s="224"/>
      <c r="ERY606" s="222"/>
      <c r="ERZ606" s="222"/>
      <c r="ESA606" s="222"/>
      <c r="ESB606" s="222"/>
      <c r="ESC606" s="222"/>
      <c r="ESD606" s="222"/>
      <c r="ESE606" s="223"/>
      <c r="ESF606" s="224"/>
      <c r="ESG606" s="222"/>
      <c r="ESH606" s="222"/>
      <c r="ESI606" s="222"/>
      <c r="ESJ606" s="222"/>
      <c r="ESK606" s="222"/>
      <c r="ESL606" s="222"/>
      <c r="ESM606" s="223"/>
      <c r="ESN606" s="224"/>
      <c r="ESO606" s="222"/>
      <c r="ESP606" s="222"/>
      <c r="ESQ606" s="222"/>
      <c r="ESR606" s="222"/>
      <c r="ESS606" s="222"/>
      <c r="EST606" s="222"/>
      <c r="ESU606" s="223"/>
      <c r="ESV606" s="224"/>
      <c r="ESW606" s="222"/>
      <c r="ESX606" s="222"/>
      <c r="ESY606" s="222"/>
      <c r="ESZ606" s="222"/>
      <c r="ETA606" s="222"/>
      <c r="ETB606" s="222"/>
      <c r="ETC606" s="223"/>
      <c r="ETD606" s="224"/>
      <c r="ETE606" s="222"/>
      <c r="ETF606" s="222"/>
      <c r="ETG606" s="222"/>
      <c r="ETH606" s="222"/>
      <c r="ETI606" s="222"/>
      <c r="ETJ606" s="222"/>
      <c r="ETK606" s="223"/>
      <c r="ETL606" s="224"/>
      <c r="ETM606" s="222"/>
      <c r="ETN606" s="222"/>
      <c r="ETO606" s="222"/>
      <c r="ETP606" s="222"/>
      <c r="ETQ606" s="222"/>
      <c r="ETR606" s="222"/>
      <c r="ETS606" s="223"/>
      <c r="ETT606" s="224"/>
      <c r="ETU606" s="222"/>
      <c r="ETV606" s="222"/>
      <c r="ETW606" s="222"/>
      <c r="ETX606" s="222"/>
      <c r="ETY606" s="222"/>
      <c r="ETZ606" s="222"/>
      <c r="EUA606" s="223"/>
      <c r="EUB606" s="224"/>
      <c r="EUC606" s="222"/>
      <c r="EUD606" s="222"/>
      <c r="EUE606" s="222"/>
      <c r="EUF606" s="222"/>
      <c r="EUG606" s="222"/>
      <c r="EUH606" s="222"/>
      <c r="EUI606" s="223"/>
      <c r="EUJ606" s="224"/>
      <c r="EUK606" s="222"/>
      <c r="EUL606" s="222"/>
      <c r="EUM606" s="222"/>
      <c r="EUN606" s="222"/>
      <c r="EUO606" s="222"/>
      <c r="EUP606" s="222"/>
      <c r="EUQ606" s="223"/>
      <c r="EUR606" s="224"/>
      <c r="EUS606" s="222"/>
      <c r="EUT606" s="222"/>
      <c r="EUU606" s="222"/>
      <c r="EUV606" s="222"/>
      <c r="EUW606" s="222"/>
      <c r="EUX606" s="222"/>
      <c r="EUY606" s="223"/>
      <c r="EUZ606" s="224"/>
      <c r="EVA606" s="222"/>
      <c r="EVB606" s="222"/>
      <c r="EVC606" s="222"/>
      <c r="EVD606" s="222"/>
      <c r="EVE606" s="222"/>
      <c r="EVF606" s="222"/>
      <c r="EVG606" s="223"/>
      <c r="EVH606" s="224"/>
      <c r="EVI606" s="222"/>
      <c r="EVJ606" s="222"/>
      <c r="EVK606" s="222"/>
      <c r="EVL606" s="222"/>
      <c r="EVM606" s="222"/>
      <c r="EVN606" s="222"/>
      <c r="EVO606" s="223"/>
      <c r="EVP606" s="224"/>
      <c r="EVQ606" s="222"/>
      <c r="EVR606" s="222"/>
      <c r="EVS606" s="222"/>
      <c r="EVT606" s="222"/>
      <c r="EVU606" s="222"/>
      <c r="EVV606" s="222"/>
      <c r="EVW606" s="223"/>
      <c r="EVX606" s="224"/>
      <c r="EVY606" s="222"/>
      <c r="EVZ606" s="222"/>
      <c r="EWA606" s="222"/>
      <c r="EWB606" s="222"/>
      <c r="EWC606" s="222"/>
      <c r="EWD606" s="222"/>
      <c r="EWE606" s="223"/>
      <c r="EWF606" s="224"/>
      <c r="EWG606" s="222"/>
      <c r="EWH606" s="222"/>
      <c r="EWI606" s="222"/>
      <c r="EWJ606" s="222"/>
      <c r="EWK606" s="222"/>
      <c r="EWL606" s="222"/>
      <c r="EWM606" s="223"/>
      <c r="EWN606" s="224"/>
      <c r="EWO606" s="222"/>
      <c r="EWP606" s="222"/>
      <c r="EWQ606" s="222"/>
      <c r="EWR606" s="222"/>
      <c r="EWS606" s="222"/>
      <c r="EWT606" s="222"/>
      <c r="EWU606" s="223"/>
      <c r="EWV606" s="224"/>
      <c r="EWW606" s="222"/>
      <c r="EWX606" s="222"/>
      <c r="EWY606" s="222"/>
      <c r="EWZ606" s="222"/>
      <c r="EXA606" s="222"/>
      <c r="EXB606" s="222"/>
      <c r="EXC606" s="223"/>
      <c r="EXD606" s="224"/>
      <c r="EXE606" s="222"/>
      <c r="EXF606" s="222"/>
      <c r="EXG606" s="222"/>
      <c r="EXH606" s="222"/>
      <c r="EXI606" s="222"/>
      <c r="EXJ606" s="222"/>
      <c r="EXK606" s="223"/>
      <c r="EXL606" s="224"/>
      <c r="EXM606" s="222"/>
      <c r="EXN606" s="222"/>
      <c r="EXO606" s="222"/>
      <c r="EXP606" s="222"/>
      <c r="EXQ606" s="222"/>
      <c r="EXR606" s="222"/>
      <c r="EXS606" s="223"/>
      <c r="EXT606" s="224"/>
      <c r="EXU606" s="222"/>
      <c r="EXV606" s="222"/>
      <c r="EXW606" s="222"/>
      <c r="EXX606" s="222"/>
      <c r="EXY606" s="222"/>
      <c r="EXZ606" s="222"/>
      <c r="EYA606" s="223"/>
      <c r="EYB606" s="224"/>
      <c r="EYC606" s="222"/>
      <c r="EYD606" s="222"/>
      <c r="EYE606" s="222"/>
      <c r="EYF606" s="222"/>
      <c r="EYG606" s="222"/>
      <c r="EYH606" s="222"/>
      <c r="EYI606" s="223"/>
      <c r="EYJ606" s="224"/>
      <c r="EYK606" s="222"/>
      <c r="EYL606" s="222"/>
      <c r="EYM606" s="222"/>
      <c r="EYN606" s="222"/>
      <c r="EYO606" s="222"/>
      <c r="EYP606" s="222"/>
      <c r="EYQ606" s="223"/>
      <c r="EYR606" s="224"/>
      <c r="EYS606" s="222"/>
      <c r="EYT606" s="222"/>
      <c r="EYU606" s="222"/>
      <c r="EYV606" s="222"/>
      <c r="EYW606" s="222"/>
      <c r="EYX606" s="222"/>
      <c r="EYY606" s="223"/>
      <c r="EYZ606" s="224"/>
      <c r="EZA606" s="222"/>
      <c r="EZB606" s="222"/>
      <c r="EZC606" s="222"/>
      <c r="EZD606" s="222"/>
      <c r="EZE606" s="222"/>
      <c r="EZF606" s="222"/>
      <c r="EZG606" s="223"/>
      <c r="EZH606" s="224"/>
      <c r="EZI606" s="222"/>
      <c r="EZJ606" s="222"/>
      <c r="EZK606" s="222"/>
      <c r="EZL606" s="222"/>
      <c r="EZM606" s="222"/>
      <c r="EZN606" s="222"/>
      <c r="EZO606" s="223"/>
      <c r="EZP606" s="224"/>
      <c r="EZQ606" s="222"/>
      <c r="EZR606" s="222"/>
      <c r="EZS606" s="222"/>
      <c r="EZT606" s="222"/>
      <c r="EZU606" s="222"/>
      <c r="EZV606" s="222"/>
      <c r="EZW606" s="223"/>
      <c r="EZX606" s="224"/>
      <c r="EZY606" s="222"/>
      <c r="EZZ606" s="222"/>
      <c r="FAA606" s="222"/>
      <c r="FAB606" s="222"/>
      <c r="FAC606" s="222"/>
      <c r="FAD606" s="222"/>
      <c r="FAE606" s="223"/>
      <c r="FAF606" s="224"/>
      <c r="FAG606" s="222"/>
      <c r="FAH606" s="222"/>
      <c r="FAI606" s="222"/>
      <c r="FAJ606" s="222"/>
      <c r="FAK606" s="222"/>
      <c r="FAL606" s="222"/>
      <c r="FAM606" s="223"/>
      <c r="FAN606" s="224"/>
      <c r="FAO606" s="222"/>
      <c r="FAP606" s="222"/>
      <c r="FAQ606" s="222"/>
      <c r="FAR606" s="222"/>
      <c r="FAS606" s="222"/>
      <c r="FAT606" s="222"/>
      <c r="FAU606" s="223"/>
      <c r="FAV606" s="224"/>
      <c r="FAW606" s="222"/>
      <c r="FAX606" s="222"/>
      <c r="FAY606" s="222"/>
      <c r="FAZ606" s="222"/>
      <c r="FBA606" s="222"/>
      <c r="FBB606" s="222"/>
      <c r="FBC606" s="223"/>
      <c r="FBD606" s="224"/>
      <c r="FBE606" s="222"/>
      <c r="FBF606" s="222"/>
      <c r="FBG606" s="222"/>
      <c r="FBH606" s="222"/>
      <c r="FBI606" s="222"/>
      <c r="FBJ606" s="222"/>
      <c r="FBK606" s="223"/>
      <c r="FBL606" s="224"/>
      <c r="FBM606" s="222"/>
      <c r="FBN606" s="222"/>
      <c r="FBO606" s="222"/>
      <c r="FBP606" s="222"/>
      <c r="FBQ606" s="222"/>
      <c r="FBR606" s="222"/>
      <c r="FBS606" s="223"/>
      <c r="FBT606" s="224"/>
      <c r="FBU606" s="222"/>
      <c r="FBV606" s="222"/>
      <c r="FBW606" s="222"/>
      <c r="FBX606" s="222"/>
      <c r="FBY606" s="222"/>
      <c r="FBZ606" s="222"/>
      <c r="FCA606" s="223"/>
      <c r="FCB606" s="224"/>
      <c r="FCC606" s="222"/>
      <c r="FCD606" s="222"/>
      <c r="FCE606" s="222"/>
      <c r="FCF606" s="222"/>
      <c r="FCG606" s="222"/>
      <c r="FCH606" s="222"/>
      <c r="FCI606" s="223"/>
      <c r="FCJ606" s="224"/>
      <c r="FCK606" s="222"/>
      <c r="FCL606" s="222"/>
      <c r="FCM606" s="222"/>
      <c r="FCN606" s="222"/>
      <c r="FCO606" s="222"/>
      <c r="FCP606" s="222"/>
      <c r="FCQ606" s="223"/>
      <c r="FCR606" s="224"/>
      <c r="FCS606" s="222"/>
      <c r="FCT606" s="222"/>
      <c r="FCU606" s="222"/>
      <c r="FCV606" s="222"/>
      <c r="FCW606" s="222"/>
      <c r="FCX606" s="222"/>
      <c r="FCY606" s="223"/>
      <c r="FCZ606" s="224"/>
      <c r="FDA606" s="222"/>
      <c r="FDB606" s="222"/>
      <c r="FDC606" s="222"/>
      <c r="FDD606" s="222"/>
      <c r="FDE606" s="222"/>
      <c r="FDF606" s="222"/>
      <c r="FDG606" s="223"/>
      <c r="FDH606" s="224"/>
      <c r="FDI606" s="222"/>
      <c r="FDJ606" s="222"/>
      <c r="FDK606" s="222"/>
      <c r="FDL606" s="222"/>
      <c r="FDM606" s="222"/>
      <c r="FDN606" s="222"/>
      <c r="FDO606" s="223"/>
      <c r="FDP606" s="224"/>
      <c r="FDQ606" s="222"/>
      <c r="FDR606" s="222"/>
      <c r="FDS606" s="222"/>
      <c r="FDT606" s="222"/>
      <c r="FDU606" s="222"/>
      <c r="FDV606" s="222"/>
      <c r="FDW606" s="223"/>
      <c r="FDX606" s="224"/>
      <c r="FDY606" s="222"/>
      <c r="FDZ606" s="222"/>
      <c r="FEA606" s="222"/>
      <c r="FEB606" s="222"/>
      <c r="FEC606" s="222"/>
      <c r="FED606" s="222"/>
      <c r="FEE606" s="223"/>
      <c r="FEF606" s="224"/>
      <c r="FEG606" s="222"/>
      <c r="FEH606" s="222"/>
      <c r="FEI606" s="222"/>
      <c r="FEJ606" s="222"/>
      <c r="FEK606" s="222"/>
      <c r="FEL606" s="222"/>
      <c r="FEM606" s="223"/>
      <c r="FEN606" s="224"/>
      <c r="FEO606" s="222"/>
      <c r="FEP606" s="222"/>
      <c r="FEQ606" s="222"/>
      <c r="FER606" s="222"/>
      <c r="FES606" s="222"/>
      <c r="FET606" s="222"/>
      <c r="FEU606" s="223"/>
      <c r="FEV606" s="224"/>
      <c r="FEW606" s="222"/>
      <c r="FEX606" s="222"/>
      <c r="FEY606" s="222"/>
      <c r="FEZ606" s="222"/>
      <c r="FFA606" s="222"/>
      <c r="FFB606" s="222"/>
      <c r="FFC606" s="223"/>
      <c r="FFD606" s="224"/>
      <c r="FFE606" s="222"/>
      <c r="FFF606" s="222"/>
      <c r="FFG606" s="222"/>
      <c r="FFH606" s="222"/>
      <c r="FFI606" s="222"/>
      <c r="FFJ606" s="222"/>
      <c r="FFK606" s="223"/>
      <c r="FFL606" s="224"/>
      <c r="FFM606" s="222"/>
      <c r="FFN606" s="222"/>
      <c r="FFO606" s="222"/>
      <c r="FFP606" s="222"/>
      <c r="FFQ606" s="222"/>
      <c r="FFR606" s="222"/>
      <c r="FFS606" s="223"/>
      <c r="FFT606" s="224"/>
      <c r="FFU606" s="222"/>
      <c r="FFV606" s="222"/>
      <c r="FFW606" s="222"/>
      <c r="FFX606" s="222"/>
      <c r="FFY606" s="222"/>
      <c r="FFZ606" s="222"/>
      <c r="FGA606" s="223"/>
      <c r="FGB606" s="224"/>
      <c r="FGC606" s="222"/>
      <c r="FGD606" s="222"/>
      <c r="FGE606" s="222"/>
      <c r="FGF606" s="222"/>
      <c r="FGG606" s="222"/>
      <c r="FGH606" s="222"/>
      <c r="FGI606" s="223"/>
      <c r="FGJ606" s="224"/>
      <c r="FGK606" s="222"/>
      <c r="FGL606" s="222"/>
      <c r="FGM606" s="222"/>
      <c r="FGN606" s="222"/>
      <c r="FGO606" s="222"/>
      <c r="FGP606" s="222"/>
      <c r="FGQ606" s="223"/>
      <c r="FGR606" s="224"/>
      <c r="FGS606" s="222"/>
      <c r="FGT606" s="222"/>
      <c r="FGU606" s="222"/>
      <c r="FGV606" s="222"/>
      <c r="FGW606" s="222"/>
      <c r="FGX606" s="222"/>
      <c r="FGY606" s="223"/>
      <c r="FGZ606" s="224"/>
      <c r="FHA606" s="222"/>
      <c r="FHB606" s="222"/>
      <c r="FHC606" s="222"/>
      <c r="FHD606" s="222"/>
      <c r="FHE606" s="222"/>
      <c r="FHF606" s="222"/>
      <c r="FHG606" s="223"/>
      <c r="FHH606" s="224"/>
      <c r="FHI606" s="222"/>
      <c r="FHJ606" s="222"/>
      <c r="FHK606" s="222"/>
      <c r="FHL606" s="222"/>
      <c r="FHM606" s="222"/>
      <c r="FHN606" s="222"/>
      <c r="FHO606" s="223"/>
      <c r="FHP606" s="224"/>
      <c r="FHQ606" s="222"/>
      <c r="FHR606" s="222"/>
      <c r="FHS606" s="222"/>
      <c r="FHT606" s="222"/>
      <c r="FHU606" s="222"/>
      <c r="FHV606" s="222"/>
      <c r="FHW606" s="223"/>
      <c r="FHX606" s="224"/>
      <c r="FHY606" s="222"/>
      <c r="FHZ606" s="222"/>
      <c r="FIA606" s="222"/>
      <c r="FIB606" s="222"/>
      <c r="FIC606" s="222"/>
      <c r="FID606" s="222"/>
      <c r="FIE606" s="223"/>
      <c r="FIF606" s="224"/>
      <c r="FIG606" s="222"/>
      <c r="FIH606" s="222"/>
      <c r="FII606" s="222"/>
      <c r="FIJ606" s="222"/>
      <c r="FIK606" s="222"/>
      <c r="FIL606" s="222"/>
      <c r="FIM606" s="223"/>
      <c r="FIN606" s="224"/>
      <c r="FIO606" s="222"/>
      <c r="FIP606" s="222"/>
      <c r="FIQ606" s="222"/>
      <c r="FIR606" s="222"/>
      <c r="FIS606" s="222"/>
      <c r="FIT606" s="222"/>
      <c r="FIU606" s="223"/>
      <c r="FIV606" s="224"/>
      <c r="FIW606" s="222"/>
      <c r="FIX606" s="222"/>
      <c r="FIY606" s="222"/>
      <c r="FIZ606" s="222"/>
      <c r="FJA606" s="222"/>
      <c r="FJB606" s="222"/>
      <c r="FJC606" s="223"/>
      <c r="FJD606" s="224"/>
      <c r="FJE606" s="222"/>
      <c r="FJF606" s="222"/>
      <c r="FJG606" s="222"/>
      <c r="FJH606" s="222"/>
      <c r="FJI606" s="222"/>
      <c r="FJJ606" s="222"/>
      <c r="FJK606" s="223"/>
      <c r="FJL606" s="224"/>
      <c r="FJM606" s="222"/>
      <c r="FJN606" s="222"/>
      <c r="FJO606" s="222"/>
      <c r="FJP606" s="222"/>
      <c r="FJQ606" s="222"/>
      <c r="FJR606" s="222"/>
      <c r="FJS606" s="223"/>
      <c r="FJT606" s="224"/>
      <c r="FJU606" s="222"/>
      <c r="FJV606" s="222"/>
      <c r="FJW606" s="222"/>
      <c r="FJX606" s="222"/>
      <c r="FJY606" s="222"/>
      <c r="FJZ606" s="222"/>
      <c r="FKA606" s="223"/>
      <c r="FKB606" s="224"/>
      <c r="FKC606" s="222"/>
      <c r="FKD606" s="222"/>
      <c r="FKE606" s="222"/>
      <c r="FKF606" s="222"/>
      <c r="FKG606" s="222"/>
      <c r="FKH606" s="222"/>
      <c r="FKI606" s="223"/>
      <c r="FKJ606" s="224"/>
      <c r="FKK606" s="222"/>
      <c r="FKL606" s="222"/>
      <c r="FKM606" s="222"/>
      <c r="FKN606" s="222"/>
      <c r="FKO606" s="222"/>
      <c r="FKP606" s="222"/>
      <c r="FKQ606" s="223"/>
      <c r="FKR606" s="224"/>
      <c r="FKS606" s="222"/>
      <c r="FKT606" s="222"/>
      <c r="FKU606" s="222"/>
      <c r="FKV606" s="222"/>
      <c r="FKW606" s="222"/>
      <c r="FKX606" s="222"/>
      <c r="FKY606" s="223"/>
      <c r="FKZ606" s="224"/>
      <c r="FLA606" s="222"/>
      <c r="FLB606" s="222"/>
      <c r="FLC606" s="222"/>
      <c r="FLD606" s="222"/>
      <c r="FLE606" s="222"/>
      <c r="FLF606" s="222"/>
      <c r="FLG606" s="223"/>
      <c r="FLH606" s="224"/>
      <c r="FLI606" s="222"/>
      <c r="FLJ606" s="222"/>
      <c r="FLK606" s="222"/>
      <c r="FLL606" s="222"/>
      <c r="FLM606" s="222"/>
      <c r="FLN606" s="222"/>
      <c r="FLO606" s="223"/>
      <c r="FLP606" s="224"/>
      <c r="FLQ606" s="222"/>
      <c r="FLR606" s="222"/>
      <c r="FLS606" s="222"/>
      <c r="FLT606" s="222"/>
      <c r="FLU606" s="222"/>
      <c r="FLV606" s="222"/>
      <c r="FLW606" s="223"/>
      <c r="FLX606" s="224"/>
      <c r="FLY606" s="222"/>
      <c r="FLZ606" s="222"/>
      <c r="FMA606" s="222"/>
      <c r="FMB606" s="222"/>
      <c r="FMC606" s="222"/>
      <c r="FMD606" s="222"/>
      <c r="FME606" s="223"/>
      <c r="FMF606" s="224"/>
      <c r="FMG606" s="222"/>
      <c r="FMH606" s="222"/>
      <c r="FMI606" s="222"/>
      <c r="FMJ606" s="222"/>
      <c r="FMK606" s="222"/>
      <c r="FML606" s="222"/>
      <c r="FMM606" s="223"/>
      <c r="FMN606" s="224"/>
      <c r="FMO606" s="222"/>
      <c r="FMP606" s="222"/>
      <c r="FMQ606" s="222"/>
      <c r="FMR606" s="222"/>
      <c r="FMS606" s="222"/>
      <c r="FMT606" s="222"/>
      <c r="FMU606" s="223"/>
      <c r="FMV606" s="224"/>
      <c r="FMW606" s="222"/>
      <c r="FMX606" s="222"/>
      <c r="FMY606" s="222"/>
      <c r="FMZ606" s="222"/>
      <c r="FNA606" s="222"/>
      <c r="FNB606" s="222"/>
      <c r="FNC606" s="223"/>
      <c r="FND606" s="224"/>
      <c r="FNE606" s="222"/>
      <c r="FNF606" s="222"/>
      <c r="FNG606" s="222"/>
      <c r="FNH606" s="222"/>
      <c r="FNI606" s="222"/>
      <c r="FNJ606" s="222"/>
      <c r="FNK606" s="223"/>
      <c r="FNL606" s="224"/>
      <c r="FNM606" s="222"/>
      <c r="FNN606" s="222"/>
      <c r="FNO606" s="222"/>
      <c r="FNP606" s="222"/>
      <c r="FNQ606" s="222"/>
      <c r="FNR606" s="222"/>
      <c r="FNS606" s="223"/>
      <c r="FNT606" s="224"/>
      <c r="FNU606" s="222"/>
      <c r="FNV606" s="222"/>
      <c r="FNW606" s="222"/>
      <c r="FNX606" s="222"/>
      <c r="FNY606" s="222"/>
      <c r="FNZ606" s="222"/>
      <c r="FOA606" s="223"/>
      <c r="FOB606" s="224"/>
      <c r="FOC606" s="222"/>
      <c r="FOD606" s="222"/>
      <c r="FOE606" s="222"/>
      <c r="FOF606" s="222"/>
      <c r="FOG606" s="222"/>
      <c r="FOH606" s="222"/>
      <c r="FOI606" s="223"/>
      <c r="FOJ606" s="224"/>
      <c r="FOK606" s="222"/>
      <c r="FOL606" s="222"/>
      <c r="FOM606" s="222"/>
      <c r="FON606" s="222"/>
      <c r="FOO606" s="222"/>
      <c r="FOP606" s="222"/>
      <c r="FOQ606" s="223"/>
      <c r="FOR606" s="224"/>
      <c r="FOS606" s="222"/>
      <c r="FOT606" s="222"/>
      <c r="FOU606" s="222"/>
      <c r="FOV606" s="222"/>
      <c r="FOW606" s="222"/>
      <c r="FOX606" s="222"/>
      <c r="FOY606" s="223"/>
      <c r="FOZ606" s="224"/>
      <c r="FPA606" s="222"/>
      <c r="FPB606" s="222"/>
      <c r="FPC606" s="222"/>
      <c r="FPD606" s="222"/>
      <c r="FPE606" s="222"/>
      <c r="FPF606" s="222"/>
      <c r="FPG606" s="223"/>
      <c r="FPH606" s="224"/>
      <c r="FPI606" s="222"/>
      <c r="FPJ606" s="222"/>
      <c r="FPK606" s="222"/>
      <c r="FPL606" s="222"/>
      <c r="FPM606" s="222"/>
      <c r="FPN606" s="222"/>
      <c r="FPO606" s="223"/>
      <c r="FPP606" s="224"/>
      <c r="FPQ606" s="222"/>
      <c r="FPR606" s="222"/>
      <c r="FPS606" s="222"/>
      <c r="FPT606" s="222"/>
      <c r="FPU606" s="222"/>
      <c r="FPV606" s="222"/>
      <c r="FPW606" s="223"/>
      <c r="FPX606" s="224"/>
      <c r="FPY606" s="222"/>
      <c r="FPZ606" s="222"/>
      <c r="FQA606" s="222"/>
      <c r="FQB606" s="222"/>
      <c r="FQC606" s="222"/>
      <c r="FQD606" s="222"/>
      <c r="FQE606" s="223"/>
      <c r="FQF606" s="224"/>
      <c r="FQG606" s="222"/>
      <c r="FQH606" s="222"/>
      <c r="FQI606" s="222"/>
      <c r="FQJ606" s="222"/>
      <c r="FQK606" s="222"/>
      <c r="FQL606" s="222"/>
      <c r="FQM606" s="223"/>
      <c r="FQN606" s="224"/>
      <c r="FQO606" s="222"/>
      <c r="FQP606" s="222"/>
      <c r="FQQ606" s="222"/>
      <c r="FQR606" s="222"/>
      <c r="FQS606" s="222"/>
      <c r="FQT606" s="222"/>
      <c r="FQU606" s="223"/>
      <c r="FQV606" s="224"/>
      <c r="FQW606" s="222"/>
      <c r="FQX606" s="222"/>
      <c r="FQY606" s="222"/>
      <c r="FQZ606" s="222"/>
      <c r="FRA606" s="222"/>
      <c r="FRB606" s="222"/>
      <c r="FRC606" s="223"/>
      <c r="FRD606" s="224"/>
      <c r="FRE606" s="222"/>
      <c r="FRF606" s="222"/>
      <c r="FRG606" s="222"/>
      <c r="FRH606" s="222"/>
      <c r="FRI606" s="222"/>
      <c r="FRJ606" s="222"/>
      <c r="FRK606" s="223"/>
      <c r="FRL606" s="224"/>
      <c r="FRM606" s="222"/>
      <c r="FRN606" s="222"/>
      <c r="FRO606" s="222"/>
      <c r="FRP606" s="222"/>
      <c r="FRQ606" s="222"/>
      <c r="FRR606" s="222"/>
      <c r="FRS606" s="223"/>
      <c r="FRT606" s="224"/>
      <c r="FRU606" s="222"/>
      <c r="FRV606" s="222"/>
      <c r="FRW606" s="222"/>
      <c r="FRX606" s="222"/>
      <c r="FRY606" s="222"/>
      <c r="FRZ606" s="222"/>
      <c r="FSA606" s="223"/>
      <c r="FSB606" s="224"/>
      <c r="FSC606" s="222"/>
      <c r="FSD606" s="222"/>
      <c r="FSE606" s="222"/>
      <c r="FSF606" s="222"/>
      <c r="FSG606" s="222"/>
      <c r="FSH606" s="222"/>
      <c r="FSI606" s="223"/>
      <c r="FSJ606" s="224"/>
      <c r="FSK606" s="222"/>
      <c r="FSL606" s="222"/>
      <c r="FSM606" s="222"/>
      <c r="FSN606" s="222"/>
      <c r="FSO606" s="222"/>
      <c r="FSP606" s="222"/>
      <c r="FSQ606" s="223"/>
      <c r="FSR606" s="224"/>
      <c r="FSS606" s="222"/>
      <c r="FST606" s="222"/>
      <c r="FSU606" s="222"/>
      <c r="FSV606" s="222"/>
      <c r="FSW606" s="222"/>
      <c r="FSX606" s="222"/>
      <c r="FSY606" s="223"/>
      <c r="FSZ606" s="224"/>
      <c r="FTA606" s="222"/>
      <c r="FTB606" s="222"/>
      <c r="FTC606" s="222"/>
      <c r="FTD606" s="222"/>
      <c r="FTE606" s="222"/>
      <c r="FTF606" s="222"/>
      <c r="FTG606" s="223"/>
      <c r="FTH606" s="224"/>
      <c r="FTI606" s="222"/>
      <c r="FTJ606" s="222"/>
      <c r="FTK606" s="222"/>
      <c r="FTL606" s="222"/>
      <c r="FTM606" s="222"/>
      <c r="FTN606" s="222"/>
      <c r="FTO606" s="223"/>
      <c r="FTP606" s="224"/>
      <c r="FTQ606" s="222"/>
      <c r="FTR606" s="222"/>
      <c r="FTS606" s="222"/>
      <c r="FTT606" s="222"/>
      <c r="FTU606" s="222"/>
      <c r="FTV606" s="222"/>
      <c r="FTW606" s="223"/>
      <c r="FTX606" s="224"/>
      <c r="FTY606" s="222"/>
      <c r="FTZ606" s="222"/>
      <c r="FUA606" s="222"/>
      <c r="FUB606" s="222"/>
      <c r="FUC606" s="222"/>
      <c r="FUD606" s="222"/>
      <c r="FUE606" s="223"/>
      <c r="FUF606" s="224"/>
      <c r="FUG606" s="222"/>
      <c r="FUH606" s="222"/>
      <c r="FUI606" s="222"/>
      <c r="FUJ606" s="222"/>
      <c r="FUK606" s="222"/>
      <c r="FUL606" s="222"/>
      <c r="FUM606" s="223"/>
      <c r="FUN606" s="224"/>
      <c r="FUO606" s="222"/>
      <c r="FUP606" s="222"/>
      <c r="FUQ606" s="222"/>
      <c r="FUR606" s="222"/>
      <c r="FUS606" s="222"/>
      <c r="FUT606" s="222"/>
      <c r="FUU606" s="223"/>
      <c r="FUV606" s="224"/>
      <c r="FUW606" s="222"/>
      <c r="FUX606" s="222"/>
      <c r="FUY606" s="222"/>
      <c r="FUZ606" s="222"/>
      <c r="FVA606" s="222"/>
      <c r="FVB606" s="222"/>
      <c r="FVC606" s="223"/>
      <c r="FVD606" s="224"/>
      <c r="FVE606" s="222"/>
      <c r="FVF606" s="222"/>
      <c r="FVG606" s="222"/>
      <c r="FVH606" s="222"/>
      <c r="FVI606" s="222"/>
      <c r="FVJ606" s="222"/>
      <c r="FVK606" s="223"/>
      <c r="FVL606" s="224"/>
      <c r="FVM606" s="222"/>
      <c r="FVN606" s="222"/>
      <c r="FVO606" s="222"/>
      <c r="FVP606" s="222"/>
      <c r="FVQ606" s="222"/>
      <c r="FVR606" s="222"/>
      <c r="FVS606" s="223"/>
      <c r="FVT606" s="224"/>
      <c r="FVU606" s="222"/>
      <c r="FVV606" s="222"/>
      <c r="FVW606" s="222"/>
      <c r="FVX606" s="222"/>
      <c r="FVY606" s="222"/>
      <c r="FVZ606" s="222"/>
      <c r="FWA606" s="223"/>
      <c r="FWB606" s="224"/>
      <c r="FWC606" s="222"/>
      <c r="FWD606" s="222"/>
      <c r="FWE606" s="222"/>
      <c r="FWF606" s="222"/>
      <c r="FWG606" s="222"/>
      <c r="FWH606" s="222"/>
      <c r="FWI606" s="223"/>
      <c r="FWJ606" s="224"/>
      <c r="FWK606" s="222"/>
      <c r="FWL606" s="222"/>
      <c r="FWM606" s="222"/>
      <c r="FWN606" s="222"/>
      <c r="FWO606" s="222"/>
      <c r="FWP606" s="222"/>
      <c r="FWQ606" s="223"/>
      <c r="FWR606" s="224"/>
      <c r="FWS606" s="222"/>
      <c r="FWT606" s="222"/>
      <c r="FWU606" s="222"/>
      <c r="FWV606" s="222"/>
      <c r="FWW606" s="222"/>
      <c r="FWX606" s="222"/>
      <c r="FWY606" s="223"/>
      <c r="FWZ606" s="224"/>
      <c r="FXA606" s="222"/>
      <c r="FXB606" s="222"/>
      <c r="FXC606" s="222"/>
      <c r="FXD606" s="222"/>
      <c r="FXE606" s="222"/>
      <c r="FXF606" s="222"/>
      <c r="FXG606" s="223"/>
      <c r="FXH606" s="224"/>
      <c r="FXI606" s="222"/>
      <c r="FXJ606" s="222"/>
      <c r="FXK606" s="222"/>
      <c r="FXL606" s="222"/>
      <c r="FXM606" s="222"/>
      <c r="FXN606" s="222"/>
      <c r="FXO606" s="223"/>
      <c r="FXP606" s="224"/>
      <c r="FXQ606" s="222"/>
      <c r="FXR606" s="222"/>
      <c r="FXS606" s="222"/>
      <c r="FXT606" s="222"/>
      <c r="FXU606" s="222"/>
      <c r="FXV606" s="222"/>
      <c r="FXW606" s="223"/>
      <c r="FXX606" s="224"/>
      <c r="FXY606" s="222"/>
      <c r="FXZ606" s="222"/>
      <c r="FYA606" s="222"/>
      <c r="FYB606" s="222"/>
      <c r="FYC606" s="222"/>
      <c r="FYD606" s="222"/>
      <c r="FYE606" s="223"/>
      <c r="FYF606" s="224"/>
      <c r="FYG606" s="222"/>
      <c r="FYH606" s="222"/>
      <c r="FYI606" s="222"/>
      <c r="FYJ606" s="222"/>
      <c r="FYK606" s="222"/>
      <c r="FYL606" s="222"/>
      <c r="FYM606" s="223"/>
      <c r="FYN606" s="224"/>
      <c r="FYO606" s="222"/>
      <c r="FYP606" s="222"/>
      <c r="FYQ606" s="222"/>
      <c r="FYR606" s="222"/>
      <c r="FYS606" s="222"/>
      <c r="FYT606" s="222"/>
      <c r="FYU606" s="223"/>
      <c r="FYV606" s="224"/>
      <c r="FYW606" s="222"/>
      <c r="FYX606" s="222"/>
      <c r="FYY606" s="222"/>
      <c r="FYZ606" s="222"/>
      <c r="FZA606" s="222"/>
      <c r="FZB606" s="222"/>
      <c r="FZC606" s="223"/>
      <c r="FZD606" s="224"/>
      <c r="FZE606" s="222"/>
      <c r="FZF606" s="222"/>
      <c r="FZG606" s="222"/>
      <c r="FZH606" s="222"/>
      <c r="FZI606" s="222"/>
      <c r="FZJ606" s="222"/>
      <c r="FZK606" s="223"/>
      <c r="FZL606" s="224"/>
      <c r="FZM606" s="222"/>
      <c r="FZN606" s="222"/>
      <c r="FZO606" s="222"/>
      <c r="FZP606" s="222"/>
      <c r="FZQ606" s="222"/>
      <c r="FZR606" s="222"/>
      <c r="FZS606" s="223"/>
      <c r="FZT606" s="224"/>
      <c r="FZU606" s="222"/>
      <c r="FZV606" s="222"/>
      <c r="FZW606" s="222"/>
      <c r="FZX606" s="222"/>
      <c r="FZY606" s="222"/>
      <c r="FZZ606" s="222"/>
      <c r="GAA606" s="223"/>
      <c r="GAB606" s="224"/>
      <c r="GAC606" s="222"/>
      <c r="GAD606" s="222"/>
      <c r="GAE606" s="222"/>
      <c r="GAF606" s="222"/>
      <c r="GAG606" s="222"/>
      <c r="GAH606" s="222"/>
      <c r="GAI606" s="223"/>
      <c r="GAJ606" s="224"/>
      <c r="GAK606" s="222"/>
      <c r="GAL606" s="222"/>
      <c r="GAM606" s="222"/>
      <c r="GAN606" s="222"/>
      <c r="GAO606" s="222"/>
      <c r="GAP606" s="222"/>
      <c r="GAQ606" s="223"/>
      <c r="GAR606" s="224"/>
      <c r="GAS606" s="222"/>
      <c r="GAT606" s="222"/>
      <c r="GAU606" s="222"/>
      <c r="GAV606" s="222"/>
      <c r="GAW606" s="222"/>
      <c r="GAX606" s="222"/>
      <c r="GAY606" s="223"/>
      <c r="GAZ606" s="224"/>
      <c r="GBA606" s="222"/>
      <c r="GBB606" s="222"/>
      <c r="GBC606" s="222"/>
      <c r="GBD606" s="222"/>
      <c r="GBE606" s="222"/>
      <c r="GBF606" s="222"/>
      <c r="GBG606" s="223"/>
      <c r="GBH606" s="224"/>
      <c r="GBI606" s="222"/>
      <c r="GBJ606" s="222"/>
      <c r="GBK606" s="222"/>
      <c r="GBL606" s="222"/>
      <c r="GBM606" s="222"/>
      <c r="GBN606" s="222"/>
      <c r="GBO606" s="223"/>
      <c r="GBP606" s="224"/>
      <c r="GBQ606" s="222"/>
      <c r="GBR606" s="222"/>
      <c r="GBS606" s="222"/>
      <c r="GBT606" s="222"/>
      <c r="GBU606" s="222"/>
      <c r="GBV606" s="222"/>
      <c r="GBW606" s="223"/>
      <c r="GBX606" s="224"/>
      <c r="GBY606" s="222"/>
      <c r="GBZ606" s="222"/>
      <c r="GCA606" s="222"/>
      <c r="GCB606" s="222"/>
      <c r="GCC606" s="222"/>
      <c r="GCD606" s="222"/>
      <c r="GCE606" s="223"/>
      <c r="GCF606" s="224"/>
      <c r="GCG606" s="222"/>
      <c r="GCH606" s="222"/>
      <c r="GCI606" s="222"/>
      <c r="GCJ606" s="222"/>
      <c r="GCK606" s="222"/>
      <c r="GCL606" s="222"/>
      <c r="GCM606" s="223"/>
      <c r="GCN606" s="224"/>
      <c r="GCO606" s="222"/>
      <c r="GCP606" s="222"/>
      <c r="GCQ606" s="222"/>
      <c r="GCR606" s="222"/>
      <c r="GCS606" s="222"/>
      <c r="GCT606" s="222"/>
      <c r="GCU606" s="223"/>
      <c r="GCV606" s="224"/>
      <c r="GCW606" s="222"/>
      <c r="GCX606" s="222"/>
      <c r="GCY606" s="222"/>
      <c r="GCZ606" s="222"/>
      <c r="GDA606" s="222"/>
      <c r="GDB606" s="222"/>
      <c r="GDC606" s="223"/>
      <c r="GDD606" s="224"/>
      <c r="GDE606" s="222"/>
      <c r="GDF606" s="222"/>
      <c r="GDG606" s="222"/>
      <c r="GDH606" s="222"/>
      <c r="GDI606" s="222"/>
      <c r="GDJ606" s="222"/>
      <c r="GDK606" s="223"/>
      <c r="GDL606" s="224"/>
      <c r="GDM606" s="222"/>
      <c r="GDN606" s="222"/>
      <c r="GDO606" s="222"/>
      <c r="GDP606" s="222"/>
      <c r="GDQ606" s="222"/>
      <c r="GDR606" s="222"/>
      <c r="GDS606" s="223"/>
      <c r="GDT606" s="224"/>
      <c r="GDU606" s="222"/>
      <c r="GDV606" s="222"/>
      <c r="GDW606" s="222"/>
      <c r="GDX606" s="222"/>
      <c r="GDY606" s="222"/>
      <c r="GDZ606" s="222"/>
      <c r="GEA606" s="223"/>
      <c r="GEB606" s="224"/>
      <c r="GEC606" s="222"/>
      <c r="GED606" s="222"/>
      <c r="GEE606" s="222"/>
      <c r="GEF606" s="222"/>
      <c r="GEG606" s="222"/>
      <c r="GEH606" s="222"/>
      <c r="GEI606" s="223"/>
      <c r="GEJ606" s="224"/>
      <c r="GEK606" s="222"/>
      <c r="GEL606" s="222"/>
      <c r="GEM606" s="222"/>
      <c r="GEN606" s="222"/>
      <c r="GEO606" s="222"/>
      <c r="GEP606" s="222"/>
      <c r="GEQ606" s="223"/>
      <c r="GER606" s="224"/>
      <c r="GES606" s="222"/>
      <c r="GET606" s="222"/>
      <c r="GEU606" s="222"/>
      <c r="GEV606" s="222"/>
      <c r="GEW606" s="222"/>
      <c r="GEX606" s="222"/>
      <c r="GEY606" s="223"/>
      <c r="GEZ606" s="224"/>
      <c r="GFA606" s="222"/>
      <c r="GFB606" s="222"/>
      <c r="GFC606" s="222"/>
      <c r="GFD606" s="222"/>
      <c r="GFE606" s="222"/>
      <c r="GFF606" s="222"/>
      <c r="GFG606" s="223"/>
      <c r="GFH606" s="224"/>
      <c r="GFI606" s="222"/>
      <c r="GFJ606" s="222"/>
      <c r="GFK606" s="222"/>
      <c r="GFL606" s="222"/>
      <c r="GFM606" s="222"/>
      <c r="GFN606" s="222"/>
      <c r="GFO606" s="223"/>
      <c r="GFP606" s="224"/>
      <c r="GFQ606" s="222"/>
      <c r="GFR606" s="222"/>
      <c r="GFS606" s="222"/>
      <c r="GFT606" s="222"/>
      <c r="GFU606" s="222"/>
      <c r="GFV606" s="222"/>
      <c r="GFW606" s="223"/>
      <c r="GFX606" s="224"/>
      <c r="GFY606" s="222"/>
      <c r="GFZ606" s="222"/>
      <c r="GGA606" s="222"/>
      <c r="GGB606" s="222"/>
      <c r="GGC606" s="222"/>
      <c r="GGD606" s="222"/>
      <c r="GGE606" s="223"/>
      <c r="GGF606" s="224"/>
      <c r="GGG606" s="222"/>
      <c r="GGH606" s="222"/>
      <c r="GGI606" s="222"/>
      <c r="GGJ606" s="222"/>
      <c r="GGK606" s="222"/>
      <c r="GGL606" s="222"/>
      <c r="GGM606" s="223"/>
      <c r="GGN606" s="224"/>
      <c r="GGO606" s="222"/>
      <c r="GGP606" s="222"/>
      <c r="GGQ606" s="222"/>
      <c r="GGR606" s="222"/>
      <c r="GGS606" s="222"/>
      <c r="GGT606" s="222"/>
      <c r="GGU606" s="223"/>
      <c r="GGV606" s="224"/>
      <c r="GGW606" s="222"/>
      <c r="GGX606" s="222"/>
      <c r="GGY606" s="222"/>
      <c r="GGZ606" s="222"/>
      <c r="GHA606" s="222"/>
      <c r="GHB606" s="222"/>
      <c r="GHC606" s="223"/>
      <c r="GHD606" s="224"/>
      <c r="GHE606" s="222"/>
      <c r="GHF606" s="222"/>
      <c r="GHG606" s="222"/>
      <c r="GHH606" s="222"/>
      <c r="GHI606" s="222"/>
      <c r="GHJ606" s="222"/>
      <c r="GHK606" s="223"/>
      <c r="GHL606" s="224"/>
      <c r="GHM606" s="222"/>
      <c r="GHN606" s="222"/>
      <c r="GHO606" s="222"/>
      <c r="GHP606" s="222"/>
      <c r="GHQ606" s="222"/>
      <c r="GHR606" s="222"/>
      <c r="GHS606" s="223"/>
      <c r="GHT606" s="224"/>
      <c r="GHU606" s="222"/>
      <c r="GHV606" s="222"/>
      <c r="GHW606" s="222"/>
      <c r="GHX606" s="222"/>
      <c r="GHY606" s="222"/>
      <c r="GHZ606" s="222"/>
      <c r="GIA606" s="223"/>
      <c r="GIB606" s="224"/>
      <c r="GIC606" s="222"/>
      <c r="GID606" s="222"/>
      <c r="GIE606" s="222"/>
      <c r="GIF606" s="222"/>
      <c r="GIG606" s="222"/>
      <c r="GIH606" s="222"/>
      <c r="GII606" s="223"/>
      <c r="GIJ606" s="224"/>
      <c r="GIK606" s="222"/>
      <c r="GIL606" s="222"/>
      <c r="GIM606" s="222"/>
      <c r="GIN606" s="222"/>
      <c r="GIO606" s="222"/>
      <c r="GIP606" s="222"/>
      <c r="GIQ606" s="223"/>
      <c r="GIR606" s="224"/>
      <c r="GIS606" s="222"/>
      <c r="GIT606" s="222"/>
      <c r="GIU606" s="222"/>
      <c r="GIV606" s="222"/>
      <c r="GIW606" s="222"/>
      <c r="GIX606" s="222"/>
      <c r="GIY606" s="223"/>
      <c r="GIZ606" s="224"/>
      <c r="GJA606" s="222"/>
      <c r="GJB606" s="222"/>
      <c r="GJC606" s="222"/>
      <c r="GJD606" s="222"/>
      <c r="GJE606" s="222"/>
      <c r="GJF606" s="222"/>
      <c r="GJG606" s="223"/>
      <c r="GJH606" s="224"/>
      <c r="GJI606" s="222"/>
      <c r="GJJ606" s="222"/>
      <c r="GJK606" s="222"/>
      <c r="GJL606" s="222"/>
      <c r="GJM606" s="222"/>
      <c r="GJN606" s="222"/>
      <c r="GJO606" s="223"/>
      <c r="GJP606" s="224"/>
      <c r="GJQ606" s="222"/>
      <c r="GJR606" s="222"/>
      <c r="GJS606" s="222"/>
      <c r="GJT606" s="222"/>
      <c r="GJU606" s="222"/>
      <c r="GJV606" s="222"/>
      <c r="GJW606" s="223"/>
      <c r="GJX606" s="224"/>
      <c r="GJY606" s="222"/>
      <c r="GJZ606" s="222"/>
      <c r="GKA606" s="222"/>
      <c r="GKB606" s="222"/>
      <c r="GKC606" s="222"/>
      <c r="GKD606" s="222"/>
      <c r="GKE606" s="223"/>
      <c r="GKF606" s="224"/>
      <c r="GKG606" s="222"/>
      <c r="GKH606" s="222"/>
      <c r="GKI606" s="222"/>
      <c r="GKJ606" s="222"/>
      <c r="GKK606" s="222"/>
      <c r="GKL606" s="222"/>
      <c r="GKM606" s="223"/>
      <c r="GKN606" s="224"/>
      <c r="GKO606" s="222"/>
      <c r="GKP606" s="222"/>
      <c r="GKQ606" s="222"/>
      <c r="GKR606" s="222"/>
      <c r="GKS606" s="222"/>
      <c r="GKT606" s="222"/>
      <c r="GKU606" s="223"/>
      <c r="GKV606" s="224"/>
      <c r="GKW606" s="222"/>
      <c r="GKX606" s="222"/>
      <c r="GKY606" s="222"/>
      <c r="GKZ606" s="222"/>
      <c r="GLA606" s="222"/>
      <c r="GLB606" s="222"/>
      <c r="GLC606" s="223"/>
      <c r="GLD606" s="224"/>
      <c r="GLE606" s="222"/>
      <c r="GLF606" s="222"/>
      <c r="GLG606" s="222"/>
      <c r="GLH606" s="222"/>
      <c r="GLI606" s="222"/>
      <c r="GLJ606" s="222"/>
      <c r="GLK606" s="223"/>
      <c r="GLL606" s="224"/>
      <c r="GLM606" s="222"/>
      <c r="GLN606" s="222"/>
      <c r="GLO606" s="222"/>
      <c r="GLP606" s="222"/>
      <c r="GLQ606" s="222"/>
      <c r="GLR606" s="222"/>
      <c r="GLS606" s="223"/>
      <c r="GLT606" s="224"/>
      <c r="GLU606" s="222"/>
      <c r="GLV606" s="222"/>
      <c r="GLW606" s="222"/>
      <c r="GLX606" s="222"/>
      <c r="GLY606" s="222"/>
      <c r="GLZ606" s="222"/>
      <c r="GMA606" s="223"/>
      <c r="GMB606" s="224"/>
      <c r="GMC606" s="222"/>
      <c r="GMD606" s="222"/>
      <c r="GME606" s="222"/>
      <c r="GMF606" s="222"/>
      <c r="GMG606" s="222"/>
      <c r="GMH606" s="222"/>
      <c r="GMI606" s="223"/>
      <c r="GMJ606" s="224"/>
      <c r="GMK606" s="222"/>
      <c r="GML606" s="222"/>
      <c r="GMM606" s="222"/>
      <c r="GMN606" s="222"/>
      <c r="GMO606" s="222"/>
      <c r="GMP606" s="222"/>
      <c r="GMQ606" s="223"/>
      <c r="GMR606" s="224"/>
      <c r="GMS606" s="222"/>
      <c r="GMT606" s="222"/>
      <c r="GMU606" s="222"/>
      <c r="GMV606" s="222"/>
      <c r="GMW606" s="222"/>
      <c r="GMX606" s="222"/>
      <c r="GMY606" s="223"/>
      <c r="GMZ606" s="224"/>
      <c r="GNA606" s="222"/>
      <c r="GNB606" s="222"/>
      <c r="GNC606" s="222"/>
      <c r="GND606" s="222"/>
      <c r="GNE606" s="222"/>
      <c r="GNF606" s="222"/>
      <c r="GNG606" s="223"/>
      <c r="GNH606" s="224"/>
      <c r="GNI606" s="222"/>
      <c r="GNJ606" s="222"/>
      <c r="GNK606" s="222"/>
      <c r="GNL606" s="222"/>
      <c r="GNM606" s="222"/>
      <c r="GNN606" s="222"/>
      <c r="GNO606" s="223"/>
      <c r="GNP606" s="224"/>
      <c r="GNQ606" s="222"/>
      <c r="GNR606" s="222"/>
      <c r="GNS606" s="222"/>
      <c r="GNT606" s="222"/>
      <c r="GNU606" s="222"/>
      <c r="GNV606" s="222"/>
      <c r="GNW606" s="223"/>
      <c r="GNX606" s="224"/>
      <c r="GNY606" s="222"/>
      <c r="GNZ606" s="222"/>
      <c r="GOA606" s="222"/>
      <c r="GOB606" s="222"/>
      <c r="GOC606" s="222"/>
      <c r="GOD606" s="222"/>
      <c r="GOE606" s="223"/>
      <c r="GOF606" s="224"/>
      <c r="GOG606" s="222"/>
      <c r="GOH606" s="222"/>
      <c r="GOI606" s="222"/>
      <c r="GOJ606" s="222"/>
      <c r="GOK606" s="222"/>
      <c r="GOL606" s="222"/>
      <c r="GOM606" s="223"/>
      <c r="GON606" s="224"/>
      <c r="GOO606" s="222"/>
      <c r="GOP606" s="222"/>
      <c r="GOQ606" s="222"/>
      <c r="GOR606" s="222"/>
      <c r="GOS606" s="222"/>
      <c r="GOT606" s="222"/>
      <c r="GOU606" s="223"/>
      <c r="GOV606" s="224"/>
      <c r="GOW606" s="222"/>
      <c r="GOX606" s="222"/>
      <c r="GOY606" s="222"/>
      <c r="GOZ606" s="222"/>
      <c r="GPA606" s="222"/>
      <c r="GPB606" s="222"/>
      <c r="GPC606" s="223"/>
      <c r="GPD606" s="224"/>
      <c r="GPE606" s="222"/>
      <c r="GPF606" s="222"/>
      <c r="GPG606" s="222"/>
      <c r="GPH606" s="222"/>
      <c r="GPI606" s="222"/>
      <c r="GPJ606" s="222"/>
      <c r="GPK606" s="223"/>
      <c r="GPL606" s="224"/>
      <c r="GPM606" s="222"/>
      <c r="GPN606" s="222"/>
      <c r="GPO606" s="222"/>
      <c r="GPP606" s="222"/>
      <c r="GPQ606" s="222"/>
      <c r="GPR606" s="222"/>
      <c r="GPS606" s="223"/>
      <c r="GPT606" s="224"/>
      <c r="GPU606" s="222"/>
      <c r="GPV606" s="222"/>
      <c r="GPW606" s="222"/>
      <c r="GPX606" s="222"/>
      <c r="GPY606" s="222"/>
      <c r="GPZ606" s="222"/>
      <c r="GQA606" s="223"/>
      <c r="GQB606" s="224"/>
      <c r="GQC606" s="222"/>
      <c r="GQD606" s="222"/>
      <c r="GQE606" s="222"/>
      <c r="GQF606" s="222"/>
      <c r="GQG606" s="222"/>
      <c r="GQH606" s="222"/>
      <c r="GQI606" s="223"/>
      <c r="GQJ606" s="224"/>
      <c r="GQK606" s="222"/>
      <c r="GQL606" s="222"/>
      <c r="GQM606" s="222"/>
      <c r="GQN606" s="222"/>
      <c r="GQO606" s="222"/>
      <c r="GQP606" s="222"/>
      <c r="GQQ606" s="223"/>
      <c r="GQR606" s="224"/>
      <c r="GQS606" s="222"/>
      <c r="GQT606" s="222"/>
      <c r="GQU606" s="222"/>
      <c r="GQV606" s="222"/>
      <c r="GQW606" s="222"/>
      <c r="GQX606" s="222"/>
      <c r="GQY606" s="223"/>
      <c r="GQZ606" s="224"/>
      <c r="GRA606" s="222"/>
      <c r="GRB606" s="222"/>
      <c r="GRC606" s="222"/>
      <c r="GRD606" s="222"/>
      <c r="GRE606" s="222"/>
      <c r="GRF606" s="222"/>
      <c r="GRG606" s="223"/>
      <c r="GRH606" s="224"/>
      <c r="GRI606" s="222"/>
      <c r="GRJ606" s="222"/>
      <c r="GRK606" s="222"/>
      <c r="GRL606" s="222"/>
      <c r="GRM606" s="222"/>
      <c r="GRN606" s="222"/>
      <c r="GRO606" s="223"/>
      <c r="GRP606" s="224"/>
      <c r="GRQ606" s="222"/>
      <c r="GRR606" s="222"/>
      <c r="GRS606" s="222"/>
      <c r="GRT606" s="222"/>
      <c r="GRU606" s="222"/>
      <c r="GRV606" s="222"/>
      <c r="GRW606" s="223"/>
      <c r="GRX606" s="224"/>
      <c r="GRY606" s="222"/>
      <c r="GRZ606" s="222"/>
      <c r="GSA606" s="222"/>
      <c r="GSB606" s="222"/>
      <c r="GSC606" s="222"/>
      <c r="GSD606" s="222"/>
      <c r="GSE606" s="223"/>
      <c r="GSF606" s="224"/>
      <c r="GSG606" s="222"/>
      <c r="GSH606" s="222"/>
      <c r="GSI606" s="222"/>
      <c r="GSJ606" s="222"/>
      <c r="GSK606" s="222"/>
      <c r="GSL606" s="222"/>
      <c r="GSM606" s="223"/>
      <c r="GSN606" s="224"/>
      <c r="GSO606" s="222"/>
      <c r="GSP606" s="222"/>
      <c r="GSQ606" s="222"/>
      <c r="GSR606" s="222"/>
      <c r="GSS606" s="222"/>
      <c r="GST606" s="222"/>
      <c r="GSU606" s="223"/>
      <c r="GSV606" s="224"/>
      <c r="GSW606" s="222"/>
      <c r="GSX606" s="222"/>
      <c r="GSY606" s="222"/>
      <c r="GSZ606" s="222"/>
      <c r="GTA606" s="222"/>
      <c r="GTB606" s="222"/>
      <c r="GTC606" s="223"/>
      <c r="GTD606" s="224"/>
      <c r="GTE606" s="222"/>
      <c r="GTF606" s="222"/>
      <c r="GTG606" s="222"/>
      <c r="GTH606" s="222"/>
      <c r="GTI606" s="222"/>
      <c r="GTJ606" s="222"/>
      <c r="GTK606" s="223"/>
      <c r="GTL606" s="224"/>
      <c r="GTM606" s="222"/>
      <c r="GTN606" s="222"/>
      <c r="GTO606" s="222"/>
      <c r="GTP606" s="222"/>
      <c r="GTQ606" s="222"/>
      <c r="GTR606" s="222"/>
      <c r="GTS606" s="223"/>
      <c r="GTT606" s="224"/>
      <c r="GTU606" s="222"/>
      <c r="GTV606" s="222"/>
      <c r="GTW606" s="222"/>
      <c r="GTX606" s="222"/>
      <c r="GTY606" s="222"/>
      <c r="GTZ606" s="222"/>
      <c r="GUA606" s="223"/>
      <c r="GUB606" s="224"/>
      <c r="GUC606" s="222"/>
      <c r="GUD606" s="222"/>
      <c r="GUE606" s="222"/>
      <c r="GUF606" s="222"/>
      <c r="GUG606" s="222"/>
      <c r="GUH606" s="222"/>
      <c r="GUI606" s="223"/>
      <c r="GUJ606" s="224"/>
      <c r="GUK606" s="222"/>
      <c r="GUL606" s="222"/>
      <c r="GUM606" s="222"/>
      <c r="GUN606" s="222"/>
      <c r="GUO606" s="222"/>
      <c r="GUP606" s="222"/>
      <c r="GUQ606" s="223"/>
      <c r="GUR606" s="224"/>
      <c r="GUS606" s="222"/>
      <c r="GUT606" s="222"/>
      <c r="GUU606" s="222"/>
      <c r="GUV606" s="222"/>
      <c r="GUW606" s="222"/>
      <c r="GUX606" s="222"/>
      <c r="GUY606" s="223"/>
      <c r="GUZ606" s="224"/>
      <c r="GVA606" s="222"/>
      <c r="GVB606" s="222"/>
      <c r="GVC606" s="222"/>
      <c r="GVD606" s="222"/>
      <c r="GVE606" s="222"/>
      <c r="GVF606" s="222"/>
      <c r="GVG606" s="223"/>
      <c r="GVH606" s="224"/>
      <c r="GVI606" s="222"/>
      <c r="GVJ606" s="222"/>
      <c r="GVK606" s="222"/>
      <c r="GVL606" s="222"/>
      <c r="GVM606" s="222"/>
      <c r="GVN606" s="222"/>
      <c r="GVO606" s="223"/>
      <c r="GVP606" s="224"/>
      <c r="GVQ606" s="222"/>
      <c r="GVR606" s="222"/>
      <c r="GVS606" s="222"/>
      <c r="GVT606" s="222"/>
      <c r="GVU606" s="222"/>
      <c r="GVV606" s="222"/>
      <c r="GVW606" s="223"/>
      <c r="GVX606" s="224"/>
      <c r="GVY606" s="222"/>
      <c r="GVZ606" s="222"/>
      <c r="GWA606" s="222"/>
      <c r="GWB606" s="222"/>
      <c r="GWC606" s="222"/>
      <c r="GWD606" s="222"/>
      <c r="GWE606" s="223"/>
      <c r="GWF606" s="224"/>
      <c r="GWG606" s="222"/>
      <c r="GWH606" s="222"/>
      <c r="GWI606" s="222"/>
      <c r="GWJ606" s="222"/>
      <c r="GWK606" s="222"/>
      <c r="GWL606" s="222"/>
      <c r="GWM606" s="223"/>
      <c r="GWN606" s="224"/>
      <c r="GWO606" s="222"/>
      <c r="GWP606" s="222"/>
      <c r="GWQ606" s="222"/>
      <c r="GWR606" s="222"/>
      <c r="GWS606" s="222"/>
      <c r="GWT606" s="222"/>
      <c r="GWU606" s="223"/>
      <c r="GWV606" s="224"/>
      <c r="GWW606" s="222"/>
      <c r="GWX606" s="222"/>
      <c r="GWY606" s="222"/>
      <c r="GWZ606" s="222"/>
      <c r="GXA606" s="222"/>
      <c r="GXB606" s="222"/>
      <c r="GXC606" s="223"/>
      <c r="GXD606" s="224"/>
      <c r="GXE606" s="222"/>
      <c r="GXF606" s="222"/>
      <c r="GXG606" s="222"/>
      <c r="GXH606" s="222"/>
      <c r="GXI606" s="222"/>
      <c r="GXJ606" s="222"/>
      <c r="GXK606" s="223"/>
      <c r="GXL606" s="224"/>
      <c r="GXM606" s="222"/>
      <c r="GXN606" s="222"/>
      <c r="GXO606" s="222"/>
      <c r="GXP606" s="222"/>
      <c r="GXQ606" s="222"/>
      <c r="GXR606" s="222"/>
      <c r="GXS606" s="223"/>
      <c r="GXT606" s="224"/>
      <c r="GXU606" s="222"/>
      <c r="GXV606" s="222"/>
      <c r="GXW606" s="222"/>
      <c r="GXX606" s="222"/>
      <c r="GXY606" s="222"/>
      <c r="GXZ606" s="222"/>
      <c r="GYA606" s="223"/>
      <c r="GYB606" s="224"/>
      <c r="GYC606" s="222"/>
      <c r="GYD606" s="222"/>
      <c r="GYE606" s="222"/>
      <c r="GYF606" s="222"/>
      <c r="GYG606" s="222"/>
      <c r="GYH606" s="222"/>
      <c r="GYI606" s="223"/>
      <c r="GYJ606" s="224"/>
      <c r="GYK606" s="222"/>
      <c r="GYL606" s="222"/>
      <c r="GYM606" s="222"/>
      <c r="GYN606" s="222"/>
      <c r="GYO606" s="222"/>
      <c r="GYP606" s="222"/>
      <c r="GYQ606" s="223"/>
      <c r="GYR606" s="224"/>
      <c r="GYS606" s="222"/>
      <c r="GYT606" s="222"/>
      <c r="GYU606" s="222"/>
      <c r="GYV606" s="222"/>
      <c r="GYW606" s="222"/>
      <c r="GYX606" s="222"/>
      <c r="GYY606" s="223"/>
      <c r="GYZ606" s="224"/>
      <c r="GZA606" s="222"/>
      <c r="GZB606" s="222"/>
      <c r="GZC606" s="222"/>
      <c r="GZD606" s="222"/>
      <c r="GZE606" s="222"/>
      <c r="GZF606" s="222"/>
      <c r="GZG606" s="223"/>
      <c r="GZH606" s="224"/>
      <c r="GZI606" s="222"/>
      <c r="GZJ606" s="222"/>
      <c r="GZK606" s="222"/>
      <c r="GZL606" s="222"/>
      <c r="GZM606" s="222"/>
      <c r="GZN606" s="222"/>
      <c r="GZO606" s="223"/>
      <c r="GZP606" s="224"/>
      <c r="GZQ606" s="222"/>
      <c r="GZR606" s="222"/>
      <c r="GZS606" s="222"/>
      <c r="GZT606" s="222"/>
      <c r="GZU606" s="222"/>
      <c r="GZV606" s="222"/>
      <c r="GZW606" s="223"/>
      <c r="GZX606" s="224"/>
      <c r="GZY606" s="222"/>
      <c r="GZZ606" s="222"/>
      <c r="HAA606" s="222"/>
      <c r="HAB606" s="222"/>
      <c r="HAC606" s="222"/>
      <c r="HAD606" s="222"/>
      <c r="HAE606" s="223"/>
      <c r="HAF606" s="224"/>
      <c r="HAG606" s="222"/>
      <c r="HAH606" s="222"/>
      <c r="HAI606" s="222"/>
      <c r="HAJ606" s="222"/>
      <c r="HAK606" s="222"/>
      <c r="HAL606" s="222"/>
      <c r="HAM606" s="223"/>
      <c r="HAN606" s="224"/>
      <c r="HAO606" s="222"/>
      <c r="HAP606" s="222"/>
      <c r="HAQ606" s="222"/>
      <c r="HAR606" s="222"/>
      <c r="HAS606" s="222"/>
      <c r="HAT606" s="222"/>
      <c r="HAU606" s="223"/>
      <c r="HAV606" s="224"/>
      <c r="HAW606" s="222"/>
      <c r="HAX606" s="222"/>
      <c r="HAY606" s="222"/>
      <c r="HAZ606" s="222"/>
      <c r="HBA606" s="222"/>
      <c r="HBB606" s="222"/>
      <c r="HBC606" s="223"/>
      <c r="HBD606" s="224"/>
      <c r="HBE606" s="222"/>
      <c r="HBF606" s="222"/>
      <c r="HBG606" s="222"/>
      <c r="HBH606" s="222"/>
      <c r="HBI606" s="222"/>
      <c r="HBJ606" s="222"/>
      <c r="HBK606" s="223"/>
      <c r="HBL606" s="224"/>
      <c r="HBM606" s="222"/>
      <c r="HBN606" s="222"/>
      <c r="HBO606" s="222"/>
      <c r="HBP606" s="222"/>
      <c r="HBQ606" s="222"/>
      <c r="HBR606" s="222"/>
      <c r="HBS606" s="223"/>
      <c r="HBT606" s="224"/>
      <c r="HBU606" s="222"/>
      <c r="HBV606" s="222"/>
      <c r="HBW606" s="222"/>
      <c r="HBX606" s="222"/>
      <c r="HBY606" s="222"/>
      <c r="HBZ606" s="222"/>
      <c r="HCA606" s="223"/>
      <c r="HCB606" s="224"/>
      <c r="HCC606" s="222"/>
      <c r="HCD606" s="222"/>
      <c r="HCE606" s="222"/>
      <c r="HCF606" s="222"/>
      <c r="HCG606" s="222"/>
      <c r="HCH606" s="222"/>
      <c r="HCI606" s="223"/>
      <c r="HCJ606" s="224"/>
      <c r="HCK606" s="222"/>
      <c r="HCL606" s="222"/>
      <c r="HCM606" s="222"/>
      <c r="HCN606" s="222"/>
      <c r="HCO606" s="222"/>
      <c r="HCP606" s="222"/>
      <c r="HCQ606" s="223"/>
      <c r="HCR606" s="224"/>
      <c r="HCS606" s="222"/>
      <c r="HCT606" s="222"/>
      <c r="HCU606" s="222"/>
      <c r="HCV606" s="222"/>
      <c r="HCW606" s="222"/>
      <c r="HCX606" s="222"/>
      <c r="HCY606" s="223"/>
      <c r="HCZ606" s="224"/>
      <c r="HDA606" s="222"/>
      <c r="HDB606" s="222"/>
      <c r="HDC606" s="222"/>
      <c r="HDD606" s="222"/>
      <c r="HDE606" s="222"/>
      <c r="HDF606" s="222"/>
      <c r="HDG606" s="223"/>
      <c r="HDH606" s="224"/>
      <c r="HDI606" s="222"/>
      <c r="HDJ606" s="222"/>
      <c r="HDK606" s="222"/>
      <c r="HDL606" s="222"/>
      <c r="HDM606" s="222"/>
      <c r="HDN606" s="222"/>
      <c r="HDO606" s="223"/>
      <c r="HDP606" s="224"/>
      <c r="HDQ606" s="222"/>
      <c r="HDR606" s="222"/>
      <c r="HDS606" s="222"/>
      <c r="HDT606" s="222"/>
      <c r="HDU606" s="222"/>
      <c r="HDV606" s="222"/>
      <c r="HDW606" s="223"/>
      <c r="HDX606" s="224"/>
      <c r="HDY606" s="222"/>
      <c r="HDZ606" s="222"/>
      <c r="HEA606" s="222"/>
      <c r="HEB606" s="222"/>
      <c r="HEC606" s="222"/>
      <c r="HED606" s="222"/>
      <c r="HEE606" s="223"/>
      <c r="HEF606" s="224"/>
      <c r="HEG606" s="222"/>
      <c r="HEH606" s="222"/>
      <c r="HEI606" s="222"/>
      <c r="HEJ606" s="222"/>
      <c r="HEK606" s="222"/>
      <c r="HEL606" s="222"/>
      <c r="HEM606" s="223"/>
      <c r="HEN606" s="224"/>
      <c r="HEO606" s="222"/>
      <c r="HEP606" s="222"/>
      <c r="HEQ606" s="222"/>
      <c r="HER606" s="222"/>
      <c r="HES606" s="222"/>
      <c r="HET606" s="222"/>
      <c r="HEU606" s="223"/>
      <c r="HEV606" s="224"/>
      <c r="HEW606" s="222"/>
      <c r="HEX606" s="222"/>
      <c r="HEY606" s="222"/>
      <c r="HEZ606" s="222"/>
      <c r="HFA606" s="222"/>
      <c r="HFB606" s="222"/>
      <c r="HFC606" s="223"/>
      <c r="HFD606" s="224"/>
      <c r="HFE606" s="222"/>
      <c r="HFF606" s="222"/>
      <c r="HFG606" s="222"/>
      <c r="HFH606" s="222"/>
      <c r="HFI606" s="222"/>
      <c r="HFJ606" s="222"/>
      <c r="HFK606" s="223"/>
      <c r="HFL606" s="224"/>
      <c r="HFM606" s="222"/>
      <c r="HFN606" s="222"/>
      <c r="HFO606" s="222"/>
      <c r="HFP606" s="222"/>
      <c r="HFQ606" s="222"/>
      <c r="HFR606" s="222"/>
      <c r="HFS606" s="223"/>
      <c r="HFT606" s="224"/>
      <c r="HFU606" s="222"/>
      <c r="HFV606" s="222"/>
      <c r="HFW606" s="222"/>
      <c r="HFX606" s="222"/>
      <c r="HFY606" s="222"/>
      <c r="HFZ606" s="222"/>
      <c r="HGA606" s="223"/>
      <c r="HGB606" s="224"/>
      <c r="HGC606" s="222"/>
      <c r="HGD606" s="222"/>
      <c r="HGE606" s="222"/>
      <c r="HGF606" s="222"/>
      <c r="HGG606" s="222"/>
      <c r="HGH606" s="222"/>
      <c r="HGI606" s="223"/>
      <c r="HGJ606" s="224"/>
      <c r="HGK606" s="222"/>
      <c r="HGL606" s="222"/>
      <c r="HGM606" s="222"/>
      <c r="HGN606" s="222"/>
      <c r="HGO606" s="222"/>
      <c r="HGP606" s="222"/>
      <c r="HGQ606" s="223"/>
      <c r="HGR606" s="224"/>
      <c r="HGS606" s="222"/>
      <c r="HGT606" s="222"/>
      <c r="HGU606" s="222"/>
      <c r="HGV606" s="222"/>
      <c r="HGW606" s="222"/>
      <c r="HGX606" s="222"/>
      <c r="HGY606" s="223"/>
      <c r="HGZ606" s="224"/>
      <c r="HHA606" s="222"/>
      <c r="HHB606" s="222"/>
      <c r="HHC606" s="222"/>
      <c r="HHD606" s="222"/>
      <c r="HHE606" s="222"/>
      <c r="HHF606" s="222"/>
      <c r="HHG606" s="223"/>
      <c r="HHH606" s="224"/>
      <c r="HHI606" s="222"/>
      <c r="HHJ606" s="222"/>
      <c r="HHK606" s="222"/>
      <c r="HHL606" s="222"/>
      <c r="HHM606" s="222"/>
      <c r="HHN606" s="222"/>
      <c r="HHO606" s="223"/>
      <c r="HHP606" s="224"/>
      <c r="HHQ606" s="222"/>
      <c r="HHR606" s="222"/>
      <c r="HHS606" s="222"/>
      <c r="HHT606" s="222"/>
      <c r="HHU606" s="222"/>
      <c r="HHV606" s="222"/>
      <c r="HHW606" s="223"/>
      <c r="HHX606" s="224"/>
      <c r="HHY606" s="222"/>
      <c r="HHZ606" s="222"/>
      <c r="HIA606" s="222"/>
      <c r="HIB606" s="222"/>
      <c r="HIC606" s="222"/>
      <c r="HID606" s="222"/>
      <c r="HIE606" s="223"/>
      <c r="HIF606" s="224"/>
      <c r="HIG606" s="222"/>
      <c r="HIH606" s="222"/>
      <c r="HII606" s="222"/>
      <c r="HIJ606" s="222"/>
      <c r="HIK606" s="222"/>
      <c r="HIL606" s="222"/>
      <c r="HIM606" s="223"/>
      <c r="HIN606" s="224"/>
      <c r="HIO606" s="222"/>
      <c r="HIP606" s="222"/>
      <c r="HIQ606" s="222"/>
      <c r="HIR606" s="222"/>
      <c r="HIS606" s="222"/>
      <c r="HIT606" s="222"/>
      <c r="HIU606" s="223"/>
      <c r="HIV606" s="224"/>
      <c r="HIW606" s="222"/>
      <c r="HIX606" s="222"/>
      <c r="HIY606" s="222"/>
      <c r="HIZ606" s="222"/>
      <c r="HJA606" s="222"/>
      <c r="HJB606" s="222"/>
      <c r="HJC606" s="223"/>
      <c r="HJD606" s="224"/>
      <c r="HJE606" s="222"/>
      <c r="HJF606" s="222"/>
      <c r="HJG606" s="222"/>
      <c r="HJH606" s="222"/>
      <c r="HJI606" s="222"/>
      <c r="HJJ606" s="222"/>
      <c r="HJK606" s="223"/>
      <c r="HJL606" s="224"/>
      <c r="HJM606" s="222"/>
      <c r="HJN606" s="222"/>
      <c r="HJO606" s="222"/>
      <c r="HJP606" s="222"/>
      <c r="HJQ606" s="222"/>
      <c r="HJR606" s="222"/>
      <c r="HJS606" s="223"/>
      <c r="HJT606" s="224"/>
      <c r="HJU606" s="222"/>
      <c r="HJV606" s="222"/>
      <c r="HJW606" s="222"/>
      <c r="HJX606" s="222"/>
      <c r="HJY606" s="222"/>
      <c r="HJZ606" s="222"/>
      <c r="HKA606" s="223"/>
      <c r="HKB606" s="224"/>
      <c r="HKC606" s="222"/>
      <c r="HKD606" s="222"/>
      <c r="HKE606" s="222"/>
      <c r="HKF606" s="222"/>
      <c r="HKG606" s="222"/>
      <c r="HKH606" s="222"/>
      <c r="HKI606" s="223"/>
      <c r="HKJ606" s="224"/>
      <c r="HKK606" s="222"/>
      <c r="HKL606" s="222"/>
      <c r="HKM606" s="222"/>
      <c r="HKN606" s="222"/>
      <c r="HKO606" s="222"/>
      <c r="HKP606" s="222"/>
      <c r="HKQ606" s="223"/>
      <c r="HKR606" s="224"/>
      <c r="HKS606" s="222"/>
      <c r="HKT606" s="222"/>
      <c r="HKU606" s="222"/>
      <c r="HKV606" s="222"/>
      <c r="HKW606" s="222"/>
      <c r="HKX606" s="222"/>
      <c r="HKY606" s="223"/>
      <c r="HKZ606" s="224"/>
      <c r="HLA606" s="222"/>
      <c r="HLB606" s="222"/>
      <c r="HLC606" s="222"/>
      <c r="HLD606" s="222"/>
      <c r="HLE606" s="222"/>
      <c r="HLF606" s="222"/>
      <c r="HLG606" s="223"/>
      <c r="HLH606" s="224"/>
      <c r="HLI606" s="222"/>
      <c r="HLJ606" s="222"/>
      <c r="HLK606" s="222"/>
      <c r="HLL606" s="222"/>
      <c r="HLM606" s="222"/>
      <c r="HLN606" s="222"/>
      <c r="HLO606" s="223"/>
      <c r="HLP606" s="224"/>
      <c r="HLQ606" s="222"/>
      <c r="HLR606" s="222"/>
      <c r="HLS606" s="222"/>
      <c r="HLT606" s="222"/>
      <c r="HLU606" s="222"/>
      <c r="HLV606" s="222"/>
      <c r="HLW606" s="223"/>
      <c r="HLX606" s="224"/>
      <c r="HLY606" s="222"/>
      <c r="HLZ606" s="222"/>
      <c r="HMA606" s="222"/>
      <c r="HMB606" s="222"/>
      <c r="HMC606" s="222"/>
      <c r="HMD606" s="222"/>
      <c r="HME606" s="223"/>
      <c r="HMF606" s="224"/>
      <c r="HMG606" s="222"/>
      <c r="HMH606" s="222"/>
      <c r="HMI606" s="222"/>
      <c r="HMJ606" s="222"/>
      <c r="HMK606" s="222"/>
      <c r="HML606" s="222"/>
      <c r="HMM606" s="223"/>
      <c r="HMN606" s="224"/>
      <c r="HMO606" s="222"/>
      <c r="HMP606" s="222"/>
      <c r="HMQ606" s="222"/>
      <c r="HMR606" s="222"/>
      <c r="HMS606" s="222"/>
      <c r="HMT606" s="222"/>
      <c r="HMU606" s="223"/>
      <c r="HMV606" s="224"/>
      <c r="HMW606" s="222"/>
      <c r="HMX606" s="222"/>
      <c r="HMY606" s="222"/>
      <c r="HMZ606" s="222"/>
      <c r="HNA606" s="222"/>
      <c r="HNB606" s="222"/>
      <c r="HNC606" s="223"/>
      <c r="HND606" s="224"/>
      <c r="HNE606" s="222"/>
      <c r="HNF606" s="222"/>
      <c r="HNG606" s="222"/>
      <c r="HNH606" s="222"/>
      <c r="HNI606" s="222"/>
      <c r="HNJ606" s="222"/>
      <c r="HNK606" s="223"/>
      <c r="HNL606" s="224"/>
      <c r="HNM606" s="222"/>
      <c r="HNN606" s="222"/>
      <c r="HNO606" s="222"/>
      <c r="HNP606" s="222"/>
      <c r="HNQ606" s="222"/>
      <c r="HNR606" s="222"/>
      <c r="HNS606" s="223"/>
      <c r="HNT606" s="224"/>
      <c r="HNU606" s="222"/>
      <c r="HNV606" s="222"/>
      <c r="HNW606" s="222"/>
      <c r="HNX606" s="222"/>
      <c r="HNY606" s="222"/>
      <c r="HNZ606" s="222"/>
      <c r="HOA606" s="223"/>
      <c r="HOB606" s="224"/>
      <c r="HOC606" s="222"/>
      <c r="HOD606" s="222"/>
      <c r="HOE606" s="222"/>
      <c r="HOF606" s="222"/>
      <c r="HOG606" s="222"/>
      <c r="HOH606" s="222"/>
      <c r="HOI606" s="223"/>
      <c r="HOJ606" s="224"/>
      <c r="HOK606" s="222"/>
      <c r="HOL606" s="222"/>
      <c r="HOM606" s="222"/>
      <c r="HON606" s="222"/>
      <c r="HOO606" s="222"/>
      <c r="HOP606" s="222"/>
      <c r="HOQ606" s="223"/>
      <c r="HOR606" s="224"/>
      <c r="HOS606" s="222"/>
      <c r="HOT606" s="222"/>
      <c r="HOU606" s="222"/>
      <c r="HOV606" s="222"/>
      <c r="HOW606" s="222"/>
      <c r="HOX606" s="222"/>
      <c r="HOY606" s="223"/>
      <c r="HOZ606" s="224"/>
      <c r="HPA606" s="222"/>
      <c r="HPB606" s="222"/>
      <c r="HPC606" s="222"/>
      <c r="HPD606" s="222"/>
      <c r="HPE606" s="222"/>
      <c r="HPF606" s="222"/>
      <c r="HPG606" s="223"/>
      <c r="HPH606" s="224"/>
      <c r="HPI606" s="222"/>
      <c r="HPJ606" s="222"/>
      <c r="HPK606" s="222"/>
      <c r="HPL606" s="222"/>
      <c r="HPM606" s="222"/>
      <c r="HPN606" s="222"/>
      <c r="HPO606" s="223"/>
      <c r="HPP606" s="224"/>
      <c r="HPQ606" s="222"/>
      <c r="HPR606" s="222"/>
      <c r="HPS606" s="222"/>
      <c r="HPT606" s="222"/>
      <c r="HPU606" s="222"/>
      <c r="HPV606" s="222"/>
      <c r="HPW606" s="223"/>
      <c r="HPX606" s="224"/>
      <c r="HPY606" s="222"/>
      <c r="HPZ606" s="222"/>
      <c r="HQA606" s="222"/>
      <c r="HQB606" s="222"/>
      <c r="HQC606" s="222"/>
      <c r="HQD606" s="222"/>
      <c r="HQE606" s="223"/>
      <c r="HQF606" s="224"/>
      <c r="HQG606" s="222"/>
      <c r="HQH606" s="222"/>
      <c r="HQI606" s="222"/>
      <c r="HQJ606" s="222"/>
      <c r="HQK606" s="222"/>
      <c r="HQL606" s="222"/>
      <c r="HQM606" s="223"/>
      <c r="HQN606" s="224"/>
      <c r="HQO606" s="222"/>
      <c r="HQP606" s="222"/>
      <c r="HQQ606" s="222"/>
      <c r="HQR606" s="222"/>
      <c r="HQS606" s="222"/>
      <c r="HQT606" s="222"/>
      <c r="HQU606" s="223"/>
      <c r="HQV606" s="224"/>
      <c r="HQW606" s="222"/>
      <c r="HQX606" s="222"/>
      <c r="HQY606" s="222"/>
      <c r="HQZ606" s="222"/>
      <c r="HRA606" s="222"/>
      <c r="HRB606" s="222"/>
      <c r="HRC606" s="223"/>
      <c r="HRD606" s="224"/>
      <c r="HRE606" s="222"/>
      <c r="HRF606" s="222"/>
      <c r="HRG606" s="222"/>
      <c r="HRH606" s="222"/>
      <c r="HRI606" s="222"/>
      <c r="HRJ606" s="222"/>
      <c r="HRK606" s="223"/>
      <c r="HRL606" s="224"/>
      <c r="HRM606" s="222"/>
      <c r="HRN606" s="222"/>
      <c r="HRO606" s="222"/>
      <c r="HRP606" s="222"/>
      <c r="HRQ606" s="222"/>
      <c r="HRR606" s="222"/>
      <c r="HRS606" s="223"/>
      <c r="HRT606" s="224"/>
      <c r="HRU606" s="222"/>
      <c r="HRV606" s="222"/>
      <c r="HRW606" s="222"/>
      <c r="HRX606" s="222"/>
      <c r="HRY606" s="222"/>
      <c r="HRZ606" s="222"/>
      <c r="HSA606" s="223"/>
      <c r="HSB606" s="224"/>
      <c r="HSC606" s="222"/>
      <c r="HSD606" s="222"/>
      <c r="HSE606" s="222"/>
      <c r="HSF606" s="222"/>
      <c r="HSG606" s="222"/>
      <c r="HSH606" s="222"/>
      <c r="HSI606" s="223"/>
      <c r="HSJ606" s="224"/>
      <c r="HSK606" s="222"/>
      <c r="HSL606" s="222"/>
      <c r="HSM606" s="222"/>
      <c r="HSN606" s="222"/>
      <c r="HSO606" s="222"/>
      <c r="HSP606" s="222"/>
      <c r="HSQ606" s="223"/>
      <c r="HSR606" s="224"/>
      <c r="HSS606" s="222"/>
      <c r="HST606" s="222"/>
      <c r="HSU606" s="222"/>
      <c r="HSV606" s="222"/>
      <c r="HSW606" s="222"/>
      <c r="HSX606" s="222"/>
      <c r="HSY606" s="223"/>
      <c r="HSZ606" s="224"/>
      <c r="HTA606" s="222"/>
      <c r="HTB606" s="222"/>
      <c r="HTC606" s="222"/>
      <c r="HTD606" s="222"/>
      <c r="HTE606" s="222"/>
      <c r="HTF606" s="222"/>
      <c r="HTG606" s="223"/>
      <c r="HTH606" s="224"/>
      <c r="HTI606" s="222"/>
      <c r="HTJ606" s="222"/>
      <c r="HTK606" s="222"/>
      <c r="HTL606" s="222"/>
      <c r="HTM606" s="222"/>
      <c r="HTN606" s="222"/>
      <c r="HTO606" s="223"/>
      <c r="HTP606" s="224"/>
      <c r="HTQ606" s="222"/>
      <c r="HTR606" s="222"/>
      <c r="HTS606" s="222"/>
      <c r="HTT606" s="222"/>
      <c r="HTU606" s="222"/>
      <c r="HTV606" s="222"/>
      <c r="HTW606" s="223"/>
      <c r="HTX606" s="224"/>
      <c r="HTY606" s="222"/>
      <c r="HTZ606" s="222"/>
      <c r="HUA606" s="222"/>
      <c r="HUB606" s="222"/>
      <c r="HUC606" s="222"/>
      <c r="HUD606" s="222"/>
      <c r="HUE606" s="223"/>
      <c r="HUF606" s="224"/>
      <c r="HUG606" s="222"/>
      <c r="HUH606" s="222"/>
      <c r="HUI606" s="222"/>
      <c r="HUJ606" s="222"/>
      <c r="HUK606" s="222"/>
      <c r="HUL606" s="222"/>
      <c r="HUM606" s="223"/>
      <c r="HUN606" s="224"/>
      <c r="HUO606" s="222"/>
      <c r="HUP606" s="222"/>
      <c r="HUQ606" s="222"/>
      <c r="HUR606" s="222"/>
      <c r="HUS606" s="222"/>
      <c r="HUT606" s="222"/>
      <c r="HUU606" s="223"/>
      <c r="HUV606" s="224"/>
      <c r="HUW606" s="222"/>
      <c r="HUX606" s="222"/>
      <c r="HUY606" s="222"/>
      <c r="HUZ606" s="222"/>
      <c r="HVA606" s="222"/>
      <c r="HVB606" s="222"/>
      <c r="HVC606" s="223"/>
      <c r="HVD606" s="224"/>
      <c r="HVE606" s="222"/>
      <c r="HVF606" s="222"/>
      <c r="HVG606" s="222"/>
      <c r="HVH606" s="222"/>
      <c r="HVI606" s="222"/>
      <c r="HVJ606" s="222"/>
      <c r="HVK606" s="223"/>
      <c r="HVL606" s="224"/>
      <c r="HVM606" s="222"/>
      <c r="HVN606" s="222"/>
      <c r="HVO606" s="222"/>
      <c r="HVP606" s="222"/>
      <c r="HVQ606" s="222"/>
      <c r="HVR606" s="222"/>
      <c r="HVS606" s="223"/>
      <c r="HVT606" s="224"/>
      <c r="HVU606" s="222"/>
      <c r="HVV606" s="222"/>
      <c r="HVW606" s="222"/>
      <c r="HVX606" s="222"/>
      <c r="HVY606" s="222"/>
      <c r="HVZ606" s="222"/>
      <c r="HWA606" s="223"/>
      <c r="HWB606" s="224"/>
      <c r="HWC606" s="222"/>
      <c r="HWD606" s="222"/>
      <c r="HWE606" s="222"/>
      <c r="HWF606" s="222"/>
      <c r="HWG606" s="222"/>
      <c r="HWH606" s="222"/>
      <c r="HWI606" s="223"/>
      <c r="HWJ606" s="224"/>
      <c r="HWK606" s="222"/>
      <c r="HWL606" s="222"/>
      <c r="HWM606" s="222"/>
      <c r="HWN606" s="222"/>
      <c r="HWO606" s="222"/>
      <c r="HWP606" s="222"/>
      <c r="HWQ606" s="223"/>
      <c r="HWR606" s="224"/>
      <c r="HWS606" s="222"/>
      <c r="HWT606" s="222"/>
      <c r="HWU606" s="222"/>
      <c r="HWV606" s="222"/>
      <c r="HWW606" s="222"/>
      <c r="HWX606" s="222"/>
      <c r="HWY606" s="223"/>
      <c r="HWZ606" s="224"/>
      <c r="HXA606" s="222"/>
      <c r="HXB606" s="222"/>
      <c r="HXC606" s="222"/>
      <c r="HXD606" s="222"/>
      <c r="HXE606" s="222"/>
      <c r="HXF606" s="222"/>
      <c r="HXG606" s="223"/>
      <c r="HXH606" s="224"/>
      <c r="HXI606" s="222"/>
      <c r="HXJ606" s="222"/>
      <c r="HXK606" s="222"/>
      <c r="HXL606" s="222"/>
      <c r="HXM606" s="222"/>
      <c r="HXN606" s="222"/>
      <c r="HXO606" s="223"/>
      <c r="HXP606" s="224"/>
      <c r="HXQ606" s="222"/>
      <c r="HXR606" s="222"/>
      <c r="HXS606" s="222"/>
      <c r="HXT606" s="222"/>
      <c r="HXU606" s="222"/>
      <c r="HXV606" s="222"/>
      <c r="HXW606" s="223"/>
      <c r="HXX606" s="224"/>
      <c r="HXY606" s="222"/>
      <c r="HXZ606" s="222"/>
      <c r="HYA606" s="222"/>
      <c r="HYB606" s="222"/>
      <c r="HYC606" s="222"/>
      <c r="HYD606" s="222"/>
      <c r="HYE606" s="223"/>
      <c r="HYF606" s="224"/>
      <c r="HYG606" s="222"/>
      <c r="HYH606" s="222"/>
      <c r="HYI606" s="222"/>
      <c r="HYJ606" s="222"/>
      <c r="HYK606" s="222"/>
      <c r="HYL606" s="222"/>
      <c r="HYM606" s="223"/>
      <c r="HYN606" s="224"/>
      <c r="HYO606" s="222"/>
      <c r="HYP606" s="222"/>
      <c r="HYQ606" s="222"/>
      <c r="HYR606" s="222"/>
      <c r="HYS606" s="222"/>
      <c r="HYT606" s="222"/>
      <c r="HYU606" s="223"/>
      <c r="HYV606" s="224"/>
      <c r="HYW606" s="222"/>
      <c r="HYX606" s="222"/>
      <c r="HYY606" s="222"/>
      <c r="HYZ606" s="222"/>
      <c r="HZA606" s="222"/>
      <c r="HZB606" s="222"/>
      <c r="HZC606" s="223"/>
      <c r="HZD606" s="224"/>
      <c r="HZE606" s="222"/>
      <c r="HZF606" s="222"/>
      <c r="HZG606" s="222"/>
      <c r="HZH606" s="222"/>
      <c r="HZI606" s="222"/>
      <c r="HZJ606" s="222"/>
      <c r="HZK606" s="223"/>
      <c r="HZL606" s="224"/>
      <c r="HZM606" s="222"/>
      <c r="HZN606" s="222"/>
      <c r="HZO606" s="222"/>
      <c r="HZP606" s="222"/>
      <c r="HZQ606" s="222"/>
      <c r="HZR606" s="222"/>
      <c r="HZS606" s="223"/>
      <c r="HZT606" s="224"/>
      <c r="HZU606" s="222"/>
      <c r="HZV606" s="222"/>
      <c r="HZW606" s="222"/>
      <c r="HZX606" s="222"/>
      <c r="HZY606" s="222"/>
      <c r="HZZ606" s="222"/>
      <c r="IAA606" s="223"/>
      <c r="IAB606" s="224"/>
      <c r="IAC606" s="222"/>
      <c r="IAD606" s="222"/>
      <c r="IAE606" s="222"/>
      <c r="IAF606" s="222"/>
      <c r="IAG606" s="222"/>
      <c r="IAH606" s="222"/>
      <c r="IAI606" s="223"/>
      <c r="IAJ606" s="224"/>
      <c r="IAK606" s="222"/>
      <c r="IAL606" s="222"/>
      <c r="IAM606" s="222"/>
      <c r="IAN606" s="222"/>
      <c r="IAO606" s="222"/>
      <c r="IAP606" s="222"/>
      <c r="IAQ606" s="223"/>
      <c r="IAR606" s="224"/>
      <c r="IAS606" s="222"/>
      <c r="IAT606" s="222"/>
      <c r="IAU606" s="222"/>
      <c r="IAV606" s="222"/>
      <c r="IAW606" s="222"/>
      <c r="IAX606" s="222"/>
      <c r="IAY606" s="223"/>
      <c r="IAZ606" s="224"/>
      <c r="IBA606" s="222"/>
      <c r="IBB606" s="222"/>
      <c r="IBC606" s="222"/>
      <c r="IBD606" s="222"/>
      <c r="IBE606" s="222"/>
      <c r="IBF606" s="222"/>
      <c r="IBG606" s="223"/>
      <c r="IBH606" s="224"/>
      <c r="IBI606" s="222"/>
      <c r="IBJ606" s="222"/>
      <c r="IBK606" s="222"/>
      <c r="IBL606" s="222"/>
      <c r="IBM606" s="222"/>
      <c r="IBN606" s="222"/>
      <c r="IBO606" s="223"/>
      <c r="IBP606" s="224"/>
      <c r="IBQ606" s="222"/>
      <c r="IBR606" s="222"/>
      <c r="IBS606" s="222"/>
      <c r="IBT606" s="222"/>
      <c r="IBU606" s="222"/>
      <c r="IBV606" s="222"/>
      <c r="IBW606" s="223"/>
      <c r="IBX606" s="224"/>
      <c r="IBY606" s="222"/>
      <c r="IBZ606" s="222"/>
      <c r="ICA606" s="222"/>
      <c r="ICB606" s="222"/>
      <c r="ICC606" s="222"/>
      <c r="ICD606" s="222"/>
      <c r="ICE606" s="223"/>
      <c r="ICF606" s="224"/>
      <c r="ICG606" s="222"/>
      <c r="ICH606" s="222"/>
      <c r="ICI606" s="222"/>
      <c r="ICJ606" s="222"/>
      <c r="ICK606" s="222"/>
      <c r="ICL606" s="222"/>
      <c r="ICM606" s="223"/>
      <c r="ICN606" s="224"/>
      <c r="ICO606" s="222"/>
      <c r="ICP606" s="222"/>
      <c r="ICQ606" s="222"/>
      <c r="ICR606" s="222"/>
      <c r="ICS606" s="222"/>
      <c r="ICT606" s="222"/>
      <c r="ICU606" s="223"/>
      <c r="ICV606" s="224"/>
      <c r="ICW606" s="222"/>
      <c r="ICX606" s="222"/>
      <c r="ICY606" s="222"/>
      <c r="ICZ606" s="222"/>
      <c r="IDA606" s="222"/>
      <c r="IDB606" s="222"/>
      <c r="IDC606" s="223"/>
      <c r="IDD606" s="224"/>
      <c r="IDE606" s="222"/>
      <c r="IDF606" s="222"/>
      <c r="IDG606" s="222"/>
      <c r="IDH606" s="222"/>
      <c r="IDI606" s="222"/>
      <c r="IDJ606" s="222"/>
      <c r="IDK606" s="223"/>
      <c r="IDL606" s="224"/>
      <c r="IDM606" s="222"/>
      <c r="IDN606" s="222"/>
      <c r="IDO606" s="222"/>
      <c r="IDP606" s="222"/>
      <c r="IDQ606" s="222"/>
      <c r="IDR606" s="222"/>
      <c r="IDS606" s="223"/>
      <c r="IDT606" s="224"/>
      <c r="IDU606" s="222"/>
      <c r="IDV606" s="222"/>
      <c r="IDW606" s="222"/>
      <c r="IDX606" s="222"/>
      <c r="IDY606" s="222"/>
      <c r="IDZ606" s="222"/>
      <c r="IEA606" s="223"/>
      <c r="IEB606" s="224"/>
      <c r="IEC606" s="222"/>
      <c r="IED606" s="222"/>
      <c r="IEE606" s="222"/>
      <c r="IEF606" s="222"/>
      <c r="IEG606" s="222"/>
      <c r="IEH606" s="222"/>
      <c r="IEI606" s="223"/>
      <c r="IEJ606" s="224"/>
      <c r="IEK606" s="222"/>
      <c r="IEL606" s="222"/>
      <c r="IEM606" s="222"/>
      <c r="IEN606" s="222"/>
      <c r="IEO606" s="222"/>
      <c r="IEP606" s="222"/>
      <c r="IEQ606" s="223"/>
      <c r="IER606" s="224"/>
      <c r="IES606" s="222"/>
      <c r="IET606" s="222"/>
      <c r="IEU606" s="222"/>
      <c r="IEV606" s="222"/>
      <c r="IEW606" s="222"/>
      <c r="IEX606" s="222"/>
      <c r="IEY606" s="223"/>
      <c r="IEZ606" s="224"/>
      <c r="IFA606" s="222"/>
      <c r="IFB606" s="222"/>
      <c r="IFC606" s="222"/>
      <c r="IFD606" s="222"/>
      <c r="IFE606" s="222"/>
      <c r="IFF606" s="222"/>
      <c r="IFG606" s="223"/>
      <c r="IFH606" s="224"/>
      <c r="IFI606" s="222"/>
      <c r="IFJ606" s="222"/>
      <c r="IFK606" s="222"/>
      <c r="IFL606" s="222"/>
      <c r="IFM606" s="222"/>
      <c r="IFN606" s="222"/>
      <c r="IFO606" s="223"/>
      <c r="IFP606" s="224"/>
      <c r="IFQ606" s="222"/>
      <c r="IFR606" s="222"/>
      <c r="IFS606" s="222"/>
      <c r="IFT606" s="222"/>
      <c r="IFU606" s="222"/>
      <c r="IFV606" s="222"/>
      <c r="IFW606" s="223"/>
      <c r="IFX606" s="224"/>
      <c r="IFY606" s="222"/>
      <c r="IFZ606" s="222"/>
      <c r="IGA606" s="222"/>
      <c r="IGB606" s="222"/>
      <c r="IGC606" s="222"/>
      <c r="IGD606" s="222"/>
      <c r="IGE606" s="223"/>
      <c r="IGF606" s="224"/>
      <c r="IGG606" s="222"/>
      <c r="IGH606" s="222"/>
      <c r="IGI606" s="222"/>
      <c r="IGJ606" s="222"/>
      <c r="IGK606" s="222"/>
      <c r="IGL606" s="222"/>
      <c r="IGM606" s="223"/>
      <c r="IGN606" s="224"/>
      <c r="IGO606" s="222"/>
      <c r="IGP606" s="222"/>
      <c r="IGQ606" s="222"/>
      <c r="IGR606" s="222"/>
      <c r="IGS606" s="222"/>
      <c r="IGT606" s="222"/>
      <c r="IGU606" s="223"/>
      <c r="IGV606" s="224"/>
      <c r="IGW606" s="222"/>
      <c r="IGX606" s="222"/>
      <c r="IGY606" s="222"/>
      <c r="IGZ606" s="222"/>
      <c r="IHA606" s="222"/>
      <c r="IHB606" s="222"/>
      <c r="IHC606" s="223"/>
      <c r="IHD606" s="224"/>
      <c r="IHE606" s="222"/>
      <c r="IHF606" s="222"/>
      <c r="IHG606" s="222"/>
      <c r="IHH606" s="222"/>
      <c r="IHI606" s="222"/>
      <c r="IHJ606" s="222"/>
      <c r="IHK606" s="223"/>
      <c r="IHL606" s="224"/>
      <c r="IHM606" s="222"/>
      <c r="IHN606" s="222"/>
      <c r="IHO606" s="222"/>
      <c r="IHP606" s="222"/>
      <c r="IHQ606" s="222"/>
      <c r="IHR606" s="222"/>
      <c r="IHS606" s="223"/>
      <c r="IHT606" s="224"/>
      <c r="IHU606" s="222"/>
      <c r="IHV606" s="222"/>
      <c r="IHW606" s="222"/>
      <c r="IHX606" s="222"/>
      <c r="IHY606" s="222"/>
      <c r="IHZ606" s="222"/>
      <c r="IIA606" s="223"/>
      <c r="IIB606" s="224"/>
      <c r="IIC606" s="222"/>
      <c r="IID606" s="222"/>
      <c r="IIE606" s="222"/>
      <c r="IIF606" s="222"/>
      <c r="IIG606" s="222"/>
      <c r="IIH606" s="222"/>
      <c r="III606" s="223"/>
      <c r="IIJ606" s="224"/>
      <c r="IIK606" s="222"/>
      <c r="IIL606" s="222"/>
      <c r="IIM606" s="222"/>
      <c r="IIN606" s="222"/>
      <c r="IIO606" s="222"/>
      <c r="IIP606" s="222"/>
      <c r="IIQ606" s="223"/>
      <c r="IIR606" s="224"/>
      <c r="IIS606" s="222"/>
      <c r="IIT606" s="222"/>
      <c r="IIU606" s="222"/>
      <c r="IIV606" s="222"/>
      <c r="IIW606" s="222"/>
      <c r="IIX606" s="222"/>
      <c r="IIY606" s="223"/>
      <c r="IIZ606" s="224"/>
      <c r="IJA606" s="222"/>
      <c r="IJB606" s="222"/>
      <c r="IJC606" s="222"/>
      <c r="IJD606" s="222"/>
      <c r="IJE606" s="222"/>
      <c r="IJF606" s="222"/>
      <c r="IJG606" s="223"/>
      <c r="IJH606" s="224"/>
      <c r="IJI606" s="222"/>
      <c r="IJJ606" s="222"/>
      <c r="IJK606" s="222"/>
      <c r="IJL606" s="222"/>
      <c r="IJM606" s="222"/>
      <c r="IJN606" s="222"/>
      <c r="IJO606" s="223"/>
      <c r="IJP606" s="224"/>
      <c r="IJQ606" s="222"/>
      <c r="IJR606" s="222"/>
      <c r="IJS606" s="222"/>
      <c r="IJT606" s="222"/>
      <c r="IJU606" s="222"/>
      <c r="IJV606" s="222"/>
      <c r="IJW606" s="223"/>
      <c r="IJX606" s="224"/>
      <c r="IJY606" s="222"/>
      <c r="IJZ606" s="222"/>
      <c r="IKA606" s="222"/>
      <c r="IKB606" s="222"/>
      <c r="IKC606" s="222"/>
      <c r="IKD606" s="222"/>
      <c r="IKE606" s="223"/>
      <c r="IKF606" s="224"/>
      <c r="IKG606" s="222"/>
      <c r="IKH606" s="222"/>
      <c r="IKI606" s="222"/>
      <c r="IKJ606" s="222"/>
      <c r="IKK606" s="222"/>
      <c r="IKL606" s="222"/>
      <c r="IKM606" s="223"/>
      <c r="IKN606" s="224"/>
      <c r="IKO606" s="222"/>
      <c r="IKP606" s="222"/>
      <c r="IKQ606" s="222"/>
      <c r="IKR606" s="222"/>
      <c r="IKS606" s="222"/>
      <c r="IKT606" s="222"/>
      <c r="IKU606" s="223"/>
      <c r="IKV606" s="224"/>
      <c r="IKW606" s="222"/>
      <c r="IKX606" s="222"/>
      <c r="IKY606" s="222"/>
      <c r="IKZ606" s="222"/>
      <c r="ILA606" s="222"/>
      <c r="ILB606" s="222"/>
      <c r="ILC606" s="223"/>
      <c r="ILD606" s="224"/>
      <c r="ILE606" s="222"/>
      <c r="ILF606" s="222"/>
      <c r="ILG606" s="222"/>
      <c r="ILH606" s="222"/>
      <c r="ILI606" s="222"/>
      <c r="ILJ606" s="222"/>
      <c r="ILK606" s="223"/>
      <c r="ILL606" s="224"/>
      <c r="ILM606" s="222"/>
      <c r="ILN606" s="222"/>
      <c r="ILO606" s="222"/>
      <c r="ILP606" s="222"/>
      <c r="ILQ606" s="222"/>
      <c r="ILR606" s="222"/>
      <c r="ILS606" s="223"/>
      <c r="ILT606" s="224"/>
      <c r="ILU606" s="222"/>
      <c r="ILV606" s="222"/>
      <c r="ILW606" s="222"/>
      <c r="ILX606" s="222"/>
      <c r="ILY606" s="222"/>
      <c r="ILZ606" s="222"/>
      <c r="IMA606" s="223"/>
      <c r="IMB606" s="224"/>
      <c r="IMC606" s="222"/>
      <c r="IMD606" s="222"/>
      <c r="IME606" s="222"/>
      <c r="IMF606" s="222"/>
      <c r="IMG606" s="222"/>
      <c r="IMH606" s="222"/>
      <c r="IMI606" s="223"/>
      <c r="IMJ606" s="224"/>
      <c r="IMK606" s="222"/>
      <c r="IML606" s="222"/>
      <c r="IMM606" s="222"/>
      <c r="IMN606" s="222"/>
      <c r="IMO606" s="222"/>
      <c r="IMP606" s="222"/>
      <c r="IMQ606" s="223"/>
      <c r="IMR606" s="224"/>
      <c r="IMS606" s="222"/>
      <c r="IMT606" s="222"/>
      <c r="IMU606" s="222"/>
      <c r="IMV606" s="222"/>
      <c r="IMW606" s="222"/>
      <c r="IMX606" s="222"/>
      <c r="IMY606" s="223"/>
      <c r="IMZ606" s="224"/>
      <c r="INA606" s="222"/>
      <c r="INB606" s="222"/>
      <c r="INC606" s="222"/>
      <c r="IND606" s="222"/>
      <c r="INE606" s="222"/>
      <c r="INF606" s="222"/>
      <c r="ING606" s="223"/>
      <c r="INH606" s="224"/>
      <c r="INI606" s="222"/>
      <c r="INJ606" s="222"/>
      <c r="INK606" s="222"/>
      <c r="INL606" s="222"/>
      <c r="INM606" s="222"/>
      <c r="INN606" s="222"/>
      <c r="INO606" s="223"/>
      <c r="INP606" s="224"/>
      <c r="INQ606" s="222"/>
      <c r="INR606" s="222"/>
      <c r="INS606" s="222"/>
      <c r="INT606" s="222"/>
      <c r="INU606" s="222"/>
      <c r="INV606" s="222"/>
      <c r="INW606" s="223"/>
      <c r="INX606" s="224"/>
      <c r="INY606" s="222"/>
      <c r="INZ606" s="222"/>
      <c r="IOA606" s="222"/>
      <c r="IOB606" s="222"/>
      <c r="IOC606" s="222"/>
      <c r="IOD606" s="222"/>
      <c r="IOE606" s="223"/>
      <c r="IOF606" s="224"/>
      <c r="IOG606" s="222"/>
      <c r="IOH606" s="222"/>
      <c r="IOI606" s="222"/>
      <c r="IOJ606" s="222"/>
      <c r="IOK606" s="222"/>
      <c r="IOL606" s="222"/>
      <c r="IOM606" s="223"/>
      <c r="ION606" s="224"/>
      <c r="IOO606" s="222"/>
      <c r="IOP606" s="222"/>
      <c r="IOQ606" s="222"/>
      <c r="IOR606" s="222"/>
      <c r="IOS606" s="222"/>
      <c r="IOT606" s="222"/>
      <c r="IOU606" s="223"/>
      <c r="IOV606" s="224"/>
      <c r="IOW606" s="222"/>
      <c r="IOX606" s="222"/>
      <c r="IOY606" s="222"/>
      <c r="IOZ606" s="222"/>
      <c r="IPA606" s="222"/>
      <c r="IPB606" s="222"/>
      <c r="IPC606" s="223"/>
      <c r="IPD606" s="224"/>
      <c r="IPE606" s="222"/>
      <c r="IPF606" s="222"/>
      <c r="IPG606" s="222"/>
      <c r="IPH606" s="222"/>
      <c r="IPI606" s="222"/>
      <c r="IPJ606" s="222"/>
      <c r="IPK606" s="223"/>
      <c r="IPL606" s="224"/>
      <c r="IPM606" s="222"/>
      <c r="IPN606" s="222"/>
      <c r="IPO606" s="222"/>
      <c r="IPP606" s="222"/>
      <c r="IPQ606" s="222"/>
      <c r="IPR606" s="222"/>
      <c r="IPS606" s="223"/>
      <c r="IPT606" s="224"/>
      <c r="IPU606" s="222"/>
      <c r="IPV606" s="222"/>
      <c r="IPW606" s="222"/>
      <c r="IPX606" s="222"/>
      <c r="IPY606" s="222"/>
      <c r="IPZ606" s="222"/>
      <c r="IQA606" s="223"/>
      <c r="IQB606" s="224"/>
      <c r="IQC606" s="222"/>
      <c r="IQD606" s="222"/>
      <c r="IQE606" s="222"/>
      <c r="IQF606" s="222"/>
      <c r="IQG606" s="222"/>
      <c r="IQH606" s="222"/>
      <c r="IQI606" s="223"/>
      <c r="IQJ606" s="224"/>
      <c r="IQK606" s="222"/>
      <c r="IQL606" s="222"/>
      <c r="IQM606" s="222"/>
      <c r="IQN606" s="222"/>
      <c r="IQO606" s="222"/>
      <c r="IQP606" s="222"/>
      <c r="IQQ606" s="223"/>
      <c r="IQR606" s="224"/>
      <c r="IQS606" s="222"/>
      <c r="IQT606" s="222"/>
      <c r="IQU606" s="222"/>
      <c r="IQV606" s="222"/>
      <c r="IQW606" s="222"/>
      <c r="IQX606" s="222"/>
      <c r="IQY606" s="223"/>
      <c r="IQZ606" s="224"/>
      <c r="IRA606" s="222"/>
      <c r="IRB606" s="222"/>
      <c r="IRC606" s="222"/>
      <c r="IRD606" s="222"/>
      <c r="IRE606" s="222"/>
      <c r="IRF606" s="222"/>
      <c r="IRG606" s="223"/>
      <c r="IRH606" s="224"/>
      <c r="IRI606" s="222"/>
      <c r="IRJ606" s="222"/>
      <c r="IRK606" s="222"/>
      <c r="IRL606" s="222"/>
      <c r="IRM606" s="222"/>
      <c r="IRN606" s="222"/>
      <c r="IRO606" s="223"/>
      <c r="IRP606" s="224"/>
      <c r="IRQ606" s="222"/>
      <c r="IRR606" s="222"/>
      <c r="IRS606" s="222"/>
      <c r="IRT606" s="222"/>
      <c r="IRU606" s="222"/>
      <c r="IRV606" s="222"/>
      <c r="IRW606" s="223"/>
      <c r="IRX606" s="224"/>
      <c r="IRY606" s="222"/>
      <c r="IRZ606" s="222"/>
      <c r="ISA606" s="222"/>
      <c r="ISB606" s="222"/>
      <c r="ISC606" s="222"/>
      <c r="ISD606" s="222"/>
      <c r="ISE606" s="223"/>
      <c r="ISF606" s="224"/>
      <c r="ISG606" s="222"/>
      <c r="ISH606" s="222"/>
      <c r="ISI606" s="222"/>
      <c r="ISJ606" s="222"/>
      <c r="ISK606" s="222"/>
      <c r="ISL606" s="222"/>
      <c r="ISM606" s="223"/>
      <c r="ISN606" s="224"/>
      <c r="ISO606" s="222"/>
      <c r="ISP606" s="222"/>
      <c r="ISQ606" s="222"/>
      <c r="ISR606" s="222"/>
      <c r="ISS606" s="222"/>
      <c r="IST606" s="222"/>
      <c r="ISU606" s="223"/>
      <c r="ISV606" s="224"/>
      <c r="ISW606" s="222"/>
      <c r="ISX606" s="222"/>
      <c r="ISY606" s="222"/>
      <c r="ISZ606" s="222"/>
      <c r="ITA606" s="222"/>
      <c r="ITB606" s="222"/>
      <c r="ITC606" s="223"/>
      <c r="ITD606" s="224"/>
      <c r="ITE606" s="222"/>
      <c r="ITF606" s="222"/>
      <c r="ITG606" s="222"/>
      <c r="ITH606" s="222"/>
      <c r="ITI606" s="222"/>
      <c r="ITJ606" s="222"/>
      <c r="ITK606" s="223"/>
      <c r="ITL606" s="224"/>
      <c r="ITM606" s="222"/>
      <c r="ITN606" s="222"/>
      <c r="ITO606" s="222"/>
      <c r="ITP606" s="222"/>
      <c r="ITQ606" s="222"/>
      <c r="ITR606" s="222"/>
      <c r="ITS606" s="223"/>
      <c r="ITT606" s="224"/>
      <c r="ITU606" s="222"/>
      <c r="ITV606" s="222"/>
      <c r="ITW606" s="222"/>
      <c r="ITX606" s="222"/>
      <c r="ITY606" s="222"/>
      <c r="ITZ606" s="222"/>
      <c r="IUA606" s="223"/>
      <c r="IUB606" s="224"/>
      <c r="IUC606" s="222"/>
      <c r="IUD606" s="222"/>
      <c r="IUE606" s="222"/>
      <c r="IUF606" s="222"/>
      <c r="IUG606" s="222"/>
      <c r="IUH606" s="222"/>
      <c r="IUI606" s="223"/>
      <c r="IUJ606" s="224"/>
      <c r="IUK606" s="222"/>
      <c r="IUL606" s="222"/>
      <c r="IUM606" s="222"/>
      <c r="IUN606" s="222"/>
      <c r="IUO606" s="222"/>
      <c r="IUP606" s="222"/>
      <c r="IUQ606" s="223"/>
      <c r="IUR606" s="224"/>
      <c r="IUS606" s="222"/>
      <c r="IUT606" s="222"/>
      <c r="IUU606" s="222"/>
      <c r="IUV606" s="222"/>
      <c r="IUW606" s="222"/>
      <c r="IUX606" s="222"/>
      <c r="IUY606" s="223"/>
      <c r="IUZ606" s="224"/>
      <c r="IVA606" s="222"/>
      <c r="IVB606" s="222"/>
      <c r="IVC606" s="222"/>
      <c r="IVD606" s="222"/>
      <c r="IVE606" s="222"/>
      <c r="IVF606" s="222"/>
      <c r="IVG606" s="223"/>
      <c r="IVH606" s="224"/>
      <c r="IVI606" s="222"/>
      <c r="IVJ606" s="222"/>
      <c r="IVK606" s="222"/>
      <c r="IVL606" s="222"/>
      <c r="IVM606" s="222"/>
      <c r="IVN606" s="222"/>
      <c r="IVO606" s="223"/>
      <c r="IVP606" s="224"/>
      <c r="IVQ606" s="222"/>
      <c r="IVR606" s="222"/>
      <c r="IVS606" s="222"/>
      <c r="IVT606" s="222"/>
      <c r="IVU606" s="222"/>
      <c r="IVV606" s="222"/>
      <c r="IVW606" s="223"/>
      <c r="IVX606" s="224"/>
      <c r="IVY606" s="222"/>
      <c r="IVZ606" s="222"/>
      <c r="IWA606" s="222"/>
      <c r="IWB606" s="222"/>
      <c r="IWC606" s="222"/>
      <c r="IWD606" s="222"/>
      <c r="IWE606" s="223"/>
      <c r="IWF606" s="224"/>
      <c r="IWG606" s="222"/>
      <c r="IWH606" s="222"/>
      <c r="IWI606" s="222"/>
      <c r="IWJ606" s="222"/>
      <c r="IWK606" s="222"/>
      <c r="IWL606" s="222"/>
      <c r="IWM606" s="223"/>
      <c r="IWN606" s="224"/>
      <c r="IWO606" s="222"/>
      <c r="IWP606" s="222"/>
      <c r="IWQ606" s="222"/>
      <c r="IWR606" s="222"/>
      <c r="IWS606" s="222"/>
      <c r="IWT606" s="222"/>
      <c r="IWU606" s="223"/>
      <c r="IWV606" s="224"/>
      <c r="IWW606" s="222"/>
      <c r="IWX606" s="222"/>
      <c r="IWY606" s="222"/>
      <c r="IWZ606" s="222"/>
      <c r="IXA606" s="222"/>
      <c r="IXB606" s="222"/>
      <c r="IXC606" s="223"/>
      <c r="IXD606" s="224"/>
      <c r="IXE606" s="222"/>
      <c r="IXF606" s="222"/>
      <c r="IXG606" s="222"/>
      <c r="IXH606" s="222"/>
      <c r="IXI606" s="222"/>
      <c r="IXJ606" s="222"/>
      <c r="IXK606" s="223"/>
      <c r="IXL606" s="224"/>
      <c r="IXM606" s="222"/>
      <c r="IXN606" s="222"/>
      <c r="IXO606" s="222"/>
      <c r="IXP606" s="222"/>
      <c r="IXQ606" s="222"/>
      <c r="IXR606" s="222"/>
      <c r="IXS606" s="223"/>
      <c r="IXT606" s="224"/>
      <c r="IXU606" s="222"/>
      <c r="IXV606" s="222"/>
      <c r="IXW606" s="222"/>
      <c r="IXX606" s="222"/>
      <c r="IXY606" s="222"/>
      <c r="IXZ606" s="222"/>
      <c r="IYA606" s="223"/>
      <c r="IYB606" s="224"/>
      <c r="IYC606" s="222"/>
      <c r="IYD606" s="222"/>
      <c r="IYE606" s="222"/>
      <c r="IYF606" s="222"/>
      <c r="IYG606" s="222"/>
      <c r="IYH606" s="222"/>
      <c r="IYI606" s="223"/>
      <c r="IYJ606" s="224"/>
      <c r="IYK606" s="222"/>
      <c r="IYL606" s="222"/>
      <c r="IYM606" s="222"/>
      <c r="IYN606" s="222"/>
      <c r="IYO606" s="222"/>
      <c r="IYP606" s="222"/>
      <c r="IYQ606" s="223"/>
      <c r="IYR606" s="224"/>
      <c r="IYS606" s="222"/>
      <c r="IYT606" s="222"/>
      <c r="IYU606" s="222"/>
      <c r="IYV606" s="222"/>
      <c r="IYW606" s="222"/>
      <c r="IYX606" s="222"/>
      <c r="IYY606" s="223"/>
      <c r="IYZ606" s="224"/>
      <c r="IZA606" s="222"/>
      <c r="IZB606" s="222"/>
      <c r="IZC606" s="222"/>
      <c r="IZD606" s="222"/>
      <c r="IZE606" s="222"/>
      <c r="IZF606" s="222"/>
      <c r="IZG606" s="223"/>
      <c r="IZH606" s="224"/>
      <c r="IZI606" s="222"/>
      <c r="IZJ606" s="222"/>
      <c r="IZK606" s="222"/>
      <c r="IZL606" s="222"/>
      <c r="IZM606" s="222"/>
      <c r="IZN606" s="222"/>
      <c r="IZO606" s="223"/>
      <c r="IZP606" s="224"/>
      <c r="IZQ606" s="222"/>
      <c r="IZR606" s="222"/>
      <c r="IZS606" s="222"/>
      <c r="IZT606" s="222"/>
      <c r="IZU606" s="222"/>
      <c r="IZV606" s="222"/>
      <c r="IZW606" s="223"/>
      <c r="IZX606" s="224"/>
      <c r="IZY606" s="222"/>
      <c r="IZZ606" s="222"/>
      <c r="JAA606" s="222"/>
      <c r="JAB606" s="222"/>
      <c r="JAC606" s="222"/>
      <c r="JAD606" s="222"/>
      <c r="JAE606" s="223"/>
      <c r="JAF606" s="224"/>
      <c r="JAG606" s="222"/>
      <c r="JAH606" s="222"/>
      <c r="JAI606" s="222"/>
      <c r="JAJ606" s="222"/>
      <c r="JAK606" s="222"/>
      <c r="JAL606" s="222"/>
      <c r="JAM606" s="223"/>
      <c r="JAN606" s="224"/>
      <c r="JAO606" s="222"/>
      <c r="JAP606" s="222"/>
      <c r="JAQ606" s="222"/>
      <c r="JAR606" s="222"/>
      <c r="JAS606" s="222"/>
      <c r="JAT606" s="222"/>
      <c r="JAU606" s="223"/>
      <c r="JAV606" s="224"/>
      <c r="JAW606" s="222"/>
      <c r="JAX606" s="222"/>
      <c r="JAY606" s="222"/>
      <c r="JAZ606" s="222"/>
      <c r="JBA606" s="222"/>
      <c r="JBB606" s="222"/>
      <c r="JBC606" s="223"/>
      <c r="JBD606" s="224"/>
      <c r="JBE606" s="222"/>
      <c r="JBF606" s="222"/>
      <c r="JBG606" s="222"/>
      <c r="JBH606" s="222"/>
      <c r="JBI606" s="222"/>
      <c r="JBJ606" s="222"/>
      <c r="JBK606" s="223"/>
      <c r="JBL606" s="224"/>
      <c r="JBM606" s="222"/>
      <c r="JBN606" s="222"/>
      <c r="JBO606" s="222"/>
      <c r="JBP606" s="222"/>
      <c r="JBQ606" s="222"/>
      <c r="JBR606" s="222"/>
      <c r="JBS606" s="223"/>
      <c r="JBT606" s="224"/>
      <c r="JBU606" s="222"/>
      <c r="JBV606" s="222"/>
      <c r="JBW606" s="222"/>
      <c r="JBX606" s="222"/>
      <c r="JBY606" s="222"/>
      <c r="JBZ606" s="222"/>
      <c r="JCA606" s="223"/>
      <c r="JCB606" s="224"/>
      <c r="JCC606" s="222"/>
      <c r="JCD606" s="222"/>
      <c r="JCE606" s="222"/>
      <c r="JCF606" s="222"/>
      <c r="JCG606" s="222"/>
      <c r="JCH606" s="222"/>
      <c r="JCI606" s="223"/>
      <c r="JCJ606" s="224"/>
      <c r="JCK606" s="222"/>
      <c r="JCL606" s="222"/>
      <c r="JCM606" s="222"/>
      <c r="JCN606" s="222"/>
      <c r="JCO606" s="222"/>
      <c r="JCP606" s="222"/>
      <c r="JCQ606" s="223"/>
      <c r="JCR606" s="224"/>
      <c r="JCS606" s="222"/>
      <c r="JCT606" s="222"/>
      <c r="JCU606" s="222"/>
      <c r="JCV606" s="222"/>
      <c r="JCW606" s="222"/>
      <c r="JCX606" s="222"/>
      <c r="JCY606" s="223"/>
      <c r="JCZ606" s="224"/>
      <c r="JDA606" s="222"/>
      <c r="JDB606" s="222"/>
      <c r="JDC606" s="222"/>
      <c r="JDD606" s="222"/>
      <c r="JDE606" s="222"/>
      <c r="JDF606" s="222"/>
      <c r="JDG606" s="223"/>
      <c r="JDH606" s="224"/>
      <c r="JDI606" s="222"/>
      <c r="JDJ606" s="222"/>
      <c r="JDK606" s="222"/>
      <c r="JDL606" s="222"/>
      <c r="JDM606" s="222"/>
      <c r="JDN606" s="222"/>
      <c r="JDO606" s="223"/>
      <c r="JDP606" s="224"/>
      <c r="JDQ606" s="222"/>
      <c r="JDR606" s="222"/>
      <c r="JDS606" s="222"/>
      <c r="JDT606" s="222"/>
      <c r="JDU606" s="222"/>
      <c r="JDV606" s="222"/>
      <c r="JDW606" s="223"/>
      <c r="JDX606" s="224"/>
      <c r="JDY606" s="222"/>
      <c r="JDZ606" s="222"/>
      <c r="JEA606" s="222"/>
      <c r="JEB606" s="222"/>
      <c r="JEC606" s="222"/>
      <c r="JED606" s="222"/>
      <c r="JEE606" s="223"/>
      <c r="JEF606" s="224"/>
      <c r="JEG606" s="222"/>
      <c r="JEH606" s="222"/>
      <c r="JEI606" s="222"/>
      <c r="JEJ606" s="222"/>
      <c r="JEK606" s="222"/>
      <c r="JEL606" s="222"/>
      <c r="JEM606" s="223"/>
      <c r="JEN606" s="224"/>
      <c r="JEO606" s="222"/>
      <c r="JEP606" s="222"/>
      <c r="JEQ606" s="222"/>
      <c r="JER606" s="222"/>
      <c r="JES606" s="222"/>
      <c r="JET606" s="222"/>
      <c r="JEU606" s="223"/>
      <c r="JEV606" s="224"/>
      <c r="JEW606" s="222"/>
      <c r="JEX606" s="222"/>
      <c r="JEY606" s="222"/>
      <c r="JEZ606" s="222"/>
      <c r="JFA606" s="222"/>
      <c r="JFB606" s="222"/>
      <c r="JFC606" s="223"/>
      <c r="JFD606" s="224"/>
      <c r="JFE606" s="222"/>
      <c r="JFF606" s="222"/>
      <c r="JFG606" s="222"/>
      <c r="JFH606" s="222"/>
      <c r="JFI606" s="222"/>
      <c r="JFJ606" s="222"/>
      <c r="JFK606" s="223"/>
      <c r="JFL606" s="224"/>
      <c r="JFM606" s="222"/>
      <c r="JFN606" s="222"/>
      <c r="JFO606" s="222"/>
      <c r="JFP606" s="222"/>
      <c r="JFQ606" s="222"/>
      <c r="JFR606" s="222"/>
      <c r="JFS606" s="223"/>
      <c r="JFT606" s="224"/>
      <c r="JFU606" s="222"/>
      <c r="JFV606" s="222"/>
      <c r="JFW606" s="222"/>
      <c r="JFX606" s="222"/>
      <c r="JFY606" s="222"/>
      <c r="JFZ606" s="222"/>
      <c r="JGA606" s="223"/>
      <c r="JGB606" s="224"/>
      <c r="JGC606" s="222"/>
      <c r="JGD606" s="222"/>
      <c r="JGE606" s="222"/>
      <c r="JGF606" s="222"/>
      <c r="JGG606" s="222"/>
      <c r="JGH606" s="222"/>
      <c r="JGI606" s="223"/>
      <c r="JGJ606" s="224"/>
      <c r="JGK606" s="222"/>
      <c r="JGL606" s="222"/>
      <c r="JGM606" s="222"/>
      <c r="JGN606" s="222"/>
      <c r="JGO606" s="222"/>
      <c r="JGP606" s="222"/>
      <c r="JGQ606" s="223"/>
      <c r="JGR606" s="224"/>
      <c r="JGS606" s="222"/>
      <c r="JGT606" s="222"/>
      <c r="JGU606" s="222"/>
      <c r="JGV606" s="222"/>
      <c r="JGW606" s="222"/>
      <c r="JGX606" s="222"/>
      <c r="JGY606" s="223"/>
      <c r="JGZ606" s="224"/>
      <c r="JHA606" s="222"/>
      <c r="JHB606" s="222"/>
      <c r="JHC606" s="222"/>
      <c r="JHD606" s="222"/>
      <c r="JHE606" s="222"/>
      <c r="JHF606" s="222"/>
      <c r="JHG606" s="223"/>
      <c r="JHH606" s="224"/>
      <c r="JHI606" s="222"/>
      <c r="JHJ606" s="222"/>
      <c r="JHK606" s="222"/>
      <c r="JHL606" s="222"/>
      <c r="JHM606" s="222"/>
      <c r="JHN606" s="222"/>
      <c r="JHO606" s="223"/>
      <c r="JHP606" s="224"/>
      <c r="JHQ606" s="222"/>
      <c r="JHR606" s="222"/>
      <c r="JHS606" s="222"/>
      <c r="JHT606" s="222"/>
      <c r="JHU606" s="222"/>
      <c r="JHV606" s="222"/>
      <c r="JHW606" s="223"/>
      <c r="JHX606" s="224"/>
      <c r="JHY606" s="222"/>
      <c r="JHZ606" s="222"/>
      <c r="JIA606" s="222"/>
      <c r="JIB606" s="222"/>
      <c r="JIC606" s="222"/>
      <c r="JID606" s="222"/>
      <c r="JIE606" s="223"/>
      <c r="JIF606" s="224"/>
      <c r="JIG606" s="222"/>
      <c r="JIH606" s="222"/>
      <c r="JII606" s="222"/>
      <c r="JIJ606" s="222"/>
      <c r="JIK606" s="222"/>
      <c r="JIL606" s="222"/>
      <c r="JIM606" s="223"/>
      <c r="JIN606" s="224"/>
      <c r="JIO606" s="222"/>
      <c r="JIP606" s="222"/>
      <c r="JIQ606" s="222"/>
      <c r="JIR606" s="222"/>
      <c r="JIS606" s="222"/>
      <c r="JIT606" s="222"/>
      <c r="JIU606" s="223"/>
      <c r="JIV606" s="224"/>
      <c r="JIW606" s="222"/>
      <c r="JIX606" s="222"/>
      <c r="JIY606" s="222"/>
      <c r="JIZ606" s="222"/>
      <c r="JJA606" s="222"/>
      <c r="JJB606" s="222"/>
      <c r="JJC606" s="223"/>
      <c r="JJD606" s="224"/>
      <c r="JJE606" s="222"/>
      <c r="JJF606" s="222"/>
      <c r="JJG606" s="222"/>
      <c r="JJH606" s="222"/>
      <c r="JJI606" s="222"/>
      <c r="JJJ606" s="222"/>
      <c r="JJK606" s="223"/>
      <c r="JJL606" s="224"/>
      <c r="JJM606" s="222"/>
      <c r="JJN606" s="222"/>
      <c r="JJO606" s="222"/>
      <c r="JJP606" s="222"/>
      <c r="JJQ606" s="222"/>
      <c r="JJR606" s="222"/>
      <c r="JJS606" s="223"/>
      <c r="JJT606" s="224"/>
      <c r="JJU606" s="222"/>
      <c r="JJV606" s="222"/>
      <c r="JJW606" s="222"/>
      <c r="JJX606" s="222"/>
      <c r="JJY606" s="222"/>
      <c r="JJZ606" s="222"/>
      <c r="JKA606" s="223"/>
      <c r="JKB606" s="224"/>
      <c r="JKC606" s="222"/>
      <c r="JKD606" s="222"/>
      <c r="JKE606" s="222"/>
      <c r="JKF606" s="222"/>
      <c r="JKG606" s="222"/>
      <c r="JKH606" s="222"/>
      <c r="JKI606" s="223"/>
      <c r="JKJ606" s="224"/>
      <c r="JKK606" s="222"/>
      <c r="JKL606" s="222"/>
      <c r="JKM606" s="222"/>
      <c r="JKN606" s="222"/>
      <c r="JKO606" s="222"/>
      <c r="JKP606" s="222"/>
      <c r="JKQ606" s="223"/>
      <c r="JKR606" s="224"/>
      <c r="JKS606" s="222"/>
      <c r="JKT606" s="222"/>
      <c r="JKU606" s="222"/>
      <c r="JKV606" s="222"/>
      <c r="JKW606" s="222"/>
      <c r="JKX606" s="222"/>
      <c r="JKY606" s="223"/>
      <c r="JKZ606" s="224"/>
      <c r="JLA606" s="222"/>
      <c r="JLB606" s="222"/>
      <c r="JLC606" s="222"/>
      <c r="JLD606" s="222"/>
      <c r="JLE606" s="222"/>
      <c r="JLF606" s="222"/>
      <c r="JLG606" s="223"/>
      <c r="JLH606" s="224"/>
      <c r="JLI606" s="222"/>
      <c r="JLJ606" s="222"/>
      <c r="JLK606" s="222"/>
      <c r="JLL606" s="222"/>
      <c r="JLM606" s="222"/>
      <c r="JLN606" s="222"/>
      <c r="JLO606" s="223"/>
      <c r="JLP606" s="224"/>
      <c r="JLQ606" s="222"/>
      <c r="JLR606" s="222"/>
      <c r="JLS606" s="222"/>
      <c r="JLT606" s="222"/>
      <c r="JLU606" s="222"/>
      <c r="JLV606" s="222"/>
      <c r="JLW606" s="223"/>
      <c r="JLX606" s="224"/>
      <c r="JLY606" s="222"/>
      <c r="JLZ606" s="222"/>
      <c r="JMA606" s="222"/>
      <c r="JMB606" s="222"/>
      <c r="JMC606" s="222"/>
      <c r="JMD606" s="222"/>
      <c r="JME606" s="223"/>
      <c r="JMF606" s="224"/>
      <c r="JMG606" s="222"/>
      <c r="JMH606" s="222"/>
      <c r="JMI606" s="222"/>
      <c r="JMJ606" s="222"/>
      <c r="JMK606" s="222"/>
      <c r="JML606" s="222"/>
      <c r="JMM606" s="223"/>
      <c r="JMN606" s="224"/>
      <c r="JMO606" s="222"/>
      <c r="JMP606" s="222"/>
      <c r="JMQ606" s="222"/>
      <c r="JMR606" s="222"/>
      <c r="JMS606" s="222"/>
      <c r="JMT606" s="222"/>
      <c r="JMU606" s="223"/>
      <c r="JMV606" s="224"/>
      <c r="JMW606" s="222"/>
      <c r="JMX606" s="222"/>
      <c r="JMY606" s="222"/>
      <c r="JMZ606" s="222"/>
      <c r="JNA606" s="222"/>
      <c r="JNB606" s="222"/>
      <c r="JNC606" s="223"/>
      <c r="JND606" s="224"/>
      <c r="JNE606" s="222"/>
      <c r="JNF606" s="222"/>
      <c r="JNG606" s="222"/>
      <c r="JNH606" s="222"/>
      <c r="JNI606" s="222"/>
      <c r="JNJ606" s="222"/>
      <c r="JNK606" s="223"/>
      <c r="JNL606" s="224"/>
      <c r="JNM606" s="222"/>
      <c r="JNN606" s="222"/>
      <c r="JNO606" s="222"/>
      <c r="JNP606" s="222"/>
      <c r="JNQ606" s="222"/>
      <c r="JNR606" s="222"/>
      <c r="JNS606" s="223"/>
      <c r="JNT606" s="224"/>
      <c r="JNU606" s="222"/>
      <c r="JNV606" s="222"/>
      <c r="JNW606" s="222"/>
      <c r="JNX606" s="222"/>
      <c r="JNY606" s="222"/>
      <c r="JNZ606" s="222"/>
      <c r="JOA606" s="223"/>
      <c r="JOB606" s="224"/>
      <c r="JOC606" s="222"/>
      <c r="JOD606" s="222"/>
      <c r="JOE606" s="222"/>
      <c r="JOF606" s="222"/>
      <c r="JOG606" s="222"/>
      <c r="JOH606" s="222"/>
      <c r="JOI606" s="223"/>
      <c r="JOJ606" s="224"/>
      <c r="JOK606" s="222"/>
      <c r="JOL606" s="222"/>
      <c r="JOM606" s="222"/>
      <c r="JON606" s="222"/>
      <c r="JOO606" s="222"/>
      <c r="JOP606" s="222"/>
      <c r="JOQ606" s="223"/>
      <c r="JOR606" s="224"/>
      <c r="JOS606" s="222"/>
      <c r="JOT606" s="222"/>
      <c r="JOU606" s="222"/>
      <c r="JOV606" s="222"/>
      <c r="JOW606" s="222"/>
      <c r="JOX606" s="222"/>
      <c r="JOY606" s="223"/>
      <c r="JOZ606" s="224"/>
      <c r="JPA606" s="222"/>
      <c r="JPB606" s="222"/>
      <c r="JPC606" s="222"/>
      <c r="JPD606" s="222"/>
      <c r="JPE606" s="222"/>
      <c r="JPF606" s="222"/>
      <c r="JPG606" s="223"/>
      <c r="JPH606" s="224"/>
      <c r="JPI606" s="222"/>
      <c r="JPJ606" s="222"/>
      <c r="JPK606" s="222"/>
      <c r="JPL606" s="222"/>
      <c r="JPM606" s="222"/>
      <c r="JPN606" s="222"/>
      <c r="JPO606" s="223"/>
      <c r="JPP606" s="224"/>
      <c r="JPQ606" s="222"/>
      <c r="JPR606" s="222"/>
      <c r="JPS606" s="222"/>
      <c r="JPT606" s="222"/>
      <c r="JPU606" s="222"/>
      <c r="JPV606" s="222"/>
      <c r="JPW606" s="223"/>
      <c r="JPX606" s="224"/>
      <c r="JPY606" s="222"/>
      <c r="JPZ606" s="222"/>
      <c r="JQA606" s="222"/>
      <c r="JQB606" s="222"/>
      <c r="JQC606" s="222"/>
      <c r="JQD606" s="222"/>
      <c r="JQE606" s="223"/>
      <c r="JQF606" s="224"/>
      <c r="JQG606" s="222"/>
      <c r="JQH606" s="222"/>
      <c r="JQI606" s="222"/>
      <c r="JQJ606" s="222"/>
      <c r="JQK606" s="222"/>
      <c r="JQL606" s="222"/>
      <c r="JQM606" s="223"/>
      <c r="JQN606" s="224"/>
      <c r="JQO606" s="222"/>
      <c r="JQP606" s="222"/>
      <c r="JQQ606" s="222"/>
      <c r="JQR606" s="222"/>
      <c r="JQS606" s="222"/>
      <c r="JQT606" s="222"/>
      <c r="JQU606" s="223"/>
      <c r="JQV606" s="224"/>
      <c r="JQW606" s="222"/>
      <c r="JQX606" s="222"/>
      <c r="JQY606" s="222"/>
      <c r="JQZ606" s="222"/>
      <c r="JRA606" s="222"/>
      <c r="JRB606" s="222"/>
      <c r="JRC606" s="223"/>
      <c r="JRD606" s="224"/>
      <c r="JRE606" s="222"/>
      <c r="JRF606" s="222"/>
      <c r="JRG606" s="222"/>
      <c r="JRH606" s="222"/>
      <c r="JRI606" s="222"/>
      <c r="JRJ606" s="222"/>
      <c r="JRK606" s="223"/>
      <c r="JRL606" s="224"/>
      <c r="JRM606" s="222"/>
      <c r="JRN606" s="222"/>
      <c r="JRO606" s="222"/>
      <c r="JRP606" s="222"/>
      <c r="JRQ606" s="222"/>
      <c r="JRR606" s="222"/>
      <c r="JRS606" s="223"/>
      <c r="JRT606" s="224"/>
      <c r="JRU606" s="222"/>
      <c r="JRV606" s="222"/>
      <c r="JRW606" s="222"/>
      <c r="JRX606" s="222"/>
      <c r="JRY606" s="222"/>
      <c r="JRZ606" s="222"/>
      <c r="JSA606" s="223"/>
      <c r="JSB606" s="224"/>
      <c r="JSC606" s="222"/>
      <c r="JSD606" s="222"/>
      <c r="JSE606" s="222"/>
      <c r="JSF606" s="222"/>
      <c r="JSG606" s="222"/>
      <c r="JSH606" s="222"/>
      <c r="JSI606" s="223"/>
      <c r="JSJ606" s="224"/>
      <c r="JSK606" s="222"/>
      <c r="JSL606" s="222"/>
      <c r="JSM606" s="222"/>
      <c r="JSN606" s="222"/>
      <c r="JSO606" s="222"/>
      <c r="JSP606" s="222"/>
      <c r="JSQ606" s="223"/>
      <c r="JSR606" s="224"/>
      <c r="JSS606" s="222"/>
      <c r="JST606" s="222"/>
      <c r="JSU606" s="222"/>
      <c r="JSV606" s="222"/>
      <c r="JSW606" s="222"/>
      <c r="JSX606" s="222"/>
      <c r="JSY606" s="223"/>
      <c r="JSZ606" s="224"/>
      <c r="JTA606" s="222"/>
      <c r="JTB606" s="222"/>
      <c r="JTC606" s="222"/>
      <c r="JTD606" s="222"/>
      <c r="JTE606" s="222"/>
      <c r="JTF606" s="222"/>
      <c r="JTG606" s="223"/>
      <c r="JTH606" s="224"/>
      <c r="JTI606" s="222"/>
      <c r="JTJ606" s="222"/>
      <c r="JTK606" s="222"/>
      <c r="JTL606" s="222"/>
      <c r="JTM606" s="222"/>
      <c r="JTN606" s="222"/>
      <c r="JTO606" s="223"/>
      <c r="JTP606" s="224"/>
      <c r="JTQ606" s="222"/>
      <c r="JTR606" s="222"/>
      <c r="JTS606" s="222"/>
      <c r="JTT606" s="222"/>
      <c r="JTU606" s="222"/>
      <c r="JTV606" s="222"/>
      <c r="JTW606" s="223"/>
      <c r="JTX606" s="224"/>
      <c r="JTY606" s="222"/>
      <c r="JTZ606" s="222"/>
      <c r="JUA606" s="222"/>
      <c r="JUB606" s="222"/>
      <c r="JUC606" s="222"/>
      <c r="JUD606" s="222"/>
      <c r="JUE606" s="223"/>
      <c r="JUF606" s="224"/>
      <c r="JUG606" s="222"/>
      <c r="JUH606" s="222"/>
      <c r="JUI606" s="222"/>
      <c r="JUJ606" s="222"/>
      <c r="JUK606" s="222"/>
      <c r="JUL606" s="222"/>
      <c r="JUM606" s="223"/>
      <c r="JUN606" s="224"/>
      <c r="JUO606" s="222"/>
      <c r="JUP606" s="222"/>
      <c r="JUQ606" s="222"/>
      <c r="JUR606" s="222"/>
      <c r="JUS606" s="222"/>
      <c r="JUT606" s="222"/>
      <c r="JUU606" s="223"/>
      <c r="JUV606" s="224"/>
      <c r="JUW606" s="222"/>
      <c r="JUX606" s="222"/>
      <c r="JUY606" s="222"/>
      <c r="JUZ606" s="222"/>
      <c r="JVA606" s="222"/>
      <c r="JVB606" s="222"/>
      <c r="JVC606" s="223"/>
      <c r="JVD606" s="224"/>
      <c r="JVE606" s="222"/>
      <c r="JVF606" s="222"/>
      <c r="JVG606" s="222"/>
      <c r="JVH606" s="222"/>
      <c r="JVI606" s="222"/>
      <c r="JVJ606" s="222"/>
      <c r="JVK606" s="223"/>
      <c r="JVL606" s="224"/>
      <c r="JVM606" s="222"/>
      <c r="JVN606" s="222"/>
      <c r="JVO606" s="222"/>
      <c r="JVP606" s="222"/>
      <c r="JVQ606" s="222"/>
      <c r="JVR606" s="222"/>
      <c r="JVS606" s="223"/>
      <c r="JVT606" s="224"/>
      <c r="JVU606" s="222"/>
      <c r="JVV606" s="222"/>
      <c r="JVW606" s="222"/>
      <c r="JVX606" s="222"/>
      <c r="JVY606" s="222"/>
      <c r="JVZ606" s="222"/>
      <c r="JWA606" s="223"/>
      <c r="JWB606" s="224"/>
      <c r="JWC606" s="222"/>
      <c r="JWD606" s="222"/>
      <c r="JWE606" s="222"/>
      <c r="JWF606" s="222"/>
      <c r="JWG606" s="222"/>
      <c r="JWH606" s="222"/>
      <c r="JWI606" s="223"/>
      <c r="JWJ606" s="224"/>
      <c r="JWK606" s="222"/>
      <c r="JWL606" s="222"/>
      <c r="JWM606" s="222"/>
      <c r="JWN606" s="222"/>
      <c r="JWO606" s="222"/>
      <c r="JWP606" s="222"/>
      <c r="JWQ606" s="223"/>
      <c r="JWR606" s="224"/>
      <c r="JWS606" s="222"/>
      <c r="JWT606" s="222"/>
      <c r="JWU606" s="222"/>
      <c r="JWV606" s="222"/>
      <c r="JWW606" s="222"/>
      <c r="JWX606" s="222"/>
      <c r="JWY606" s="223"/>
      <c r="JWZ606" s="224"/>
      <c r="JXA606" s="222"/>
      <c r="JXB606" s="222"/>
      <c r="JXC606" s="222"/>
      <c r="JXD606" s="222"/>
      <c r="JXE606" s="222"/>
      <c r="JXF606" s="222"/>
      <c r="JXG606" s="223"/>
      <c r="JXH606" s="224"/>
      <c r="JXI606" s="222"/>
      <c r="JXJ606" s="222"/>
      <c r="JXK606" s="222"/>
      <c r="JXL606" s="222"/>
      <c r="JXM606" s="222"/>
      <c r="JXN606" s="222"/>
      <c r="JXO606" s="223"/>
      <c r="JXP606" s="224"/>
      <c r="JXQ606" s="222"/>
      <c r="JXR606" s="222"/>
      <c r="JXS606" s="222"/>
      <c r="JXT606" s="222"/>
      <c r="JXU606" s="222"/>
      <c r="JXV606" s="222"/>
      <c r="JXW606" s="223"/>
      <c r="JXX606" s="224"/>
      <c r="JXY606" s="222"/>
      <c r="JXZ606" s="222"/>
      <c r="JYA606" s="222"/>
      <c r="JYB606" s="222"/>
      <c r="JYC606" s="222"/>
      <c r="JYD606" s="222"/>
      <c r="JYE606" s="223"/>
      <c r="JYF606" s="224"/>
      <c r="JYG606" s="222"/>
      <c r="JYH606" s="222"/>
      <c r="JYI606" s="222"/>
      <c r="JYJ606" s="222"/>
      <c r="JYK606" s="222"/>
      <c r="JYL606" s="222"/>
      <c r="JYM606" s="223"/>
      <c r="JYN606" s="224"/>
      <c r="JYO606" s="222"/>
      <c r="JYP606" s="222"/>
      <c r="JYQ606" s="222"/>
      <c r="JYR606" s="222"/>
      <c r="JYS606" s="222"/>
      <c r="JYT606" s="222"/>
      <c r="JYU606" s="223"/>
      <c r="JYV606" s="224"/>
      <c r="JYW606" s="222"/>
      <c r="JYX606" s="222"/>
      <c r="JYY606" s="222"/>
      <c r="JYZ606" s="222"/>
      <c r="JZA606" s="222"/>
      <c r="JZB606" s="222"/>
      <c r="JZC606" s="223"/>
      <c r="JZD606" s="224"/>
      <c r="JZE606" s="222"/>
      <c r="JZF606" s="222"/>
      <c r="JZG606" s="222"/>
      <c r="JZH606" s="222"/>
      <c r="JZI606" s="222"/>
      <c r="JZJ606" s="222"/>
      <c r="JZK606" s="223"/>
      <c r="JZL606" s="224"/>
      <c r="JZM606" s="222"/>
      <c r="JZN606" s="222"/>
      <c r="JZO606" s="222"/>
      <c r="JZP606" s="222"/>
      <c r="JZQ606" s="222"/>
      <c r="JZR606" s="222"/>
      <c r="JZS606" s="223"/>
      <c r="JZT606" s="224"/>
      <c r="JZU606" s="222"/>
      <c r="JZV606" s="222"/>
      <c r="JZW606" s="222"/>
      <c r="JZX606" s="222"/>
      <c r="JZY606" s="222"/>
      <c r="JZZ606" s="222"/>
      <c r="KAA606" s="223"/>
      <c r="KAB606" s="224"/>
      <c r="KAC606" s="222"/>
      <c r="KAD606" s="222"/>
      <c r="KAE606" s="222"/>
      <c r="KAF606" s="222"/>
      <c r="KAG606" s="222"/>
      <c r="KAH606" s="222"/>
      <c r="KAI606" s="223"/>
      <c r="KAJ606" s="224"/>
      <c r="KAK606" s="222"/>
      <c r="KAL606" s="222"/>
      <c r="KAM606" s="222"/>
      <c r="KAN606" s="222"/>
      <c r="KAO606" s="222"/>
      <c r="KAP606" s="222"/>
      <c r="KAQ606" s="223"/>
      <c r="KAR606" s="224"/>
      <c r="KAS606" s="222"/>
      <c r="KAT606" s="222"/>
      <c r="KAU606" s="222"/>
      <c r="KAV606" s="222"/>
      <c r="KAW606" s="222"/>
      <c r="KAX606" s="222"/>
      <c r="KAY606" s="223"/>
      <c r="KAZ606" s="224"/>
      <c r="KBA606" s="222"/>
      <c r="KBB606" s="222"/>
      <c r="KBC606" s="222"/>
      <c r="KBD606" s="222"/>
      <c r="KBE606" s="222"/>
      <c r="KBF606" s="222"/>
      <c r="KBG606" s="223"/>
      <c r="KBH606" s="224"/>
      <c r="KBI606" s="222"/>
      <c r="KBJ606" s="222"/>
      <c r="KBK606" s="222"/>
      <c r="KBL606" s="222"/>
      <c r="KBM606" s="222"/>
      <c r="KBN606" s="222"/>
      <c r="KBO606" s="223"/>
      <c r="KBP606" s="224"/>
      <c r="KBQ606" s="222"/>
      <c r="KBR606" s="222"/>
      <c r="KBS606" s="222"/>
      <c r="KBT606" s="222"/>
      <c r="KBU606" s="222"/>
      <c r="KBV606" s="222"/>
      <c r="KBW606" s="223"/>
      <c r="KBX606" s="224"/>
      <c r="KBY606" s="222"/>
      <c r="KBZ606" s="222"/>
      <c r="KCA606" s="222"/>
      <c r="KCB606" s="222"/>
      <c r="KCC606" s="222"/>
      <c r="KCD606" s="222"/>
      <c r="KCE606" s="223"/>
      <c r="KCF606" s="224"/>
      <c r="KCG606" s="222"/>
      <c r="KCH606" s="222"/>
      <c r="KCI606" s="222"/>
      <c r="KCJ606" s="222"/>
      <c r="KCK606" s="222"/>
      <c r="KCL606" s="222"/>
      <c r="KCM606" s="223"/>
      <c r="KCN606" s="224"/>
      <c r="KCO606" s="222"/>
      <c r="KCP606" s="222"/>
      <c r="KCQ606" s="222"/>
      <c r="KCR606" s="222"/>
      <c r="KCS606" s="222"/>
      <c r="KCT606" s="222"/>
      <c r="KCU606" s="223"/>
      <c r="KCV606" s="224"/>
      <c r="KCW606" s="222"/>
      <c r="KCX606" s="222"/>
      <c r="KCY606" s="222"/>
      <c r="KCZ606" s="222"/>
      <c r="KDA606" s="222"/>
      <c r="KDB606" s="222"/>
      <c r="KDC606" s="223"/>
      <c r="KDD606" s="224"/>
      <c r="KDE606" s="222"/>
      <c r="KDF606" s="222"/>
      <c r="KDG606" s="222"/>
      <c r="KDH606" s="222"/>
      <c r="KDI606" s="222"/>
      <c r="KDJ606" s="222"/>
      <c r="KDK606" s="223"/>
      <c r="KDL606" s="224"/>
      <c r="KDM606" s="222"/>
      <c r="KDN606" s="222"/>
      <c r="KDO606" s="222"/>
      <c r="KDP606" s="222"/>
      <c r="KDQ606" s="222"/>
      <c r="KDR606" s="222"/>
      <c r="KDS606" s="223"/>
      <c r="KDT606" s="224"/>
      <c r="KDU606" s="222"/>
      <c r="KDV606" s="222"/>
      <c r="KDW606" s="222"/>
      <c r="KDX606" s="222"/>
      <c r="KDY606" s="222"/>
      <c r="KDZ606" s="222"/>
      <c r="KEA606" s="223"/>
      <c r="KEB606" s="224"/>
      <c r="KEC606" s="222"/>
      <c r="KED606" s="222"/>
      <c r="KEE606" s="222"/>
      <c r="KEF606" s="222"/>
      <c r="KEG606" s="222"/>
      <c r="KEH606" s="222"/>
      <c r="KEI606" s="223"/>
      <c r="KEJ606" s="224"/>
      <c r="KEK606" s="222"/>
      <c r="KEL606" s="222"/>
      <c r="KEM606" s="222"/>
      <c r="KEN606" s="222"/>
      <c r="KEO606" s="222"/>
      <c r="KEP606" s="222"/>
      <c r="KEQ606" s="223"/>
      <c r="KER606" s="224"/>
      <c r="KES606" s="222"/>
      <c r="KET606" s="222"/>
      <c r="KEU606" s="222"/>
      <c r="KEV606" s="222"/>
      <c r="KEW606" s="222"/>
      <c r="KEX606" s="222"/>
      <c r="KEY606" s="223"/>
      <c r="KEZ606" s="224"/>
      <c r="KFA606" s="222"/>
      <c r="KFB606" s="222"/>
      <c r="KFC606" s="222"/>
      <c r="KFD606" s="222"/>
      <c r="KFE606" s="222"/>
      <c r="KFF606" s="222"/>
      <c r="KFG606" s="223"/>
      <c r="KFH606" s="224"/>
      <c r="KFI606" s="222"/>
      <c r="KFJ606" s="222"/>
      <c r="KFK606" s="222"/>
      <c r="KFL606" s="222"/>
      <c r="KFM606" s="222"/>
      <c r="KFN606" s="222"/>
      <c r="KFO606" s="223"/>
      <c r="KFP606" s="224"/>
      <c r="KFQ606" s="222"/>
      <c r="KFR606" s="222"/>
      <c r="KFS606" s="222"/>
      <c r="KFT606" s="222"/>
      <c r="KFU606" s="222"/>
      <c r="KFV606" s="222"/>
      <c r="KFW606" s="223"/>
      <c r="KFX606" s="224"/>
      <c r="KFY606" s="222"/>
      <c r="KFZ606" s="222"/>
      <c r="KGA606" s="222"/>
      <c r="KGB606" s="222"/>
      <c r="KGC606" s="222"/>
      <c r="KGD606" s="222"/>
      <c r="KGE606" s="223"/>
      <c r="KGF606" s="224"/>
      <c r="KGG606" s="222"/>
      <c r="KGH606" s="222"/>
      <c r="KGI606" s="222"/>
      <c r="KGJ606" s="222"/>
      <c r="KGK606" s="222"/>
      <c r="KGL606" s="222"/>
      <c r="KGM606" s="223"/>
      <c r="KGN606" s="224"/>
      <c r="KGO606" s="222"/>
      <c r="KGP606" s="222"/>
      <c r="KGQ606" s="222"/>
      <c r="KGR606" s="222"/>
      <c r="KGS606" s="222"/>
      <c r="KGT606" s="222"/>
      <c r="KGU606" s="223"/>
      <c r="KGV606" s="224"/>
      <c r="KGW606" s="222"/>
      <c r="KGX606" s="222"/>
      <c r="KGY606" s="222"/>
      <c r="KGZ606" s="222"/>
      <c r="KHA606" s="222"/>
      <c r="KHB606" s="222"/>
      <c r="KHC606" s="223"/>
      <c r="KHD606" s="224"/>
      <c r="KHE606" s="222"/>
      <c r="KHF606" s="222"/>
      <c r="KHG606" s="222"/>
      <c r="KHH606" s="222"/>
      <c r="KHI606" s="222"/>
      <c r="KHJ606" s="222"/>
      <c r="KHK606" s="223"/>
      <c r="KHL606" s="224"/>
      <c r="KHM606" s="222"/>
      <c r="KHN606" s="222"/>
      <c r="KHO606" s="222"/>
      <c r="KHP606" s="222"/>
      <c r="KHQ606" s="222"/>
      <c r="KHR606" s="222"/>
      <c r="KHS606" s="223"/>
      <c r="KHT606" s="224"/>
      <c r="KHU606" s="222"/>
      <c r="KHV606" s="222"/>
      <c r="KHW606" s="222"/>
      <c r="KHX606" s="222"/>
      <c r="KHY606" s="222"/>
      <c r="KHZ606" s="222"/>
      <c r="KIA606" s="223"/>
      <c r="KIB606" s="224"/>
      <c r="KIC606" s="222"/>
      <c r="KID606" s="222"/>
      <c r="KIE606" s="222"/>
      <c r="KIF606" s="222"/>
      <c r="KIG606" s="222"/>
      <c r="KIH606" s="222"/>
      <c r="KII606" s="223"/>
      <c r="KIJ606" s="224"/>
      <c r="KIK606" s="222"/>
      <c r="KIL606" s="222"/>
      <c r="KIM606" s="222"/>
      <c r="KIN606" s="222"/>
      <c r="KIO606" s="222"/>
      <c r="KIP606" s="222"/>
      <c r="KIQ606" s="223"/>
      <c r="KIR606" s="224"/>
      <c r="KIS606" s="222"/>
      <c r="KIT606" s="222"/>
      <c r="KIU606" s="222"/>
      <c r="KIV606" s="222"/>
      <c r="KIW606" s="222"/>
      <c r="KIX606" s="222"/>
      <c r="KIY606" s="223"/>
      <c r="KIZ606" s="224"/>
      <c r="KJA606" s="222"/>
      <c r="KJB606" s="222"/>
      <c r="KJC606" s="222"/>
      <c r="KJD606" s="222"/>
      <c r="KJE606" s="222"/>
      <c r="KJF606" s="222"/>
      <c r="KJG606" s="223"/>
      <c r="KJH606" s="224"/>
      <c r="KJI606" s="222"/>
      <c r="KJJ606" s="222"/>
      <c r="KJK606" s="222"/>
      <c r="KJL606" s="222"/>
      <c r="KJM606" s="222"/>
      <c r="KJN606" s="222"/>
      <c r="KJO606" s="223"/>
      <c r="KJP606" s="224"/>
      <c r="KJQ606" s="222"/>
      <c r="KJR606" s="222"/>
      <c r="KJS606" s="222"/>
      <c r="KJT606" s="222"/>
      <c r="KJU606" s="222"/>
      <c r="KJV606" s="222"/>
      <c r="KJW606" s="223"/>
      <c r="KJX606" s="224"/>
      <c r="KJY606" s="222"/>
      <c r="KJZ606" s="222"/>
      <c r="KKA606" s="222"/>
      <c r="KKB606" s="222"/>
      <c r="KKC606" s="222"/>
      <c r="KKD606" s="222"/>
      <c r="KKE606" s="223"/>
      <c r="KKF606" s="224"/>
      <c r="KKG606" s="222"/>
      <c r="KKH606" s="222"/>
      <c r="KKI606" s="222"/>
      <c r="KKJ606" s="222"/>
      <c r="KKK606" s="222"/>
      <c r="KKL606" s="222"/>
      <c r="KKM606" s="223"/>
      <c r="KKN606" s="224"/>
      <c r="KKO606" s="222"/>
      <c r="KKP606" s="222"/>
      <c r="KKQ606" s="222"/>
      <c r="KKR606" s="222"/>
      <c r="KKS606" s="222"/>
      <c r="KKT606" s="222"/>
      <c r="KKU606" s="223"/>
      <c r="KKV606" s="224"/>
      <c r="KKW606" s="222"/>
      <c r="KKX606" s="222"/>
      <c r="KKY606" s="222"/>
      <c r="KKZ606" s="222"/>
      <c r="KLA606" s="222"/>
      <c r="KLB606" s="222"/>
      <c r="KLC606" s="223"/>
      <c r="KLD606" s="224"/>
      <c r="KLE606" s="222"/>
      <c r="KLF606" s="222"/>
      <c r="KLG606" s="222"/>
      <c r="KLH606" s="222"/>
      <c r="KLI606" s="222"/>
      <c r="KLJ606" s="222"/>
      <c r="KLK606" s="223"/>
      <c r="KLL606" s="224"/>
      <c r="KLM606" s="222"/>
      <c r="KLN606" s="222"/>
      <c r="KLO606" s="222"/>
      <c r="KLP606" s="222"/>
      <c r="KLQ606" s="222"/>
      <c r="KLR606" s="222"/>
      <c r="KLS606" s="223"/>
      <c r="KLT606" s="224"/>
      <c r="KLU606" s="222"/>
      <c r="KLV606" s="222"/>
      <c r="KLW606" s="222"/>
      <c r="KLX606" s="222"/>
      <c r="KLY606" s="222"/>
      <c r="KLZ606" s="222"/>
      <c r="KMA606" s="223"/>
      <c r="KMB606" s="224"/>
      <c r="KMC606" s="222"/>
      <c r="KMD606" s="222"/>
      <c r="KME606" s="222"/>
      <c r="KMF606" s="222"/>
      <c r="KMG606" s="222"/>
      <c r="KMH606" s="222"/>
      <c r="KMI606" s="223"/>
      <c r="KMJ606" s="224"/>
      <c r="KMK606" s="222"/>
      <c r="KML606" s="222"/>
      <c r="KMM606" s="222"/>
      <c r="KMN606" s="222"/>
      <c r="KMO606" s="222"/>
      <c r="KMP606" s="222"/>
      <c r="KMQ606" s="223"/>
      <c r="KMR606" s="224"/>
      <c r="KMS606" s="222"/>
      <c r="KMT606" s="222"/>
      <c r="KMU606" s="222"/>
      <c r="KMV606" s="222"/>
      <c r="KMW606" s="222"/>
      <c r="KMX606" s="222"/>
      <c r="KMY606" s="223"/>
      <c r="KMZ606" s="224"/>
      <c r="KNA606" s="222"/>
      <c r="KNB606" s="222"/>
      <c r="KNC606" s="222"/>
      <c r="KND606" s="222"/>
      <c r="KNE606" s="222"/>
      <c r="KNF606" s="222"/>
      <c r="KNG606" s="223"/>
      <c r="KNH606" s="224"/>
      <c r="KNI606" s="222"/>
      <c r="KNJ606" s="222"/>
      <c r="KNK606" s="222"/>
      <c r="KNL606" s="222"/>
      <c r="KNM606" s="222"/>
      <c r="KNN606" s="222"/>
      <c r="KNO606" s="223"/>
      <c r="KNP606" s="224"/>
      <c r="KNQ606" s="222"/>
      <c r="KNR606" s="222"/>
      <c r="KNS606" s="222"/>
      <c r="KNT606" s="222"/>
      <c r="KNU606" s="222"/>
      <c r="KNV606" s="222"/>
      <c r="KNW606" s="223"/>
      <c r="KNX606" s="224"/>
      <c r="KNY606" s="222"/>
      <c r="KNZ606" s="222"/>
      <c r="KOA606" s="222"/>
      <c r="KOB606" s="222"/>
      <c r="KOC606" s="222"/>
      <c r="KOD606" s="222"/>
      <c r="KOE606" s="223"/>
      <c r="KOF606" s="224"/>
      <c r="KOG606" s="222"/>
      <c r="KOH606" s="222"/>
      <c r="KOI606" s="222"/>
      <c r="KOJ606" s="222"/>
      <c r="KOK606" s="222"/>
      <c r="KOL606" s="222"/>
      <c r="KOM606" s="223"/>
      <c r="KON606" s="224"/>
      <c r="KOO606" s="222"/>
      <c r="KOP606" s="222"/>
      <c r="KOQ606" s="222"/>
      <c r="KOR606" s="222"/>
      <c r="KOS606" s="222"/>
      <c r="KOT606" s="222"/>
      <c r="KOU606" s="223"/>
      <c r="KOV606" s="224"/>
      <c r="KOW606" s="222"/>
      <c r="KOX606" s="222"/>
      <c r="KOY606" s="222"/>
      <c r="KOZ606" s="222"/>
      <c r="KPA606" s="222"/>
      <c r="KPB606" s="222"/>
      <c r="KPC606" s="223"/>
      <c r="KPD606" s="224"/>
      <c r="KPE606" s="222"/>
      <c r="KPF606" s="222"/>
      <c r="KPG606" s="222"/>
      <c r="KPH606" s="222"/>
      <c r="KPI606" s="222"/>
      <c r="KPJ606" s="222"/>
      <c r="KPK606" s="223"/>
      <c r="KPL606" s="224"/>
      <c r="KPM606" s="222"/>
      <c r="KPN606" s="222"/>
      <c r="KPO606" s="222"/>
      <c r="KPP606" s="222"/>
      <c r="KPQ606" s="222"/>
      <c r="KPR606" s="222"/>
      <c r="KPS606" s="223"/>
      <c r="KPT606" s="224"/>
      <c r="KPU606" s="222"/>
      <c r="KPV606" s="222"/>
      <c r="KPW606" s="222"/>
      <c r="KPX606" s="222"/>
      <c r="KPY606" s="222"/>
      <c r="KPZ606" s="222"/>
      <c r="KQA606" s="223"/>
      <c r="KQB606" s="224"/>
      <c r="KQC606" s="222"/>
      <c r="KQD606" s="222"/>
      <c r="KQE606" s="222"/>
      <c r="KQF606" s="222"/>
      <c r="KQG606" s="222"/>
      <c r="KQH606" s="222"/>
      <c r="KQI606" s="223"/>
      <c r="KQJ606" s="224"/>
      <c r="KQK606" s="222"/>
      <c r="KQL606" s="222"/>
      <c r="KQM606" s="222"/>
      <c r="KQN606" s="222"/>
      <c r="KQO606" s="222"/>
      <c r="KQP606" s="222"/>
      <c r="KQQ606" s="223"/>
      <c r="KQR606" s="224"/>
      <c r="KQS606" s="222"/>
      <c r="KQT606" s="222"/>
      <c r="KQU606" s="222"/>
      <c r="KQV606" s="222"/>
      <c r="KQW606" s="222"/>
      <c r="KQX606" s="222"/>
      <c r="KQY606" s="223"/>
      <c r="KQZ606" s="224"/>
      <c r="KRA606" s="222"/>
      <c r="KRB606" s="222"/>
      <c r="KRC606" s="222"/>
      <c r="KRD606" s="222"/>
      <c r="KRE606" s="222"/>
      <c r="KRF606" s="222"/>
      <c r="KRG606" s="223"/>
      <c r="KRH606" s="224"/>
      <c r="KRI606" s="222"/>
      <c r="KRJ606" s="222"/>
      <c r="KRK606" s="222"/>
      <c r="KRL606" s="222"/>
      <c r="KRM606" s="222"/>
      <c r="KRN606" s="222"/>
      <c r="KRO606" s="223"/>
      <c r="KRP606" s="224"/>
      <c r="KRQ606" s="222"/>
      <c r="KRR606" s="222"/>
      <c r="KRS606" s="222"/>
      <c r="KRT606" s="222"/>
      <c r="KRU606" s="222"/>
      <c r="KRV606" s="222"/>
      <c r="KRW606" s="223"/>
      <c r="KRX606" s="224"/>
      <c r="KRY606" s="222"/>
      <c r="KRZ606" s="222"/>
      <c r="KSA606" s="222"/>
      <c r="KSB606" s="222"/>
      <c r="KSC606" s="222"/>
      <c r="KSD606" s="222"/>
      <c r="KSE606" s="223"/>
      <c r="KSF606" s="224"/>
      <c r="KSG606" s="222"/>
      <c r="KSH606" s="222"/>
      <c r="KSI606" s="222"/>
      <c r="KSJ606" s="222"/>
      <c r="KSK606" s="222"/>
      <c r="KSL606" s="222"/>
      <c r="KSM606" s="223"/>
      <c r="KSN606" s="224"/>
      <c r="KSO606" s="222"/>
      <c r="KSP606" s="222"/>
      <c r="KSQ606" s="222"/>
      <c r="KSR606" s="222"/>
      <c r="KSS606" s="222"/>
      <c r="KST606" s="222"/>
      <c r="KSU606" s="223"/>
      <c r="KSV606" s="224"/>
      <c r="KSW606" s="222"/>
      <c r="KSX606" s="222"/>
      <c r="KSY606" s="222"/>
      <c r="KSZ606" s="222"/>
      <c r="KTA606" s="222"/>
      <c r="KTB606" s="222"/>
      <c r="KTC606" s="223"/>
      <c r="KTD606" s="224"/>
      <c r="KTE606" s="222"/>
      <c r="KTF606" s="222"/>
      <c r="KTG606" s="222"/>
      <c r="KTH606" s="222"/>
      <c r="KTI606" s="222"/>
      <c r="KTJ606" s="222"/>
      <c r="KTK606" s="223"/>
      <c r="KTL606" s="224"/>
      <c r="KTM606" s="222"/>
      <c r="KTN606" s="222"/>
      <c r="KTO606" s="222"/>
      <c r="KTP606" s="222"/>
      <c r="KTQ606" s="222"/>
      <c r="KTR606" s="222"/>
      <c r="KTS606" s="223"/>
      <c r="KTT606" s="224"/>
      <c r="KTU606" s="222"/>
      <c r="KTV606" s="222"/>
      <c r="KTW606" s="222"/>
      <c r="KTX606" s="222"/>
      <c r="KTY606" s="222"/>
      <c r="KTZ606" s="222"/>
      <c r="KUA606" s="223"/>
      <c r="KUB606" s="224"/>
      <c r="KUC606" s="222"/>
      <c r="KUD606" s="222"/>
      <c r="KUE606" s="222"/>
      <c r="KUF606" s="222"/>
      <c r="KUG606" s="222"/>
      <c r="KUH606" s="222"/>
      <c r="KUI606" s="223"/>
      <c r="KUJ606" s="224"/>
      <c r="KUK606" s="222"/>
      <c r="KUL606" s="222"/>
      <c r="KUM606" s="222"/>
      <c r="KUN606" s="222"/>
      <c r="KUO606" s="222"/>
      <c r="KUP606" s="222"/>
      <c r="KUQ606" s="223"/>
      <c r="KUR606" s="224"/>
      <c r="KUS606" s="222"/>
      <c r="KUT606" s="222"/>
      <c r="KUU606" s="222"/>
      <c r="KUV606" s="222"/>
      <c r="KUW606" s="222"/>
      <c r="KUX606" s="222"/>
      <c r="KUY606" s="223"/>
      <c r="KUZ606" s="224"/>
      <c r="KVA606" s="222"/>
      <c r="KVB606" s="222"/>
      <c r="KVC606" s="222"/>
      <c r="KVD606" s="222"/>
      <c r="KVE606" s="222"/>
      <c r="KVF606" s="222"/>
      <c r="KVG606" s="223"/>
      <c r="KVH606" s="224"/>
      <c r="KVI606" s="222"/>
      <c r="KVJ606" s="222"/>
      <c r="KVK606" s="222"/>
      <c r="KVL606" s="222"/>
      <c r="KVM606" s="222"/>
      <c r="KVN606" s="222"/>
      <c r="KVO606" s="223"/>
      <c r="KVP606" s="224"/>
      <c r="KVQ606" s="222"/>
      <c r="KVR606" s="222"/>
      <c r="KVS606" s="222"/>
      <c r="KVT606" s="222"/>
      <c r="KVU606" s="222"/>
      <c r="KVV606" s="222"/>
      <c r="KVW606" s="223"/>
      <c r="KVX606" s="224"/>
      <c r="KVY606" s="222"/>
      <c r="KVZ606" s="222"/>
      <c r="KWA606" s="222"/>
      <c r="KWB606" s="222"/>
      <c r="KWC606" s="222"/>
      <c r="KWD606" s="222"/>
      <c r="KWE606" s="223"/>
      <c r="KWF606" s="224"/>
      <c r="KWG606" s="222"/>
      <c r="KWH606" s="222"/>
      <c r="KWI606" s="222"/>
      <c r="KWJ606" s="222"/>
      <c r="KWK606" s="222"/>
      <c r="KWL606" s="222"/>
      <c r="KWM606" s="223"/>
      <c r="KWN606" s="224"/>
      <c r="KWO606" s="222"/>
      <c r="KWP606" s="222"/>
      <c r="KWQ606" s="222"/>
      <c r="KWR606" s="222"/>
      <c r="KWS606" s="222"/>
      <c r="KWT606" s="222"/>
      <c r="KWU606" s="223"/>
      <c r="KWV606" s="224"/>
      <c r="KWW606" s="222"/>
      <c r="KWX606" s="222"/>
      <c r="KWY606" s="222"/>
      <c r="KWZ606" s="222"/>
      <c r="KXA606" s="222"/>
      <c r="KXB606" s="222"/>
      <c r="KXC606" s="223"/>
      <c r="KXD606" s="224"/>
      <c r="KXE606" s="222"/>
      <c r="KXF606" s="222"/>
      <c r="KXG606" s="222"/>
      <c r="KXH606" s="222"/>
      <c r="KXI606" s="222"/>
      <c r="KXJ606" s="222"/>
      <c r="KXK606" s="223"/>
      <c r="KXL606" s="224"/>
      <c r="KXM606" s="222"/>
      <c r="KXN606" s="222"/>
      <c r="KXO606" s="222"/>
      <c r="KXP606" s="222"/>
      <c r="KXQ606" s="222"/>
      <c r="KXR606" s="222"/>
      <c r="KXS606" s="223"/>
      <c r="KXT606" s="224"/>
      <c r="KXU606" s="222"/>
      <c r="KXV606" s="222"/>
      <c r="KXW606" s="222"/>
      <c r="KXX606" s="222"/>
      <c r="KXY606" s="222"/>
      <c r="KXZ606" s="222"/>
      <c r="KYA606" s="223"/>
      <c r="KYB606" s="224"/>
      <c r="KYC606" s="222"/>
      <c r="KYD606" s="222"/>
      <c r="KYE606" s="222"/>
      <c r="KYF606" s="222"/>
      <c r="KYG606" s="222"/>
      <c r="KYH606" s="222"/>
      <c r="KYI606" s="223"/>
      <c r="KYJ606" s="224"/>
      <c r="KYK606" s="222"/>
      <c r="KYL606" s="222"/>
      <c r="KYM606" s="222"/>
      <c r="KYN606" s="222"/>
      <c r="KYO606" s="222"/>
      <c r="KYP606" s="222"/>
      <c r="KYQ606" s="223"/>
      <c r="KYR606" s="224"/>
      <c r="KYS606" s="222"/>
      <c r="KYT606" s="222"/>
      <c r="KYU606" s="222"/>
      <c r="KYV606" s="222"/>
      <c r="KYW606" s="222"/>
      <c r="KYX606" s="222"/>
      <c r="KYY606" s="223"/>
      <c r="KYZ606" s="224"/>
      <c r="KZA606" s="222"/>
      <c r="KZB606" s="222"/>
      <c r="KZC606" s="222"/>
      <c r="KZD606" s="222"/>
      <c r="KZE606" s="222"/>
      <c r="KZF606" s="222"/>
      <c r="KZG606" s="223"/>
      <c r="KZH606" s="224"/>
      <c r="KZI606" s="222"/>
      <c r="KZJ606" s="222"/>
      <c r="KZK606" s="222"/>
      <c r="KZL606" s="222"/>
      <c r="KZM606" s="222"/>
      <c r="KZN606" s="222"/>
      <c r="KZO606" s="223"/>
      <c r="KZP606" s="224"/>
      <c r="KZQ606" s="222"/>
      <c r="KZR606" s="222"/>
      <c r="KZS606" s="222"/>
      <c r="KZT606" s="222"/>
      <c r="KZU606" s="222"/>
      <c r="KZV606" s="222"/>
      <c r="KZW606" s="223"/>
      <c r="KZX606" s="224"/>
      <c r="KZY606" s="222"/>
      <c r="KZZ606" s="222"/>
      <c r="LAA606" s="222"/>
      <c r="LAB606" s="222"/>
      <c r="LAC606" s="222"/>
      <c r="LAD606" s="222"/>
      <c r="LAE606" s="223"/>
      <c r="LAF606" s="224"/>
      <c r="LAG606" s="222"/>
      <c r="LAH606" s="222"/>
      <c r="LAI606" s="222"/>
      <c r="LAJ606" s="222"/>
      <c r="LAK606" s="222"/>
      <c r="LAL606" s="222"/>
      <c r="LAM606" s="223"/>
      <c r="LAN606" s="224"/>
      <c r="LAO606" s="222"/>
      <c r="LAP606" s="222"/>
      <c r="LAQ606" s="222"/>
      <c r="LAR606" s="222"/>
      <c r="LAS606" s="222"/>
      <c r="LAT606" s="222"/>
      <c r="LAU606" s="223"/>
      <c r="LAV606" s="224"/>
      <c r="LAW606" s="222"/>
      <c r="LAX606" s="222"/>
      <c r="LAY606" s="222"/>
      <c r="LAZ606" s="222"/>
      <c r="LBA606" s="222"/>
      <c r="LBB606" s="222"/>
      <c r="LBC606" s="223"/>
      <c r="LBD606" s="224"/>
      <c r="LBE606" s="222"/>
      <c r="LBF606" s="222"/>
      <c r="LBG606" s="222"/>
      <c r="LBH606" s="222"/>
      <c r="LBI606" s="222"/>
      <c r="LBJ606" s="222"/>
      <c r="LBK606" s="223"/>
      <c r="LBL606" s="224"/>
      <c r="LBM606" s="222"/>
      <c r="LBN606" s="222"/>
      <c r="LBO606" s="222"/>
      <c r="LBP606" s="222"/>
      <c r="LBQ606" s="222"/>
      <c r="LBR606" s="222"/>
      <c r="LBS606" s="223"/>
      <c r="LBT606" s="224"/>
      <c r="LBU606" s="222"/>
      <c r="LBV606" s="222"/>
      <c r="LBW606" s="222"/>
      <c r="LBX606" s="222"/>
      <c r="LBY606" s="222"/>
      <c r="LBZ606" s="222"/>
      <c r="LCA606" s="223"/>
      <c r="LCB606" s="224"/>
      <c r="LCC606" s="222"/>
      <c r="LCD606" s="222"/>
      <c r="LCE606" s="222"/>
      <c r="LCF606" s="222"/>
      <c r="LCG606" s="222"/>
      <c r="LCH606" s="222"/>
      <c r="LCI606" s="223"/>
      <c r="LCJ606" s="224"/>
      <c r="LCK606" s="222"/>
      <c r="LCL606" s="222"/>
      <c r="LCM606" s="222"/>
      <c r="LCN606" s="222"/>
      <c r="LCO606" s="222"/>
      <c r="LCP606" s="222"/>
      <c r="LCQ606" s="223"/>
      <c r="LCR606" s="224"/>
      <c r="LCS606" s="222"/>
      <c r="LCT606" s="222"/>
      <c r="LCU606" s="222"/>
      <c r="LCV606" s="222"/>
      <c r="LCW606" s="222"/>
      <c r="LCX606" s="222"/>
      <c r="LCY606" s="223"/>
      <c r="LCZ606" s="224"/>
      <c r="LDA606" s="222"/>
      <c r="LDB606" s="222"/>
      <c r="LDC606" s="222"/>
      <c r="LDD606" s="222"/>
      <c r="LDE606" s="222"/>
      <c r="LDF606" s="222"/>
      <c r="LDG606" s="223"/>
      <c r="LDH606" s="224"/>
      <c r="LDI606" s="222"/>
      <c r="LDJ606" s="222"/>
      <c r="LDK606" s="222"/>
      <c r="LDL606" s="222"/>
      <c r="LDM606" s="222"/>
      <c r="LDN606" s="222"/>
      <c r="LDO606" s="223"/>
      <c r="LDP606" s="224"/>
      <c r="LDQ606" s="222"/>
      <c r="LDR606" s="222"/>
      <c r="LDS606" s="222"/>
      <c r="LDT606" s="222"/>
      <c r="LDU606" s="222"/>
      <c r="LDV606" s="222"/>
      <c r="LDW606" s="223"/>
      <c r="LDX606" s="224"/>
      <c r="LDY606" s="222"/>
      <c r="LDZ606" s="222"/>
      <c r="LEA606" s="222"/>
      <c r="LEB606" s="222"/>
      <c r="LEC606" s="222"/>
      <c r="LED606" s="222"/>
      <c r="LEE606" s="223"/>
      <c r="LEF606" s="224"/>
      <c r="LEG606" s="222"/>
      <c r="LEH606" s="222"/>
      <c r="LEI606" s="222"/>
      <c r="LEJ606" s="222"/>
      <c r="LEK606" s="222"/>
      <c r="LEL606" s="222"/>
      <c r="LEM606" s="223"/>
      <c r="LEN606" s="224"/>
      <c r="LEO606" s="222"/>
      <c r="LEP606" s="222"/>
      <c r="LEQ606" s="222"/>
      <c r="LER606" s="222"/>
      <c r="LES606" s="222"/>
      <c r="LET606" s="222"/>
      <c r="LEU606" s="223"/>
      <c r="LEV606" s="224"/>
      <c r="LEW606" s="222"/>
      <c r="LEX606" s="222"/>
      <c r="LEY606" s="222"/>
      <c r="LEZ606" s="222"/>
      <c r="LFA606" s="222"/>
      <c r="LFB606" s="222"/>
      <c r="LFC606" s="223"/>
      <c r="LFD606" s="224"/>
      <c r="LFE606" s="222"/>
      <c r="LFF606" s="222"/>
      <c r="LFG606" s="222"/>
      <c r="LFH606" s="222"/>
      <c r="LFI606" s="222"/>
      <c r="LFJ606" s="222"/>
      <c r="LFK606" s="223"/>
      <c r="LFL606" s="224"/>
      <c r="LFM606" s="222"/>
      <c r="LFN606" s="222"/>
      <c r="LFO606" s="222"/>
      <c r="LFP606" s="222"/>
      <c r="LFQ606" s="222"/>
      <c r="LFR606" s="222"/>
      <c r="LFS606" s="223"/>
      <c r="LFT606" s="224"/>
      <c r="LFU606" s="222"/>
      <c r="LFV606" s="222"/>
      <c r="LFW606" s="222"/>
      <c r="LFX606" s="222"/>
      <c r="LFY606" s="222"/>
      <c r="LFZ606" s="222"/>
      <c r="LGA606" s="223"/>
      <c r="LGB606" s="224"/>
      <c r="LGC606" s="222"/>
      <c r="LGD606" s="222"/>
      <c r="LGE606" s="222"/>
      <c r="LGF606" s="222"/>
      <c r="LGG606" s="222"/>
      <c r="LGH606" s="222"/>
      <c r="LGI606" s="223"/>
      <c r="LGJ606" s="224"/>
      <c r="LGK606" s="222"/>
      <c r="LGL606" s="222"/>
      <c r="LGM606" s="222"/>
      <c r="LGN606" s="222"/>
      <c r="LGO606" s="222"/>
      <c r="LGP606" s="222"/>
      <c r="LGQ606" s="223"/>
      <c r="LGR606" s="224"/>
      <c r="LGS606" s="222"/>
      <c r="LGT606" s="222"/>
      <c r="LGU606" s="222"/>
      <c r="LGV606" s="222"/>
      <c r="LGW606" s="222"/>
      <c r="LGX606" s="222"/>
      <c r="LGY606" s="223"/>
      <c r="LGZ606" s="224"/>
      <c r="LHA606" s="222"/>
      <c r="LHB606" s="222"/>
      <c r="LHC606" s="222"/>
      <c r="LHD606" s="222"/>
      <c r="LHE606" s="222"/>
      <c r="LHF606" s="222"/>
      <c r="LHG606" s="223"/>
      <c r="LHH606" s="224"/>
      <c r="LHI606" s="222"/>
      <c r="LHJ606" s="222"/>
      <c r="LHK606" s="222"/>
      <c r="LHL606" s="222"/>
      <c r="LHM606" s="222"/>
      <c r="LHN606" s="222"/>
      <c r="LHO606" s="223"/>
      <c r="LHP606" s="224"/>
      <c r="LHQ606" s="222"/>
      <c r="LHR606" s="222"/>
      <c r="LHS606" s="222"/>
      <c r="LHT606" s="222"/>
      <c r="LHU606" s="222"/>
      <c r="LHV606" s="222"/>
      <c r="LHW606" s="223"/>
      <c r="LHX606" s="224"/>
      <c r="LHY606" s="222"/>
      <c r="LHZ606" s="222"/>
      <c r="LIA606" s="222"/>
      <c r="LIB606" s="222"/>
      <c r="LIC606" s="222"/>
      <c r="LID606" s="222"/>
      <c r="LIE606" s="223"/>
      <c r="LIF606" s="224"/>
      <c r="LIG606" s="222"/>
      <c r="LIH606" s="222"/>
      <c r="LII606" s="222"/>
      <c r="LIJ606" s="222"/>
      <c r="LIK606" s="222"/>
      <c r="LIL606" s="222"/>
      <c r="LIM606" s="223"/>
      <c r="LIN606" s="224"/>
      <c r="LIO606" s="222"/>
      <c r="LIP606" s="222"/>
      <c r="LIQ606" s="222"/>
      <c r="LIR606" s="222"/>
      <c r="LIS606" s="222"/>
      <c r="LIT606" s="222"/>
      <c r="LIU606" s="223"/>
      <c r="LIV606" s="224"/>
      <c r="LIW606" s="222"/>
      <c r="LIX606" s="222"/>
      <c r="LIY606" s="222"/>
      <c r="LIZ606" s="222"/>
      <c r="LJA606" s="222"/>
      <c r="LJB606" s="222"/>
      <c r="LJC606" s="223"/>
      <c r="LJD606" s="224"/>
      <c r="LJE606" s="222"/>
      <c r="LJF606" s="222"/>
      <c r="LJG606" s="222"/>
      <c r="LJH606" s="222"/>
      <c r="LJI606" s="222"/>
      <c r="LJJ606" s="222"/>
      <c r="LJK606" s="223"/>
      <c r="LJL606" s="224"/>
      <c r="LJM606" s="222"/>
      <c r="LJN606" s="222"/>
      <c r="LJO606" s="222"/>
      <c r="LJP606" s="222"/>
      <c r="LJQ606" s="222"/>
      <c r="LJR606" s="222"/>
      <c r="LJS606" s="223"/>
      <c r="LJT606" s="224"/>
      <c r="LJU606" s="222"/>
      <c r="LJV606" s="222"/>
      <c r="LJW606" s="222"/>
      <c r="LJX606" s="222"/>
      <c r="LJY606" s="222"/>
      <c r="LJZ606" s="222"/>
      <c r="LKA606" s="223"/>
      <c r="LKB606" s="224"/>
      <c r="LKC606" s="222"/>
      <c r="LKD606" s="222"/>
      <c r="LKE606" s="222"/>
      <c r="LKF606" s="222"/>
      <c r="LKG606" s="222"/>
      <c r="LKH606" s="222"/>
      <c r="LKI606" s="223"/>
      <c r="LKJ606" s="224"/>
      <c r="LKK606" s="222"/>
      <c r="LKL606" s="222"/>
      <c r="LKM606" s="222"/>
      <c r="LKN606" s="222"/>
      <c r="LKO606" s="222"/>
      <c r="LKP606" s="222"/>
      <c r="LKQ606" s="223"/>
      <c r="LKR606" s="224"/>
      <c r="LKS606" s="222"/>
      <c r="LKT606" s="222"/>
      <c r="LKU606" s="222"/>
      <c r="LKV606" s="222"/>
      <c r="LKW606" s="222"/>
      <c r="LKX606" s="222"/>
      <c r="LKY606" s="223"/>
      <c r="LKZ606" s="224"/>
      <c r="LLA606" s="222"/>
      <c r="LLB606" s="222"/>
      <c r="LLC606" s="222"/>
      <c r="LLD606" s="222"/>
      <c r="LLE606" s="222"/>
      <c r="LLF606" s="222"/>
      <c r="LLG606" s="223"/>
      <c r="LLH606" s="224"/>
      <c r="LLI606" s="222"/>
      <c r="LLJ606" s="222"/>
      <c r="LLK606" s="222"/>
      <c r="LLL606" s="222"/>
      <c r="LLM606" s="222"/>
      <c r="LLN606" s="222"/>
      <c r="LLO606" s="223"/>
      <c r="LLP606" s="224"/>
      <c r="LLQ606" s="222"/>
      <c r="LLR606" s="222"/>
      <c r="LLS606" s="222"/>
      <c r="LLT606" s="222"/>
      <c r="LLU606" s="222"/>
      <c r="LLV606" s="222"/>
      <c r="LLW606" s="223"/>
      <c r="LLX606" s="224"/>
      <c r="LLY606" s="222"/>
      <c r="LLZ606" s="222"/>
      <c r="LMA606" s="222"/>
      <c r="LMB606" s="222"/>
      <c r="LMC606" s="222"/>
      <c r="LMD606" s="222"/>
      <c r="LME606" s="223"/>
      <c r="LMF606" s="224"/>
      <c r="LMG606" s="222"/>
      <c r="LMH606" s="222"/>
      <c r="LMI606" s="222"/>
      <c r="LMJ606" s="222"/>
      <c r="LMK606" s="222"/>
      <c r="LML606" s="222"/>
      <c r="LMM606" s="223"/>
      <c r="LMN606" s="224"/>
      <c r="LMO606" s="222"/>
      <c r="LMP606" s="222"/>
      <c r="LMQ606" s="222"/>
      <c r="LMR606" s="222"/>
      <c r="LMS606" s="222"/>
      <c r="LMT606" s="222"/>
      <c r="LMU606" s="223"/>
      <c r="LMV606" s="224"/>
      <c r="LMW606" s="222"/>
      <c r="LMX606" s="222"/>
      <c r="LMY606" s="222"/>
      <c r="LMZ606" s="222"/>
      <c r="LNA606" s="222"/>
      <c r="LNB606" s="222"/>
      <c r="LNC606" s="223"/>
      <c r="LND606" s="224"/>
      <c r="LNE606" s="222"/>
      <c r="LNF606" s="222"/>
      <c r="LNG606" s="222"/>
      <c r="LNH606" s="222"/>
      <c r="LNI606" s="222"/>
      <c r="LNJ606" s="222"/>
      <c r="LNK606" s="223"/>
      <c r="LNL606" s="224"/>
      <c r="LNM606" s="222"/>
      <c r="LNN606" s="222"/>
      <c r="LNO606" s="222"/>
      <c r="LNP606" s="222"/>
      <c r="LNQ606" s="222"/>
      <c r="LNR606" s="222"/>
      <c r="LNS606" s="223"/>
      <c r="LNT606" s="224"/>
      <c r="LNU606" s="222"/>
      <c r="LNV606" s="222"/>
      <c r="LNW606" s="222"/>
      <c r="LNX606" s="222"/>
      <c r="LNY606" s="222"/>
      <c r="LNZ606" s="222"/>
      <c r="LOA606" s="223"/>
      <c r="LOB606" s="224"/>
      <c r="LOC606" s="222"/>
      <c r="LOD606" s="222"/>
      <c r="LOE606" s="222"/>
      <c r="LOF606" s="222"/>
      <c r="LOG606" s="222"/>
      <c r="LOH606" s="222"/>
      <c r="LOI606" s="223"/>
      <c r="LOJ606" s="224"/>
      <c r="LOK606" s="222"/>
      <c r="LOL606" s="222"/>
      <c r="LOM606" s="222"/>
      <c r="LON606" s="222"/>
      <c r="LOO606" s="222"/>
      <c r="LOP606" s="222"/>
      <c r="LOQ606" s="223"/>
      <c r="LOR606" s="224"/>
      <c r="LOS606" s="222"/>
      <c r="LOT606" s="222"/>
      <c r="LOU606" s="222"/>
      <c r="LOV606" s="222"/>
      <c r="LOW606" s="222"/>
      <c r="LOX606" s="222"/>
      <c r="LOY606" s="223"/>
      <c r="LOZ606" s="224"/>
      <c r="LPA606" s="222"/>
      <c r="LPB606" s="222"/>
      <c r="LPC606" s="222"/>
      <c r="LPD606" s="222"/>
      <c r="LPE606" s="222"/>
      <c r="LPF606" s="222"/>
      <c r="LPG606" s="223"/>
      <c r="LPH606" s="224"/>
      <c r="LPI606" s="222"/>
      <c r="LPJ606" s="222"/>
      <c r="LPK606" s="222"/>
      <c r="LPL606" s="222"/>
      <c r="LPM606" s="222"/>
      <c r="LPN606" s="222"/>
      <c r="LPO606" s="223"/>
      <c r="LPP606" s="224"/>
      <c r="LPQ606" s="222"/>
      <c r="LPR606" s="222"/>
      <c r="LPS606" s="222"/>
      <c r="LPT606" s="222"/>
      <c r="LPU606" s="222"/>
      <c r="LPV606" s="222"/>
      <c r="LPW606" s="223"/>
      <c r="LPX606" s="224"/>
      <c r="LPY606" s="222"/>
      <c r="LPZ606" s="222"/>
      <c r="LQA606" s="222"/>
      <c r="LQB606" s="222"/>
      <c r="LQC606" s="222"/>
      <c r="LQD606" s="222"/>
      <c r="LQE606" s="223"/>
      <c r="LQF606" s="224"/>
      <c r="LQG606" s="222"/>
      <c r="LQH606" s="222"/>
      <c r="LQI606" s="222"/>
      <c r="LQJ606" s="222"/>
      <c r="LQK606" s="222"/>
      <c r="LQL606" s="222"/>
      <c r="LQM606" s="223"/>
      <c r="LQN606" s="224"/>
      <c r="LQO606" s="222"/>
      <c r="LQP606" s="222"/>
      <c r="LQQ606" s="222"/>
      <c r="LQR606" s="222"/>
      <c r="LQS606" s="222"/>
      <c r="LQT606" s="222"/>
      <c r="LQU606" s="223"/>
      <c r="LQV606" s="224"/>
      <c r="LQW606" s="222"/>
      <c r="LQX606" s="222"/>
      <c r="LQY606" s="222"/>
      <c r="LQZ606" s="222"/>
      <c r="LRA606" s="222"/>
      <c r="LRB606" s="222"/>
      <c r="LRC606" s="223"/>
      <c r="LRD606" s="224"/>
      <c r="LRE606" s="222"/>
      <c r="LRF606" s="222"/>
      <c r="LRG606" s="222"/>
      <c r="LRH606" s="222"/>
      <c r="LRI606" s="222"/>
      <c r="LRJ606" s="222"/>
      <c r="LRK606" s="223"/>
      <c r="LRL606" s="224"/>
      <c r="LRM606" s="222"/>
      <c r="LRN606" s="222"/>
      <c r="LRO606" s="222"/>
      <c r="LRP606" s="222"/>
      <c r="LRQ606" s="222"/>
      <c r="LRR606" s="222"/>
      <c r="LRS606" s="223"/>
      <c r="LRT606" s="224"/>
      <c r="LRU606" s="222"/>
      <c r="LRV606" s="222"/>
      <c r="LRW606" s="222"/>
      <c r="LRX606" s="222"/>
      <c r="LRY606" s="222"/>
      <c r="LRZ606" s="222"/>
      <c r="LSA606" s="223"/>
      <c r="LSB606" s="224"/>
      <c r="LSC606" s="222"/>
      <c r="LSD606" s="222"/>
      <c r="LSE606" s="222"/>
      <c r="LSF606" s="222"/>
      <c r="LSG606" s="222"/>
      <c r="LSH606" s="222"/>
      <c r="LSI606" s="223"/>
      <c r="LSJ606" s="224"/>
      <c r="LSK606" s="222"/>
      <c r="LSL606" s="222"/>
      <c r="LSM606" s="222"/>
      <c r="LSN606" s="222"/>
      <c r="LSO606" s="222"/>
      <c r="LSP606" s="222"/>
      <c r="LSQ606" s="223"/>
      <c r="LSR606" s="224"/>
      <c r="LSS606" s="222"/>
      <c r="LST606" s="222"/>
      <c r="LSU606" s="222"/>
      <c r="LSV606" s="222"/>
      <c r="LSW606" s="222"/>
      <c r="LSX606" s="222"/>
      <c r="LSY606" s="223"/>
      <c r="LSZ606" s="224"/>
      <c r="LTA606" s="222"/>
      <c r="LTB606" s="222"/>
      <c r="LTC606" s="222"/>
      <c r="LTD606" s="222"/>
      <c r="LTE606" s="222"/>
      <c r="LTF606" s="222"/>
      <c r="LTG606" s="223"/>
      <c r="LTH606" s="224"/>
      <c r="LTI606" s="222"/>
      <c r="LTJ606" s="222"/>
      <c r="LTK606" s="222"/>
      <c r="LTL606" s="222"/>
      <c r="LTM606" s="222"/>
      <c r="LTN606" s="222"/>
      <c r="LTO606" s="223"/>
      <c r="LTP606" s="224"/>
      <c r="LTQ606" s="222"/>
      <c r="LTR606" s="222"/>
      <c r="LTS606" s="222"/>
      <c r="LTT606" s="222"/>
      <c r="LTU606" s="222"/>
      <c r="LTV606" s="222"/>
      <c r="LTW606" s="223"/>
      <c r="LTX606" s="224"/>
      <c r="LTY606" s="222"/>
      <c r="LTZ606" s="222"/>
      <c r="LUA606" s="222"/>
      <c r="LUB606" s="222"/>
      <c r="LUC606" s="222"/>
      <c r="LUD606" s="222"/>
      <c r="LUE606" s="223"/>
      <c r="LUF606" s="224"/>
      <c r="LUG606" s="222"/>
      <c r="LUH606" s="222"/>
      <c r="LUI606" s="222"/>
      <c r="LUJ606" s="222"/>
      <c r="LUK606" s="222"/>
      <c r="LUL606" s="222"/>
      <c r="LUM606" s="223"/>
      <c r="LUN606" s="224"/>
      <c r="LUO606" s="222"/>
      <c r="LUP606" s="222"/>
      <c r="LUQ606" s="222"/>
      <c r="LUR606" s="222"/>
      <c r="LUS606" s="222"/>
      <c r="LUT606" s="222"/>
      <c r="LUU606" s="223"/>
      <c r="LUV606" s="224"/>
      <c r="LUW606" s="222"/>
      <c r="LUX606" s="222"/>
      <c r="LUY606" s="222"/>
      <c r="LUZ606" s="222"/>
      <c r="LVA606" s="222"/>
      <c r="LVB606" s="222"/>
      <c r="LVC606" s="223"/>
      <c r="LVD606" s="224"/>
      <c r="LVE606" s="222"/>
      <c r="LVF606" s="222"/>
      <c r="LVG606" s="222"/>
      <c r="LVH606" s="222"/>
      <c r="LVI606" s="222"/>
      <c r="LVJ606" s="222"/>
      <c r="LVK606" s="223"/>
      <c r="LVL606" s="224"/>
      <c r="LVM606" s="222"/>
      <c r="LVN606" s="222"/>
      <c r="LVO606" s="222"/>
      <c r="LVP606" s="222"/>
      <c r="LVQ606" s="222"/>
      <c r="LVR606" s="222"/>
      <c r="LVS606" s="223"/>
      <c r="LVT606" s="224"/>
      <c r="LVU606" s="222"/>
      <c r="LVV606" s="222"/>
      <c r="LVW606" s="222"/>
      <c r="LVX606" s="222"/>
      <c r="LVY606" s="222"/>
      <c r="LVZ606" s="222"/>
      <c r="LWA606" s="223"/>
      <c r="LWB606" s="224"/>
      <c r="LWC606" s="222"/>
      <c r="LWD606" s="222"/>
      <c r="LWE606" s="222"/>
      <c r="LWF606" s="222"/>
      <c r="LWG606" s="222"/>
      <c r="LWH606" s="222"/>
      <c r="LWI606" s="223"/>
      <c r="LWJ606" s="224"/>
      <c r="LWK606" s="222"/>
      <c r="LWL606" s="222"/>
      <c r="LWM606" s="222"/>
      <c r="LWN606" s="222"/>
      <c r="LWO606" s="222"/>
      <c r="LWP606" s="222"/>
      <c r="LWQ606" s="223"/>
      <c r="LWR606" s="224"/>
      <c r="LWS606" s="222"/>
      <c r="LWT606" s="222"/>
      <c r="LWU606" s="222"/>
      <c r="LWV606" s="222"/>
      <c r="LWW606" s="222"/>
      <c r="LWX606" s="222"/>
      <c r="LWY606" s="223"/>
      <c r="LWZ606" s="224"/>
      <c r="LXA606" s="222"/>
      <c r="LXB606" s="222"/>
      <c r="LXC606" s="222"/>
      <c r="LXD606" s="222"/>
      <c r="LXE606" s="222"/>
      <c r="LXF606" s="222"/>
      <c r="LXG606" s="223"/>
      <c r="LXH606" s="224"/>
      <c r="LXI606" s="222"/>
      <c r="LXJ606" s="222"/>
      <c r="LXK606" s="222"/>
      <c r="LXL606" s="222"/>
      <c r="LXM606" s="222"/>
      <c r="LXN606" s="222"/>
      <c r="LXO606" s="223"/>
      <c r="LXP606" s="224"/>
      <c r="LXQ606" s="222"/>
      <c r="LXR606" s="222"/>
      <c r="LXS606" s="222"/>
      <c r="LXT606" s="222"/>
      <c r="LXU606" s="222"/>
      <c r="LXV606" s="222"/>
      <c r="LXW606" s="223"/>
      <c r="LXX606" s="224"/>
      <c r="LXY606" s="222"/>
      <c r="LXZ606" s="222"/>
      <c r="LYA606" s="222"/>
      <c r="LYB606" s="222"/>
      <c r="LYC606" s="222"/>
      <c r="LYD606" s="222"/>
      <c r="LYE606" s="223"/>
      <c r="LYF606" s="224"/>
      <c r="LYG606" s="222"/>
      <c r="LYH606" s="222"/>
      <c r="LYI606" s="222"/>
      <c r="LYJ606" s="222"/>
      <c r="LYK606" s="222"/>
      <c r="LYL606" s="222"/>
      <c r="LYM606" s="223"/>
      <c r="LYN606" s="224"/>
      <c r="LYO606" s="222"/>
      <c r="LYP606" s="222"/>
      <c r="LYQ606" s="222"/>
      <c r="LYR606" s="222"/>
      <c r="LYS606" s="222"/>
      <c r="LYT606" s="222"/>
      <c r="LYU606" s="223"/>
      <c r="LYV606" s="224"/>
      <c r="LYW606" s="222"/>
      <c r="LYX606" s="222"/>
      <c r="LYY606" s="222"/>
      <c r="LYZ606" s="222"/>
      <c r="LZA606" s="222"/>
      <c r="LZB606" s="222"/>
      <c r="LZC606" s="223"/>
      <c r="LZD606" s="224"/>
      <c r="LZE606" s="222"/>
      <c r="LZF606" s="222"/>
      <c r="LZG606" s="222"/>
      <c r="LZH606" s="222"/>
      <c r="LZI606" s="222"/>
      <c r="LZJ606" s="222"/>
      <c r="LZK606" s="223"/>
      <c r="LZL606" s="224"/>
      <c r="LZM606" s="222"/>
      <c r="LZN606" s="222"/>
      <c r="LZO606" s="222"/>
      <c r="LZP606" s="222"/>
      <c r="LZQ606" s="222"/>
      <c r="LZR606" s="222"/>
      <c r="LZS606" s="223"/>
      <c r="LZT606" s="224"/>
      <c r="LZU606" s="222"/>
      <c r="LZV606" s="222"/>
      <c r="LZW606" s="222"/>
      <c r="LZX606" s="222"/>
      <c r="LZY606" s="222"/>
      <c r="LZZ606" s="222"/>
      <c r="MAA606" s="223"/>
      <c r="MAB606" s="224"/>
      <c r="MAC606" s="222"/>
      <c r="MAD606" s="222"/>
      <c r="MAE606" s="222"/>
      <c r="MAF606" s="222"/>
      <c r="MAG606" s="222"/>
      <c r="MAH606" s="222"/>
      <c r="MAI606" s="223"/>
      <c r="MAJ606" s="224"/>
      <c r="MAK606" s="222"/>
      <c r="MAL606" s="222"/>
      <c r="MAM606" s="222"/>
      <c r="MAN606" s="222"/>
      <c r="MAO606" s="222"/>
      <c r="MAP606" s="222"/>
      <c r="MAQ606" s="223"/>
      <c r="MAR606" s="224"/>
      <c r="MAS606" s="222"/>
      <c r="MAT606" s="222"/>
      <c r="MAU606" s="222"/>
      <c r="MAV606" s="222"/>
      <c r="MAW606" s="222"/>
      <c r="MAX606" s="222"/>
      <c r="MAY606" s="223"/>
      <c r="MAZ606" s="224"/>
      <c r="MBA606" s="222"/>
      <c r="MBB606" s="222"/>
      <c r="MBC606" s="222"/>
      <c r="MBD606" s="222"/>
      <c r="MBE606" s="222"/>
      <c r="MBF606" s="222"/>
      <c r="MBG606" s="223"/>
      <c r="MBH606" s="224"/>
      <c r="MBI606" s="222"/>
      <c r="MBJ606" s="222"/>
      <c r="MBK606" s="222"/>
      <c r="MBL606" s="222"/>
      <c r="MBM606" s="222"/>
      <c r="MBN606" s="222"/>
      <c r="MBO606" s="223"/>
      <c r="MBP606" s="224"/>
      <c r="MBQ606" s="222"/>
      <c r="MBR606" s="222"/>
      <c r="MBS606" s="222"/>
      <c r="MBT606" s="222"/>
      <c r="MBU606" s="222"/>
      <c r="MBV606" s="222"/>
      <c r="MBW606" s="223"/>
      <c r="MBX606" s="224"/>
      <c r="MBY606" s="222"/>
      <c r="MBZ606" s="222"/>
      <c r="MCA606" s="222"/>
      <c r="MCB606" s="222"/>
      <c r="MCC606" s="222"/>
      <c r="MCD606" s="222"/>
      <c r="MCE606" s="223"/>
      <c r="MCF606" s="224"/>
      <c r="MCG606" s="222"/>
      <c r="MCH606" s="222"/>
      <c r="MCI606" s="222"/>
      <c r="MCJ606" s="222"/>
      <c r="MCK606" s="222"/>
      <c r="MCL606" s="222"/>
      <c r="MCM606" s="223"/>
      <c r="MCN606" s="224"/>
      <c r="MCO606" s="222"/>
      <c r="MCP606" s="222"/>
      <c r="MCQ606" s="222"/>
      <c r="MCR606" s="222"/>
      <c r="MCS606" s="222"/>
      <c r="MCT606" s="222"/>
      <c r="MCU606" s="223"/>
      <c r="MCV606" s="224"/>
      <c r="MCW606" s="222"/>
      <c r="MCX606" s="222"/>
      <c r="MCY606" s="222"/>
      <c r="MCZ606" s="222"/>
      <c r="MDA606" s="222"/>
      <c r="MDB606" s="222"/>
      <c r="MDC606" s="223"/>
      <c r="MDD606" s="224"/>
      <c r="MDE606" s="222"/>
      <c r="MDF606" s="222"/>
      <c r="MDG606" s="222"/>
      <c r="MDH606" s="222"/>
      <c r="MDI606" s="222"/>
      <c r="MDJ606" s="222"/>
      <c r="MDK606" s="223"/>
      <c r="MDL606" s="224"/>
      <c r="MDM606" s="222"/>
      <c r="MDN606" s="222"/>
      <c r="MDO606" s="222"/>
      <c r="MDP606" s="222"/>
      <c r="MDQ606" s="222"/>
      <c r="MDR606" s="222"/>
      <c r="MDS606" s="223"/>
      <c r="MDT606" s="224"/>
      <c r="MDU606" s="222"/>
      <c r="MDV606" s="222"/>
      <c r="MDW606" s="222"/>
      <c r="MDX606" s="222"/>
      <c r="MDY606" s="222"/>
      <c r="MDZ606" s="222"/>
      <c r="MEA606" s="223"/>
      <c r="MEB606" s="224"/>
      <c r="MEC606" s="222"/>
      <c r="MED606" s="222"/>
      <c r="MEE606" s="222"/>
      <c r="MEF606" s="222"/>
      <c r="MEG606" s="222"/>
      <c r="MEH606" s="222"/>
      <c r="MEI606" s="223"/>
      <c r="MEJ606" s="224"/>
      <c r="MEK606" s="222"/>
      <c r="MEL606" s="222"/>
      <c r="MEM606" s="222"/>
      <c r="MEN606" s="222"/>
      <c r="MEO606" s="222"/>
      <c r="MEP606" s="222"/>
      <c r="MEQ606" s="223"/>
      <c r="MER606" s="224"/>
      <c r="MES606" s="222"/>
      <c r="MET606" s="222"/>
      <c r="MEU606" s="222"/>
      <c r="MEV606" s="222"/>
      <c r="MEW606" s="222"/>
      <c r="MEX606" s="222"/>
      <c r="MEY606" s="223"/>
      <c r="MEZ606" s="224"/>
      <c r="MFA606" s="222"/>
      <c r="MFB606" s="222"/>
      <c r="MFC606" s="222"/>
      <c r="MFD606" s="222"/>
      <c r="MFE606" s="222"/>
      <c r="MFF606" s="222"/>
      <c r="MFG606" s="223"/>
      <c r="MFH606" s="224"/>
      <c r="MFI606" s="222"/>
      <c r="MFJ606" s="222"/>
      <c r="MFK606" s="222"/>
      <c r="MFL606" s="222"/>
      <c r="MFM606" s="222"/>
      <c r="MFN606" s="222"/>
      <c r="MFO606" s="223"/>
      <c r="MFP606" s="224"/>
      <c r="MFQ606" s="222"/>
      <c r="MFR606" s="222"/>
      <c r="MFS606" s="222"/>
      <c r="MFT606" s="222"/>
      <c r="MFU606" s="222"/>
      <c r="MFV606" s="222"/>
      <c r="MFW606" s="223"/>
      <c r="MFX606" s="224"/>
      <c r="MFY606" s="222"/>
      <c r="MFZ606" s="222"/>
      <c r="MGA606" s="222"/>
      <c r="MGB606" s="222"/>
      <c r="MGC606" s="222"/>
      <c r="MGD606" s="222"/>
      <c r="MGE606" s="223"/>
      <c r="MGF606" s="224"/>
      <c r="MGG606" s="222"/>
      <c r="MGH606" s="222"/>
      <c r="MGI606" s="222"/>
      <c r="MGJ606" s="222"/>
      <c r="MGK606" s="222"/>
      <c r="MGL606" s="222"/>
      <c r="MGM606" s="223"/>
      <c r="MGN606" s="224"/>
      <c r="MGO606" s="222"/>
      <c r="MGP606" s="222"/>
      <c r="MGQ606" s="222"/>
      <c r="MGR606" s="222"/>
      <c r="MGS606" s="222"/>
      <c r="MGT606" s="222"/>
      <c r="MGU606" s="223"/>
      <c r="MGV606" s="224"/>
      <c r="MGW606" s="222"/>
      <c r="MGX606" s="222"/>
      <c r="MGY606" s="222"/>
      <c r="MGZ606" s="222"/>
      <c r="MHA606" s="222"/>
      <c r="MHB606" s="222"/>
      <c r="MHC606" s="223"/>
      <c r="MHD606" s="224"/>
      <c r="MHE606" s="222"/>
      <c r="MHF606" s="222"/>
      <c r="MHG606" s="222"/>
      <c r="MHH606" s="222"/>
      <c r="MHI606" s="222"/>
      <c r="MHJ606" s="222"/>
      <c r="MHK606" s="223"/>
      <c r="MHL606" s="224"/>
      <c r="MHM606" s="222"/>
      <c r="MHN606" s="222"/>
      <c r="MHO606" s="222"/>
      <c r="MHP606" s="222"/>
      <c r="MHQ606" s="222"/>
      <c r="MHR606" s="222"/>
      <c r="MHS606" s="223"/>
      <c r="MHT606" s="224"/>
      <c r="MHU606" s="222"/>
      <c r="MHV606" s="222"/>
      <c r="MHW606" s="222"/>
      <c r="MHX606" s="222"/>
      <c r="MHY606" s="222"/>
      <c r="MHZ606" s="222"/>
      <c r="MIA606" s="223"/>
      <c r="MIB606" s="224"/>
      <c r="MIC606" s="222"/>
      <c r="MID606" s="222"/>
      <c r="MIE606" s="222"/>
      <c r="MIF606" s="222"/>
      <c r="MIG606" s="222"/>
      <c r="MIH606" s="222"/>
      <c r="MII606" s="223"/>
      <c r="MIJ606" s="224"/>
      <c r="MIK606" s="222"/>
      <c r="MIL606" s="222"/>
      <c r="MIM606" s="222"/>
      <c r="MIN606" s="222"/>
      <c r="MIO606" s="222"/>
      <c r="MIP606" s="222"/>
      <c r="MIQ606" s="223"/>
      <c r="MIR606" s="224"/>
      <c r="MIS606" s="222"/>
      <c r="MIT606" s="222"/>
      <c r="MIU606" s="222"/>
      <c r="MIV606" s="222"/>
      <c r="MIW606" s="222"/>
      <c r="MIX606" s="222"/>
      <c r="MIY606" s="223"/>
      <c r="MIZ606" s="224"/>
      <c r="MJA606" s="222"/>
      <c r="MJB606" s="222"/>
      <c r="MJC606" s="222"/>
      <c r="MJD606" s="222"/>
      <c r="MJE606" s="222"/>
      <c r="MJF606" s="222"/>
      <c r="MJG606" s="223"/>
      <c r="MJH606" s="224"/>
      <c r="MJI606" s="222"/>
      <c r="MJJ606" s="222"/>
      <c r="MJK606" s="222"/>
      <c r="MJL606" s="222"/>
      <c r="MJM606" s="222"/>
      <c r="MJN606" s="222"/>
      <c r="MJO606" s="223"/>
      <c r="MJP606" s="224"/>
      <c r="MJQ606" s="222"/>
      <c r="MJR606" s="222"/>
      <c r="MJS606" s="222"/>
      <c r="MJT606" s="222"/>
      <c r="MJU606" s="222"/>
      <c r="MJV606" s="222"/>
      <c r="MJW606" s="223"/>
      <c r="MJX606" s="224"/>
      <c r="MJY606" s="222"/>
      <c r="MJZ606" s="222"/>
      <c r="MKA606" s="222"/>
      <c r="MKB606" s="222"/>
      <c r="MKC606" s="222"/>
      <c r="MKD606" s="222"/>
      <c r="MKE606" s="223"/>
      <c r="MKF606" s="224"/>
      <c r="MKG606" s="222"/>
      <c r="MKH606" s="222"/>
      <c r="MKI606" s="222"/>
      <c r="MKJ606" s="222"/>
      <c r="MKK606" s="222"/>
      <c r="MKL606" s="222"/>
      <c r="MKM606" s="223"/>
      <c r="MKN606" s="224"/>
      <c r="MKO606" s="222"/>
      <c r="MKP606" s="222"/>
      <c r="MKQ606" s="222"/>
      <c r="MKR606" s="222"/>
      <c r="MKS606" s="222"/>
      <c r="MKT606" s="222"/>
      <c r="MKU606" s="223"/>
      <c r="MKV606" s="224"/>
      <c r="MKW606" s="222"/>
      <c r="MKX606" s="222"/>
      <c r="MKY606" s="222"/>
      <c r="MKZ606" s="222"/>
      <c r="MLA606" s="222"/>
      <c r="MLB606" s="222"/>
      <c r="MLC606" s="223"/>
      <c r="MLD606" s="224"/>
      <c r="MLE606" s="222"/>
      <c r="MLF606" s="222"/>
      <c r="MLG606" s="222"/>
      <c r="MLH606" s="222"/>
      <c r="MLI606" s="222"/>
      <c r="MLJ606" s="222"/>
      <c r="MLK606" s="223"/>
      <c r="MLL606" s="224"/>
      <c r="MLM606" s="222"/>
      <c r="MLN606" s="222"/>
      <c r="MLO606" s="222"/>
      <c r="MLP606" s="222"/>
      <c r="MLQ606" s="222"/>
      <c r="MLR606" s="222"/>
      <c r="MLS606" s="223"/>
      <c r="MLT606" s="224"/>
      <c r="MLU606" s="222"/>
      <c r="MLV606" s="222"/>
      <c r="MLW606" s="222"/>
      <c r="MLX606" s="222"/>
      <c r="MLY606" s="222"/>
      <c r="MLZ606" s="222"/>
      <c r="MMA606" s="223"/>
      <c r="MMB606" s="224"/>
      <c r="MMC606" s="222"/>
      <c r="MMD606" s="222"/>
      <c r="MME606" s="222"/>
      <c r="MMF606" s="222"/>
      <c r="MMG606" s="222"/>
      <c r="MMH606" s="222"/>
      <c r="MMI606" s="223"/>
      <c r="MMJ606" s="224"/>
      <c r="MMK606" s="222"/>
      <c r="MML606" s="222"/>
      <c r="MMM606" s="222"/>
      <c r="MMN606" s="222"/>
      <c r="MMO606" s="222"/>
      <c r="MMP606" s="222"/>
      <c r="MMQ606" s="223"/>
      <c r="MMR606" s="224"/>
      <c r="MMS606" s="222"/>
      <c r="MMT606" s="222"/>
      <c r="MMU606" s="222"/>
      <c r="MMV606" s="222"/>
      <c r="MMW606" s="222"/>
      <c r="MMX606" s="222"/>
      <c r="MMY606" s="223"/>
      <c r="MMZ606" s="224"/>
      <c r="MNA606" s="222"/>
      <c r="MNB606" s="222"/>
      <c r="MNC606" s="222"/>
      <c r="MND606" s="222"/>
      <c r="MNE606" s="222"/>
      <c r="MNF606" s="222"/>
      <c r="MNG606" s="223"/>
      <c r="MNH606" s="224"/>
      <c r="MNI606" s="222"/>
      <c r="MNJ606" s="222"/>
      <c r="MNK606" s="222"/>
      <c r="MNL606" s="222"/>
      <c r="MNM606" s="222"/>
      <c r="MNN606" s="222"/>
      <c r="MNO606" s="223"/>
      <c r="MNP606" s="224"/>
      <c r="MNQ606" s="222"/>
      <c r="MNR606" s="222"/>
      <c r="MNS606" s="222"/>
      <c r="MNT606" s="222"/>
      <c r="MNU606" s="222"/>
      <c r="MNV606" s="222"/>
      <c r="MNW606" s="223"/>
      <c r="MNX606" s="224"/>
      <c r="MNY606" s="222"/>
      <c r="MNZ606" s="222"/>
      <c r="MOA606" s="222"/>
      <c r="MOB606" s="222"/>
      <c r="MOC606" s="222"/>
      <c r="MOD606" s="222"/>
      <c r="MOE606" s="223"/>
      <c r="MOF606" s="224"/>
      <c r="MOG606" s="222"/>
      <c r="MOH606" s="222"/>
      <c r="MOI606" s="222"/>
      <c r="MOJ606" s="222"/>
      <c r="MOK606" s="222"/>
      <c r="MOL606" s="222"/>
      <c r="MOM606" s="223"/>
      <c r="MON606" s="224"/>
      <c r="MOO606" s="222"/>
      <c r="MOP606" s="222"/>
      <c r="MOQ606" s="222"/>
      <c r="MOR606" s="222"/>
      <c r="MOS606" s="222"/>
      <c r="MOT606" s="222"/>
      <c r="MOU606" s="223"/>
      <c r="MOV606" s="224"/>
      <c r="MOW606" s="222"/>
      <c r="MOX606" s="222"/>
      <c r="MOY606" s="222"/>
      <c r="MOZ606" s="222"/>
      <c r="MPA606" s="222"/>
      <c r="MPB606" s="222"/>
      <c r="MPC606" s="223"/>
      <c r="MPD606" s="224"/>
      <c r="MPE606" s="222"/>
      <c r="MPF606" s="222"/>
      <c r="MPG606" s="222"/>
      <c r="MPH606" s="222"/>
      <c r="MPI606" s="222"/>
      <c r="MPJ606" s="222"/>
      <c r="MPK606" s="223"/>
      <c r="MPL606" s="224"/>
      <c r="MPM606" s="222"/>
      <c r="MPN606" s="222"/>
      <c r="MPO606" s="222"/>
      <c r="MPP606" s="222"/>
      <c r="MPQ606" s="222"/>
      <c r="MPR606" s="222"/>
      <c r="MPS606" s="223"/>
      <c r="MPT606" s="224"/>
      <c r="MPU606" s="222"/>
      <c r="MPV606" s="222"/>
      <c r="MPW606" s="222"/>
      <c r="MPX606" s="222"/>
      <c r="MPY606" s="222"/>
      <c r="MPZ606" s="222"/>
      <c r="MQA606" s="223"/>
      <c r="MQB606" s="224"/>
      <c r="MQC606" s="222"/>
      <c r="MQD606" s="222"/>
      <c r="MQE606" s="222"/>
      <c r="MQF606" s="222"/>
      <c r="MQG606" s="222"/>
      <c r="MQH606" s="222"/>
      <c r="MQI606" s="223"/>
      <c r="MQJ606" s="224"/>
      <c r="MQK606" s="222"/>
      <c r="MQL606" s="222"/>
      <c r="MQM606" s="222"/>
      <c r="MQN606" s="222"/>
      <c r="MQO606" s="222"/>
      <c r="MQP606" s="222"/>
      <c r="MQQ606" s="223"/>
      <c r="MQR606" s="224"/>
      <c r="MQS606" s="222"/>
      <c r="MQT606" s="222"/>
      <c r="MQU606" s="222"/>
      <c r="MQV606" s="222"/>
      <c r="MQW606" s="222"/>
      <c r="MQX606" s="222"/>
      <c r="MQY606" s="223"/>
      <c r="MQZ606" s="224"/>
      <c r="MRA606" s="222"/>
      <c r="MRB606" s="222"/>
      <c r="MRC606" s="222"/>
      <c r="MRD606" s="222"/>
      <c r="MRE606" s="222"/>
      <c r="MRF606" s="222"/>
      <c r="MRG606" s="223"/>
      <c r="MRH606" s="224"/>
      <c r="MRI606" s="222"/>
      <c r="MRJ606" s="222"/>
      <c r="MRK606" s="222"/>
      <c r="MRL606" s="222"/>
      <c r="MRM606" s="222"/>
      <c r="MRN606" s="222"/>
      <c r="MRO606" s="223"/>
      <c r="MRP606" s="224"/>
      <c r="MRQ606" s="222"/>
      <c r="MRR606" s="222"/>
      <c r="MRS606" s="222"/>
      <c r="MRT606" s="222"/>
      <c r="MRU606" s="222"/>
      <c r="MRV606" s="222"/>
      <c r="MRW606" s="223"/>
      <c r="MRX606" s="224"/>
      <c r="MRY606" s="222"/>
      <c r="MRZ606" s="222"/>
      <c r="MSA606" s="222"/>
      <c r="MSB606" s="222"/>
      <c r="MSC606" s="222"/>
      <c r="MSD606" s="222"/>
      <c r="MSE606" s="223"/>
      <c r="MSF606" s="224"/>
      <c r="MSG606" s="222"/>
      <c r="MSH606" s="222"/>
      <c r="MSI606" s="222"/>
      <c r="MSJ606" s="222"/>
      <c r="MSK606" s="222"/>
      <c r="MSL606" s="222"/>
      <c r="MSM606" s="223"/>
      <c r="MSN606" s="224"/>
      <c r="MSO606" s="222"/>
      <c r="MSP606" s="222"/>
      <c r="MSQ606" s="222"/>
      <c r="MSR606" s="222"/>
      <c r="MSS606" s="222"/>
      <c r="MST606" s="222"/>
      <c r="MSU606" s="223"/>
      <c r="MSV606" s="224"/>
      <c r="MSW606" s="222"/>
      <c r="MSX606" s="222"/>
      <c r="MSY606" s="222"/>
      <c r="MSZ606" s="222"/>
      <c r="MTA606" s="222"/>
      <c r="MTB606" s="222"/>
      <c r="MTC606" s="223"/>
      <c r="MTD606" s="224"/>
      <c r="MTE606" s="222"/>
      <c r="MTF606" s="222"/>
      <c r="MTG606" s="222"/>
      <c r="MTH606" s="222"/>
      <c r="MTI606" s="222"/>
      <c r="MTJ606" s="222"/>
      <c r="MTK606" s="223"/>
      <c r="MTL606" s="224"/>
      <c r="MTM606" s="222"/>
      <c r="MTN606" s="222"/>
      <c r="MTO606" s="222"/>
      <c r="MTP606" s="222"/>
      <c r="MTQ606" s="222"/>
      <c r="MTR606" s="222"/>
      <c r="MTS606" s="223"/>
      <c r="MTT606" s="224"/>
      <c r="MTU606" s="222"/>
      <c r="MTV606" s="222"/>
      <c r="MTW606" s="222"/>
      <c r="MTX606" s="222"/>
      <c r="MTY606" s="222"/>
      <c r="MTZ606" s="222"/>
      <c r="MUA606" s="223"/>
      <c r="MUB606" s="224"/>
      <c r="MUC606" s="222"/>
      <c r="MUD606" s="222"/>
      <c r="MUE606" s="222"/>
      <c r="MUF606" s="222"/>
      <c r="MUG606" s="222"/>
      <c r="MUH606" s="222"/>
      <c r="MUI606" s="223"/>
      <c r="MUJ606" s="224"/>
      <c r="MUK606" s="222"/>
      <c r="MUL606" s="222"/>
      <c r="MUM606" s="222"/>
      <c r="MUN606" s="222"/>
      <c r="MUO606" s="222"/>
      <c r="MUP606" s="222"/>
      <c r="MUQ606" s="223"/>
      <c r="MUR606" s="224"/>
      <c r="MUS606" s="222"/>
      <c r="MUT606" s="222"/>
      <c r="MUU606" s="222"/>
      <c r="MUV606" s="222"/>
      <c r="MUW606" s="222"/>
      <c r="MUX606" s="222"/>
      <c r="MUY606" s="223"/>
      <c r="MUZ606" s="224"/>
      <c r="MVA606" s="222"/>
      <c r="MVB606" s="222"/>
      <c r="MVC606" s="222"/>
      <c r="MVD606" s="222"/>
      <c r="MVE606" s="222"/>
      <c r="MVF606" s="222"/>
      <c r="MVG606" s="223"/>
      <c r="MVH606" s="224"/>
      <c r="MVI606" s="222"/>
      <c r="MVJ606" s="222"/>
      <c r="MVK606" s="222"/>
      <c r="MVL606" s="222"/>
      <c r="MVM606" s="222"/>
      <c r="MVN606" s="222"/>
      <c r="MVO606" s="223"/>
      <c r="MVP606" s="224"/>
      <c r="MVQ606" s="222"/>
      <c r="MVR606" s="222"/>
      <c r="MVS606" s="222"/>
      <c r="MVT606" s="222"/>
      <c r="MVU606" s="222"/>
      <c r="MVV606" s="222"/>
      <c r="MVW606" s="223"/>
      <c r="MVX606" s="224"/>
      <c r="MVY606" s="222"/>
      <c r="MVZ606" s="222"/>
      <c r="MWA606" s="222"/>
      <c r="MWB606" s="222"/>
      <c r="MWC606" s="222"/>
      <c r="MWD606" s="222"/>
      <c r="MWE606" s="223"/>
      <c r="MWF606" s="224"/>
      <c r="MWG606" s="222"/>
      <c r="MWH606" s="222"/>
      <c r="MWI606" s="222"/>
      <c r="MWJ606" s="222"/>
      <c r="MWK606" s="222"/>
      <c r="MWL606" s="222"/>
      <c r="MWM606" s="223"/>
      <c r="MWN606" s="224"/>
      <c r="MWO606" s="222"/>
      <c r="MWP606" s="222"/>
      <c r="MWQ606" s="222"/>
      <c r="MWR606" s="222"/>
      <c r="MWS606" s="222"/>
      <c r="MWT606" s="222"/>
      <c r="MWU606" s="223"/>
      <c r="MWV606" s="224"/>
      <c r="MWW606" s="222"/>
      <c r="MWX606" s="222"/>
      <c r="MWY606" s="222"/>
      <c r="MWZ606" s="222"/>
      <c r="MXA606" s="222"/>
      <c r="MXB606" s="222"/>
      <c r="MXC606" s="223"/>
      <c r="MXD606" s="224"/>
      <c r="MXE606" s="222"/>
      <c r="MXF606" s="222"/>
      <c r="MXG606" s="222"/>
      <c r="MXH606" s="222"/>
      <c r="MXI606" s="222"/>
      <c r="MXJ606" s="222"/>
      <c r="MXK606" s="223"/>
      <c r="MXL606" s="224"/>
      <c r="MXM606" s="222"/>
      <c r="MXN606" s="222"/>
      <c r="MXO606" s="222"/>
      <c r="MXP606" s="222"/>
      <c r="MXQ606" s="222"/>
      <c r="MXR606" s="222"/>
      <c r="MXS606" s="223"/>
      <c r="MXT606" s="224"/>
      <c r="MXU606" s="222"/>
      <c r="MXV606" s="222"/>
      <c r="MXW606" s="222"/>
      <c r="MXX606" s="222"/>
      <c r="MXY606" s="222"/>
      <c r="MXZ606" s="222"/>
      <c r="MYA606" s="223"/>
      <c r="MYB606" s="224"/>
      <c r="MYC606" s="222"/>
      <c r="MYD606" s="222"/>
      <c r="MYE606" s="222"/>
      <c r="MYF606" s="222"/>
      <c r="MYG606" s="222"/>
      <c r="MYH606" s="222"/>
      <c r="MYI606" s="223"/>
      <c r="MYJ606" s="224"/>
      <c r="MYK606" s="222"/>
      <c r="MYL606" s="222"/>
      <c r="MYM606" s="222"/>
      <c r="MYN606" s="222"/>
      <c r="MYO606" s="222"/>
      <c r="MYP606" s="222"/>
      <c r="MYQ606" s="223"/>
      <c r="MYR606" s="224"/>
      <c r="MYS606" s="222"/>
      <c r="MYT606" s="222"/>
      <c r="MYU606" s="222"/>
      <c r="MYV606" s="222"/>
      <c r="MYW606" s="222"/>
      <c r="MYX606" s="222"/>
      <c r="MYY606" s="223"/>
      <c r="MYZ606" s="224"/>
      <c r="MZA606" s="222"/>
      <c r="MZB606" s="222"/>
      <c r="MZC606" s="222"/>
      <c r="MZD606" s="222"/>
      <c r="MZE606" s="222"/>
      <c r="MZF606" s="222"/>
      <c r="MZG606" s="223"/>
      <c r="MZH606" s="224"/>
      <c r="MZI606" s="222"/>
      <c r="MZJ606" s="222"/>
      <c r="MZK606" s="222"/>
      <c r="MZL606" s="222"/>
      <c r="MZM606" s="222"/>
      <c r="MZN606" s="222"/>
      <c r="MZO606" s="223"/>
      <c r="MZP606" s="224"/>
      <c r="MZQ606" s="222"/>
      <c r="MZR606" s="222"/>
      <c r="MZS606" s="222"/>
      <c r="MZT606" s="222"/>
      <c r="MZU606" s="222"/>
      <c r="MZV606" s="222"/>
      <c r="MZW606" s="223"/>
      <c r="MZX606" s="224"/>
      <c r="MZY606" s="222"/>
      <c r="MZZ606" s="222"/>
      <c r="NAA606" s="222"/>
      <c r="NAB606" s="222"/>
      <c r="NAC606" s="222"/>
      <c r="NAD606" s="222"/>
      <c r="NAE606" s="223"/>
      <c r="NAF606" s="224"/>
      <c r="NAG606" s="222"/>
      <c r="NAH606" s="222"/>
      <c r="NAI606" s="222"/>
      <c r="NAJ606" s="222"/>
      <c r="NAK606" s="222"/>
      <c r="NAL606" s="222"/>
      <c r="NAM606" s="223"/>
      <c r="NAN606" s="224"/>
      <c r="NAO606" s="222"/>
      <c r="NAP606" s="222"/>
      <c r="NAQ606" s="222"/>
      <c r="NAR606" s="222"/>
      <c r="NAS606" s="222"/>
      <c r="NAT606" s="222"/>
      <c r="NAU606" s="223"/>
      <c r="NAV606" s="224"/>
      <c r="NAW606" s="222"/>
      <c r="NAX606" s="222"/>
      <c r="NAY606" s="222"/>
      <c r="NAZ606" s="222"/>
      <c r="NBA606" s="222"/>
      <c r="NBB606" s="222"/>
      <c r="NBC606" s="223"/>
      <c r="NBD606" s="224"/>
      <c r="NBE606" s="222"/>
      <c r="NBF606" s="222"/>
      <c r="NBG606" s="222"/>
      <c r="NBH606" s="222"/>
      <c r="NBI606" s="222"/>
      <c r="NBJ606" s="222"/>
      <c r="NBK606" s="223"/>
      <c r="NBL606" s="224"/>
      <c r="NBM606" s="222"/>
      <c r="NBN606" s="222"/>
      <c r="NBO606" s="222"/>
      <c r="NBP606" s="222"/>
      <c r="NBQ606" s="222"/>
      <c r="NBR606" s="222"/>
      <c r="NBS606" s="223"/>
      <c r="NBT606" s="224"/>
      <c r="NBU606" s="222"/>
      <c r="NBV606" s="222"/>
      <c r="NBW606" s="222"/>
      <c r="NBX606" s="222"/>
      <c r="NBY606" s="222"/>
      <c r="NBZ606" s="222"/>
      <c r="NCA606" s="223"/>
      <c r="NCB606" s="224"/>
      <c r="NCC606" s="222"/>
      <c r="NCD606" s="222"/>
      <c r="NCE606" s="222"/>
      <c r="NCF606" s="222"/>
      <c r="NCG606" s="222"/>
      <c r="NCH606" s="222"/>
      <c r="NCI606" s="223"/>
      <c r="NCJ606" s="224"/>
      <c r="NCK606" s="222"/>
      <c r="NCL606" s="222"/>
      <c r="NCM606" s="222"/>
      <c r="NCN606" s="222"/>
      <c r="NCO606" s="222"/>
      <c r="NCP606" s="222"/>
      <c r="NCQ606" s="223"/>
      <c r="NCR606" s="224"/>
      <c r="NCS606" s="222"/>
      <c r="NCT606" s="222"/>
      <c r="NCU606" s="222"/>
      <c r="NCV606" s="222"/>
      <c r="NCW606" s="222"/>
      <c r="NCX606" s="222"/>
      <c r="NCY606" s="223"/>
      <c r="NCZ606" s="224"/>
      <c r="NDA606" s="222"/>
      <c r="NDB606" s="222"/>
      <c r="NDC606" s="222"/>
      <c r="NDD606" s="222"/>
      <c r="NDE606" s="222"/>
      <c r="NDF606" s="222"/>
      <c r="NDG606" s="223"/>
      <c r="NDH606" s="224"/>
      <c r="NDI606" s="222"/>
      <c r="NDJ606" s="222"/>
      <c r="NDK606" s="222"/>
      <c r="NDL606" s="222"/>
      <c r="NDM606" s="222"/>
      <c r="NDN606" s="222"/>
      <c r="NDO606" s="223"/>
      <c r="NDP606" s="224"/>
      <c r="NDQ606" s="222"/>
      <c r="NDR606" s="222"/>
      <c r="NDS606" s="222"/>
      <c r="NDT606" s="222"/>
      <c r="NDU606" s="222"/>
      <c r="NDV606" s="222"/>
      <c r="NDW606" s="223"/>
      <c r="NDX606" s="224"/>
      <c r="NDY606" s="222"/>
      <c r="NDZ606" s="222"/>
      <c r="NEA606" s="222"/>
      <c r="NEB606" s="222"/>
      <c r="NEC606" s="222"/>
      <c r="NED606" s="222"/>
      <c r="NEE606" s="223"/>
      <c r="NEF606" s="224"/>
      <c r="NEG606" s="222"/>
      <c r="NEH606" s="222"/>
      <c r="NEI606" s="222"/>
      <c r="NEJ606" s="222"/>
      <c r="NEK606" s="222"/>
      <c r="NEL606" s="222"/>
      <c r="NEM606" s="223"/>
      <c r="NEN606" s="224"/>
      <c r="NEO606" s="222"/>
      <c r="NEP606" s="222"/>
      <c r="NEQ606" s="222"/>
      <c r="NER606" s="222"/>
      <c r="NES606" s="222"/>
      <c r="NET606" s="222"/>
      <c r="NEU606" s="223"/>
      <c r="NEV606" s="224"/>
      <c r="NEW606" s="222"/>
      <c r="NEX606" s="222"/>
      <c r="NEY606" s="222"/>
      <c r="NEZ606" s="222"/>
      <c r="NFA606" s="222"/>
      <c r="NFB606" s="222"/>
      <c r="NFC606" s="223"/>
      <c r="NFD606" s="224"/>
      <c r="NFE606" s="222"/>
      <c r="NFF606" s="222"/>
      <c r="NFG606" s="222"/>
      <c r="NFH606" s="222"/>
      <c r="NFI606" s="222"/>
      <c r="NFJ606" s="222"/>
      <c r="NFK606" s="223"/>
      <c r="NFL606" s="224"/>
      <c r="NFM606" s="222"/>
      <c r="NFN606" s="222"/>
      <c r="NFO606" s="222"/>
      <c r="NFP606" s="222"/>
      <c r="NFQ606" s="222"/>
      <c r="NFR606" s="222"/>
      <c r="NFS606" s="223"/>
      <c r="NFT606" s="224"/>
      <c r="NFU606" s="222"/>
      <c r="NFV606" s="222"/>
      <c r="NFW606" s="222"/>
      <c r="NFX606" s="222"/>
      <c r="NFY606" s="222"/>
      <c r="NFZ606" s="222"/>
      <c r="NGA606" s="223"/>
      <c r="NGB606" s="224"/>
      <c r="NGC606" s="222"/>
      <c r="NGD606" s="222"/>
      <c r="NGE606" s="222"/>
      <c r="NGF606" s="222"/>
      <c r="NGG606" s="222"/>
      <c r="NGH606" s="222"/>
      <c r="NGI606" s="223"/>
      <c r="NGJ606" s="224"/>
      <c r="NGK606" s="222"/>
      <c r="NGL606" s="222"/>
      <c r="NGM606" s="222"/>
      <c r="NGN606" s="222"/>
      <c r="NGO606" s="222"/>
      <c r="NGP606" s="222"/>
      <c r="NGQ606" s="223"/>
      <c r="NGR606" s="224"/>
      <c r="NGS606" s="222"/>
      <c r="NGT606" s="222"/>
      <c r="NGU606" s="222"/>
      <c r="NGV606" s="222"/>
      <c r="NGW606" s="222"/>
      <c r="NGX606" s="222"/>
      <c r="NGY606" s="223"/>
      <c r="NGZ606" s="224"/>
      <c r="NHA606" s="222"/>
      <c r="NHB606" s="222"/>
      <c r="NHC606" s="222"/>
      <c r="NHD606" s="222"/>
      <c r="NHE606" s="222"/>
      <c r="NHF606" s="222"/>
      <c r="NHG606" s="223"/>
      <c r="NHH606" s="224"/>
      <c r="NHI606" s="222"/>
      <c r="NHJ606" s="222"/>
      <c r="NHK606" s="222"/>
      <c r="NHL606" s="222"/>
      <c r="NHM606" s="222"/>
      <c r="NHN606" s="222"/>
      <c r="NHO606" s="223"/>
      <c r="NHP606" s="224"/>
      <c r="NHQ606" s="222"/>
      <c r="NHR606" s="222"/>
      <c r="NHS606" s="222"/>
      <c r="NHT606" s="222"/>
      <c r="NHU606" s="222"/>
      <c r="NHV606" s="222"/>
      <c r="NHW606" s="223"/>
      <c r="NHX606" s="224"/>
      <c r="NHY606" s="222"/>
      <c r="NHZ606" s="222"/>
      <c r="NIA606" s="222"/>
      <c r="NIB606" s="222"/>
      <c r="NIC606" s="222"/>
      <c r="NID606" s="222"/>
      <c r="NIE606" s="223"/>
      <c r="NIF606" s="224"/>
      <c r="NIG606" s="222"/>
      <c r="NIH606" s="222"/>
      <c r="NII606" s="222"/>
      <c r="NIJ606" s="222"/>
      <c r="NIK606" s="222"/>
      <c r="NIL606" s="222"/>
      <c r="NIM606" s="223"/>
      <c r="NIN606" s="224"/>
      <c r="NIO606" s="222"/>
      <c r="NIP606" s="222"/>
      <c r="NIQ606" s="222"/>
      <c r="NIR606" s="222"/>
      <c r="NIS606" s="222"/>
      <c r="NIT606" s="222"/>
      <c r="NIU606" s="223"/>
      <c r="NIV606" s="224"/>
      <c r="NIW606" s="222"/>
      <c r="NIX606" s="222"/>
      <c r="NIY606" s="222"/>
      <c r="NIZ606" s="222"/>
      <c r="NJA606" s="222"/>
      <c r="NJB606" s="222"/>
      <c r="NJC606" s="223"/>
      <c r="NJD606" s="224"/>
      <c r="NJE606" s="222"/>
      <c r="NJF606" s="222"/>
      <c r="NJG606" s="222"/>
      <c r="NJH606" s="222"/>
      <c r="NJI606" s="222"/>
      <c r="NJJ606" s="222"/>
      <c r="NJK606" s="223"/>
      <c r="NJL606" s="224"/>
      <c r="NJM606" s="222"/>
      <c r="NJN606" s="222"/>
      <c r="NJO606" s="222"/>
      <c r="NJP606" s="222"/>
      <c r="NJQ606" s="222"/>
      <c r="NJR606" s="222"/>
      <c r="NJS606" s="223"/>
      <c r="NJT606" s="224"/>
      <c r="NJU606" s="222"/>
      <c r="NJV606" s="222"/>
      <c r="NJW606" s="222"/>
      <c r="NJX606" s="222"/>
      <c r="NJY606" s="222"/>
      <c r="NJZ606" s="222"/>
      <c r="NKA606" s="223"/>
      <c r="NKB606" s="224"/>
      <c r="NKC606" s="222"/>
      <c r="NKD606" s="222"/>
      <c r="NKE606" s="222"/>
      <c r="NKF606" s="222"/>
      <c r="NKG606" s="222"/>
      <c r="NKH606" s="222"/>
      <c r="NKI606" s="223"/>
      <c r="NKJ606" s="224"/>
      <c r="NKK606" s="222"/>
      <c r="NKL606" s="222"/>
      <c r="NKM606" s="222"/>
      <c r="NKN606" s="222"/>
      <c r="NKO606" s="222"/>
      <c r="NKP606" s="222"/>
      <c r="NKQ606" s="223"/>
      <c r="NKR606" s="224"/>
      <c r="NKS606" s="222"/>
      <c r="NKT606" s="222"/>
      <c r="NKU606" s="222"/>
      <c r="NKV606" s="222"/>
      <c r="NKW606" s="222"/>
      <c r="NKX606" s="222"/>
      <c r="NKY606" s="223"/>
      <c r="NKZ606" s="224"/>
      <c r="NLA606" s="222"/>
      <c r="NLB606" s="222"/>
      <c r="NLC606" s="222"/>
      <c r="NLD606" s="222"/>
      <c r="NLE606" s="222"/>
      <c r="NLF606" s="222"/>
      <c r="NLG606" s="223"/>
      <c r="NLH606" s="224"/>
      <c r="NLI606" s="222"/>
      <c r="NLJ606" s="222"/>
      <c r="NLK606" s="222"/>
      <c r="NLL606" s="222"/>
      <c r="NLM606" s="222"/>
      <c r="NLN606" s="222"/>
      <c r="NLO606" s="223"/>
      <c r="NLP606" s="224"/>
      <c r="NLQ606" s="222"/>
      <c r="NLR606" s="222"/>
      <c r="NLS606" s="222"/>
      <c r="NLT606" s="222"/>
      <c r="NLU606" s="222"/>
      <c r="NLV606" s="222"/>
      <c r="NLW606" s="223"/>
      <c r="NLX606" s="224"/>
      <c r="NLY606" s="222"/>
      <c r="NLZ606" s="222"/>
      <c r="NMA606" s="222"/>
      <c r="NMB606" s="222"/>
      <c r="NMC606" s="222"/>
      <c r="NMD606" s="222"/>
      <c r="NME606" s="223"/>
      <c r="NMF606" s="224"/>
      <c r="NMG606" s="222"/>
      <c r="NMH606" s="222"/>
      <c r="NMI606" s="222"/>
      <c r="NMJ606" s="222"/>
      <c r="NMK606" s="222"/>
      <c r="NML606" s="222"/>
      <c r="NMM606" s="223"/>
      <c r="NMN606" s="224"/>
      <c r="NMO606" s="222"/>
      <c r="NMP606" s="222"/>
      <c r="NMQ606" s="222"/>
      <c r="NMR606" s="222"/>
      <c r="NMS606" s="222"/>
      <c r="NMT606" s="222"/>
      <c r="NMU606" s="223"/>
      <c r="NMV606" s="224"/>
      <c r="NMW606" s="222"/>
      <c r="NMX606" s="222"/>
      <c r="NMY606" s="222"/>
      <c r="NMZ606" s="222"/>
      <c r="NNA606" s="222"/>
      <c r="NNB606" s="222"/>
      <c r="NNC606" s="223"/>
      <c r="NND606" s="224"/>
      <c r="NNE606" s="222"/>
      <c r="NNF606" s="222"/>
      <c r="NNG606" s="222"/>
      <c r="NNH606" s="222"/>
      <c r="NNI606" s="222"/>
      <c r="NNJ606" s="222"/>
      <c r="NNK606" s="223"/>
      <c r="NNL606" s="224"/>
      <c r="NNM606" s="222"/>
      <c r="NNN606" s="222"/>
      <c r="NNO606" s="222"/>
      <c r="NNP606" s="222"/>
      <c r="NNQ606" s="222"/>
      <c r="NNR606" s="222"/>
      <c r="NNS606" s="223"/>
      <c r="NNT606" s="224"/>
      <c r="NNU606" s="222"/>
      <c r="NNV606" s="222"/>
      <c r="NNW606" s="222"/>
      <c r="NNX606" s="222"/>
      <c r="NNY606" s="222"/>
      <c r="NNZ606" s="222"/>
      <c r="NOA606" s="223"/>
      <c r="NOB606" s="224"/>
      <c r="NOC606" s="222"/>
      <c r="NOD606" s="222"/>
      <c r="NOE606" s="222"/>
      <c r="NOF606" s="222"/>
      <c r="NOG606" s="222"/>
      <c r="NOH606" s="222"/>
      <c r="NOI606" s="223"/>
      <c r="NOJ606" s="224"/>
      <c r="NOK606" s="222"/>
      <c r="NOL606" s="222"/>
      <c r="NOM606" s="222"/>
      <c r="NON606" s="222"/>
      <c r="NOO606" s="222"/>
      <c r="NOP606" s="222"/>
      <c r="NOQ606" s="223"/>
      <c r="NOR606" s="224"/>
      <c r="NOS606" s="222"/>
      <c r="NOT606" s="222"/>
      <c r="NOU606" s="222"/>
      <c r="NOV606" s="222"/>
      <c r="NOW606" s="222"/>
      <c r="NOX606" s="222"/>
      <c r="NOY606" s="223"/>
      <c r="NOZ606" s="224"/>
      <c r="NPA606" s="222"/>
      <c r="NPB606" s="222"/>
      <c r="NPC606" s="222"/>
      <c r="NPD606" s="222"/>
      <c r="NPE606" s="222"/>
      <c r="NPF606" s="222"/>
      <c r="NPG606" s="223"/>
      <c r="NPH606" s="224"/>
      <c r="NPI606" s="222"/>
      <c r="NPJ606" s="222"/>
      <c r="NPK606" s="222"/>
      <c r="NPL606" s="222"/>
      <c r="NPM606" s="222"/>
      <c r="NPN606" s="222"/>
      <c r="NPO606" s="223"/>
      <c r="NPP606" s="224"/>
      <c r="NPQ606" s="222"/>
      <c r="NPR606" s="222"/>
      <c r="NPS606" s="222"/>
      <c r="NPT606" s="222"/>
      <c r="NPU606" s="222"/>
      <c r="NPV606" s="222"/>
      <c r="NPW606" s="223"/>
      <c r="NPX606" s="224"/>
      <c r="NPY606" s="222"/>
      <c r="NPZ606" s="222"/>
      <c r="NQA606" s="222"/>
      <c r="NQB606" s="222"/>
      <c r="NQC606" s="222"/>
      <c r="NQD606" s="222"/>
      <c r="NQE606" s="223"/>
      <c r="NQF606" s="224"/>
      <c r="NQG606" s="222"/>
      <c r="NQH606" s="222"/>
      <c r="NQI606" s="222"/>
      <c r="NQJ606" s="222"/>
      <c r="NQK606" s="222"/>
      <c r="NQL606" s="222"/>
      <c r="NQM606" s="223"/>
      <c r="NQN606" s="224"/>
      <c r="NQO606" s="222"/>
      <c r="NQP606" s="222"/>
      <c r="NQQ606" s="222"/>
      <c r="NQR606" s="222"/>
      <c r="NQS606" s="222"/>
      <c r="NQT606" s="222"/>
      <c r="NQU606" s="223"/>
      <c r="NQV606" s="224"/>
      <c r="NQW606" s="222"/>
      <c r="NQX606" s="222"/>
      <c r="NQY606" s="222"/>
      <c r="NQZ606" s="222"/>
      <c r="NRA606" s="222"/>
      <c r="NRB606" s="222"/>
      <c r="NRC606" s="223"/>
      <c r="NRD606" s="224"/>
      <c r="NRE606" s="222"/>
      <c r="NRF606" s="222"/>
      <c r="NRG606" s="222"/>
      <c r="NRH606" s="222"/>
      <c r="NRI606" s="222"/>
      <c r="NRJ606" s="222"/>
      <c r="NRK606" s="223"/>
      <c r="NRL606" s="224"/>
      <c r="NRM606" s="222"/>
      <c r="NRN606" s="222"/>
      <c r="NRO606" s="222"/>
      <c r="NRP606" s="222"/>
      <c r="NRQ606" s="222"/>
      <c r="NRR606" s="222"/>
      <c r="NRS606" s="223"/>
      <c r="NRT606" s="224"/>
      <c r="NRU606" s="222"/>
      <c r="NRV606" s="222"/>
      <c r="NRW606" s="222"/>
      <c r="NRX606" s="222"/>
      <c r="NRY606" s="222"/>
      <c r="NRZ606" s="222"/>
      <c r="NSA606" s="223"/>
      <c r="NSB606" s="224"/>
      <c r="NSC606" s="222"/>
      <c r="NSD606" s="222"/>
      <c r="NSE606" s="222"/>
      <c r="NSF606" s="222"/>
      <c r="NSG606" s="222"/>
      <c r="NSH606" s="222"/>
      <c r="NSI606" s="223"/>
      <c r="NSJ606" s="224"/>
      <c r="NSK606" s="222"/>
      <c r="NSL606" s="222"/>
      <c r="NSM606" s="222"/>
      <c r="NSN606" s="222"/>
      <c r="NSO606" s="222"/>
      <c r="NSP606" s="222"/>
      <c r="NSQ606" s="223"/>
      <c r="NSR606" s="224"/>
      <c r="NSS606" s="222"/>
      <c r="NST606" s="222"/>
      <c r="NSU606" s="222"/>
      <c r="NSV606" s="222"/>
      <c r="NSW606" s="222"/>
      <c r="NSX606" s="222"/>
      <c r="NSY606" s="223"/>
      <c r="NSZ606" s="224"/>
      <c r="NTA606" s="222"/>
      <c r="NTB606" s="222"/>
      <c r="NTC606" s="222"/>
      <c r="NTD606" s="222"/>
      <c r="NTE606" s="222"/>
      <c r="NTF606" s="222"/>
      <c r="NTG606" s="223"/>
      <c r="NTH606" s="224"/>
      <c r="NTI606" s="222"/>
      <c r="NTJ606" s="222"/>
      <c r="NTK606" s="222"/>
      <c r="NTL606" s="222"/>
      <c r="NTM606" s="222"/>
      <c r="NTN606" s="222"/>
      <c r="NTO606" s="223"/>
      <c r="NTP606" s="224"/>
      <c r="NTQ606" s="222"/>
      <c r="NTR606" s="222"/>
      <c r="NTS606" s="222"/>
      <c r="NTT606" s="222"/>
      <c r="NTU606" s="222"/>
      <c r="NTV606" s="222"/>
      <c r="NTW606" s="223"/>
      <c r="NTX606" s="224"/>
      <c r="NTY606" s="222"/>
      <c r="NTZ606" s="222"/>
      <c r="NUA606" s="222"/>
      <c r="NUB606" s="222"/>
      <c r="NUC606" s="222"/>
      <c r="NUD606" s="222"/>
      <c r="NUE606" s="223"/>
      <c r="NUF606" s="224"/>
      <c r="NUG606" s="222"/>
      <c r="NUH606" s="222"/>
      <c r="NUI606" s="222"/>
      <c r="NUJ606" s="222"/>
      <c r="NUK606" s="222"/>
      <c r="NUL606" s="222"/>
      <c r="NUM606" s="223"/>
      <c r="NUN606" s="224"/>
      <c r="NUO606" s="222"/>
      <c r="NUP606" s="222"/>
      <c r="NUQ606" s="222"/>
      <c r="NUR606" s="222"/>
      <c r="NUS606" s="222"/>
      <c r="NUT606" s="222"/>
      <c r="NUU606" s="223"/>
      <c r="NUV606" s="224"/>
      <c r="NUW606" s="222"/>
      <c r="NUX606" s="222"/>
      <c r="NUY606" s="222"/>
      <c r="NUZ606" s="222"/>
      <c r="NVA606" s="222"/>
      <c r="NVB606" s="222"/>
      <c r="NVC606" s="223"/>
      <c r="NVD606" s="224"/>
      <c r="NVE606" s="222"/>
      <c r="NVF606" s="222"/>
      <c r="NVG606" s="222"/>
      <c r="NVH606" s="222"/>
      <c r="NVI606" s="222"/>
      <c r="NVJ606" s="222"/>
      <c r="NVK606" s="223"/>
      <c r="NVL606" s="224"/>
      <c r="NVM606" s="222"/>
      <c r="NVN606" s="222"/>
      <c r="NVO606" s="222"/>
      <c r="NVP606" s="222"/>
      <c r="NVQ606" s="222"/>
      <c r="NVR606" s="222"/>
      <c r="NVS606" s="223"/>
      <c r="NVT606" s="224"/>
      <c r="NVU606" s="222"/>
      <c r="NVV606" s="222"/>
      <c r="NVW606" s="222"/>
      <c r="NVX606" s="222"/>
      <c r="NVY606" s="222"/>
      <c r="NVZ606" s="222"/>
      <c r="NWA606" s="223"/>
      <c r="NWB606" s="224"/>
      <c r="NWC606" s="222"/>
      <c r="NWD606" s="222"/>
      <c r="NWE606" s="222"/>
      <c r="NWF606" s="222"/>
      <c r="NWG606" s="222"/>
      <c r="NWH606" s="222"/>
      <c r="NWI606" s="223"/>
      <c r="NWJ606" s="224"/>
      <c r="NWK606" s="222"/>
      <c r="NWL606" s="222"/>
      <c r="NWM606" s="222"/>
      <c r="NWN606" s="222"/>
      <c r="NWO606" s="222"/>
      <c r="NWP606" s="222"/>
      <c r="NWQ606" s="223"/>
      <c r="NWR606" s="224"/>
      <c r="NWS606" s="222"/>
      <c r="NWT606" s="222"/>
      <c r="NWU606" s="222"/>
      <c r="NWV606" s="222"/>
      <c r="NWW606" s="222"/>
      <c r="NWX606" s="222"/>
      <c r="NWY606" s="223"/>
      <c r="NWZ606" s="224"/>
      <c r="NXA606" s="222"/>
      <c r="NXB606" s="222"/>
      <c r="NXC606" s="222"/>
      <c r="NXD606" s="222"/>
      <c r="NXE606" s="222"/>
      <c r="NXF606" s="222"/>
      <c r="NXG606" s="223"/>
      <c r="NXH606" s="224"/>
      <c r="NXI606" s="222"/>
      <c r="NXJ606" s="222"/>
      <c r="NXK606" s="222"/>
      <c r="NXL606" s="222"/>
      <c r="NXM606" s="222"/>
      <c r="NXN606" s="222"/>
      <c r="NXO606" s="223"/>
      <c r="NXP606" s="224"/>
      <c r="NXQ606" s="222"/>
      <c r="NXR606" s="222"/>
      <c r="NXS606" s="222"/>
      <c r="NXT606" s="222"/>
      <c r="NXU606" s="222"/>
      <c r="NXV606" s="222"/>
      <c r="NXW606" s="223"/>
      <c r="NXX606" s="224"/>
      <c r="NXY606" s="222"/>
      <c r="NXZ606" s="222"/>
      <c r="NYA606" s="222"/>
      <c r="NYB606" s="222"/>
      <c r="NYC606" s="222"/>
      <c r="NYD606" s="222"/>
      <c r="NYE606" s="223"/>
      <c r="NYF606" s="224"/>
      <c r="NYG606" s="222"/>
      <c r="NYH606" s="222"/>
      <c r="NYI606" s="222"/>
      <c r="NYJ606" s="222"/>
      <c r="NYK606" s="222"/>
      <c r="NYL606" s="222"/>
      <c r="NYM606" s="223"/>
      <c r="NYN606" s="224"/>
      <c r="NYO606" s="222"/>
      <c r="NYP606" s="222"/>
      <c r="NYQ606" s="222"/>
      <c r="NYR606" s="222"/>
      <c r="NYS606" s="222"/>
      <c r="NYT606" s="222"/>
      <c r="NYU606" s="223"/>
      <c r="NYV606" s="224"/>
      <c r="NYW606" s="222"/>
      <c r="NYX606" s="222"/>
      <c r="NYY606" s="222"/>
      <c r="NYZ606" s="222"/>
      <c r="NZA606" s="222"/>
      <c r="NZB606" s="222"/>
      <c r="NZC606" s="223"/>
      <c r="NZD606" s="224"/>
      <c r="NZE606" s="222"/>
      <c r="NZF606" s="222"/>
      <c r="NZG606" s="222"/>
      <c r="NZH606" s="222"/>
      <c r="NZI606" s="222"/>
      <c r="NZJ606" s="222"/>
      <c r="NZK606" s="223"/>
      <c r="NZL606" s="224"/>
      <c r="NZM606" s="222"/>
      <c r="NZN606" s="222"/>
      <c r="NZO606" s="222"/>
      <c r="NZP606" s="222"/>
      <c r="NZQ606" s="222"/>
      <c r="NZR606" s="222"/>
      <c r="NZS606" s="223"/>
      <c r="NZT606" s="224"/>
      <c r="NZU606" s="222"/>
      <c r="NZV606" s="222"/>
      <c r="NZW606" s="222"/>
      <c r="NZX606" s="222"/>
      <c r="NZY606" s="222"/>
      <c r="NZZ606" s="222"/>
      <c r="OAA606" s="223"/>
      <c r="OAB606" s="224"/>
      <c r="OAC606" s="222"/>
      <c r="OAD606" s="222"/>
      <c r="OAE606" s="222"/>
      <c r="OAF606" s="222"/>
      <c r="OAG606" s="222"/>
      <c r="OAH606" s="222"/>
      <c r="OAI606" s="223"/>
      <c r="OAJ606" s="224"/>
      <c r="OAK606" s="222"/>
      <c r="OAL606" s="222"/>
      <c r="OAM606" s="222"/>
      <c r="OAN606" s="222"/>
      <c r="OAO606" s="222"/>
      <c r="OAP606" s="222"/>
      <c r="OAQ606" s="223"/>
      <c r="OAR606" s="224"/>
      <c r="OAS606" s="222"/>
      <c r="OAT606" s="222"/>
      <c r="OAU606" s="222"/>
      <c r="OAV606" s="222"/>
      <c r="OAW606" s="222"/>
      <c r="OAX606" s="222"/>
      <c r="OAY606" s="223"/>
      <c r="OAZ606" s="224"/>
      <c r="OBA606" s="222"/>
      <c r="OBB606" s="222"/>
      <c r="OBC606" s="222"/>
      <c r="OBD606" s="222"/>
      <c r="OBE606" s="222"/>
      <c r="OBF606" s="222"/>
      <c r="OBG606" s="223"/>
      <c r="OBH606" s="224"/>
      <c r="OBI606" s="222"/>
      <c r="OBJ606" s="222"/>
      <c r="OBK606" s="222"/>
      <c r="OBL606" s="222"/>
      <c r="OBM606" s="222"/>
      <c r="OBN606" s="222"/>
      <c r="OBO606" s="223"/>
      <c r="OBP606" s="224"/>
      <c r="OBQ606" s="222"/>
      <c r="OBR606" s="222"/>
      <c r="OBS606" s="222"/>
      <c r="OBT606" s="222"/>
      <c r="OBU606" s="222"/>
      <c r="OBV606" s="222"/>
      <c r="OBW606" s="223"/>
      <c r="OBX606" s="224"/>
      <c r="OBY606" s="222"/>
      <c r="OBZ606" s="222"/>
      <c r="OCA606" s="222"/>
      <c r="OCB606" s="222"/>
      <c r="OCC606" s="222"/>
      <c r="OCD606" s="222"/>
      <c r="OCE606" s="223"/>
      <c r="OCF606" s="224"/>
      <c r="OCG606" s="222"/>
      <c r="OCH606" s="222"/>
      <c r="OCI606" s="222"/>
      <c r="OCJ606" s="222"/>
      <c r="OCK606" s="222"/>
      <c r="OCL606" s="222"/>
      <c r="OCM606" s="223"/>
      <c r="OCN606" s="224"/>
      <c r="OCO606" s="222"/>
      <c r="OCP606" s="222"/>
      <c r="OCQ606" s="222"/>
      <c r="OCR606" s="222"/>
      <c r="OCS606" s="222"/>
      <c r="OCT606" s="222"/>
      <c r="OCU606" s="223"/>
      <c r="OCV606" s="224"/>
      <c r="OCW606" s="222"/>
      <c r="OCX606" s="222"/>
      <c r="OCY606" s="222"/>
      <c r="OCZ606" s="222"/>
      <c r="ODA606" s="222"/>
      <c r="ODB606" s="222"/>
      <c r="ODC606" s="223"/>
      <c r="ODD606" s="224"/>
      <c r="ODE606" s="222"/>
      <c r="ODF606" s="222"/>
      <c r="ODG606" s="222"/>
      <c r="ODH606" s="222"/>
      <c r="ODI606" s="222"/>
      <c r="ODJ606" s="222"/>
      <c r="ODK606" s="223"/>
      <c r="ODL606" s="224"/>
      <c r="ODM606" s="222"/>
      <c r="ODN606" s="222"/>
      <c r="ODO606" s="222"/>
      <c r="ODP606" s="222"/>
      <c r="ODQ606" s="222"/>
      <c r="ODR606" s="222"/>
      <c r="ODS606" s="223"/>
      <c r="ODT606" s="224"/>
      <c r="ODU606" s="222"/>
      <c r="ODV606" s="222"/>
      <c r="ODW606" s="222"/>
      <c r="ODX606" s="222"/>
      <c r="ODY606" s="222"/>
      <c r="ODZ606" s="222"/>
      <c r="OEA606" s="223"/>
      <c r="OEB606" s="224"/>
      <c r="OEC606" s="222"/>
      <c r="OED606" s="222"/>
      <c r="OEE606" s="222"/>
      <c r="OEF606" s="222"/>
      <c r="OEG606" s="222"/>
      <c r="OEH606" s="222"/>
      <c r="OEI606" s="223"/>
      <c r="OEJ606" s="224"/>
      <c r="OEK606" s="222"/>
      <c r="OEL606" s="222"/>
      <c r="OEM606" s="222"/>
      <c r="OEN606" s="222"/>
      <c r="OEO606" s="222"/>
      <c r="OEP606" s="222"/>
      <c r="OEQ606" s="223"/>
      <c r="OER606" s="224"/>
      <c r="OES606" s="222"/>
      <c r="OET606" s="222"/>
      <c r="OEU606" s="222"/>
      <c r="OEV606" s="222"/>
      <c r="OEW606" s="222"/>
      <c r="OEX606" s="222"/>
      <c r="OEY606" s="223"/>
      <c r="OEZ606" s="224"/>
      <c r="OFA606" s="222"/>
      <c r="OFB606" s="222"/>
      <c r="OFC606" s="222"/>
      <c r="OFD606" s="222"/>
      <c r="OFE606" s="222"/>
      <c r="OFF606" s="222"/>
      <c r="OFG606" s="223"/>
      <c r="OFH606" s="224"/>
      <c r="OFI606" s="222"/>
      <c r="OFJ606" s="222"/>
      <c r="OFK606" s="222"/>
      <c r="OFL606" s="222"/>
      <c r="OFM606" s="222"/>
      <c r="OFN606" s="222"/>
      <c r="OFO606" s="223"/>
      <c r="OFP606" s="224"/>
      <c r="OFQ606" s="222"/>
      <c r="OFR606" s="222"/>
      <c r="OFS606" s="222"/>
      <c r="OFT606" s="222"/>
      <c r="OFU606" s="222"/>
      <c r="OFV606" s="222"/>
      <c r="OFW606" s="223"/>
      <c r="OFX606" s="224"/>
      <c r="OFY606" s="222"/>
      <c r="OFZ606" s="222"/>
      <c r="OGA606" s="222"/>
      <c r="OGB606" s="222"/>
      <c r="OGC606" s="222"/>
      <c r="OGD606" s="222"/>
      <c r="OGE606" s="223"/>
      <c r="OGF606" s="224"/>
      <c r="OGG606" s="222"/>
      <c r="OGH606" s="222"/>
      <c r="OGI606" s="222"/>
      <c r="OGJ606" s="222"/>
      <c r="OGK606" s="222"/>
      <c r="OGL606" s="222"/>
      <c r="OGM606" s="223"/>
      <c r="OGN606" s="224"/>
      <c r="OGO606" s="222"/>
      <c r="OGP606" s="222"/>
      <c r="OGQ606" s="222"/>
      <c r="OGR606" s="222"/>
      <c r="OGS606" s="222"/>
      <c r="OGT606" s="222"/>
      <c r="OGU606" s="223"/>
      <c r="OGV606" s="224"/>
      <c r="OGW606" s="222"/>
      <c r="OGX606" s="222"/>
      <c r="OGY606" s="222"/>
      <c r="OGZ606" s="222"/>
      <c r="OHA606" s="222"/>
      <c r="OHB606" s="222"/>
      <c r="OHC606" s="223"/>
      <c r="OHD606" s="224"/>
      <c r="OHE606" s="222"/>
      <c r="OHF606" s="222"/>
      <c r="OHG606" s="222"/>
      <c r="OHH606" s="222"/>
      <c r="OHI606" s="222"/>
      <c r="OHJ606" s="222"/>
      <c r="OHK606" s="223"/>
      <c r="OHL606" s="224"/>
      <c r="OHM606" s="222"/>
      <c r="OHN606" s="222"/>
      <c r="OHO606" s="222"/>
      <c r="OHP606" s="222"/>
      <c r="OHQ606" s="222"/>
      <c r="OHR606" s="222"/>
      <c r="OHS606" s="223"/>
      <c r="OHT606" s="224"/>
      <c r="OHU606" s="222"/>
      <c r="OHV606" s="222"/>
      <c r="OHW606" s="222"/>
      <c r="OHX606" s="222"/>
      <c r="OHY606" s="222"/>
      <c r="OHZ606" s="222"/>
      <c r="OIA606" s="223"/>
      <c r="OIB606" s="224"/>
      <c r="OIC606" s="222"/>
      <c r="OID606" s="222"/>
      <c r="OIE606" s="222"/>
      <c r="OIF606" s="222"/>
      <c r="OIG606" s="222"/>
      <c r="OIH606" s="222"/>
      <c r="OII606" s="223"/>
      <c r="OIJ606" s="224"/>
      <c r="OIK606" s="222"/>
      <c r="OIL606" s="222"/>
      <c r="OIM606" s="222"/>
      <c r="OIN606" s="222"/>
      <c r="OIO606" s="222"/>
      <c r="OIP606" s="222"/>
      <c r="OIQ606" s="223"/>
      <c r="OIR606" s="224"/>
      <c r="OIS606" s="222"/>
      <c r="OIT606" s="222"/>
      <c r="OIU606" s="222"/>
      <c r="OIV606" s="222"/>
      <c r="OIW606" s="222"/>
      <c r="OIX606" s="222"/>
      <c r="OIY606" s="223"/>
      <c r="OIZ606" s="224"/>
      <c r="OJA606" s="222"/>
      <c r="OJB606" s="222"/>
      <c r="OJC606" s="222"/>
      <c r="OJD606" s="222"/>
      <c r="OJE606" s="222"/>
      <c r="OJF606" s="222"/>
      <c r="OJG606" s="223"/>
      <c r="OJH606" s="224"/>
      <c r="OJI606" s="222"/>
      <c r="OJJ606" s="222"/>
      <c r="OJK606" s="222"/>
      <c r="OJL606" s="222"/>
      <c r="OJM606" s="222"/>
      <c r="OJN606" s="222"/>
      <c r="OJO606" s="223"/>
      <c r="OJP606" s="224"/>
      <c r="OJQ606" s="222"/>
      <c r="OJR606" s="222"/>
      <c r="OJS606" s="222"/>
      <c r="OJT606" s="222"/>
      <c r="OJU606" s="222"/>
      <c r="OJV606" s="222"/>
      <c r="OJW606" s="223"/>
      <c r="OJX606" s="224"/>
      <c r="OJY606" s="222"/>
      <c r="OJZ606" s="222"/>
      <c r="OKA606" s="222"/>
      <c r="OKB606" s="222"/>
      <c r="OKC606" s="222"/>
      <c r="OKD606" s="222"/>
      <c r="OKE606" s="223"/>
      <c r="OKF606" s="224"/>
      <c r="OKG606" s="222"/>
      <c r="OKH606" s="222"/>
      <c r="OKI606" s="222"/>
      <c r="OKJ606" s="222"/>
      <c r="OKK606" s="222"/>
      <c r="OKL606" s="222"/>
      <c r="OKM606" s="223"/>
      <c r="OKN606" s="224"/>
      <c r="OKO606" s="222"/>
      <c r="OKP606" s="222"/>
      <c r="OKQ606" s="222"/>
      <c r="OKR606" s="222"/>
      <c r="OKS606" s="222"/>
      <c r="OKT606" s="222"/>
      <c r="OKU606" s="223"/>
      <c r="OKV606" s="224"/>
      <c r="OKW606" s="222"/>
      <c r="OKX606" s="222"/>
      <c r="OKY606" s="222"/>
      <c r="OKZ606" s="222"/>
      <c r="OLA606" s="222"/>
      <c r="OLB606" s="222"/>
      <c r="OLC606" s="223"/>
      <c r="OLD606" s="224"/>
      <c r="OLE606" s="222"/>
      <c r="OLF606" s="222"/>
      <c r="OLG606" s="222"/>
      <c r="OLH606" s="222"/>
      <c r="OLI606" s="222"/>
      <c r="OLJ606" s="222"/>
      <c r="OLK606" s="223"/>
      <c r="OLL606" s="224"/>
      <c r="OLM606" s="222"/>
      <c r="OLN606" s="222"/>
      <c r="OLO606" s="222"/>
      <c r="OLP606" s="222"/>
      <c r="OLQ606" s="222"/>
      <c r="OLR606" s="222"/>
      <c r="OLS606" s="223"/>
      <c r="OLT606" s="224"/>
      <c r="OLU606" s="222"/>
      <c r="OLV606" s="222"/>
      <c r="OLW606" s="222"/>
      <c r="OLX606" s="222"/>
      <c r="OLY606" s="222"/>
      <c r="OLZ606" s="222"/>
      <c r="OMA606" s="223"/>
      <c r="OMB606" s="224"/>
      <c r="OMC606" s="222"/>
      <c r="OMD606" s="222"/>
      <c r="OME606" s="222"/>
      <c r="OMF606" s="222"/>
      <c r="OMG606" s="222"/>
      <c r="OMH606" s="222"/>
      <c r="OMI606" s="223"/>
      <c r="OMJ606" s="224"/>
      <c r="OMK606" s="222"/>
      <c r="OML606" s="222"/>
      <c r="OMM606" s="222"/>
      <c r="OMN606" s="222"/>
      <c r="OMO606" s="222"/>
      <c r="OMP606" s="222"/>
      <c r="OMQ606" s="223"/>
      <c r="OMR606" s="224"/>
      <c r="OMS606" s="222"/>
      <c r="OMT606" s="222"/>
      <c r="OMU606" s="222"/>
      <c r="OMV606" s="222"/>
      <c r="OMW606" s="222"/>
      <c r="OMX606" s="222"/>
      <c r="OMY606" s="223"/>
      <c r="OMZ606" s="224"/>
      <c r="ONA606" s="222"/>
      <c r="ONB606" s="222"/>
      <c r="ONC606" s="222"/>
      <c r="OND606" s="222"/>
      <c r="ONE606" s="222"/>
      <c r="ONF606" s="222"/>
      <c r="ONG606" s="223"/>
      <c r="ONH606" s="224"/>
      <c r="ONI606" s="222"/>
      <c r="ONJ606" s="222"/>
      <c r="ONK606" s="222"/>
      <c r="ONL606" s="222"/>
      <c r="ONM606" s="222"/>
      <c r="ONN606" s="222"/>
      <c r="ONO606" s="223"/>
      <c r="ONP606" s="224"/>
      <c r="ONQ606" s="222"/>
      <c r="ONR606" s="222"/>
      <c r="ONS606" s="222"/>
      <c r="ONT606" s="222"/>
      <c r="ONU606" s="222"/>
      <c r="ONV606" s="222"/>
      <c r="ONW606" s="223"/>
      <c r="ONX606" s="224"/>
      <c r="ONY606" s="222"/>
      <c r="ONZ606" s="222"/>
      <c r="OOA606" s="222"/>
      <c r="OOB606" s="222"/>
      <c r="OOC606" s="222"/>
      <c r="OOD606" s="222"/>
      <c r="OOE606" s="223"/>
      <c r="OOF606" s="224"/>
      <c r="OOG606" s="222"/>
      <c r="OOH606" s="222"/>
      <c r="OOI606" s="222"/>
      <c r="OOJ606" s="222"/>
      <c r="OOK606" s="222"/>
      <c r="OOL606" s="222"/>
      <c r="OOM606" s="223"/>
      <c r="OON606" s="224"/>
      <c r="OOO606" s="222"/>
      <c r="OOP606" s="222"/>
      <c r="OOQ606" s="222"/>
      <c r="OOR606" s="222"/>
      <c r="OOS606" s="222"/>
      <c r="OOT606" s="222"/>
      <c r="OOU606" s="223"/>
      <c r="OOV606" s="224"/>
      <c r="OOW606" s="222"/>
      <c r="OOX606" s="222"/>
      <c r="OOY606" s="222"/>
      <c r="OOZ606" s="222"/>
      <c r="OPA606" s="222"/>
      <c r="OPB606" s="222"/>
      <c r="OPC606" s="223"/>
      <c r="OPD606" s="224"/>
      <c r="OPE606" s="222"/>
      <c r="OPF606" s="222"/>
      <c r="OPG606" s="222"/>
      <c r="OPH606" s="222"/>
      <c r="OPI606" s="222"/>
      <c r="OPJ606" s="222"/>
      <c r="OPK606" s="223"/>
      <c r="OPL606" s="224"/>
      <c r="OPM606" s="222"/>
      <c r="OPN606" s="222"/>
      <c r="OPO606" s="222"/>
      <c r="OPP606" s="222"/>
      <c r="OPQ606" s="222"/>
      <c r="OPR606" s="222"/>
      <c r="OPS606" s="223"/>
      <c r="OPT606" s="224"/>
      <c r="OPU606" s="222"/>
      <c r="OPV606" s="222"/>
      <c r="OPW606" s="222"/>
      <c r="OPX606" s="222"/>
      <c r="OPY606" s="222"/>
      <c r="OPZ606" s="222"/>
      <c r="OQA606" s="223"/>
      <c r="OQB606" s="224"/>
      <c r="OQC606" s="222"/>
      <c r="OQD606" s="222"/>
      <c r="OQE606" s="222"/>
      <c r="OQF606" s="222"/>
      <c r="OQG606" s="222"/>
      <c r="OQH606" s="222"/>
      <c r="OQI606" s="223"/>
      <c r="OQJ606" s="224"/>
      <c r="OQK606" s="222"/>
      <c r="OQL606" s="222"/>
      <c r="OQM606" s="222"/>
      <c r="OQN606" s="222"/>
      <c r="OQO606" s="222"/>
      <c r="OQP606" s="222"/>
      <c r="OQQ606" s="223"/>
      <c r="OQR606" s="224"/>
      <c r="OQS606" s="222"/>
      <c r="OQT606" s="222"/>
      <c r="OQU606" s="222"/>
      <c r="OQV606" s="222"/>
      <c r="OQW606" s="222"/>
      <c r="OQX606" s="222"/>
      <c r="OQY606" s="223"/>
      <c r="OQZ606" s="224"/>
      <c r="ORA606" s="222"/>
      <c r="ORB606" s="222"/>
      <c r="ORC606" s="222"/>
      <c r="ORD606" s="222"/>
      <c r="ORE606" s="222"/>
      <c r="ORF606" s="222"/>
      <c r="ORG606" s="223"/>
      <c r="ORH606" s="224"/>
      <c r="ORI606" s="222"/>
      <c r="ORJ606" s="222"/>
      <c r="ORK606" s="222"/>
      <c r="ORL606" s="222"/>
      <c r="ORM606" s="222"/>
      <c r="ORN606" s="222"/>
      <c r="ORO606" s="223"/>
      <c r="ORP606" s="224"/>
      <c r="ORQ606" s="222"/>
      <c r="ORR606" s="222"/>
      <c r="ORS606" s="222"/>
      <c r="ORT606" s="222"/>
      <c r="ORU606" s="222"/>
      <c r="ORV606" s="222"/>
      <c r="ORW606" s="223"/>
      <c r="ORX606" s="224"/>
      <c r="ORY606" s="222"/>
      <c r="ORZ606" s="222"/>
      <c r="OSA606" s="222"/>
      <c r="OSB606" s="222"/>
      <c r="OSC606" s="222"/>
      <c r="OSD606" s="222"/>
      <c r="OSE606" s="223"/>
      <c r="OSF606" s="224"/>
      <c r="OSG606" s="222"/>
      <c r="OSH606" s="222"/>
      <c r="OSI606" s="222"/>
      <c r="OSJ606" s="222"/>
      <c r="OSK606" s="222"/>
      <c r="OSL606" s="222"/>
      <c r="OSM606" s="223"/>
      <c r="OSN606" s="224"/>
      <c r="OSO606" s="222"/>
      <c r="OSP606" s="222"/>
      <c r="OSQ606" s="222"/>
      <c r="OSR606" s="222"/>
      <c r="OSS606" s="222"/>
      <c r="OST606" s="222"/>
      <c r="OSU606" s="223"/>
      <c r="OSV606" s="224"/>
      <c r="OSW606" s="222"/>
      <c r="OSX606" s="222"/>
      <c r="OSY606" s="222"/>
      <c r="OSZ606" s="222"/>
      <c r="OTA606" s="222"/>
      <c r="OTB606" s="222"/>
      <c r="OTC606" s="223"/>
      <c r="OTD606" s="224"/>
      <c r="OTE606" s="222"/>
      <c r="OTF606" s="222"/>
      <c r="OTG606" s="222"/>
      <c r="OTH606" s="222"/>
      <c r="OTI606" s="222"/>
      <c r="OTJ606" s="222"/>
      <c r="OTK606" s="223"/>
      <c r="OTL606" s="224"/>
      <c r="OTM606" s="222"/>
      <c r="OTN606" s="222"/>
      <c r="OTO606" s="222"/>
      <c r="OTP606" s="222"/>
      <c r="OTQ606" s="222"/>
      <c r="OTR606" s="222"/>
      <c r="OTS606" s="223"/>
      <c r="OTT606" s="224"/>
      <c r="OTU606" s="222"/>
      <c r="OTV606" s="222"/>
      <c r="OTW606" s="222"/>
      <c r="OTX606" s="222"/>
      <c r="OTY606" s="222"/>
      <c r="OTZ606" s="222"/>
      <c r="OUA606" s="223"/>
      <c r="OUB606" s="224"/>
      <c r="OUC606" s="222"/>
      <c r="OUD606" s="222"/>
      <c r="OUE606" s="222"/>
      <c r="OUF606" s="222"/>
      <c r="OUG606" s="222"/>
      <c r="OUH606" s="222"/>
      <c r="OUI606" s="223"/>
      <c r="OUJ606" s="224"/>
      <c r="OUK606" s="222"/>
      <c r="OUL606" s="222"/>
      <c r="OUM606" s="222"/>
      <c r="OUN606" s="222"/>
      <c r="OUO606" s="222"/>
      <c r="OUP606" s="222"/>
      <c r="OUQ606" s="223"/>
      <c r="OUR606" s="224"/>
      <c r="OUS606" s="222"/>
      <c r="OUT606" s="222"/>
      <c r="OUU606" s="222"/>
      <c r="OUV606" s="222"/>
      <c r="OUW606" s="222"/>
      <c r="OUX606" s="222"/>
      <c r="OUY606" s="223"/>
      <c r="OUZ606" s="224"/>
      <c r="OVA606" s="222"/>
      <c r="OVB606" s="222"/>
      <c r="OVC606" s="222"/>
      <c r="OVD606" s="222"/>
      <c r="OVE606" s="222"/>
      <c r="OVF606" s="222"/>
      <c r="OVG606" s="223"/>
      <c r="OVH606" s="224"/>
      <c r="OVI606" s="222"/>
      <c r="OVJ606" s="222"/>
      <c r="OVK606" s="222"/>
      <c r="OVL606" s="222"/>
      <c r="OVM606" s="222"/>
      <c r="OVN606" s="222"/>
      <c r="OVO606" s="223"/>
      <c r="OVP606" s="224"/>
      <c r="OVQ606" s="222"/>
      <c r="OVR606" s="222"/>
      <c r="OVS606" s="222"/>
      <c r="OVT606" s="222"/>
      <c r="OVU606" s="222"/>
      <c r="OVV606" s="222"/>
      <c r="OVW606" s="223"/>
      <c r="OVX606" s="224"/>
      <c r="OVY606" s="222"/>
      <c r="OVZ606" s="222"/>
      <c r="OWA606" s="222"/>
      <c r="OWB606" s="222"/>
      <c r="OWC606" s="222"/>
      <c r="OWD606" s="222"/>
      <c r="OWE606" s="223"/>
      <c r="OWF606" s="224"/>
      <c r="OWG606" s="222"/>
      <c r="OWH606" s="222"/>
      <c r="OWI606" s="222"/>
      <c r="OWJ606" s="222"/>
      <c r="OWK606" s="222"/>
      <c r="OWL606" s="222"/>
      <c r="OWM606" s="223"/>
      <c r="OWN606" s="224"/>
      <c r="OWO606" s="222"/>
      <c r="OWP606" s="222"/>
      <c r="OWQ606" s="222"/>
      <c r="OWR606" s="222"/>
      <c r="OWS606" s="222"/>
      <c r="OWT606" s="222"/>
      <c r="OWU606" s="223"/>
      <c r="OWV606" s="224"/>
      <c r="OWW606" s="222"/>
      <c r="OWX606" s="222"/>
      <c r="OWY606" s="222"/>
      <c r="OWZ606" s="222"/>
      <c r="OXA606" s="222"/>
      <c r="OXB606" s="222"/>
      <c r="OXC606" s="223"/>
      <c r="OXD606" s="224"/>
      <c r="OXE606" s="222"/>
      <c r="OXF606" s="222"/>
      <c r="OXG606" s="222"/>
      <c r="OXH606" s="222"/>
      <c r="OXI606" s="222"/>
      <c r="OXJ606" s="222"/>
      <c r="OXK606" s="223"/>
      <c r="OXL606" s="224"/>
      <c r="OXM606" s="222"/>
      <c r="OXN606" s="222"/>
      <c r="OXO606" s="222"/>
      <c r="OXP606" s="222"/>
      <c r="OXQ606" s="222"/>
      <c r="OXR606" s="222"/>
      <c r="OXS606" s="223"/>
      <c r="OXT606" s="224"/>
      <c r="OXU606" s="222"/>
      <c r="OXV606" s="222"/>
      <c r="OXW606" s="222"/>
      <c r="OXX606" s="222"/>
      <c r="OXY606" s="222"/>
      <c r="OXZ606" s="222"/>
      <c r="OYA606" s="223"/>
      <c r="OYB606" s="224"/>
      <c r="OYC606" s="222"/>
      <c r="OYD606" s="222"/>
      <c r="OYE606" s="222"/>
      <c r="OYF606" s="222"/>
      <c r="OYG606" s="222"/>
      <c r="OYH606" s="222"/>
      <c r="OYI606" s="223"/>
      <c r="OYJ606" s="224"/>
      <c r="OYK606" s="222"/>
      <c r="OYL606" s="222"/>
      <c r="OYM606" s="222"/>
      <c r="OYN606" s="222"/>
      <c r="OYO606" s="222"/>
      <c r="OYP606" s="222"/>
      <c r="OYQ606" s="223"/>
      <c r="OYR606" s="224"/>
      <c r="OYS606" s="222"/>
      <c r="OYT606" s="222"/>
      <c r="OYU606" s="222"/>
      <c r="OYV606" s="222"/>
      <c r="OYW606" s="222"/>
      <c r="OYX606" s="222"/>
      <c r="OYY606" s="223"/>
      <c r="OYZ606" s="224"/>
      <c r="OZA606" s="222"/>
      <c r="OZB606" s="222"/>
      <c r="OZC606" s="222"/>
      <c r="OZD606" s="222"/>
      <c r="OZE606" s="222"/>
      <c r="OZF606" s="222"/>
      <c r="OZG606" s="223"/>
      <c r="OZH606" s="224"/>
      <c r="OZI606" s="222"/>
      <c r="OZJ606" s="222"/>
      <c r="OZK606" s="222"/>
      <c r="OZL606" s="222"/>
      <c r="OZM606" s="222"/>
      <c r="OZN606" s="222"/>
      <c r="OZO606" s="223"/>
      <c r="OZP606" s="224"/>
      <c r="OZQ606" s="222"/>
      <c r="OZR606" s="222"/>
      <c r="OZS606" s="222"/>
      <c r="OZT606" s="222"/>
      <c r="OZU606" s="222"/>
      <c r="OZV606" s="222"/>
      <c r="OZW606" s="223"/>
      <c r="OZX606" s="224"/>
      <c r="OZY606" s="222"/>
      <c r="OZZ606" s="222"/>
      <c r="PAA606" s="222"/>
      <c r="PAB606" s="222"/>
      <c r="PAC606" s="222"/>
      <c r="PAD606" s="222"/>
      <c r="PAE606" s="223"/>
      <c r="PAF606" s="224"/>
      <c r="PAG606" s="222"/>
      <c r="PAH606" s="222"/>
      <c r="PAI606" s="222"/>
      <c r="PAJ606" s="222"/>
      <c r="PAK606" s="222"/>
      <c r="PAL606" s="222"/>
      <c r="PAM606" s="223"/>
      <c r="PAN606" s="224"/>
      <c r="PAO606" s="222"/>
      <c r="PAP606" s="222"/>
      <c r="PAQ606" s="222"/>
      <c r="PAR606" s="222"/>
      <c r="PAS606" s="222"/>
      <c r="PAT606" s="222"/>
      <c r="PAU606" s="223"/>
      <c r="PAV606" s="224"/>
      <c r="PAW606" s="222"/>
      <c r="PAX606" s="222"/>
      <c r="PAY606" s="222"/>
      <c r="PAZ606" s="222"/>
      <c r="PBA606" s="222"/>
      <c r="PBB606" s="222"/>
      <c r="PBC606" s="223"/>
      <c r="PBD606" s="224"/>
      <c r="PBE606" s="222"/>
      <c r="PBF606" s="222"/>
      <c r="PBG606" s="222"/>
      <c r="PBH606" s="222"/>
      <c r="PBI606" s="222"/>
      <c r="PBJ606" s="222"/>
      <c r="PBK606" s="223"/>
      <c r="PBL606" s="224"/>
      <c r="PBM606" s="222"/>
      <c r="PBN606" s="222"/>
      <c r="PBO606" s="222"/>
      <c r="PBP606" s="222"/>
      <c r="PBQ606" s="222"/>
      <c r="PBR606" s="222"/>
      <c r="PBS606" s="223"/>
      <c r="PBT606" s="224"/>
      <c r="PBU606" s="222"/>
      <c r="PBV606" s="222"/>
      <c r="PBW606" s="222"/>
      <c r="PBX606" s="222"/>
      <c r="PBY606" s="222"/>
      <c r="PBZ606" s="222"/>
      <c r="PCA606" s="223"/>
      <c r="PCB606" s="224"/>
      <c r="PCC606" s="222"/>
      <c r="PCD606" s="222"/>
      <c r="PCE606" s="222"/>
      <c r="PCF606" s="222"/>
      <c r="PCG606" s="222"/>
      <c r="PCH606" s="222"/>
      <c r="PCI606" s="223"/>
      <c r="PCJ606" s="224"/>
      <c r="PCK606" s="222"/>
      <c r="PCL606" s="222"/>
      <c r="PCM606" s="222"/>
      <c r="PCN606" s="222"/>
      <c r="PCO606" s="222"/>
      <c r="PCP606" s="222"/>
      <c r="PCQ606" s="223"/>
      <c r="PCR606" s="224"/>
      <c r="PCS606" s="222"/>
      <c r="PCT606" s="222"/>
      <c r="PCU606" s="222"/>
      <c r="PCV606" s="222"/>
      <c r="PCW606" s="222"/>
      <c r="PCX606" s="222"/>
      <c r="PCY606" s="223"/>
      <c r="PCZ606" s="224"/>
      <c r="PDA606" s="222"/>
      <c r="PDB606" s="222"/>
      <c r="PDC606" s="222"/>
      <c r="PDD606" s="222"/>
      <c r="PDE606" s="222"/>
      <c r="PDF606" s="222"/>
      <c r="PDG606" s="223"/>
      <c r="PDH606" s="224"/>
      <c r="PDI606" s="222"/>
      <c r="PDJ606" s="222"/>
      <c r="PDK606" s="222"/>
      <c r="PDL606" s="222"/>
      <c r="PDM606" s="222"/>
      <c r="PDN606" s="222"/>
      <c r="PDO606" s="223"/>
      <c r="PDP606" s="224"/>
      <c r="PDQ606" s="222"/>
      <c r="PDR606" s="222"/>
      <c r="PDS606" s="222"/>
      <c r="PDT606" s="222"/>
      <c r="PDU606" s="222"/>
      <c r="PDV606" s="222"/>
      <c r="PDW606" s="223"/>
      <c r="PDX606" s="224"/>
      <c r="PDY606" s="222"/>
      <c r="PDZ606" s="222"/>
      <c r="PEA606" s="222"/>
      <c r="PEB606" s="222"/>
      <c r="PEC606" s="222"/>
      <c r="PED606" s="222"/>
      <c r="PEE606" s="223"/>
      <c r="PEF606" s="224"/>
      <c r="PEG606" s="222"/>
      <c r="PEH606" s="222"/>
      <c r="PEI606" s="222"/>
      <c r="PEJ606" s="222"/>
      <c r="PEK606" s="222"/>
      <c r="PEL606" s="222"/>
      <c r="PEM606" s="223"/>
      <c r="PEN606" s="224"/>
      <c r="PEO606" s="222"/>
      <c r="PEP606" s="222"/>
      <c r="PEQ606" s="222"/>
      <c r="PER606" s="222"/>
      <c r="PES606" s="222"/>
      <c r="PET606" s="222"/>
      <c r="PEU606" s="223"/>
      <c r="PEV606" s="224"/>
      <c r="PEW606" s="222"/>
      <c r="PEX606" s="222"/>
      <c r="PEY606" s="222"/>
      <c r="PEZ606" s="222"/>
      <c r="PFA606" s="222"/>
      <c r="PFB606" s="222"/>
      <c r="PFC606" s="223"/>
      <c r="PFD606" s="224"/>
      <c r="PFE606" s="222"/>
      <c r="PFF606" s="222"/>
      <c r="PFG606" s="222"/>
      <c r="PFH606" s="222"/>
      <c r="PFI606" s="222"/>
      <c r="PFJ606" s="222"/>
      <c r="PFK606" s="223"/>
      <c r="PFL606" s="224"/>
      <c r="PFM606" s="222"/>
      <c r="PFN606" s="222"/>
      <c r="PFO606" s="222"/>
      <c r="PFP606" s="222"/>
      <c r="PFQ606" s="222"/>
      <c r="PFR606" s="222"/>
      <c r="PFS606" s="223"/>
      <c r="PFT606" s="224"/>
      <c r="PFU606" s="222"/>
      <c r="PFV606" s="222"/>
      <c r="PFW606" s="222"/>
      <c r="PFX606" s="222"/>
      <c r="PFY606" s="222"/>
      <c r="PFZ606" s="222"/>
      <c r="PGA606" s="223"/>
      <c r="PGB606" s="224"/>
      <c r="PGC606" s="222"/>
      <c r="PGD606" s="222"/>
      <c r="PGE606" s="222"/>
      <c r="PGF606" s="222"/>
      <c r="PGG606" s="222"/>
      <c r="PGH606" s="222"/>
      <c r="PGI606" s="223"/>
      <c r="PGJ606" s="224"/>
      <c r="PGK606" s="222"/>
      <c r="PGL606" s="222"/>
      <c r="PGM606" s="222"/>
      <c r="PGN606" s="222"/>
      <c r="PGO606" s="222"/>
      <c r="PGP606" s="222"/>
      <c r="PGQ606" s="223"/>
      <c r="PGR606" s="224"/>
      <c r="PGS606" s="222"/>
      <c r="PGT606" s="222"/>
      <c r="PGU606" s="222"/>
      <c r="PGV606" s="222"/>
      <c r="PGW606" s="222"/>
      <c r="PGX606" s="222"/>
      <c r="PGY606" s="223"/>
      <c r="PGZ606" s="224"/>
      <c r="PHA606" s="222"/>
      <c r="PHB606" s="222"/>
      <c r="PHC606" s="222"/>
      <c r="PHD606" s="222"/>
      <c r="PHE606" s="222"/>
      <c r="PHF606" s="222"/>
      <c r="PHG606" s="223"/>
      <c r="PHH606" s="224"/>
      <c r="PHI606" s="222"/>
      <c r="PHJ606" s="222"/>
      <c r="PHK606" s="222"/>
      <c r="PHL606" s="222"/>
      <c r="PHM606" s="222"/>
      <c r="PHN606" s="222"/>
      <c r="PHO606" s="223"/>
      <c r="PHP606" s="224"/>
      <c r="PHQ606" s="222"/>
      <c r="PHR606" s="222"/>
      <c r="PHS606" s="222"/>
      <c r="PHT606" s="222"/>
      <c r="PHU606" s="222"/>
      <c r="PHV606" s="222"/>
      <c r="PHW606" s="223"/>
      <c r="PHX606" s="224"/>
      <c r="PHY606" s="222"/>
      <c r="PHZ606" s="222"/>
      <c r="PIA606" s="222"/>
      <c r="PIB606" s="222"/>
      <c r="PIC606" s="222"/>
      <c r="PID606" s="222"/>
      <c r="PIE606" s="223"/>
      <c r="PIF606" s="224"/>
      <c r="PIG606" s="222"/>
      <c r="PIH606" s="222"/>
      <c r="PII606" s="222"/>
      <c r="PIJ606" s="222"/>
      <c r="PIK606" s="222"/>
      <c r="PIL606" s="222"/>
      <c r="PIM606" s="223"/>
      <c r="PIN606" s="224"/>
      <c r="PIO606" s="222"/>
      <c r="PIP606" s="222"/>
      <c r="PIQ606" s="222"/>
      <c r="PIR606" s="222"/>
      <c r="PIS606" s="222"/>
      <c r="PIT606" s="222"/>
      <c r="PIU606" s="223"/>
      <c r="PIV606" s="224"/>
      <c r="PIW606" s="222"/>
      <c r="PIX606" s="222"/>
      <c r="PIY606" s="222"/>
      <c r="PIZ606" s="222"/>
      <c r="PJA606" s="222"/>
      <c r="PJB606" s="222"/>
      <c r="PJC606" s="223"/>
      <c r="PJD606" s="224"/>
      <c r="PJE606" s="222"/>
      <c r="PJF606" s="222"/>
      <c r="PJG606" s="222"/>
      <c r="PJH606" s="222"/>
      <c r="PJI606" s="222"/>
      <c r="PJJ606" s="222"/>
      <c r="PJK606" s="223"/>
      <c r="PJL606" s="224"/>
      <c r="PJM606" s="222"/>
      <c r="PJN606" s="222"/>
      <c r="PJO606" s="222"/>
      <c r="PJP606" s="222"/>
      <c r="PJQ606" s="222"/>
      <c r="PJR606" s="222"/>
      <c r="PJS606" s="223"/>
      <c r="PJT606" s="224"/>
      <c r="PJU606" s="222"/>
      <c r="PJV606" s="222"/>
      <c r="PJW606" s="222"/>
      <c r="PJX606" s="222"/>
      <c r="PJY606" s="222"/>
      <c r="PJZ606" s="222"/>
      <c r="PKA606" s="223"/>
      <c r="PKB606" s="224"/>
      <c r="PKC606" s="222"/>
      <c r="PKD606" s="222"/>
      <c r="PKE606" s="222"/>
      <c r="PKF606" s="222"/>
      <c r="PKG606" s="222"/>
      <c r="PKH606" s="222"/>
      <c r="PKI606" s="223"/>
      <c r="PKJ606" s="224"/>
      <c r="PKK606" s="222"/>
      <c r="PKL606" s="222"/>
      <c r="PKM606" s="222"/>
      <c r="PKN606" s="222"/>
      <c r="PKO606" s="222"/>
      <c r="PKP606" s="222"/>
      <c r="PKQ606" s="223"/>
      <c r="PKR606" s="224"/>
      <c r="PKS606" s="222"/>
      <c r="PKT606" s="222"/>
      <c r="PKU606" s="222"/>
      <c r="PKV606" s="222"/>
      <c r="PKW606" s="222"/>
      <c r="PKX606" s="222"/>
      <c r="PKY606" s="223"/>
      <c r="PKZ606" s="224"/>
      <c r="PLA606" s="222"/>
      <c r="PLB606" s="222"/>
      <c r="PLC606" s="222"/>
      <c r="PLD606" s="222"/>
      <c r="PLE606" s="222"/>
      <c r="PLF606" s="222"/>
      <c r="PLG606" s="223"/>
      <c r="PLH606" s="224"/>
      <c r="PLI606" s="222"/>
      <c r="PLJ606" s="222"/>
      <c r="PLK606" s="222"/>
      <c r="PLL606" s="222"/>
      <c r="PLM606" s="222"/>
      <c r="PLN606" s="222"/>
      <c r="PLO606" s="223"/>
      <c r="PLP606" s="224"/>
      <c r="PLQ606" s="222"/>
      <c r="PLR606" s="222"/>
      <c r="PLS606" s="222"/>
      <c r="PLT606" s="222"/>
      <c r="PLU606" s="222"/>
      <c r="PLV606" s="222"/>
      <c r="PLW606" s="223"/>
      <c r="PLX606" s="224"/>
      <c r="PLY606" s="222"/>
      <c r="PLZ606" s="222"/>
      <c r="PMA606" s="222"/>
      <c r="PMB606" s="222"/>
      <c r="PMC606" s="222"/>
      <c r="PMD606" s="222"/>
      <c r="PME606" s="223"/>
      <c r="PMF606" s="224"/>
      <c r="PMG606" s="222"/>
      <c r="PMH606" s="222"/>
      <c r="PMI606" s="222"/>
      <c r="PMJ606" s="222"/>
      <c r="PMK606" s="222"/>
      <c r="PML606" s="222"/>
      <c r="PMM606" s="223"/>
      <c r="PMN606" s="224"/>
      <c r="PMO606" s="222"/>
      <c r="PMP606" s="222"/>
      <c r="PMQ606" s="222"/>
      <c r="PMR606" s="222"/>
      <c r="PMS606" s="222"/>
      <c r="PMT606" s="222"/>
      <c r="PMU606" s="223"/>
      <c r="PMV606" s="224"/>
      <c r="PMW606" s="222"/>
      <c r="PMX606" s="222"/>
      <c r="PMY606" s="222"/>
      <c r="PMZ606" s="222"/>
      <c r="PNA606" s="222"/>
      <c r="PNB606" s="222"/>
      <c r="PNC606" s="223"/>
      <c r="PND606" s="224"/>
      <c r="PNE606" s="222"/>
      <c r="PNF606" s="222"/>
      <c r="PNG606" s="222"/>
      <c r="PNH606" s="222"/>
      <c r="PNI606" s="222"/>
      <c r="PNJ606" s="222"/>
      <c r="PNK606" s="223"/>
      <c r="PNL606" s="224"/>
      <c r="PNM606" s="222"/>
      <c r="PNN606" s="222"/>
      <c r="PNO606" s="222"/>
      <c r="PNP606" s="222"/>
      <c r="PNQ606" s="222"/>
      <c r="PNR606" s="222"/>
      <c r="PNS606" s="223"/>
      <c r="PNT606" s="224"/>
      <c r="PNU606" s="222"/>
      <c r="PNV606" s="222"/>
      <c r="PNW606" s="222"/>
      <c r="PNX606" s="222"/>
      <c r="PNY606" s="222"/>
      <c r="PNZ606" s="222"/>
      <c r="POA606" s="223"/>
      <c r="POB606" s="224"/>
      <c r="POC606" s="222"/>
      <c r="POD606" s="222"/>
      <c r="POE606" s="222"/>
      <c r="POF606" s="222"/>
      <c r="POG606" s="222"/>
      <c r="POH606" s="222"/>
      <c r="POI606" s="223"/>
      <c r="POJ606" s="224"/>
      <c r="POK606" s="222"/>
      <c r="POL606" s="222"/>
      <c r="POM606" s="222"/>
      <c r="PON606" s="222"/>
      <c r="POO606" s="222"/>
      <c r="POP606" s="222"/>
      <c r="POQ606" s="223"/>
      <c r="POR606" s="224"/>
      <c r="POS606" s="222"/>
      <c r="POT606" s="222"/>
      <c r="POU606" s="222"/>
      <c r="POV606" s="222"/>
      <c r="POW606" s="222"/>
      <c r="POX606" s="222"/>
      <c r="POY606" s="223"/>
      <c r="POZ606" s="224"/>
      <c r="PPA606" s="222"/>
      <c r="PPB606" s="222"/>
      <c r="PPC606" s="222"/>
      <c r="PPD606" s="222"/>
      <c r="PPE606" s="222"/>
      <c r="PPF606" s="222"/>
      <c r="PPG606" s="223"/>
      <c r="PPH606" s="224"/>
      <c r="PPI606" s="222"/>
      <c r="PPJ606" s="222"/>
      <c r="PPK606" s="222"/>
      <c r="PPL606" s="222"/>
      <c r="PPM606" s="222"/>
      <c r="PPN606" s="222"/>
      <c r="PPO606" s="223"/>
      <c r="PPP606" s="224"/>
      <c r="PPQ606" s="222"/>
      <c r="PPR606" s="222"/>
      <c r="PPS606" s="222"/>
      <c r="PPT606" s="222"/>
      <c r="PPU606" s="222"/>
      <c r="PPV606" s="222"/>
      <c r="PPW606" s="223"/>
      <c r="PPX606" s="224"/>
      <c r="PPY606" s="222"/>
      <c r="PPZ606" s="222"/>
      <c r="PQA606" s="222"/>
      <c r="PQB606" s="222"/>
      <c r="PQC606" s="222"/>
      <c r="PQD606" s="222"/>
      <c r="PQE606" s="223"/>
      <c r="PQF606" s="224"/>
      <c r="PQG606" s="222"/>
      <c r="PQH606" s="222"/>
      <c r="PQI606" s="222"/>
      <c r="PQJ606" s="222"/>
      <c r="PQK606" s="222"/>
      <c r="PQL606" s="222"/>
      <c r="PQM606" s="223"/>
      <c r="PQN606" s="224"/>
      <c r="PQO606" s="222"/>
      <c r="PQP606" s="222"/>
      <c r="PQQ606" s="222"/>
      <c r="PQR606" s="222"/>
      <c r="PQS606" s="222"/>
      <c r="PQT606" s="222"/>
      <c r="PQU606" s="223"/>
      <c r="PQV606" s="224"/>
      <c r="PQW606" s="222"/>
      <c r="PQX606" s="222"/>
      <c r="PQY606" s="222"/>
      <c r="PQZ606" s="222"/>
      <c r="PRA606" s="222"/>
      <c r="PRB606" s="222"/>
      <c r="PRC606" s="223"/>
      <c r="PRD606" s="224"/>
      <c r="PRE606" s="222"/>
      <c r="PRF606" s="222"/>
      <c r="PRG606" s="222"/>
      <c r="PRH606" s="222"/>
      <c r="PRI606" s="222"/>
      <c r="PRJ606" s="222"/>
      <c r="PRK606" s="223"/>
      <c r="PRL606" s="224"/>
      <c r="PRM606" s="222"/>
      <c r="PRN606" s="222"/>
      <c r="PRO606" s="222"/>
      <c r="PRP606" s="222"/>
      <c r="PRQ606" s="222"/>
      <c r="PRR606" s="222"/>
      <c r="PRS606" s="223"/>
      <c r="PRT606" s="224"/>
      <c r="PRU606" s="222"/>
      <c r="PRV606" s="222"/>
      <c r="PRW606" s="222"/>
      <c r="PRX606" s="222"/>
      <c r="PRY606" s="222"/>
      <c r="PRZ606" s="222"/>
      <c r="PSA606" s="223"/>
      <c r="PSB606" s="224"/>
      <c r="PSC606" s="222"/>
      <c r="PSD606" s="222"/>
      <c r="PSE606" s="222"/>
      <c r="PSF606" s="222"/>
      <c r="PSG606" s="222"/>
      <c r="PSH606" s="222"/>
      <c r="PSI606" s="223"/>
      <c r="PSJ606" s="224"/>
      <c r="PSK606" s="222"/>
      <c r="PSL606" s="222"/>
      <c r="PSM606" s="222"/>
      <c r="PSN606" s="222"/>
      <c r="PSO606" s="222"/>
      <c r="PSP606" s="222"/>
      <c r="PSQ606" s="223"/>
      <c r="PSR606" s="224"/>
      <c r="PSS606" s="222"/>
      <c r="PST606" s="222"/>
      <c r="PSU606" s="222"/>
      <c r="PSV606" s="222"/>
      <c r="PSW606" s="222"/>
      <c r="PSX606" s="222"/>
      <c r="PSY606" s="223"/>
      <c r="PSZ606" s="224"/>
      <c r="PTA606" s="222"/>
      <c r="PTB606" s="222"/>
      <c r="PTC606" s="222"/>
      <c r="PTD606" s="222"/>
      <c r="PTE606" s="222"/>
      <c r="PTF606" s="222"/>
      <c r="PTG606" s="223"/>
      <c r="PTH606" s="224"/>
      <c r="PTI606" s="222"/>
      <c r="PTJ606" s="222"/>
      <c r="PTK606" s="222"/>
      <c r="PTL606" s="222"/>
      <c r="PTM606" s="222"/>
      <c r="PTN606" s="222"/>
      <c r="PTO606" s="223"/>
      <c r="PTP606" s="224"/>
      <c r="PTQ606" s="222"/>
      <c r="PTR606" s="222"/>
      <c r="PTS606" s="222"/>
      <c r="PTT606" s="222"/>
      <c r="PTU606" s="222"/>
      <c r="PTV606" s="222"/>
      <c r="PTW606" s="223"/>
      <c r="PTX606" s="224"/>
      <c r="PTY606" s="222"/>
      <c r="PTZ606" s="222"/>
      <c r="PUA606" s="222"/>
      <c r="PUB606" s="222"/>
      <c r="PUC606" s="222"/>
      <c r="PUD606" s="222"/>
      <c r="PUE606" s="223"/>
      <c r="PUF606" s="224"/>
      <c r="PUG606" s="222"/>
      <c r="PUH606" s="222"/>
      <c r="PUI606" s="222"/>
      <c r="PUJ606" s="222"/>
      <c r="PUK606" s="222"/>
      <c r="PUL606" s="222"/>
      <c r="PUM606" s="223"/>
      <c r="PUN606" s="224"/>
      <c r="PUO606" s="222"/>
      <c r="PUP606" s="222"/>
      <c r="PUQ606" s="222"/>
      <c r="PUR606" s="222"/>
      <c r="PUS606" s="222"/>
      <c r="PUT606" s="222"/>
      <c r="PUU606" s="223"/>
      <c r="PUV606" s="224"/>
      <c r="PUW606" s="222"/>
      <c r="PUX606" s="222"/>
      <c r="PUY606" s="222"/>
      <c r="PUZ606" s="222"/>
      <c r="PVA606" s="222"/>
      <c r="PVB606" s="222"/>
      <c r="PVC606" s="223"/>
      <c r="PVD606" s="224"/>
      <c r="PVE606" s="222"/>
      <c r="PVF606" s="222"/>
      <c r="PVG606" s="222"/>
      <c r="PVH606" s="222"/>
      <c r="PVI606" s="222"/>
      <c r="PVJ606" s="222"/>
      <c r="PVK606" s="223"/>
      <c r="PVL606" s="224"/>
      <c r="PVM606" s="222"/>
      <c r="PVN606" s="222"/>
      <c r="PVO606" s="222"/>
      <c r="PVP606" s="222"/>
      <c r="PVQ606" s="222"/>
      <c r="PVR606" s="222"/>
      <c r="PVS606" s="223"/>
      <c r="PVT606" s="224"/>
      <c r="PVU606" s="222"/>
      <c r="PVV606" s="222"/>
      <c r="PVW606" s="222"/>
      <c r="PVX606" s="222"/>
      <c r="PVY606" s="222"/>
      <c r="PVZ606" s="222"/>
      <c r="PWA606" s="223"/>
      <c r="PWB606" s="224"/>
      <c r="PWC606" s="222"/>
      <c r="PWD606" s="222"/>
      <c r="PWE606" s="222"/>
      <c r="PWF606" s="222"/>
      <c r="PWG606" s="222"/>
      <c r="PWH606" s="222"/>
      <c r="PWI606" s="223"/>
      <c r="PWJ606" s="224"/>
      <c r="PWK606" s="222"/>
      <c r="PWL606" s="222"/>
      <c r="PWM606" s="222"/>
      <c r="PWN606" s="222"/>
      <c r="PWO606" s="222"/>
      <c r="PWP606" s="222"/>
      <c r="PWQ606" s="223"/>
      <c r="PWR606" s="224"/>
      <c r="PWS606" s="222"/>
      <c r="PWT606" s="222"/>
      <c r="PWU606" s="222"/>
      <c r="PWV606" s="222"/>
      <c r="PWW606" s="222"/>
      <c r="PWX606" s="222"/>
      <c r="PWY606" s="223"/>
      <c r="PWZ606" s="224"/>
      <c r="PXA606" s="222"/>
      <c r="PXB606" s="222"/>
      <c r="PXC606" s="222"/>
      <c r="PXD606" s="222"/>
      <c r="PXE606" s="222"/>
      <c r="PXF606" s="222"/>
      <c r="PXG606" s="223"/>
      <c r="PXH606" s="224"/>
      <c r="PXI606" s="222"/>
      <c r="PXJ606" s="222"/>
      <c r="PXK606" s="222"/>
      <c r="PXL606" s="222"/>
      <c r="PXM606" s="222"/>
      <c r="PXN606" s="222"/>
      <c r="PXO606" s="223"/>
      <c r="PXP606" s="224"/>
      <c r="PXQ606" s="222"/>
      <c r="PXR606" s="222"/>
      <c r="PXS606" s="222"/>
      <c r="PXT606" s="222"/>
      <c r="PXU606" s="222"/>
      <c r="PXV606" s="222"/>
      <c r="PXW606" s="223"/>
      <c r="PXX606" s="224"/>
      <c r="PXY606" s="222"/>
      <c r="PXZ606" s="222"/>
      <c r="PYA606" s="222"/>
      <c r="PYB606" s="222"/>
      <c r="PYC606" s="222"/>
      <c r="PYD606" s="222"/>
      <c r="PYE606" s="223"/>
      <c r="PYF606" s="224"/>
      <c r="PYG606" s="222"/>
      <c r="PYH606" s="222"/>
      <c r="PYI606" s="222"/>
      <c r="PYJ606" s="222"/>
      <c r="PYK606" s="222"/>
      <c r="PYL606" s="222"/>
      <c r="PYM606" s="223"/>
      <c r="PYN606" s="224"/>
      <c r="PYO606" s="222"/>
      <c r="PYP606" s="222"/>
      <c r="PYQ606" s="222"/>
      <c r="PYR606" s="222"/>
      <c r="PYS606" s="222"/>
      <c r="PYT606" s="222"/>
      <c r="PYU606" s="223"/>
      <c r="PYV606" s="224"/>
      <c r="PYW606" s="222"/>
      <c r="PYX606" s="222"/>
      <c r="PYY606" s="222"/>
      <c r="PYZ606" s="222"/>
      <c r="PZA606" s="222"/>
      <c r="PZB606" s="222"/>
      <c r="PZC606" s="223"/>
      <c r="PZD606" s="224"/>
      <c r="PZE606" s="222"/>
      <c r="PZF606" s="222"/>
      <c r="PZG606" s="222"/>
      <c r="PZH606" s="222"/>
      <c r="PZI606" s="222"/>
      <c r="PZJ606" s="222"/>
      <c r="PZK606" s="223"/>
      <c r="PZL606" s="224"/>
      <c r="PZM606" s="222"/>
      <c r="PZN606" s="222"/>
      <c r="PZO606" s="222"/>
      <c r="PZP606" s="222"/>
      <c r="PZQ606" s="222"/>
      <c r="PZR606" s="222"/>
      <c r="PZS606" s="223"/>
      <c r="PZT606" s="224"/>
      <c r="PZU606" s="222"/>
      <c r="PZV606" s="222"/>
      <c r="PZW606" s="222"/>
      <c r="PZX606" s="222"/>
      <c r="PZY606" s="222"/>
      <c r="PZZ606" s="222"/>
      <c r="QAA606" s="223"/>
      <c r="QAB606" s="224"/>
      <c r="QAC606" s="222"/>
      <c r="QAD606" s="222"/>
      <c r="QAE606" s="222"/>
      <c r="QAF606" s="222"/>
      <c r="QAG606" s="222"/>
      <c r="QAH606" s="222"/>
      <c r="QAI606" s="223"/>
      <c r="QAJ606" s="224"/>
      <c r="QAK606" s="222"/>
      <c r="QAL606" s="222"/>
      <c r="QAM606" s="222"/>
      <c r="QAN606" s="222"/>
      <c r="QAO606" s="222"/>
      <c r="QAP606" s="222"/>
      <c r="QAQ606" s="223"/>
      <c r="QAR606" s="224"/>
      <c r="QAS606" s="222"/>
      <c r="QAT606" s="222"/>
      <c r="QAU606" s="222"/>
      <c r="QAV606" s="222"/>
      <c r="QAW606" s="222"/>
      <c r="QAX606" s="222"/>
      <c r="QAY606" s="223"/>
      <c r="QAZ606" s="224"/>
      <c r="QBA606" s="222"/>
      <c r="QBB606" s="222"/>
      <c r="QBC606" s="222"/>
      <c r="QBD606" s="222"/>
      <c r="QBE606" s="222"/>
      <c r="QBF606" s="222"/>
      <c r="QBG606" s="223"/>
      <c r="QBH606" s="224"/>
      <c r="QBI606" s="222"/>
      <c r="QBJ606" s="222"/>
      <c r="QBK606" s="222"/>
      <c r="QBL606" s="222"/>
      <c r="QBM606" s="222"/>
      <c r="QBN606" s="222"/>
      <c r="QBO606" s="223"/>
      <c r="QBP606" s="224"/>
      <c r="QBQ606" s="222"/>
      <c r="QBR606" s="222"/>
      <c r="QBS606" s="222"/>
      <c r="QBT606" s="222"/>
      <c r="QBU606" s="222"/>
      <c r="QBV606" s="222"/>
      <c r="QBW606" s="223"/>
      <c r="QBX606" s="224"/>
      <c r="QBY606" s="222"/>
      <c r="QBZ606" s="222"/>
      <c r="QCA606" s="222"/>
      <c r="QCB606" s="222"/>
      <c r="QCC606" s="222"/>
      <c r="QCD606" s="222"/>
      <c r="QCE606" s="223"/>
      <c r="QCF606" s="224"/>
      <c r="QCG606" s="222"/>
      <c r="QCH606" s="222"/>
      <c r="QCI606" s="222"/>
      <c r="QCJ606" s="222"/>
      <c r="QCK606" s="222"/>
      <c r="QCL606" s="222"/>
      <c r="QCM606" s="223"/>
      <c r="QCN606" s="224"/>
      <c r="QCO606" s="222"/>
      <c r="QCP606" s="222"/>
      <c r="QCQ606" s="222"/>
      <c r="QCR606" s="222"/>
      <c r="QCS606" s="222"/>
      <c r="QCT606" s="222"/>
      <c r="QCU606" s="223"/>
      <c r="QCV606" s="224"/>
      <c r="QCW606" s="222"/>
      <c r="QCX606" s="222"/>
      <c r="QCY606" s="222"/>
      <c r="QCZ606" s="222"/>
      <c r="QDA606" s="222"/>
      <c r="QDB606" s="222"/>
      <c r="QDC606" s="223"/>
      <c r="QDD606" s="224"/>
      <c r="QDE606" s="222"/>
      <c r="QDF606" s="222"/>
      <c r="QDG606" s="222"/>
      <c r="QDH606" s="222"/>
      <c r="QDI606" s="222"/>
      <c r="QDJ606" s="222"/>
      <c r="QDK606" s="223"/>
      <c r="QDL606" s="224"/>
      <c r="QDM606" s="222"/>
      <c r="QDN606" s="222"/>
      <c r="QDO606" s="222"/>
      <c r="QDP606" s="222"/>
      <c r="QDQ606" s="222"/>
      <c r="QDR606" s="222"/>
      <c r="QDS606" s="223"/>
      <c r="QDT606" s="224"/>
      <c r="QDU606" s="222"/>
      <c r="QDV606" s="222"/>
      <c r="QDW606" s="222"/>
      <c r="QDX606" s="222"/>
      <c r="QDY606" s="222"/>
      <c r="QDZ606" s="222"/>
      <c r="QEA606" s="223"/>
      <c r="QEB606" s="224"/>
      <c r="QEC606" s="222"/>
      <c r="QED606" s="222"/>
      <c r="QEE606" s="222"/>
      <c r="QEF606" s="222"/>
      <c r="QEG606" s="222"/>
      <c r="QEH606" s="222"/>
      <c r="QEI606" s="223"/>
      <c r="QEJ606" s="224"/>
      <c r="QEK606" s="222"/>
      <c r="QEL606" s="222"/>
      <c r="QEM606" s="222"/>
      <c r="QEN606" s="222"/>
      <c r="QEO606" s="222"/>
      <c r="QEP606" s="222"/>
      <c r="QEQ606" s="223"/>
      <c r="QER606" s="224"/>
      <c r="QES606" s="222"/>
      <c r="QET606" s="222"/>
      <c r="QEU606" s="222"/>
      <c r="QEV606" s="222"/>
      <c r="QEW606" s="222"/>
      <c r="QEX606" s="222"/>
      <c r="QEY606" s="223"/>
      <c r="QEZ606" s="224"/>
      <c r="QFA606" s="222"/>
      <c r="QFB606" s="222"/>
      <c r="QFC606" s="222"/>
      <c r="QFD606" s="222"/>
      <c r="QFE606" s="222"/>
      <c r="QFF606" s="222"/>
      <c r="QFG606" s="223"/>
      <c r="QFH606" s="224"/>
      <c r="QFI606" s="222"/>
      <c r="QFJ606" s="222"/>
      <c r="QFK606" s="222"/>
      <c r="QFL606" s="222"/>
      <c r="QFM606" s="222"/>
      <c r="QFN606" s="222"/>
      <c r="QFO606" s="223"/>
      <c r="QFP606" s="224"/>
      <c r="QFQ606" s="222"/>
      <c r="QFR606" s="222"/>
      <c r="QFS606" s="222"/>
      <c r="QFT606" s="222"/>
      <c r="QFU606" s="222"/>
      <c r="QFV606" s="222"/>
      <c r="QFW606" s="223"/>
      <c r="QFX606" s="224"/>
      <c r="QFY606" s="222"/>
      <c r="QFZ606" s="222"/>
      <c r="QGA606" s="222"/>
      <c r="QGB606" s="222"/>
      <c r="QGC606" s="222"/>
      <c r="QGD606" s="222"/>
      <c r="QGE606" s="223"/>
      <c r="QGF606" s="224"/>
      <c r="QGG606" s="222"/>
      <c r="QGH606" s="222"/>
      <c r="QGI606" s="222"/>
      <c r="QGJ606" s="222"/>
      <c r="QGK606" s="222"/>
      <c r="QGL606" s="222"/>
      <c r="QGM606" s="223"/>
      <c r="QGN606" s="224"/>
      <c r="QGO606" s="222"/>
      <c r="QGP606" s="222"/>
      <c r="QGQ606" s="222"/>
      <c r="QGR606" s="222"/>
      <c r="QGS606" s="222"/>
      <c r="QGT606" s="222"/>
      <c r="QGU606" s="223"/>
      <c r="QGV606" s="224"/>
      <c r="QGW606" s="222"/>
      <c r="QGX606" s="222"/>
      <c r="QGY606" s="222"/>
      <c r="QGZ606" s="222"/>
      <c r="QHA606" s="222"/>
      <c r="QHB606" s="222"/>
      <c r="QHC606" s="223"/>
      <c r="QHD606" s="224"/>
      <c r="QHE606" s="222"/>
      <c r="QHF606" s="222"/>
      <c r="QHG606" s="222"/>
      <c r="QHH606" s="222"/>
      <c r="QHI606" s="222"/>
      <c r="QHJ606" s="222"/>
      <c r="QHK606" s="223"/>
      <c r="QHL606" s="224"/>
      <c r="QHM606" s="222"/>
      <c r="QHN606" s="222"/>
      <c r="QHO606" s="222"/>
      <c r="QHP606" s="222"/>
      <c r="QHQ606" s="222"/>
      <c r="QHR606" s="222"/>
      <c r="QHS606" s="223"/>
      <c r="QHT606" s="224"/>
      <c r="QHU606" s="222"/>
      <c r="QHV606" s="222"/>
      <c r="QHW606" s="222"/>
      <c r="QHX606" s="222"/>
      <c r="QHY606" s="222"/>
      <c r="QHZ606" s="222"/>
      <c r="QIA606" s="223"/>
      <c r="QIB606" s="224"/>
      <c r="QIC606" s="222"/>
      <c r="QID606" s="222"/>
      <c r="QIE606" s="222"/>
      <c r="QIF606" s="222"/>
      <c r="QIG606" s="222"/>
      <c r="QIH606" s="222"/>
      <c r="QII606" s="223"/>
      <c r="QIJ606" s="224"/>
      <c r="QIK606" s="222"/>
      <c r="QIL606" s="222"/>
      <c r="QIM606" s="222"/>
      <c r="QIN606" s="222"/>
      <c r="QIO606" s="222"/>
      <c r="QIP606" s="222"/>
      <c r="QIQ606" s="223"/>
      <c r="QIR606" s="224"/>
      <c r="QIS606" s="222"/>
      <c r="QIT606" s="222"/>
      <c r="QIU606" s="222"/>
      <c r="QIV606" s="222"/>
      <c r="QIW606" s="222"/>
      <c r="QIX606" s="222"/>
      <c r="QIY606" s="223"/>
      <c r="QIZ606" s="224"/>
      <c r="QJA606" s="222"/>
      <c r="QJB606" s="222"/>
      <c r="QJC606" s="222"/>
      <c r="QJD606" s="222"/>
      <c r="QJE606" s="222"/>
      <c r="QJF606" s="222"/>
      <c r="QJG606" s="223"/>
      <c r="QJH606" s="224"/>
      <c r="QJI606" s="222"/>
      <c r="QJJ606" s="222"/>
      <c r="QJK606" s="222"/>
      <c r="QJL606" s="222"/>
      <c r="QJM606" s="222"/>
      <c r="QJN606" s="222"/>
      <c r="QJO606" s="223"/>
      <c r="QJP606" s="224"/>
      <c r="QJQ606" s="222"/>
      <c r="QJR606" s="222"/>
      <c r="QJS606" s="222"/>
      <c r="QJT606" s="222"/>
      <c r="QJU606" s="222"/>
      <c r="QJV606" s="222"/>
      <c r="QJW606" s="223"/>
      <c r="QJX606" s="224"/>
      <c r="QJY606" s="222"/>
      <c r="QJZ606" s="222"/>
      <c r="QKA606" s="222"/>
      <c r="QKB606" s="222"/>
      <c r="QKC606" s="222"/>
      <c r="QKD606" s="222"/>
      <c r="QKE606" s="223"/>
      <c r="QKF606" s="224"/>
      <c r="QKG606" s="222"/>
      <c r="QKH606" s="222"/>
      <c r="QKI606" s="222"/>
      <c r="QKJ606" s="222"/>
      <c r="QKK606" s="222"/>
      <c r="QKL606" s="222"/>
      <c r="QKM606" s="223"/>
      <c r="QKN606" s="224"/>
      <c r="QKO606" s="222"/>
      <c r="QKP606" s="222"/>
      <c r="QKQ606" s="222"/>
      <c r="QKR606" s="222"/>
      <c r="QKS606" s="222"/>
      <c r="QKT606" s="222"/>
      <c r="QKU606" s="223"/>
      <c r="QKV606" s="224"/>
      <c r="QKW606" s="222"/>
      <c r="QKX606" s="222"/>
      <c r="QKY606" s="222"/>
      <c r="QKZ606" s="222"/>
      <c r="QLA606" s="222"/>
      <c r="QLB606" s="222"/>
      <c r="QLC606" s="223"/>
      <c r="QLD606" s="224"/>
      <c r="QLE606" s="222"/>
      <c r="QLF606" s="222"/>
      <c r="QLG606" s="222"/>
      <c r="QLH606" s="222"/>
      <c r="QLI606" s="222"/>
      <c r="QLJ606" s="222"/>
      <c r="QLK606" s="223"/>
      <c r="QLL606" s="224"/>
      <c r="QLM606" s="222"/>
      <c r="QLN606" s="222"/>
      <c r="QLO606" s="222"/>
      <c r="QLP606" s="222"/>
      <c r="QLQ606" s="222"/>
      <c r="QLR606" s="222"/>
      <c r="QLS606" s="223"/>
      <c r="QLT606" s="224"/>
      <c r="QLU606" s="222"/>
      <c r="QLV606" s="222"/>
      <c r="QLW606" s="222"/>
      <c r="QLX606" s="222"/>
      <c r="QLY606" s="222"/>
      <c r="QLZ606" s="222"/>
      <c r="QMA606" s="223"/>
      <c r="QMB606" s="224"/>
      <c r="QMC606" s="222"/>
      <c r="QMD606" s="222"/>
      <c r="QME606" s="222"/>
      <c r="QMF606" s="222"/>
      <c r="QMG606" s="222"/>
      <c r="QMH606" s="222"/>
      <c r="QMI606" s="223"/>
      <c r="QMJ606" s="224"/>
      <c r="QMK606" s="222"/>
      <c r="QML606" s="222"/>
      <c r="QMM606" s="222"/>
      <c r="QMN606" s="222"/>
      <c r="QMO606" s="222"/>
      <c r="QMP606" s="222"/>
      <c r="QMQ606" s="223"/>
      <c r="QMR606" s="224"/>
      <c r="QMS606" s="222"/>
      <c r="QMT606" s="222"/>
      <c r="QMU606" s="222"/>
      <c r="QMV606" s="222"/>
      <c r="QMW606" s="222"/>
      <c r="QMX606" s="222"/>
      <c r="QMY606" s="223"/>
      <c r="QMZ606" s="224"/>
      <c r="QNA606" s="222"/>
      <c r="QNB606" s="222"/>
      <c r="QNC606" s="222"/>
      <c r="QND606" s="222"/>
      <c r="QNE606" s="222"/>
      <c r="QNF606" s="222"/>
      <c r="QNG606" s="223"/>
      <c r="QNH606" s="224"/>
      <c r="QNI606" s="222"/>
      <c r="QNJ606" s="222"/>
      <c r="QNK606" s="222"/>
      <c r="QNL606" s="222"/>
      <c r="QNM606" s="222"/>
      <c r="QNN606" s="222"/>
      <c r="QNO606" s="223"/>
      <c r="QNP606" s="224"/>
      <c r="QNQ606" s="222"/>
      <c r="QNR606" s="222"/>
      <c r="QNS606" s="222"/>
      <c r="QNT606" s="222"/>
      <c r="QNU606" s="222"/>
      <c r="QNV606" s="222"/>
      <c r="QNW606" s="223"/>
      <c r="QNX606" s="224"/>
      <c r="QNY606" s="222"/>
      <c r="QNZ606" s="222"/>
      <c r="QOA606" s="222"/>
      <c r="QOB606" s="222"/>
      <c r="QOC606" s="222"/>
      <c r="QOD606" s="222"/>
      <c r="QOE606" s="223"/>
      <c r="QOF606" s="224"/>
      <c r="QOG606" s="222"/>
      <c r="QOH606" s="222"/>
      <c r="QOI606" s="222"/>
      <c r="QOJ606" s="222"/>
      <c r="QOK606" s="222"/>
      <c r="QOL606" s="222"/>
      <c r="QOM606" s="223"/>
      <c r="QON606" s="224"/>
      <c r="QOO606" s="222"/>
      <c r="QOP606" s="222"/>
      <c r="QOQ606" s="222"/>
      <c r="QOR606" s="222"/>
      <c r="QOS606" s="222"/>
      <c r="QOT606" s="222"/>
      <c r="QOU606" s="223"/>
      <c r="QOV606" s="224"/>
      <c r="QOW606" s="222"/>
      <c r="QOX606" s="222"/>
      <c r="QOY606" s="222"/>
      <c r="QOZ606" s="222"/>
      <c r="QPA606" s="222"/>
      <c r="QPB606" s="222"/>
      <c r="QPC606" s="223"/>
      <c r="QPD606" s="224"/>
      <c r="QPE606" s="222"/>
      <c r="QPF606" s="222"/>
      <c r="QPG606" s="222"/>
      <c r="QPH606" s="222"/>
      <c r="QPI606" s="222"/>
      <c r="QPJ606" s="222"/>
      <c r="QPK606" s="223"/>
      <c r="QPL606" s="224"/>
      <c r="QPM606" s="222"/>
      <c r="QPN606" s="222"/>
      <c r="QPO606" s="222"/>
      <c r="QPP606" s="222"/>
      <c r="QPQ606" s="222"/>
      <c r="QPR606" s="222"/>
      <c r="QPS606" s="223"/>
      <c r="QPT606" s="224"/>
      <c r="QPU606" s="222"/>
      <c r="QPV606" s="222"/>
      <c r="QPW606" s="222"/>
      <c r="QPX606" s="222"/>
      <c r="QPY606" s="222"/>
      <c r="QPZ606" s="222"/>
      <c r="QQA606" s="223"/>
      <c r="QQB606" s="224"/>
      <c r="QQC606" s="222"/>
      <c r="QQD606" s="222"/>
      <c r="QQE606" s="222"/>
      <c r="QQF606" s="222"/>
      <c r="QQG606" s="222"/>
      <c r="QQH606" s="222"/>
      <c r="QQI606" s="223"/>
      <c r="QQJ606" s="224"/>
      <c r="QQK606" s="222"/>
      <c r="QQL606" s="222"/>
      <c r="QQM606" s="222"/>
      <c r="QQN606" s="222"/>
      <c r="QQO606" s="222"/>
      <c r="QQP606" s="222"/>
      <c r="QQQ606" s="223"/>
      <c r="QQR606" s="224"/>
      <c r="QQS606" s="222"/>
      <c r="QQT606" s="222"/>
      <c r="QQU606" s="222"/>
      <c r="QQV606" s="222"/>
      <c r="QQW606" s="222"/>
      <c r="QQX606" s="222"/>
      <c r="QQY606" s="223"/>
      <c r="QQZ606" s="224"/>
      <c r="QRA606" s="222"/>
      <c r="QRB606" s="222"/>
      <c r="QRC606" s="222"/>
      <c r="QRD606" s="222"/>
      <c r="QRE606" s="222"/>
      <c r="QRF606" s="222"/>
      <c r="QRG606" s="223"/>
      <c r="QRH606" s="224"/>
      <c r="QRI606" s="222"/>
      <c r="QRJ606" s="222"/>
      <c r="QRK606" s="222"/>
      <c r="QRL606" s="222"/>
      <c r="QRM606" s="222"/>
      <c r="QRN606" s="222"/>
      <c r="QRO606" s="223"/>
      <c r="QRP606" s="224"/>
      <c r="QRQ606" s="222"/>
      <c r="QRR606" s="222"/>
      <c r="QRS606" s="222"/>
      <c r="QRT606" s="222"/>
      <c r="QRU606" s="222"/>
      <c r="QRV606" s="222"/>
      <c r="QRW606" s="223"/>
      <c r="QRX606" s="224"/>
      <c r="QRY606" s="222"/>
      <c r="QRZ606" s="222"/>
      <c r="QSA606" s="222"/>
      <c r="QSB606" s="222"/>
      <c r="QSC606" s="222"/>
      <c r="QSD606" s="222"/>
      <c r="QSE606" s="223"/>
      <c r="QSF606" s="224"/>
      <c r="QSG606" s="222"/>
      <c r="QSH606" s="222"/>
      <c r="QSI606" s="222"/>
      <c r="QSJ606" s="222"/>
      <c r="QSK606" s="222"/>
      <c r="QSL606" s="222"/>
      <c r="QSM606" s="223"/>
      <c r="QSN606" s="224"/>
      <c r="QSO606" s="222"/>
      <c r="QSP606" s="222"/>
      <c r="QSQ606" s="222"/>
      <c r="QSR606" s="222"/>
      <c r="QSS606" s="222"/>
      <c r="QST606" s="222"/>
      <c r="QSU606" s="223"/>
      <c r="QSV606" s="224"/>
      <c r="QSW606" s="222"/>
      <c r="QSX606" s="222"/>
      <c r="QSY606" s="222"/>
      <c r="QSZ606" s="222"/>
      <c r="QTA606" s="222"/>
      <c r="QTB606" s="222"/>
      <c r="QTC606" s="223"/>
      <c r="QTD606" s="224"/>
      <c r="QTE606" s="222"/>
      <c r="QTF606" s="222"/>
      <c r="QTG606" s="222"/>
      <c r="QTH606" s="222"/>
      <c r="QTI606" s="222"/>
      <c r="QTJ606" s="222"/>
      <c r="QTK606" s="223"/>
      <c r="QTL606" s="224"/>
      <c r="QTM606" s="222"/>
      <c r="QTN606" s="222"/>
      <c r="QTO606" s="222"/>
      <c r="QTP606" s="222"/>
      <c r="QTQ606" s="222"/>
      <c r="QTR606" s="222"/>
      <c r="QTS606" s="223"/>
      <c r="QTT606" s="224"/>
      <c r="QTU606" s="222"/>
      <c r="QTV606" s="222"/>
      <c r="QTW606" s="222"/>
      <c r="QTX606" s="222"/>
      <c r="QTY606" s="222"/>
      <c r="QTZ606" s="222"/>
      <c r="QUA606" s="223"/>
      <c r="QUB606" s="224"/>
      <c r="QUC606" s="222"/>
      <c r="QUD606" s="222"/>
      <c r="QUE606" s="222"/>
      <c r="QUF606" s="222"/>
      <c r="QUG606" s="222"/>
      <c r="QUH606" s="222"/>
      <c r="QUI606" s="223"/>
      <c r="QUJ606" s="224"/>
      <c r="QUK606" s="222"/>
      <c r="QUL606" s="222"/>
      <c r="QUM606" s="222"/>
      <c r="QUN606" s="222"/>
      <c r="QUO606" s="222"/>
      <c r="QUP606" s="222"/>
      <c r="QUQ606" s="223"/>
      <c r="QUR606" s="224"/>
      <c r="QUS606" s="222"/>
      <c r="QUT606" s="222"/>
      <c r="QUU606" s="222"/>
      <c r="QUV606" s="222"/>
      <c r="QUW606" s="222"/>
      <c r="QUX606" s="222"/>
      <c r="QUY606" s="223"/>
      <c r="QUZ606" s="224"/>
      <c r="QVA606" s="222"/>
      <c r="QVB606" s="222"/>
      <c r="QVC606" s="222"/>
      <c r="QVD606" s="222"/>
      <c r="QVE606" s="222"/>
      <c r="QVF606" s="222"/>
      <c r="QVG606" s="223"/>
      <c r="QVH606" s="224"/>
      <c r="QVI606" s="222"/>
      <c r="QVJ606" s="222"/>
      <c r="QVK606" s="222"/>
      <c r="QVL606" s="222"/>
      <c r="QVM606" s="222"/>
      <c r="QVN606" s="222"/>
      <c r="QVO606" s="223"/>
      <c r="QVP606" s="224"/>
      <c r="QVQ606" s="222"/>
      <c r="QVR606" s="222"/>
      <c r="QVS606" s="222"/>
      <c r="QVT606" s="222"/>
      <c r="QVU606" s="222"/>
      <c r="QVV606" s="222"/>
      <c r="QVW606" s="223"/>
      <c r="QVX606" s="224"/>
      <c r="QVY606" s="222"/>
      <c r="QVZ606" s="222"/>
      <c r="QWA606" s="222"/>
      <c r="QWB606" s="222"/>
      <c r="QWC606" s="222"/>
      <c r="QWD606" s="222"/>
      <c r="QWE606" s="223"/>
      <c r="QWF606" s="224"/>
      <c r="QWG606" s="222"/>
      <c r="QWH606" s="222"/>
      <c r="QWI606" s="222"/>
      <c r="QWJ606" s="222"/>
      <c r="QWK606" s="222"/>
      <c r="QWL606" s="222"/>
      <c r="QWM606" s="223"/>
      <c r="QWN606" s="224"/>
      <c r="QWO606" s="222"/>
      <c r="QWP606" s="222"/>
      <c r="QWQ606" s="222"/>
      <c r="QWR606" s="222"/>
      <c r="QWS606" s="222"/>
      <c r="QWT606" s="222"/>
      <c r="QWU606" s="223"/>
      <c r="QWV606" s="224"/>
      <c r="QWW606" s="222"/>
      <c r="QWX606" s="222"/>
      <c r="QWY606" s="222"/>
      <c r="QWZ606" s="222"/>
      <c r="QXA606" s="222"/>
      <c r="QXB606" s="222"/>
      <c r="QXC606" s="223"/>
      <c r="QXD606" s="224"/>
      <c r="QXE606" s="222"/>
      <c r="QXF606" s="222"/>
      <c r="QXG606" s="222"/>
      <c r="QXH606" s="222"/>
      <c r="QXI606" s="222"/>
      <c r="QXJ606" s="222"/>
      <c r="QXK606" s="223"/>
      <c r="QXL606" s="224"/>
      <c r="QXM606" s="222"/>
      <c r="QXN606" s="222"/>
      <c r="QXO606" s="222"/>
      <c r="QXP606" s="222"/>
      <c r="QXQ606" s="222"/>
      <c r="QXR606" s="222"/>
      <c r="QXS606" s="223"/>
      <c r="QXT606" s="224"/>
      <c r="QXU606" s="222"/>
      <c r="QXV606" s="222"/>
      <c r="QXW606" s="222"/>
      <c r="QXX606" s="222"/>
      <c r="QXY606" s="222"/>
      <c r="QXZ606" s="222"/>
      <c r="QYA606" s="223"/>
      <c r="QYB606" s="224"/>
      <c r="QYC606" s="222"/>
      <c r="QYD606" s="222"/>
      <c r="QYE606" s="222"/>
      <c r="QYF606" s="222"/>
      <c r="QYG606" s="222"/>
      <c r="QYH606" s="222"/>
      <c r="QYI606" s="223"/>
      <c r="QYJ606" s="224"/>
      <c r="QYK606" s="222"/>
      <c r="QYL606" s="222"/>
      <c r="QYM606" s="222"/>
      <c r="QYN606" s="222"/>
      <c r="QYO606" s="222"/>
      <c r="QYP606" s="222"/>
      <c r="QYQ606" s="223"/>
      <c r="QYR606" s="224"/>
      <c r="QYS606" s="222"/>
      <c r="QYT606" s="222"/>
      <c r="QYU606" s="222"/>
      <c r="QYV606" s="222"/>
      <c r="QYW606" s="222"/>
      <c r="QYX606" s="222"/>
      <c r="QYY606" s="223"/>
      <c r="QYZ606" s="224"/>
      <c r="QZA606" s="222"/>
      <c r="QZB606" s="222"/>
      <c r="QZC606" s="222"/>
      <c r="QZD606" s="222"/>
      <c r="QZE606" s="222"/>
      <c r="QZF606" s="222"/>
      <c r="QZG606" s="223"/>
      <c r="QZH606" s="224"/>
      <c r="QZI606" s="222"/>
      <c r="QZJ606" s="222"/>
      <c r="QZK606" s="222"/>
      <c r="QZL606" s="222"/>
      <c r="QZM606" s="222"/>
      <c r="QZN606" s="222"/>
      <c r="QZO606" s="223"/>
      <c r="QZP606" s="224"/>
      <c r="QZQ606" s="222"/>
      <c r="QZR606" s="222"/>
      <c r="QZS606" s="222"/>
      <c r="QZT606" s="222"/>
      <c r="QZU606" s="222"/>
      <c r="QZV606" s="222"/>
      <c r="QZW606" s="223"/>
      <c r="QZX606" s="224"/>
      <c r="QZY606" s="222"/>
      <c r="QZZ606" s="222"/>
      <c r="RAA606" s="222"/>
      <c r="RAB606" s="222"/>
      <c r="RAC606" s="222"/>
      <c r="RAD606" s="222"/>
      <c r="RAE606" s="223"/>
      <c r="RAF606" s="224"/>
      <c r="RAG606" s="222"/>
      <c r="RAH606" s="222"/>
      <c r="RAI606" s="222"/>
      <c r="RAJ606" s="222"/>
      <c r="RAK606" s="222"/>
      <c r="RAL606" s="222"/>
      <c r="RAM606" s="223"/>
      <c r="RAN606" s="224"/>
      <c r="RAO606" s="222"/>
      <c r="RAP606" s="222"/>
      <c r="RAQ606" s="222"/>
      <c r="RAR606" s="222"/>
      <c r="RAS606" s="222"/>
      <c r="RAT606" s="222"/>
      <c r="RAU606" s="223"/>
      <c r="RAV606" s="224"/>
      <c r="RAW606" s="222"/>
      <c r="RAX606" s="222"/>
      <c r="RAY606" s="222"/>
      <c r="RAZ606" s="222"/>
      <c r="RBA606" s="222"/>
      <c r="RBB606" s="222"/>
      <c r="RBC606" s="223"/>
      <c r="RBD606" s="224"/>
      <c r="RBE606" s="222"/>
      <c r="RBF606" s="222"/>
      <c r="RBG606" s="222"/>
      <c r="RBH606" s="222"/>
      <c r="RBI606" s="222"/>
      <c r="RBJ606" s="222"/>
      <c r="RBK606" s="223"/>
      <c r="RBL606" s="224"/>
      <c r="RBM606" s="222"/>
      <c r="RBN606" s="222"/>
      <c r="RBO606" s="222"/>
      <c r="RBP606" s="222"/>
      <c r="RBQ606" s="222"/>
      <c r="RBR606" s="222"/>
      <c r="RBS606" s="223"/>
      <c r="RBT606" s="224"/>
      <c r="RBU606" s="222"/>
      <c r="RBV606" s="222"/>
      <c r="RBW606" s="222"/>
      <c r="RBX606" s="222"/>
      <c r="RBY606" s="222"/>
      <c r="RBZ606" s="222"/>
      <c r="RCA606" s="223"/>
      <c r="RCB606" s="224"/>
      <c r="RCC606" s="222"/>
      <c r="RCD606" s="222"/>
      <c r="RCE606" s="222"/>
      <c r="RCF606" s="222"/>
      <c r="RCG606" s="222"/>
      <c r="RCH606" s="222"/>
      <c r="RCI606" s="223"/>
      <c r="RCJ606" s="224"/>
      <c r="RCK606" s="222"/>
      <c r="RCL606" s="222"/>
      <c r="RCM606" s="222"/>
      <c r="RCN606" s="222"/>
      <c r="RCO606" s="222"/>
      <c r="RCP606" s="222"/>
      <c r="RCQ606" s="223"/>
      <c r="RCR606" s="224"/>
      <c r="RCS606" s="222"/>
      <c r="RCT606" s="222"/>
      <c r="RCU606" s="222"/>
      <c r="RCV606" s="222"/>
      <c r="RCW606" s="222"/>
      <c r="RCX606" s="222"/>
      <c r="RCY606" s="223"/>
      <c r="RCZ606" s="224"/>
      <c r="RDA606" s="222"/>
      <c r="RDB606" s="222"/>
      <c r="RDC606" s="222"/>
      <c r="RDD606" s="222"/>
      <c r="RDE606" s="222"/>
      <c r="RDF606" s="222"/>
      <c r="RDG606" s="223"/>
      <c r="RDH606" s="224"/>
      <c r="RDI606" s="222"/>
      <c r="RDJ606" s="222"/>
      <c r="RDK606" s="222"/>
      <c r="RDL606" s="222"/>
      <c r="RDM606" s="222"/>
      <c r="RDN606" s="222"/>
      <c r="RDO606" s="223"/>
      <c r="RDP606" s="224"/>
      <c r="RDQ606" s="222"/>
      <c r="RDR606" s="222"/>
      <c r="RDS606" s="222"/>
      <c r="RDT606" s="222"/>
      <c r="RDU606" s="222"/>
      <c r="RDV606" s="222"/>
      <c r="RDW606" s="223"/>
      <c r="RDX606" s="224"/>
      <c r="RDY606" s="222"/>
      <c r="RDZ606" s="222"/>
      <c r="REA606" s="222"/>
      <c r="REB606" s="222"/>
      <c r="REC606" s="222"/>
      <c r="RED606" s="222"/>
      <c r="REE606" s="223"/>
      <c r="REF606" s="224"/>
      <c r="REG606" s="222"/>
      <c r="REH606" s="222"/>
      <c r="REI606" s="222"/>
      <c r="REJ606" s="222"/>
      <c r="REK606" s="222"/>
      <c r="REL606" s="222"/>
      <c r="REM606" s="223"/>
      <c r="REN606" s="224"/>
      <c r="REO606" s="222"/>
      <c r="REP606" s="222"/>
      <c r="REQ606" s="222"/>
      <c r="RER606" s="222"/>
      <c r="RES606" s="222"/>
      <c r="RET606" s="222"/>
      <c r="REU606" s="223"/>
      <c r="REV606" s="224"/>
      <c r="REW606" s="222"/>
      <c r="REX606" s="222"/>
      <c r="REY606" s="222"/>
      <c r="REZ606" s="222"/>
      <c r="RFA606" s="222"/>
      <c r="RFB606" s="222"/>
      <c r="RFC606" s="223"/>
      <c r="RFD606" s="224"/>
      <c r="RFE606" s="222"/>
      <c r="RFF606" s="222"/>
      <c r="RFG606" s="222"/>
      <c r="RFH606" s="222"/>
      <c r="RFI606" s="222"/>
      <c r="RFJ606" s="222"/>
      <c r="RFK606" s="223"/>
      <c r="RFL606" s="224"/>
      <c r="RFM606" s="222"/>
      <c r="RFN606" s="222"/>
      <c r="RFO606" s="222"/>
      <c r="RFP606" s="222"/>
      <c r="RFQ606" s="222"/>
      <c r="RFR606" s="222"/>
      <c r="RFS606" s="223"/>
      <c r="RFT606" s="224"/>
      <c r="RFU606" s="222"/>
      <c r="RFV606" s="222"/>
      <c r="RFW606" s="222"/>
      <c r="RFX606" s="222"/>
      <c r="RFY606" s="222"/>
      <c r="RFZ606" s="222"/>
      <c r="RGA606" s="223"/>
      <c r="RGB606" s="224"/>
      <c r="RGC606" s="222"/>
      <c r="RGD606" s="222"/>
      <c r="RGE606" s="222"/>
      <c r="RGF606" s="222"/>
      <c r="RGG606" s="222"/>
      <c r="RGH606" s="222"/>
      <c r="RGI606" s="223"/>
      <c r="RGJ606" s="224"/>
      <c r="RGK606" s="222"/>
      <c r="RGL606" s="222"/>
      <c r="RGM606" s="222"/>
      <c r="RGN606" s="222"/>
      <c r="RGO606" s="222"/>
      <c r="RGP606" s="222"/>
      <c r="RGQ606" s="223"/>
      <c r="RGR606" s="224"/>
      <c r="RGS606" s="222"/>
      <c r="RGT606" s="222"/>
      <c r="RGU606" s="222"/>
      <c r="RGV606" s="222"/>
      <c r="RGW606" s="222"/>
      <c r="RGX606" s="222"/>
      <c r="RGY606" s="223"/>
      <c r="RGZ606" s="224"/>
      <c r="RHA606" s="222"/>
      <c r="RHB606" s="222"/>
      <c r="RHC606" s="222"/>
      <c r="RHD606" s="222"/>
      <c r="RHE606" s="222"/>
      <c r="RHF606" s="222"/>
      <c r="RHG606" s="223"/>
      <c r="RHH606" s="224"/>
      <c r="RHI606" s="222"/>
      <c r="RHJ606" s="222"/>
      <c r="RHK606" s="222"/>
      <c r="RHL606" s="222"/>
      <c r="RHM606" s="222"/>
      <c r="RHN606" s="222"/>
      <c r="RHO606" s="223"/>
      <c r="RHP606" s="224"/>
      <c r="RHQ606" s="222"/>
      <c r="RHR606" s="222"/>
      <c r="RHS606" s="222"/>
      <c r="RHT606" s="222"/>
      <c r="RHU606" s="222"/>
      <c r="RHV606" s="222"/>
      <c r="RHW606" s="223"/>
      <c r="RHX606" s="224"/>
      <c r="RHY606" s="222"/>
      <c r="RHZ606" s="222"/>
      <c r="RIA606" s="222"/>
      <c r="RIB606" s="222"/>
      <c r="RIC606" s="222"/>
      <c r="RID606" s="222"/>
      <c r="RIE606" s="223"/>
      <c r="RIF606" s="224"/>
      <c r="RIG606" s="222"/>
      <c r="RIH606" s="222"/>
      <c r="RII606" s="222"/>
      <c r="RIJ606" s="222"/>
      <c r="RIK606" s="222"/>
      <c r="RIL606" s="222"/>
      <c r="RIM606" s="223"/>
      <c r="RIN606" s="224"/>
      <c r="RIO606" s="222"/>
      <c r="RIP606" s="222"/>
      <c r="RIQ606" s="222"/>
      <c r="RIR606" s="222"/>
      <c r="RIS606" s="222"/>
      <c r="RIT606" s="222"/>
      <c r="RIU606" s="223"/>
      <c r="RIV606" s="224"/>
      <c r="RIW606" s="222"/>
      <c r="RIX606" s="222"/>
      <c r="RIY606" s="222"/>
      <c r="RIZ606" s="222"/>
      <c r="RJA606" s="222"/>
      <c r="RJB606" s="222"/>
      <c r="RJC606" s="223"/>
      <c r="RJD606" s="224"/>
      <c r="RJE606" s="222"/>
      <c r="RJF606" s="222"/>
      <c r="RJG606" s="222"/>
      <c r="RJH606" s="222"/>
      <c r="RJI606" s="222"/>
      <c r="RJJ606" s="222"/>
      <c r="RJK606" s="223"/>
      <c r="RJL606" s="224"/>
      <c r="RJM606" s="222"/>
      <c r="RJN606" s="222"/>
      <c r="RJO606" s="222"/>
      <c r="RJP606" s="222"/>
      <c r="RJQ606" s="222"/>
      <c r="RJR606" s="222"/>
      <c r="RJS606" s="223"/>
      <c r="RJT606" s="224"/>
      <c r="RJU606" s="222"/>
      <c r="RJV606" s="222"/>
      <c r="RJW606" s="222"/>
      <c r="RJX606" s="222"/>
      <c r="RJY606" s="222"/>
      <c r="RJZ606" s="222"/>
      <c r="RKA606" s="223"/>
      <c r="RKB606" s="224"/>
      <c r="RKC606" s="222"/>
      <c r="RKD606" s="222"/>
      <c r="RKE606" s="222"/>
      <c r="RKF606" s="222"/>
      <c r="RKG606" s="222"/>
      <c r="RKH606" s="222"/>
      <c r="RKI606" s="223"/>
      <c r="RKJ606" s="224"/>
      <c r="RKK606" s="222"/>
      <c r="RKL606" s="222"/>
      <c r="RKM606" s="222"/>
      <c r="RKN606" s="222"/>
      <c r="RKO606" s="222"/>
      <c r="RKP606" s="222"/>
      <c r="RKQ606" s="223"/>
      <c r="RKR606" s="224"/>
      <c r="RKS606" s="222"/>
      <c r="RKT606" s="222"/>
      <c r="RKU606" s="222"/>
      <c r="RKV606" s="222"/>
      <c r="RKW606" s="222"/>
      <c r="RKX606" s="222"/>
      <c r="RKY606" s="223"/>
      <c r="RKZ606" s="224"/>
      <c r="RLA606" s="222"/>
      <c r="RLB606" s="222"/>
      <c r="RLC606" s="222"/>
      <c r="RLD606" s="222"/>
      <c r="RLE606" s="222"/>
      <c r="RLF606" s="222"/>
      <c r="RLG606" s="223"/>
      <c r="RLH606" s="224"/>
      <c r="RLI606" s="222"/>
      <c r="RLJ606" s="222"/>
      <c r="RLK606" s="222"/>
      <c r="RLL606" s="222"/>
      <c r="RLM606" s="222"/>
      <c r="RLN606" s="222"/>
      <c r="RLO606" s="223"/>
      <c r="RLP606" s="224"/>
      <c r="RLQ606" s="222"/>
      <c r="RLR606" s="222"/>
      <c r="RLS606" s="222"/>
      <c r="RLT606" s="222"/>
      <c r="RLU606" s="222"/>
      <c r="RLV606" s="222"/>
      <c r="RLW606" s="223"/>
      <c r="RLX606" s="224"/>
      <c r="RLY606" s="222"/>
      <c r="RLZ606" s="222"/>
      <c r="RMA606" s="222"/>
      <c r="RMB606" s="222"/>
      <c r="RMC606" s="222"/>
      <c r="RMD606" s="222"/>
      <c r="RME606" s="223"/>
      <c r="RMF606" s="224"/>
      <c r="RMG606" s="222"/>
      <c r="RMH606" s="222"/>
      <c r="RMI606" s="222"/>
      <c r="RMJ606" s="222"/>
      <c r="RMK606" s="222"/>
      <c r="RML606" s="222"/>
      <c r="RMM606" s="223"/>
      <c r="RMN606" s="224"/>
      <c r="RMO606" s="222"/>
      <c r="RMP606" s="222"/>
      <c r="RMQ606" s="222"/>
      <c r="RMR606" s="222"/>
      <c r="RMS606" s="222"/>
      <c r="RMT606" s="222"/>
      <c r="RMU606" s="223"/>
      <c r="RMV606" s="224"/>
      <c r="RMW606" s="222"/>
      <c r="RMX606" s="222"/>
      <c r="RMY606" s="222"/>
      <c r="RMZ606" s="222"/>
      <c r="RNA606" s="222"/>
      <c r="RNB606" s="222"/>
      <c r="RNC606" s="223"/>
      <c r="RND606" s="224"/>
      <c r="RNE606" s="222"/>
      <c r="RNF606" s="222"/>
      <c r="RNG606" s="222"/>
      <c r="RNH606" s="222"/>
      <c r="RNI606" s="222"/>
      <c r="RNJ606" s="222"/>
      <c r="RNK606" s="223"/>
      <c r="RNL606" s="224"/>
      <c r="RNM606" s="222"/>
      <c r="RNN606" s="222"/>
      <c r="RNO606" s="222"/>
      <c r="RNP606" s="222"/>
      <c r="RNQ606" s="222"/>
      <c r="RNR606" s="222"/>
      <c r="RNS606" s="223"/>
      <c r="RNT606" s="224"/>
      <c r="RNU606" s="222"/>
      <c r="RNV606" s="222"/>
      <c r="RNW606" s="222"/>
      <c r="RNX606" s="222"/>
      <c r="RNY606" s="222"/>
      <c r="RNZ606" s="222"/>
      <c r="ROA606" s="223"/>
      <c r="ROB606" s="224"/>
      <c r="ROC606" s="222"/>
      <c r="ROD606" s="222"/>
      <c r="ROE606" s="222"/>
      <c r="ROF606" s="222"/>
      <c r="ROG606" s="222"/>
      <c r="ROH606" s="222"/>
      <c r="ROI606" s="223"/>
      <c r="ROJ606" s="224"/>
      <c r="ROK606" s="222"/>
      <c r="ROL606" s="222"/>
      <c r="ROM606" s="222"/>
      <c r="RON606" s="222"/>
      <c r="ROO606" s="222"/>
      <c r="ROP606" s="222"/>
      <c r="ROQ606" s="223"/>
      <c r="ROR606" s="224"/>
      <c r="ROS606" s="222"/>
      <c r="ROT606" s="222"/>
      <c r="ROU606" s="222"/>
      <c r="ROV606" s="222"/>
      <c r="ROW606" s="222"/>
      <c r="ROX606" s="222"/>
      <c r="ROY606" s="223"/>
      <c r="ROZ606" s="224"/>
      <c r="RPA606" s="222"/>
      <c r="RPB606" s="222"/>
      <c r="RPC606" s="222"/>
      <c r="RPD606" s="222"/>
      <c r="RPE606" s="222"/>
      <c r="RPF606" s="222"/>
      <c r="RPG606" s="223"/>
      <c r="RPH606" s="224"/>
      <c r="RPI606" s="222"/>
      <c r="RPJ606" s="222"/>
      <c r="RPK606" s="222"/>
      <c r="RPL606" s="222"/>
      <c r="RPM606" s="222"/>
      <c r="RPN606" s="222"/>
      <c r="RPO606" s="223"/>
      <c r="RPP606" s="224"/>
      <c r="RPQ606" s="222"/>
      <c r="RPR606" s="222"/>
      <c r="RPS606" s="222"/>
      <c r="RPT606" s="222"/>
      <c r="RPU606" s="222"/>
      <c r="RPV606" s="222"/>
      <c r="RPW606" s="223"/>
      <c r="RPX606" s="224"/>
      <c r="RPY606" s="222"/>
      <c r="RPZ606" s="222"/>
      <c r="RQA606" s="222"/>
      <c r="RQB606" s="222"/>
      <c r="RQC606" s="222"/>
      <c r="RQD606" s="222"/>
      <c r="RQE606" s="223"/>
      <c r="RQF606" s="224"/>
      <c r="RQG606" s="222"/>
      <c r="RQH606" s="222"/>
      <c r="RQI606" s="222"/>
      <c r="RQJ606" s="222"/>
      <c r="RQK606" s="222"/>
      <c r="RQL606" s="222"/>
      <c r="RQM606" s="223"/>
      <c r="RQN606" s="224"/>
      <c r="RQO606" s="222"/>
      <c r="RQP606" s="222"/>
      <c r="RQQ606" s="222"/>
      <c r="RQR606" s="222"/>
      <c r="RQS606" s="222"/>
      <c r="RQT606" s="222"/>
      <c r="RQU606" s="223"/>
      <c r="RQV606" s="224"/>
      <c r="RQW606" s="222"/>
      <c r="RQX606" s="222"/>
      <c r="RQY606" s="222"/>
      <c r="RQZ606" s="222"/>
      <c r="RRA606" s="222"/>
      <c r="RRB606" s="222"/>
      <c r="RRC606" s="223"/>
      <c r="RRD606" s="224"/>
      <c r="RRE606" s="222"/>
      <c r="RRF606" s="222"/>
      <c r="RRG606" s="222"/>
      <c r="RRH606" s="222"/>
      <c r="RRI606" s="222"/>
      <c r="RRJ606" s="222"/>
      <c r="RRK606" s="223"/>
      <c r="RRL606" s="224"/>
      <c r="RRM606" s="222"/>
      <c r="RRN606" s="222"/>
      <c r="RRO606" s="222"/>
      <c r="RRP606" s="222"/>
      <c r="RRQ606" s="222"/>
      <c r="RRR606" s="222"/>
      <c r="RRS606" s="223"/>
      <c r="RRT606" s="224"/>
      <c r="RRU606" s="222"/>
      <c r="RRV606" s="222"/>
      <c r="RRW606" s="222"/>
      <c r="RRX606" s="222"/>
      <c r="RRY606" s="222"/>
      <c r="RRZ606" s="222"/>
      <c r="RSA606" s="223"/>
      <c r="RSB606" s="224"/>
      <c r="RSC606" s="222"/>
      <c r="RSD606" s="222"/>
      <c r="RSE606" s="222"/>
      <c r="RSF606" s="222"/>
      <c r="RSG606" s="222"/>
      <c r="RSH606" s="222"/>
      <c r="RSI606" s="223"/>
      <c r="RSJ606" s="224"/>
      <c r="RSK606" s="222"/>
      <c r="RSL606" s="222"/>
      <c r="RSM606" s="222"/>
      <c r="RSN606" s="222"/>
      <c r="RSO606" s="222"/>
      <c r="RSP606" s="222"/>
      <c r="RSQ606" s="223"/>
      <c r="RSR606" s="224"/>
      <c r="RSS606" s="222"/>
      <c r="RST606" s="222"/>
      <c r="RSU606" s="222"/>
      <c r="RSV606" s="222"/>
      <c r="RSW606" s="222"/>
      <c r="RSX606" s="222"/>
      <c r="RSY606" s="223"/>
      <c r="RSZ606" s="224"/>
      <c r="RTA606" s="222"/>
      <c r="RTB606" s="222"/>
      <c r="RTC606" s="222"/>
      <c r="RTD606" s="222"/>
      <c r="RTE606" s="222"/>
      <c r="RTF606" s="222"/>
      <c r="RTG606" s="223"/>
      <c r="RTH606" s="224"/>
      <c r="RTI606" s="222"/>
      <c r="RTJ606" s="222"/>
      <c r="RTK606" s="222"/>
      <c r="RTL606" s="222"/>
      <c r="RTM606" s="222"/>
      <c r="RTN606" s="222"/>
      <c r="RTO606" s="223"/>
      <c r="RTP606" s="224"/>
      <c r="RTQ606" s="222"/>
      <c r="RTR606" s="222"/>
      <c r="RTS606" s="222"/>
      <c r="RTT606" s="222"/>
      <c r="RTU606" s="222"/>
      <c r="RTV606" s="222"/>
      <c r="RTW606" s="223"/>
      <c r="RTX606" s="224"/>
      <c r="RTY606" s="222"/>
      <c r="RTZ606" s="222"/>
      <c r="RUA606" s="222"/>
      <c r="RUB606" s="222"/>
      <c r="RUC606" s="222"/>
      <c r="RUD606" s="222"/>
      <c r="RUE606" s="223"/>
      <c r="RUF606" s="224"/>
      <c r="RUG606" s="222"/>
      <c r="RUH606" s="222"/>
      <c r="RUI606" s="222"/>
      <c r="RUJ606" s="222"/>
      <c r="RUK606" s="222"/>
      <c r="RUL606" s="222"/>
      <c r="RUM606" s="223"/>
      <c r="RUN606" s="224"/>
      <c r="RUO606" s="222"/>
      <c r="RUP606" s="222"/>
      <c r="RUQ606" s="222"/>
      <c r="RUR606" s="222"/>
      <c r="RUS606" s="222"/>
      <c r="RUT606" s="222"/>
      <c r="RUU606" s="223"/>
      <c r="RUV606" s="224"/>
      <c r="RUW606" s="222"/>
      <c r="RUX606" s="222"/>
      <c r="RUY606" s="222"/>
      <c r="RUZ606" s="222"/>
      <c r="RVA606" s="222"/>
      <c r="RVB606" s="222"/>
      <c r="RVC606" s="223"/>
      <c r="RVD606" s="224"/>
      <c r="RVE606" s="222"/>
      <c r="RVF606" s="222"/>
      <c r="RVG606" s="222"/>
      <c r="RVH606" s="222"/>
      <c r="RVI606" s="222"/>
      <c r="RVJ606" s="222"/>
      <c r="RVK606" s="223"/>
      <c r="RVL606" s="224"/>
      <c r="RVM606" s="222"/>
      <c r="RVN606" s="222"/>
      <c r="RVO606" s="222"/>
      <c r="RVP606" s="222"/>
      <c r="RVQ606" s="222"/>
      <c r="RVR606" s="222"/>
      <c r="RVS606" s="223"/>
      <c r="RVT606" s="224"/>
      <c r="RVU606" s="222"/>
      <c r="RVV606" s="222"/>
      <c r="RVW606" s="222"/>
      <c r="RVX606" s="222"/>
      <c r="RVY606" s="222"/>
      <c r="RVZ606" s="222"/>
      <c r="RWA606" s="223"/>
      <c r="RWB606" s="224"/>
      <c r="RWC606" s="222"/>
      <c r="RWD606" s="222"/>
      <c r="RWE606" s="222"/>
      <c r="RWF606" s="222"/>
      <c r="RWG606" s="222"/>
      <c r="RWH606" s="222"/>
      <c r="RWI606" s="223"/>
      <c r="RWJ606" s="224"/>
      <c r="RWK606" s="222"/>
      <c r="RWL606" s="222"/>
      <c r="RWM606" s="222"/>
      <c r="RWN606" s="222"/>
      <c r="RWO606" s="222"/>
      <c r="RWP606" s="222"/>
      <c r="RWQ606" s="223"/>
      <c r="RWR606" s="224"/>
      <c r="RWS606" s="222"/>
      <c r="RWT606" s="222"/>
      <c r="RWU606" s="222"/>
      <c r="RWV606" s="222"/>
      <c r="RWW606" s="222"/>
      <c r="RWX606" s="222"/>
      <c r="RWY606" s="223"/>
      <c r="RWZ606" s="224"/>
      <c r="RXA606" s="222"/>
      <c r="RXB606" s="222"/>
      <c r="RXC606" s="222"/>
      <c r="RXD606" s="222"/>
      <c r="RXE606" s="222"/>
      <c r="RXF606" s="222"/>
      <c r="RXG606" s="223"/>
      <c r="RXH606" s="224"/>
      <c r="RXI606" s="222"/>
      <c r="RXJ606" s="222"/>
      <c r="RXK606" s="222"/>
      <c r="RXL606" s="222"/>
      <c r="RXM606" s="222"/>
      <c r="RXN606" s="222"/>
      <c r="RXO606" s="223"/>
      <c r="RXP606" s="224"/>
      <c r="RXQ606" s="222"/>
      <c r="RXR606" s="222"/>
      <c r="RXS606" s="222"/>
      <c r="RXT606" s="222"/>
      <c r="RXU606" s="222"/>
      <c r="RXV606" s="222"/>
      <c r="RXW606" s="223"/>
      <c r="RXX606" s="224"/>
      <c r="RXY606" s="222"/>
      <c r="RXZ606" s="222"/>
      <c r="RYA606" s="222"/>
      <c r="RYB606" s="222"/>
      <c r="RYC606" s="222"/>
      <c r="RYD606" s="222"/>
      <c r="RYE606" s="223"/>
      <c r="RYF606" s="224"/>
      <c r="RYG606" s="222"/>
      <c r="RYH606" s="222"/>
      <c r="RYI606" s="222"/>
      <c r="RYJ606" s="222"/>
      <c r="RYK606" s="222"/>
      <c r="RYL606" s="222"/>
      <c r="RYM606" s="223"/>
      <c r="RYN606" s="224"/>
      <c r="RYO606" s="222"/>
      <c r="RYP606" s="222"/>
      <c r="RYQ606" s="222"/>
      <c r="RYR606" s="222"/>
      <c r="RYS606" s="222"/>
      <c r="RYT606" s="222"/>
      <c r="RYU606" s="223"/>
      <c r="RYV606" s="224"/>
      <c r="RYW606" s="222"/>
      <c r="RYX606" s="222"/>
      <c r="RYY606" s="222"/>
      <c r="RYZ606" s="222"/>
      <c r="RZA606" s="222"/>
      <c r="RZB606" s="222"/>
      <c r="RZC606" s="223"/>
      <c r="RZD606" s="224"/>
      <c r="RZE606" s="222"/>
      <c r="RZF606" s="222"/>
      <c r="RZG606" s="222"/>
      <c r="RZH606" s="222"/>
      <c r="RZI606" s="222"/>
      <c r="RZJ606" s="222"/>
      <c r="RZK606" s="223"/>
      <c r="RZL606" s="224"/>
      <c r="RZM606" s="222"/>
      <c r="RZN606" s="222"/>
      <c r="RZO606" s="222"/>
      <c r="RZP606" s="222"/>
      <c r="RZQ606" s="222"/>
      <c r="RZR606" s="222"/>
      <c r="RZS606" s="223"/>
      <c r="RZT606" s="224"/>
      <c r="RZU606" s="222"/>
      <c r="RZV606" s="222"/>
      <c r="RZW606" s="222"/>
      <c r="RZX606" s="222"/>
      <c r="RZY606" s="222"/>
      <c r="RZZ606" s="222"/>
      <c r="SAA606" s="223"/>
      <c r="SAB606" s="224"/>
      <c r="SAC606" s="222"/>
      <c r="SAD606" s="222"/>
      <c r="SAE606" s="222"/>
      <c r="SAF606" s="222"/>
      <c r="SAG606" s="222"/>
      <c r="SAH606" s="222"/>
      <c r="SAI606" s="223"/>
      <c r="SAJ606" s="224"/>
      <c r="SAK606" s="222"/>
      <c r="SAL606" s="222"/>
      <c r="SAM606" s="222"/>
      <c r="SAN606" s="222"/>
      <c r="SAO606" s="222"/>
      <c r="SAP606" s="222"/>
      <c r="SAQ606" s="223"/>
      <c r="SAR606" s="224"/>
      <c r="SAS606" s="222"/>
      <c r="SAT606" s="222"/>
      <c r="SAU606" s="222"/>
      <c r="SAV606" s="222"/>
      <c r="SAW606" s="222"/>
      <c r="SAX606" s="222"/>
      <c r="SAY606" s="223"/>
      <c r="SAZ606" s="224"/>
      <c r="SBA606" s="222"/>
      <c r="SBB606" s="222"/>
      <c r="SBC606" s="222"/>
      <c r="SBD606" s="222"/>
      <c r="SBE606" s="222"/>
      <c r="SBF606" s="222"/>
      <c r="SBG606" s="223"/>
      <c r="SBH606" s="224"/>
      <c r="SBI606" s="222"/>
      <c r="SBJ606" s="222"/>
      <c r="SBK606" s="222"/>
      <c r="SBL606" s="222"/>
      <c r="SBM606" s="222"/>
      <c r="SBN606" s="222"/>
      <c r="SBO606" s="223"/>
      <c r="SBP606" s="224"/>
      <c r="SBQ606" s="222"/>
      <c r="SBR606" s="222"/>
      <c r="SBS606" s="222"/>
      <c r="SBT606" s="222"/>
      <c r="SBU606" s="222"/>
      <c r="SBV606" s="222"/>
      <c r="SBW606" s="223"/>
      <c r="SBX606" s="224"/>
      <c r="SBY606" s="222"/>
      <c r="SBZ606" s="222"/>
      <c r="SCA606" s="222"/>
      <c r="SCB606" s="222"/>
      <c r="SCC606" s="222"/>
      <c r="SCD606" s="222"/>
      <c r="SCE606" s="223"/>
      <c r="SCF606" s="224"/>
      <c r="SCG606" s="222"/>
      <c r="SCH606" s="222"/>
      <c r="SCI606" s="222"/>
      <c r="SCJ606" s="222"/>
      <c r="SCK606" s="222"/>
      <c r="SCL606" s="222"/>
      <c r="SCM606" s="223"/>
      <c r="SCN606" s="224"/>
      <c r="SCO606" s="222"/>
      <c r="SCP606" s="222"/>
      <c r="SCQ606" s="222"/>
      <c r="SCR606" s="222"/>
      <c r="SCS606" s="222"/>
      <c r="SCT606" s="222"/>
      <c r="SCU606" s="223"/>
      <c r="SCV606" s="224"/>
      <c r="SCW606" s="222"/>
      <c r="SCX606" s="222"/>
      <c r="SCY606" s="222"/>
      <c r="SCZ606" s="222"/>
      <c r="SDA606" s="222"/>
      <c r="SDB606" s="222"/>
      <c r="SDC606" s="223"/>
      <c r="SDD606" s="224"/>
      <c r="SDE606" s="222"/>
      <c r="SDF606" s="222"/>
      <c r="SDG606" s="222"/>
      <c r="SDH606" s="222"/>
      <c r="SDI606" s="222"/>
      <c r="SDJ606" s="222"/>
      <c r="SDK606" s="223"/>
      <c r="SDL606" s="224"/>
      <c r="SDM606" s="222"/>
      <c r="SDN606" s="222"/>
      <c r="SDO606" s="222"/>
      <c r="SDP606" s="222"/>
      <c r="SDQ606" s="222"/>
      <c r="SDR606" s="222"/>
      <c r="SDS606" s="223"/>
      <c r="SDT606" s="224"/>
      <c r="SDU606" s="222"/>
      <c r="SDV606" s="222"/>
      <c r="SDW606" s="222"/>
      <c r="SDX606" s="222"/>
      <c r="SDY606" s="222"/>
      <c r="SDZ606" s="222"/>
      <c r="SEA606" s="223"/>
      <c r="SEB606" s="224"/>
      <c r="SEC606" s="222"/>
      <c r="SED606" s="222"/>
      <c r="SEE606" s="222"/>
      <c r="SEF606" s="222"/>
      <c r="SEG606" s="222"/>
      <c r="SEH606" s="222"/>
      <c r="SEI606" s="223"/>
      <c r="SEJ606" s="224"/>
      <c r="SEK606" s="222"/>
      <c r="SEL606" s="222"/>
      <c r="SEM606" s="222"/>
      <c r="SEN606" s="222"/>
      <c r="SEO606" s="222"/>
      <c r="SEP606" s="222"/>
      <c r="SEQ606" s="223"/>
      <c r="SER606" s="224"/>
      <c r="SES606" s="222"/>
      <c r="SET606" s="222"/>
      <c r="SEU606" s="222"/>
      <c r="SEV606" s="222"/>
      <c r="SEW606" s="222"/>
      <c r="SEX606" s="222"/>
      <c r="SEY606" s="223"/>
      <c r="SEZ606" s="224"/>
      <c r="SFA606" s="222"/>
      <c r="SFB606" s="222"/>
      <c r="SFC606" s="222"/>
      <c r="SFD606" s="222"/>
      <c r="SFE606" s="222"/>
      <c r="SFF606" s="222"/>
      <c r="SFG606" s="223"/>
      <c r="SFH606" s="224"/>
      <c r="SFI606" s="222"/>
      <c r="SFJ606" s="222"/>
      <c r="SFK606" s="222"/>
      <c r="SFL606" s="222"/>
      <c r="SFM606" s="222"/>
      <c r="SFN606" s="222"/>
      <c r="SFO606" s="223"/>
      <c r="SFP606" s="224"/>
      <c r="SFQ606" s="222"/>
      <c r="SFR606" s="222"/>
      <c r="SFS606" s="222"/>
      <c r="SFT606" s="222"/>
      <c r="SFU606" s="222"/>
      <c r="SFV606" s="222"/>
      <c r="SFW606" s="223"/>
      <c r="SFX606" s="224"/>
      <c r="SFY606" s="222"/>
      <c r="SFZ606" s="222"/>
      <c r="SGA606" s="222"/>
      <c r="SGB606" s="222"/>
      <c r="SGC606" s="222"/>
      <c r="SGD606" s="222"/>
      <c r="SGE606" s="223"/>
      <c r="SGF606" s="224"/>
      <c r="SGG606" s="222"/>
      <c r="SGH606" s="222"/>
      <c r="SGI606" s="222"/>
      <c r="SGJ606" s="222"/>
      <c r="SGK606" s="222"/>
      <c r="SGL606" s="222"/>
      <c r="SGM606" s="223"/>
      <c r="SGN606" s="224"/>
      <c r="SGO606" s="222"/>
      <c r="SGP606" s="222"/>
      <c r="SGQ606" s="222"/>
      <c r="SGR606" s="222"/>
      <c r="SGS606" s="222"/>
      <c r="SGT606" s="222"/>
      <c r="SGU606" s="223"/>
      <c r="SGV606" s="224"/>
      <c r="SGW606" s="222"/>
      <c r="SGX606" s="222"/>
      <c r="SGY606" s="222"/>
      <c r="SGZ606" s="222"/>
      <c r="SHA606" s="222"/>
      <c r="SHB606" s="222"/>
      <c r="SHC606" s="223"/>
      <c r="SHD606" s="224"/>
      <c r="SHE606" s="222"/>
      <c r="SHF606" s="222"/>
      <c r="SHG606" s="222"/>
      <c r="SHH606" s="222"/>
      <c r="SHI606" s="222"/>
      <c r="SHJ606" s="222"/>
      <c r="SHK606" s="223"/>
      <c r="SHL606" s="224"/>
      <c r="SHM606" s="222"/>
      <c r="SHN606" s="222"/>
      <c r="SHO606" s="222"/>
      <c r="SHP606" s="222"/>
      <c r="SHQ606" s="222"/>
      <c r="SHR606" s="222"/>
      <c r="SHS606" s="223"/>
      <c r="SHT606" s="224"/>
      <c r="SHU606" s="222"/>
      <c r="SHV606" s="222"/>
      <c r="SHW606" s="222"/>
      <c r="SHX606" s="222"/>
      <c r="SHY606" s="222"/>
      <c r="SHZ606" s="222"/>
      <c r="SIA606" s="223"/>
      <c r="SIB606" s="224"/>
      <c r="SIC606" s="222"/>
      <c r="SID606" s="222"/>
      <c r="SIE606" s="222"/>
      <c r="SIF606" s="222"/>
      <c r="SIG606" s="222"/>
      <c r="SIH606" s="222"/>
      <c r="SII606" s="223"/>
      <c r="SIJ606" s="224"/>
      <c r="SIK606" s="222"/>
      <c r="SIL606" s="222"/>
      <c r="SIM606" s="222"/>
      <c r="SIN606" s="222"/>
      <c r="SIO606" s="222"/>
      <c r="SIP606" s="222"/>
      <c r="SIQ606" s="223"/>
      <c r="SIR606" s="224"/>
      <c r="SIS606" s="222"/>
      <c r="SIT606" s="222"/>
      <c r="SIU606" s="222"/>
      <c r="SIV606" s="222"/>
      <c r="SIW606" s="222"/>
      <c r="SIX606" s="222"/>
      <c r="SIY606" s="223"/>
      <c r="SIZ606" s="224"/>
      <c r="SJA606" s="222"/>
      <c r="SJB606" s="222"/>
      <c r="SJC606" s="222"/>
      <c r="SJD606" s="222"/>
      <c r="SJE606" s="222"/>
      <c r="SJF606" s="222"/>
      <c r="SJG606" s="223"/>
      <c r="SJH606" s="224"/>
      <c r="SJI606" s="222"/>
      <c r="SJJ606" s="222"/>
      <c r="SJK606" s="222"/>
      <c r="SJL606" s="222"/>
      <c r="SJM606" s="222"/>
      <c r="SJN606" s="222"/>
      <c r="SJO606" s="223"/>
      <c r="SJP606" s="224"/>
      <c r="SJQ606" s="222"/>
      <c r="SJR606" s="222"/>
      <c r="SJS606" s="222"/>
      <c r="SJT606" s="222"/>
      <c r="SJU606" s="222"/>
      <c r="SJV606" s="222"/>
      <c r="SJW606" s="223"/>
      <c r="SJX606" s="224"/>
      <c r="SJY606" s="222"/>
      <c r="SJZ606" s="222"/>
      <c r="SKA606" s="222"/>
      <c r="SKB606" s="222"/>
      <c r="SKC606" s="222"/>
      <c r="SKD606" s="222"/>
      <c r="SKE606" s="223"/>
      <c r="SKF606" s="224"/>
      <c r="SKG606" s="222"/>
      <c r="SKH606" s="222"/>
      <c r="SKI606" s="222"/>
      <c r="SKJ606" s="222"/>
      <c r="SKK606" s="222"/>
      <c r="SKL606" s="222"/>
      <c r="SKM606" s="223"/>
      <c r="SKN606" s="224"/>
      <c r="SKO606" s="222"/>
      <c r="SKP606" s="222"/>
      <c r="SKQ606" s="222"/>
      <c r="SKR606" s="222"/>
      <c r="SKS606" s="222"/>
      <c r="SKT606" s="222"/>
      <c r="SKU606" s="223"/>
      <c r="SKV606" s="224"/>
      <c r="SKW606" s="222"/>
      <c r="SKX606" s="222"/>
      <c r="SKY606" s="222"/>
      <c r="SKZ606" s="222"/>
      <c r="SLA606" s="222"/>
      <c r="SLB606" s="222"/>
      <c r="SLC606" s="223"/>
      <c r="SLD606" s="224"/>
      <c r="SLE606" s="222"/>
      <c r="SLF606" s="222"/>
      <c r="SLG606" s="222"/>
      <c r="SLH606" s="222"/>
      <c r="SLI606" s="222"/>
      <c r="SLJ606" s="222"/>
      <c r="SLK606" s="223"/>
      <c r="SLL606" s="224"/>
      <c r="SLM606" s="222"/>
      <c r="SLN606" s="222"/>
      <c r="SLO606" s="222"/>
      <c r="SLP606" s="222"/>
      <c r="SLQ606" s="222"/>
      <c r="SLR606" s="222"/>
      <c r="SLS606" s="223"/>
      <c r="SLT606" s="224"/>
      <c r="SLU606" s="222"/>
      <c r="SLV606" s="222"/>
      <c r="SLW606" s="222"/>
      <c r="SLX606" s="222"/>
      <c r="SLY606" s="222"/>
      <c r="SLZ606" s="222"/>
      <c r="SMA606" s="223"/>
      <c r="SMB606" s="224"/>
      <c r="SMC606" s="222"/>
      <c r="SMD606" s="222"/>
      <c r="SME606" s="222"/>
      <c r="SMF606" s="222"/>
      <c r="SMG606" s="222"/>
      <c r="SMH606" s="222"/>
      <c r="SMI606" s="223"/>
      <c r="SMJ606" s="224"/>
      <c r="SMK606" s="222"/>
      <c r="SML606" s="222"/>
      <c r="SMM606" s="222"/>
      <c r="SMN606" s="222"/>
      <c r="SMO606" s="222"/>
      <c r="SMP606" s="222"/>
      <c r="SMQ606" s="223"/>
      <c r="SMR606" s="224"/>
      <c r="SMS606" s="222"/>
      <c r="SMT606" s="222"/>
      <c r="SMU606" s="222"/>
      <c r="SMV606" s="222"/>
      <c r="SMW606" s="222"/>
      <c r="SMX606" s="222"/>
      <c r="SMY606" s="223"/>
      <c r="SMZ606" s="224"/>
      <c r="SNA606" s="222"/>
      <c r="SNB606" s="222"/>
      <c r="SNC606" s="222"/>
      <c r="SND606" s="222"/>
      <c r="SNE606" s="222"/>
      <c r="SNF606" s="222"/>
      <c r="SNG606" s="223"/>
      <c r="SNH606" s="224"/>
      <c r="SNI606" s="222"/>
      <c r="SNJ606" s="222"/>
      <c r="SNK606" s="222"/>
      <c r="SNL606" s="222"/>
      <c r="SNM606" s="222"/>
      <c r="SNN606" s="222"/>
      <c r="SNO606" s="223"/>
      <c r="SNP606" s="224"/>
      <c r="SNQ606" s="222"/>
      <c r="SNR606" s="222"/>
      <c r="SNS606" s="222"/>
      <c r="SNT606" s="222"/>
      <c r="SNU606" s="222"/>
      <c r="SNV606" s="222"/>
      <c r="SNW606" s="223"/>
      <c r="SNX606" s="224"/>
      <c r="SNY606" s="222"/>
      <c r="SNZ606" s="222"/>
      <c r="SOA606" s="222"/>
      <c r="SOB606" s="222"/>
      <c r="SOC606" s="222"/>
      <c r="SOD606" s="222"/>
      <c r="SOE606" s="223"/>
      <c r="SOF606" s="224"/>
      <c r="SOG606" s="222"/>
      <c r="SOH606" s="222"/>
      <c r="SOI606" s="222"/>
      <c r="SOJ606" s="222"/>
      <c r="SOK606" s="222"/>
      <c r="SOL606" s="222"/>
      <c r="SOM606" s="223"/>
      <c r="SON606" s="224"/>
      <c r="SOO606" s="222"/>
      <c r="SOP606" s="222"/>
      <c r="SOQ606" s="222"/>
      <c r="SOR606" s="222"/>
      <c r="SOS606" s="222"/>
      <c r="SOT606" s="222"/>
      <c r="SOU606" s="223"/>
      <c r="SOV606" s="224"/>
      <c r="SOW606" s="222"/>
      <c r="SOX606" s="222"/>
      <c r="SOY606" s="222"/>
      <c r="SOZ606" s="222"/>
      <c r="SPA606" s="222"/>
      <c r="SPB606" s="222"/>
      <c r="SPC606" s="223"/>
      <c r="SPD606" s="224"/>
      <c r="SPE606" s="222"/>
      <c r="SPF606" s="222"/>
      <c r="SPG606" s="222"/>
      <c r="SPH606" s="222"/>
      <c r="SPI606" s="222"/>
      <c r="SPJ606" s="222"/>
      <c r="SPK606" s="223"/>
      <c r="SPL606" s="224"/>
      <c r="SPM606" s="222"/>
      <c r="SPN606" s="222"/>
      <c r="SPO606" s="222"/>
      <c r="SPP606" s="222"/>
      <c r="SPQ606" s="222"/>
      <c r="SPR606" s="222"/>
      <c r="SPS606" s="223"/>
      <c r="SPT606" s="224"/>
      <c r="SPU606" s="222"/>
      <c r="SPV606" s="222"/>
      <c r="SPW606" s="222"/>
      <c r="SPX606" s="222"/>
      <c r="SPY606" s="222"/>
      <c r="SPZ606" s="222"/>
      <c r="SQA606" s="223"/>
      <c r="SQB606" s="224"/>
      <c r="SQC606" s="222"/>
      <c r="SQD606" s="222"/>
      <c r="SQE606" s="222"/>
      <c r="SQF606" s="222"/>
      <c r="SQG606" s="222"/>
      <c r="SQH606" s="222"/>
      <c r="SQI606" s="223"/>
      <c r="SQJ606" s="224"/>
      <c r="SQK606" s="222"/>
      <c r="SQL606" s="222"/>
      <c r="SQM606" s="222"/>
      <c r="SQN606" s="222"/>
      <c r="SQO606" s="222"/>
      <c r="SQP606" s="222"/>
      <c r="SQQ606" s="223"/>
      <c r="SQR606" s="224"/>
      <c r="SQS606" s="222"/>
      <c r="SQT606" s="222"/>
      <c r="SQU606" s="222"/>
      <c r="SQV606" s="222"/>
      <c r="SQW606" s="222"/>
      <c r="SQX606" s="222"/>
      <c r="SQY606" s="223"/>
      <c r="SQZ606" s="224"/>
      <c r="SRA606" s="222"/>
      <c r="SRB606" s="222"/>
      <c r="SRC606" s="222"/>
      <c r="SRD606" s="222"/>
      <c r="SRE606" s="222"/>
      <c r="SRF606" s="222"/>
      <c r="SRG606" s="223"/>
      <c r="SRH606" s="224"/>
      <c r="SRI606" s="222"/>
      <c r="SRJ606" s="222"/>
      <c r="SRK606" s="222"/>
      <c r="SRL606" s="222"/>
      <c r="SRM606" s="222"/>
      <c r="SRN606" s="222"/>
      <c r="SRO606" s="223"/>
      <c r="SRP606" s="224"/>
      <c r="SRQ606" s="222"/>
      <c r="SRR606" s="222"/>
      <c r="SRS606" s="222"/>
      <c r="SRT606" s="222"/>
      <c r="SRU606" s="222"/>
      <c r="SRV606" s="222"/>
      <c r="SRW606" s="223"/>
      <c r="SRX606" s="224"/>
      <c r="SRY606" s="222"/>
      <c r="SRZ606" s="222"/>
      <c r="SSA606" s="222"/>
      <c r="SSB606" s="222"/>
      <c r="SSC606" s="222"/>
      <c r="SSD606" s="222"/>
      <c r="SSE606" s="223"/>
      <c r="SSF606" s="224"/>
      <c r="SSG606" s="222"/>
      <c r="SSH606" s="222"/>
      <c r="SSI606" s="222"/>
      <c r="SSJ606" s="222"/>
      <c r="SSK606" s="222"/>
      <c r="SSL606" s="222"/>
      <c r="SSM606" s="223"/>
      <c r="SSN606" s="224"/>
      <c r="SSO606" s="222"/>
      <c r="SSP606" s="222"/>
      <c r="SSQ606" s="222"/>
      <c r="SSR606" s="222"/>
      <c r="SSS606" s="222"/>
      <c r="SST606" s="222"/>
      <c r="SSU606" s="223"/>
      <c r="SSV606" s="224"/>
      <c r="SSW606" s="222"/>
      <c r="SSX606" s="222"/>
      <c r="SSY606" s="222"/>
      <c r="SSZ606" s="222"/>
      <c r="STA606" s="222"/>
      <c r="STB606" s="222"/>
      <c r="STC606" s="223"/>
      <c r="STD606" s="224"/>
      <c r="STE606" s="222"/>
      <c r="STF606" s="222"/>
      <c r="STG606" s="222"/>
      <c r="STH606" s="222"/>
      <c r="STI606" s="222"/>
      <c r="STJ606" s="222"/>
      <c r="STK606" s="223"/>
      <c r="STL606" s="224"/>
      <c r="STM606" s="222"/>
      <c r="STN606" s="222"/>
      <c r="STO606" s="222"/>
      <c r="STP606" s="222"/>
      <c r="STQ606" s="222"/>
      <c r="STR606" s="222"/>
      <c r="STS606" s="223"/>
      <c r="STT606" s="224"/>
      <c r="STU606" s="222"/>
      <c r="STV606" s="222"/>
      <c r="STW606" s="222"/>
      <c r="STX606" s="222"/>
      <c r="STY606" s="222"/>
      <c r="STZ606" s="222"/>
      <c r="SUA606" s="223"/>
      <c r="SUB606" s="224"/>
      <c r="SUC606" s="222"/>
      <c r="SUD606" s="222"/>
      <c r="SUE606" s="222"/>
      <c r="SUF606" s="222"/>
      <c r="SUG606" s="222"/>
      <c r="SUH606" s="222"/>
      <c r="SUI606" s="223"/>
      <c r="SUJ606" s="224"/>
      <c r="SUK606" s="222"/>
      <c r="SUL606" s="222"/>
      <c r="SUM606" s="222"/>
      <c r="SUN606" s="222"/>
      <c r="SUO606" s="222"/>
      <c r="SUP606" s="222"/>
      <c r="SUQ606" s="223"/>
      <c r="SUR606" s="224"/>
      <c r="SUS606" s="222"/>
      <c r="SUT606" s="222"/>
      <c r="SUU606" s="222"/>
      <c r="SUV606" s="222"/>
      <c r="SUW606" s="222"/>
      <c r="SUX606" s="222"/>
      <c r="SUY606" s="223"/>
      <c r="SUZ606" s="224"/>
      <c r="SVA606" s="222"/>
      <c r="SVB606" s="222"/>
      <c r="SVC606" s="222"/>
      <c r="SVD606" s="222"/>
      <c r="SVE606" s="222"/>
      <c r="SVF606" s="222"/>
      <c r="SVG606" s="223"/>
      <c r="SVH606" s="224"/>
      <c r="SVI606" s="222"/>
      <c r="SVJ606" s="222"/>
      <c r="SVK606" s="222"/>
      <c r="SVL606" s="222"/>
      <c r="SVM606" s="222"/>
      <c r="SVN606" s="222"/>
      <c r="SVO606" s="223"/>
      <c r="SVP606" s="224"/>
      <c r="SVQ606" s="222"/>
      <c r="SVR606" s="222"/>
      <c r="SVS606" s="222"/>
      <c r="SVT606" s="222"/>
      <c r="SVU606" s="222"/>
      <c r="SVV606" s="222"/>
      <c r="SVW606" s="223"/>
      <c r="SVX606" s="224"/>
      <c r="SVY606" s="222"/>
      <c r="SVZ606" s="222"/>
      <c r="SWA606" s="222"/>
      <c r="SWB606" s="222"/>
      <c r="SWC606" s="222"/>
      <c r="SWD606" s="222"/>
      <c r="SWE606" s="223"/>
      <c r="SWF606" s="224"/>
      <c r="SWG606" s="222"/>
      <c r="SWH606" s="222"/>
      <c r="SWI606" s="222"/>
      <c r="SWJ606" s="222"/>
      <c r="SWK606" s="222"/>
      <c r="SWL606" s="222"/>
      <c r="SWM606" s="223"/>
      <c r="SWN606" s="224"/>
      <c r="SWO606" s="222"/>
      <c r="SWP606" s="222"/>
      <c r="SWQ606" s="222"/>
      <c r="SWR606" s="222"/>
      <c r="SWS606" s="222"/>
      <c r="SWT606" s="222"/>
      <c r="SWU606" s="223"/>
      <c r="SWV606" s="224"/>
      <c r="SWW606" s="222"/>
      <c r="SWX606" s="222"/>
      <c r="SWY606" s="222"/>
      <c r="SWZ606" s="222"/>
      <c r="SXA606" s="222"/>
      <c r="SXB606" s="222"/>
      <c r="SXC606" s="223"/>
      <c r="SXD606" s="224"/>
      <c r="SXE606" s="222"/>
      <c r="SXF606" s="222"/>
      <c r="SXG606" s="222"/>
      <c r="SXH606" s="222"/>
      <c r="SXI606" s="222"/>
      <c r="SXJ606" s="222"/>
      <c r="SXK606" s="223"/>
      <c r="SXL606" s="224"/>
      <c r="SXM606" s="222"/>
      <c r="SXN606" s="222"/>
      <c r="SXO606" s="222"/>
      <c r="SXP606" s="222"/>
      <c r="SXQ606" s="222"/>
      <c r="SXR606" s="222"/>
      <c r="SXS606" s="223"/>
      <c r="SXT606" s="224"/>
      <c r="SXU606" s="222"/>
      <c r="SXV606" s="222"/>
      <c r="SXW606" s="222"/>
      <c r="SXX606" s="222"/>
      <c r="SXY606" s="222"/>
      <c r="SXZ606" s="222"/>
      <c r="SYA606" s="223"/>
      <c r="SYB606" s="224"/>
      <c r="SYC606" s="222"/>
      <c r="SYD606" s="222"/>
      <c r="SYE606" s="222"/>
      <c r="SYF606" s="222"/>
      <c r="SYG606" s="222"/>
      <c r="SYH606" s="222"/>
      <c r="SYI606" s="223"/>
      <c r="SYJ606" s="224"/>
      <c r="SYK606" s="222"/>
      <c r="SYL606" s="222"/>
      <c r="SYM606" s="222"/>
      <c r="SYN606" s="222"/>
      <c r="SYO606" s="222"/>
      <c r="SYP606" s="222"/>
      <c r="SYQ606" s="223"/>
      <c r="SYR606" s="224"/>
      <c r="SYS606" s="222"/>
      <c r="SYT606" s="222"/>
      <c r="SYU606" s="222"/>
      <c r="SYV606" s="222"/>
      <c r="SYW606" s="222"/>
      <c r="SYX606" s="222"/>
      <c r="SYY606" s="223"/>
      <c r="SYZ606" s="224"/>
      <c r="SZA606" s="222"/>
      <c r="SZB606" s="222"/>
      <c r="SZC606" s="222"/>
      <c r="SZD606" s="222"/>
      <c r="SZE606" s="222"/>
      <c r="SZF606" s="222"/>
      <c r="SZG606" s="223"/>
      <c r="SZH606" s="224"/>
      <c r="SZI606" s="222"/>
      <c r="SZJ606" s="222"/>
      <c r="SZK606" s="222"/>
      <c r="SZL606" s="222"/>
      <c r="SZM606" s="222"/>
      <c r="SZN606" s="222"/>
      <c r="SZO606" s="223"/>
      <c r="SZP606" s="224"/>
      <c r="SZQ606" s="222"/>
      <c r="SZR606" s="222"/>
      <c r="SZS606" s="222"/>
      <c r="SZT606" s="222"/>
      <c r="SZU606" s="222"/>
      <c r="SZV606" s="222"/>
      <c r="SZW606" s="223"/>
      <c r="SZX606" s="224"/>
      <c r="SZY606" s="222"/>
      <c r="SZZ606" s="222"/>
      <c r="TAA606" s="222"/>
      <c r="TAB606" s="222"/>
      <c r="TAC606" s="222"/>
      <c r="TAD606" s="222"/>
      <c r="TAE606" s="223"/>
      <c r="TAF606" s="224"/>
      <c r="TAG606" s="222"/>
      <c r="TAH606" s="222"/>
      <c r="TAI606" s="222"/>
      <c r="TAJ606" s="222"/>
      <c r="TAK606" s="222"/>
      <c r="TAL606" s="222"/>
      <c r="TAM606" s="223"/>
      <c r="TAN606" s="224"/>
      <c r="TAO606" s="222"/>
      <c r="TAP606" s="222"/>
      <c r="TAQ606" s="222"/>
      <c r="TAR606" s="222"/>
      <c r="TAS606" s="222"/>
      <c r="TAT606" s="222"/>
      <c r="TAU606" s="223"/>
      <c r="TAV606" s="224"/>
      <c r="TAW606" s="222"/>
      <c r="TAX606" s="222"/>
      <c r="TAY606" s="222"/>
      <c r="TAZ606" s="222"/>
      <c r="TBA606" s="222"/>
      <c r="TBB606" s="222"/>
      <c r="TBC606" s="223"/>
      <c r="TBD606" s="224"/>
      <c r="TBE606" s="222"/>
      <c r="TBF606" s="222"/>
      <c r="TBG606" s="222"/>
      <c r="TBH606" s="222"/>
      <c r="TBI606" s="222"/>
      <c r="TBJ606" s="222"/>
      <c r="TBK606" s="223"/>
      <c r="TBL606" s="224"/>
      <c r="TBM606" s="222"/>
      <c r="TBN606" s="222"/>
      <c r="TBO606" s="222"/>
      <c r="TBP606" s="222"/>
      <c r="TBQ606" s="222"/>
      <c r="TBR606" s="222"/>
      <c r="TBS606" s="223"/>
      <c r="TBT606" s="224"/>
      <c r="TBU606" s="222"/>
      <c r="TBV606" s="222"/>
      <c r="TBW606" s="222"/>
      <c r="TBX606" s="222"/>
      <c r="TBY606" s="222"/>
      <c r="TBZ606" s="222"/>
      <c r="TCA606" s="223"/>
      <c r="TCB606" s="224"/>
      <c r="TCC606" s="222"/>
      <c r="TCD606" s="222"/>
      <c r="TCE606" s="222"/>
      <c r="TCF606" s="222"/>
      <c r="TCG606" s="222"/>
      <c r="TCH606" s="222"/>
      <c r="TCI606" s="223"/>
      <c r="TCJ606" s="224"/>
      <c r="TCK606" s="222"/>
      <c r="TCL606" s="222"/>
      <c r="TCM606" s="222"/>
      <c r="TCN606" s="222"/>
      <c r="TCO606" s="222"/>
      <c r="TCP606" s="222"/>
      <c r="TCQ606" s="223"/>
      <c r="TCR606" s="224"/>
      <c r="TCS606" s="222"/>
      <c r="TCT606" s="222"/>
      <c r="TCU606" s="222"/>
      <c r="TCV606" s="222"/>
      <c r="TCW606" s="222"/>
      <c r="TCX606" s="222"/>
      <c r="TCY606" s="223"/>
      <c r="TCZ606" s="224"/>
      <c r="TDA606" s="222"/>
      <c r="TDB606" s="222"/>
      <c r="TDC606" s="222"/>
      <c r="TDD606" s="222"/>
      <c r="TDE606" s="222"/>
      <c r="TDF606" s="222"/>
      <c r="TDG606" s="223"/>
      <c r="TDH606" s="224"/>
      <c r="TDI606" s="222"/>
      <c r="TDJ606" s="222"/>
      <c r="TDK606" s="222"/>
      <c r="TDL606" s="222"/>
      <c r="TDM606" s="222"/>
      <c r="TDN606" s="222"/>
      <c r="TDO606" s="223"/>
      <c r="TDP606" s="224"/>
      <c r="TDQ606" s="222"/>
      <c r="TDR606" s="222"/>
      <c r="TDS606" s="222"/>
      <c r="TDT606" s="222"/>
      <c r="TDU606" s="222"/>
      <c r="TDV606" s="222"/>
      <c r="TDW606" s="223"/>
      <c r="TDX606" s="224"/>
      <c r="TDY606" s="222"/>
      <c r="TDZ606" s="222"/>
      <c r="TEA606" s="222"/>
      <c r="TEB606" s="222"/>
      <c r="TEC606" s="222"/>
      <c r="TED606" s="222"/>
      <c r="TEE606" s="223"/>
      <c r="TEF606" s="224"/>
      <c r="TEG606" s="222"/>
      <c r="TEH606" s="222"/>
      <c r="TEI606" s="222"/>
      <c r="TEJ606" s="222"/>
      <c r="TEK606" s="222"/>
      <c r="TEL606" s="222"/>
      <c r="TEM606" s="223"/>
      <c r="TEN606" s="224"/>
      <c r="TEO606" s="222"/>
      <c r="TEP606" s="222"/>
      <c r="TEQ606" s="222"/>
      <c r="TER606" s="222"/>
      <c r="TES606" s="222"/>
      <c r="TET606" s="222"/>
      <c r="TEU606" s="223"/>
      <c r="TEV606" s="224"/>
      <c r="TEW606" s="222"/>
      <c r="TEX606" s="222"/>
      <c r="TEY606" s="222"/>
      <c r="TEZ606" s="222"/>
      <c r="TFA606" s="222"/>
      <c r="TFB606" s="222"/>
      <c r="TFC606" s="223"/>
      <c r="TFD606" s="224"/>
      <c r="TFE606" s="222"/>
      <c r="TFF606" s="222"/>
      <c r="TFG606" s="222"/>
      <c r="TFH606" s="222"/>
      <c r="TFI606" s="222"/>
      <c r="TFJ606" s="222"/>
      <c r="TFK606" s="223"/>
      <c r="TFL606" s="224"/>
      <c r="TFM606" s="222"/>
      <c r="TFN606" s="222"/>
      <c r="TFO606" s="222"/>
      <c r="TFP606" s="222"/>
      <c r="TFQ606" s="222"/>
      <c r="TFR606" s="222"/>
      <c r="TFS606" s="223"/>
      <c r="TFT606" s="224"/>
      <c r="TFU606" s="222"/>
      <c r="TFV606" s="222"/>
      <c r="TFW606" s="222"/>
      <c r="TFX606" s="222"/>
      <c r="TFY606" s="222"/>
      <c r="TFZ606" s="222"/>
      <c r="TGA606" s="223"/>
      <c r="TGB606" s="224"/>
      <c r="TGC606" s="222"/>
      <c r="TGD606" s="222"/>
      <c r="TGE606" s="222"/>
      <c r="TGF606" s="222"/>
      <c r="TGG606" s="222"/>
      <c r="TGH606" s="222"/>
      <c r="TGI606" s="223"/>
      <c r="TGJ606" s="224"/>
      <c r="TGK606" s="222"/>
      <c r="TGL606" s="222"/>
      <c r="TGM606" s="222"/>
      <c r="TGN606" s="222"/>
      <c r="TGO606" s="222"/>
      <c r="TGP606" s="222"/>
      <c r="TGQ606" s="223"/>
      <c r="TGR606" s="224"/>
      <c r="TGS606" s="222"/>
      <c r="TGT606" s="222"/>
      <c r="TGU606" s="222"/>
      <c r="TGV606" s="222"/>
      <c r="TGW606" s="222"/>
      <c r="TGX606" s="222"/>
      <c r="TGY606" s="223"/>
      <c r="TGZ606" s="224"/>
      <c r="THA606" s="222"/>
      <c r="THB606" s="222"/>
      <c r="THC606" s="222"/>
      <c r="THD606" s="222"/>
      <c r="THE606" s="222"/>
      <c r="THF606" s="222"/>
      <c r="THG606" s="223"/>
      <c r="THH606" s="224"/>
      <c r="THI606" s="222"/>
      <c r="THJ606" s="222"/>
      <c r="THK606" s="222"/>
      <c r="THL606" s="222"/>
      <c r="THM606" s="222"/>
      <c r="THN606" s="222"/>
      <c r="THO606" s="223"/>
      <c r="THP606" s="224"/>
      <c r="THQ606" s="222"/>
      <c r="THR606" s="222"/>
      <c r="THS606" s="222"/>
      <c r="THT606" s="222"/>
      <c r="THU606" s="222"/>
      <c r="THV606" s="222"/>
      <c r="THW606" s="223"/>
      <c r="THX606" s="224"/>
      <c r="THY606" s="222"/>
      <c r="THZ606" s="222"/>
      <c r="TIA606" s="222"/>
      <c r="TIB606" s="222"/>
      <c r="TIC606" s="222"/>
      <c r="TID606" s="222"/>
      <c r="TIE606" s="223"/>
      <c r="TIF606" s="224"/>
      <c r="TIG606" s="222"/>
      <c r="TIH606" s="222"/>
      <c r="TII606" s="222"/>
      <c r="TIJ606" s="222"/>
      <c r="TIK606" s="222"/>
      <c r="TIL606" s="222"/>
      <c r="TIM606" s="223"/>
      <c r="TIN606" s="224"/>
      <c r="TIO606" s="222"/>
      <c r="TIP606" s="222"/>
      <c r="TIQ606" s="222"/>
      <c r="TIR606" s="222"/>
      <c r="TIS606" s="222"/>
      <c r="TIT606" s="222"/>
      <c r="TIU606" s="223"/>
      <c r="TIV606" s="224"/>
      <c r="TIW606" s="222"/>
      <c r="TIX606" s="222"/>
      <c r="TIY606" s="222"/>
      <c r="TIZ606" s="222"/>
      <c r="TJA606" s="222"/>
      <c r="TJB606" s="222"/>
      <c r="TJC606" s="223"/>
      <c r="TJD606" s="224"/>
      <c r="TJE606" s="222"/>
      <c r="TJF606" s="222"/>
      <c r="TJG606" s="222"/>
      <c r="TJH606" s="222"/>
      <c r="TJI606" s="222"/>
      <c r="TJJ606" s="222"/>
      <c r="TJK606" s="223"/>
      <c r="TJL606" s="224"/>
      <c r="TJM606" s="222"/>
      <c r="TJN606" s="222"/>
      <c r="TJO606" s="222"/>
      <c r="TJP606" s="222"/>
      <c r="TJQ606" s="222"/>
      <c r="TJR606" s="222"/>
      <c r="TJS606" s="223"/>
      <c r="TJT606" s="224"/>
      <c r="TJU606" s="222"/>
      <c r="TJV606" s="222"/>
      <c r="TJW606" s="222"/>
      <c r="TJX606" s="222"/>
      <c r="TJY606" s="222"/>
      <c r="TJZ606" s="222"/>
      <c r="TKA606" s="223"/>
      <c r="TKB606" s="224"/>
      <c r="TKC606" s="222"/>
      <c r="TKD606" s="222"/>
      <c r="TKE606" s="222"/>
      <c r="TKF606" s="222"/>
      <c r="TKG606" s="222"/>
      <c r="TKH606" s="222"/>
      <c r="TKI606" s="223"/>
      <c r="TKJ606" s="224"/>
      <c r="TKK606" s="222"/>
      <c r="TKL606" s="222"/>
      <c r="TKM606" s="222"/>
      <c r="TKN606" s="222"/>
      <c r="TKO606" s="222"/>
      <c r="TKP606" s="222"/>
      <c r="TKQ606" s="223"/>
      <c r="TKR606" s="224"/>
      <c r="TKS606" s="222"/>
      <c r="TKT606" s="222"/>
      <c r="TKU606" s="222"/>
      <c r="TKV606" s="222"/>
      <c r="TKW606" s="222"/>
      <c r="TKX606" s="222"/>
      <c r="TKY606" s="223"/>
      <c r="TKZ606" s="224"/>
      <c r="TLA606" s="222"/>
      <c r="TLB606" s="222"/>
      <c r="TLC606" s="222"/>
      <c r="TLD606" s="222"/>
      <c r="TLE606" s="222"/>
      <c r="TLF606" s="222"/>
      <c r="TLG606" s="223"/>
      <c r="TLH606" s="224"/>
      <c r="TLI606" s="222"/>
      <c r="TLJ606" s="222"/>
      <c r="TLK606" s="222"/>
      <c r="TLL606" s="222"/>
      <c r="TLM606" s="222"/>
      <c r="TLN606" s="222"/>
      <c r="TLO606" s="223"/>
      <c r="TLP606" s="224"/>
      <c r="TLQ606" s="222"/>
      <c r="TLR606" s="222"/>
      <c r="TLS606" s="222"/>
      <c r="TLT606" s="222"/>
      <c r="TLU606" s="222"/>
      <c r="TLV606" s="222"/>
      <c r="TLW606" s="223"/>
      <c r="TLX606" s="224"/>
      <c r="TLY606" s="222"/>
      <c r="TLZ606" s="222"/>
      <c r="TMA606" s="222"/>
      <c r="TMB606" s="222"/>
      <c r="TMC606" s="222"/>
      <c r="TMD606" s="222"/>
      <c r="TME606" s="223"/>
      <c r="TMF606" s="224"/>
      <c r="TMG606" s="222"/>
      <c r="TMH606" s="222"/>
      <c r="TMI606" s="222"/>
      <c r="TMJ606" s="222"/>
      <c r="TMK606" s="222"/>
      <c r="TML606" s="222"/>
      <c r="TMM606" s="223"/>
      <c r="TMN606" s="224"/>
      <c r="TMO606" s="222"/>
      <c r="TMP606" s="222"/>
      <c r="TMQ606" s="222"/>
      <c r="TMR606" s="222"/>
      <c r="TMS606" s="222"/>
      <c r="TMT606" s="222"/>
      <c r="TMU606" s="223"/>
      <c r="TMV606" s="224"/>
      <c r="TMW606" s="222"/>
      <c r="TMX606" s="222"/>
      <c r="TMY606" s="222"/>
      <c r="TMZ606" s="222"/>
      <c r="TNA606" s="222"/>
      <c r="TNB606" s="222"/>
      <c r="TNC606" s="223"/>
      <c r="TND606" s="224"/>
      <c r="TNE606" s="222"/>
      <c r="TNF606" s="222"/>
      <c r="TNG606" s="222"/>
      <c r="TNH606" s="222"/>
      <c r="TNI606" s="222"/>
      <c r="TNJ606" s="222"/>
      <c r="TNK606" s="223"/>
      <c r="TNL606" s="224"/>
      <c r="TNM606" s="222"/>
      <c r="TNN606" s="222"/>
      <c r="TNO606" s="222"/>
      <c r="TNP606" s="222"/>
      <c r="TNQ606" s="222"/>
      <c r="TNR606" s="222"/>
      <c r="TNS606" s="223"/>
      <c r="TNT606" s="224"/>
      <c r="TNU606" s="222"/>
      <c r="TNV606" s="222"/>
      <c r="TNW606" s="222"/>
      <c r="TNX606" s="222"/>
      <c r="TNY606" s="222"/>
      <c r="TNZ606" s="222"/>
      <c r="TOA606" s="223"/>
      <c r="TOB606" s="224"/>
      <c r="TOC606" s="222"/>
      <c r="TOD606" s="222"/>
      <c r="TOE606" s="222"/>
      <c r="TOF606" s="222"/>
      <c r="TOG606" s="222"/>
      <c r="TOH606" s="222"/>
      <c r="TOI606" s="223"/>
      <c r="TOJ606" s="224"/>
      <c r="TOK606" s="222"/>
      <c r="TOL606" s="222"/>
      <c r="TOM606" s="222"/>
      <c r="TON606" s="222"/>
      <c r="TOO606" s="222"/>
      <c r="TOP606" s="222"/>
      <c r="TOQ606" s="223"/>
      <c r="TOR606" s="224"/>
      <c r="TOS606" s="222"/>
      <c r="TOT606" s="222"/>
      <c r="TOU606" s="222"/>
      <c r="TOV606" s="222"/>
      <c r="TOW606" s="222"/>
      <c r="TOX606" s="222"/>
      <c r="TOY606" s="223"/>
      <c r="TOZ606" s="224"/>
      <c r="TPA606" s="222"/>
      <c r="TPB606" s="222"/>
      <c r="TPC606" s="222"/>
      <c r="TPD606" s="222"/>
      <c r="TPE606" s="222"/>
      <c r="TPF606" s="222"/>
      <c r="TPG606" s="223"/>
      <c r="TPH606" s="224"/>
      <c r="TPI606" s="222"/>
      <c r="TPJ606" s="222"/>
      <c r="TPK606" s="222"/>
      <c r="TPL606" s="222"/>
      <c r="TPM606" s="222"/>
      <c r="TPN606" s="222"/>
      <c r="TPO606" s="223"/>
      <c r="TPP606" s="224"/>
      <c r="TPQ606" s="222"/>
      <c r="TPR606" s="222"/>
      <c r="TPS606" s="222"/>
      <c r="TPT606" s="222"/>
      <c r="TPU606" s="222"/>
      <c r="TPV606" s="222"/>
      <c r="TPW606" s="223"/>
      <c r="TPX606" s="224"/>
      <c r="TPY606" s="222"/>
      <c r="TPZ606" s="222"/>
      <c r="TQA606" s="222"/>
      <c r="TQB606" s="222"/>
      <c r="TQC606" s="222"/>
      <c r="TQD606" s="222"/>
      <c r="TQE606" s="223"/>
      <c r="TQF606" s="224"/>
      <c r="TQG606" s="222"/>
      <c r="TQH606" s="222"/>
      <c r="TQI606" s="222"/>
      <c r="TQJ606" s="222"/>
      <c r="TQK606" s="222"/>
      <c r="TQL606" s="222"/>
      <c r="TQM606" s="223"/>
      <c r="TQN606" s="224"/>
      <c r="TQO606" s="222"/>
      <c r="TQP606" s="222"/>
      <c r="TQQ606" s="222"/>
      <c r="TQR606" s="222"/>
      <c r="TQS606" s="222"/>
      <c r="TQT606" s="222"/>
      <c r="TQU606" s="223"/>
      <c r="TQV606" s="224"/>
      <c r="TQW606" s="222"/>
      <c r="TQX606" s="222"/>
      <c r="TQY606" s="222"/>
      <c r="TQZ606" s="222"/>
      <c r="TRA606" s="222"/>
      <c r="TRB606" s="222"/>
      <c r="TRC606" s="223"/>
      <c r="TRD606" s="224"/>
      <c r="TRE606" s="222"/>
      <c r="TRF606" s="222"/>
      <c r="TRG606" s="222"/>
      <c r="TRH606" s="222"/>
      <c r="TRI606" s="222"/>
      <c r="TRJ606" s="222"/>
      <c r="TRK606" s="223"/>
      <c r="TRL606" s="224"/>
      <c r="TRM606" s="222"/>
      <c r="TRN606" s="222"/>
      <c r="TRO606" s="222"/>
      <c r="TRP606" s="222"/>
      <c r="TRQ606" s="222"/>
      <c r="TRR606" s="222"/>
      <c r="TRS606" s="223"/>
      <c r="TRT606" s="224"/>
      <c r="TRU606" s="222"/>
      <c r="TRV606" s="222"/>
      <c r="TRW606" s="222"/>
      <c r="TRX606" s="222"/>
      <c r="TRY606" s="222"/>
      <c r="TRZ606" s="222"/>
      <c r="TSA606" s="223"/>
      <c r="TSB606" s="224"/>
      <c r="TSC606" s="222"/>
      <c r="TSD606" s="222"/>
      <c r="TSE606" s="222"/>
      <c r="TSF606" s="222"/>
      <c r="TSG606" s="222"/>
      <c r="TSH606" s="222"/>
      <c r="TSI606" s="223"/>
      <c r="TSJ606" s="224"/>
      <c r="TSK606" s="222"/>
      <c r="TSL606" s="222"/>
      <c r="TSM606" s="222"/>
      <c r="TSN606" s="222"/>
      <c r="TSO606" s="222"/>
      <c r="TSP606" s="222"/>
      <c r="TSQ606" s="223"/>
      <c r="TSR606" s="224"/>
      <c r="TSS606" s="222"/>
      <c r="TST606" s="222"/>
      <c r="TSU606" s="222"/>
      <c r="TSV606" s="222"/>
      <c r="TSW606" s="222"/>
      <c r="TSX606" s="222"/>
      <c r="TSY606" s="223"/>
      <c r="TSZ606" s="224"/>
      <c r="TTA606" s="222"/>
      <c r="TTB606" s="222"/>
      <c r="TTC606" s="222"/>
      <c r="TTD606" s="222"/>
      <c r="TTE606" s="222"/>
      <c r="TTF606" s="222"/>
      <c r="TTG606" s="223"/>
      <c r="TTH606" s="224"/>
      <c r="TTI606" s="222"/>
      <c r="TTJ606" s="222"/>
      <c r="TTK606" s="222"/>
      <c r="TTL606" s="222"/>
      <c r="TTM606" s="222"/>
      <c r="TTN606" s="222"/>
      <c r="TTO606" s="223"/>
      <c r="TTP606" s="224"/>
      <c r="TTQ606" s="222"/>
      <c r="TTR606" s="222"/>
      <c r="TTS606" s="222"/>
      <c r="TTT606" s="222"/>
      <c r="TTU606" s="222"/>
      <c r="TTV606" s="222"/>
      <c r="TTW606" s="223"/>
      <c r="TTX606" s="224"/>
      <c r="TTY606" s="222"/>
      <c r="TTZ606" s="222"/>
      <c r="TUA606" s="222"/>
      <c r="TUB606" s="222"/>
      <c r="TUC606" s="222"/>
      <c r="TUD606" s="222"/>
      <c r="TUE606" s="223"/>
      <c r="TUF606" s="224"/>
      <c r="TUG606" s="222"/>
      <c r="TUH606" s="222"/>
      <c r="TUI606" s="222"/>
      <c r="TUJ606" s="222"/>
      <c r="TUK606" s="222"/>
      <c r="TUL606" s="222"/>
      <c r="TUM606" s="223"/>
      <c r="TUN606" s="224"/>
      <c r="TUO606" s="222"/>
      <c r="TUP606" s="222"/>
      <c r="TUQ606" s="222"/>
      <c r="TUR606" s="222"/>
      <c r="TUS606" s="222"/>
      <c r="TUT606" s="222"/>
      <c r="TUU606" s="223"/>
      <c r="TUV606" s="224"/>
      <c r="TUW606" s="222"/>
      <c r="TUX606" s="222"/>
      <c r="TUY606" s="222"/>
      <c r="TUZ606" s="222"/>
      <c r="TVA606" s="222"/>
      <c r="TVB606" s="222"/>
      <c r="TVC606" s="223"/>
      <c r="TVD606" s="224"/>
      <c r="TVE606" s="222"/>
      <c r="TVF606" s="222"/>
      <c r="TVG606" s="222"/>
      <c r="TVH606" s="222"/>
      <c r="TVI606" s="222"/>
      <c r="TVJ606" s="222"/>
      <c r="TVK606" s="223"/>
      <c r="TVL606" s="224"/>
      <c r="TVM606" s="222"/>
      <c r="TVN606" s="222"/>
      <c r="TVO606" s="222"/>
      <c r="TVP606" s="222"/>
      <c r="TVQ606" s="222"/>
      <c r="TVR606" s="222"/>
      <c r="TVS606" s="223"/>
      <c r="TVT606" s="224"/>
      <c r="TVU606" s="222"/>
      <c r="TVV606" s="222"/>
      <c r="TVW606" s="222"/>
      <c r="TVX606" s="222"/>
      <c r="TVY606" s="222"/>
      <c r="TVZ606" s="222"/>
      <c r="TWA606" s="223"/>
      <c r="TWB606" s="224"/>
      <c r="TWC606" s="222"/>
      <c r="TWD606" s="222"/>
      <c r="TWE606" s="222"/>
      <c r="TWF606" s="222"/>
      <c r="TWG606" s="222"/>
      <c r="TWH606" s="222"/>
      <c r="TWI606" s="223"/>
      <c r="TWJ606" s="224"/>
      <c r="TWK606" s="222"/>
      <c r="TWL606" s="222"/>
      <c r="TWM606" s="222"/>
      <c r="TWN606" s="222"/>
      <c r="TWO606" s="222"/>
      <c r="TWP606" s="222"/>
      <c r="TWQ606" s="223"/>
      <c r="TWR606" s="224"/>
      <c r="TWS606" s="222"/>
      <c r="TWT606" s="222"/>
      <c r="TWU606" s="222"/>
      <c r="TWV606" s="222"/>
      <c r="TWW606" s="222"/>
      <c r="TWX606" s="222"/>
      <c r="TWY606" s="223"/>
      <c r="TWZ606" s="224"/>
      <c r="TXA606" s="222"/>
      <c r="TXB606" s="222"/>
      <c r="TXC606" s="222"/>
      <c r="TXD606" s="222"/>
      <c r="TXE606" s="222"/>
      <c r="TXF606" s="222"/>
      <c r="TXG606" s="223"/>
      <c r="TXH606" s="224"/>
      <c r="TXI606" s="222"/>
      <c r="TXJ606" s="222"/>
      <c r="TXK606" s="222"/>
      <c r="TXL606" s="222"/>
      <c r="TXM606" s="222"/>
      <c r="TXN606" s="222"/>
      <c r="TXO606" s="223"/>
      <c r="TXP606" s="224"/>
      <c r="TXQ606" s="222"/>
      <c r="TXR606" s="222"/>
      <c r="TXS606" s="222"/>
      <c r="TXT606" s="222"/>
      <c r="TXU606" s="222"/>
      <c r="TXV606" s="222"/>
      <c r="TXW606" s="223"/>
      <c r="TXX606" s="224"/>
      <c r="TXY606" s="222"/>
      <c r="TXZ606" s="222"/>
      <c r="TYA606" s="222"/>
      <c r="TYB606" s="222"/>
      <c r="TYC606" s="222"/>
      <c r="TYD606" s="222"/>
      <c r="TYE606" s="223"/>
      <c r="TYF606" s="224"/>
      <c r="TYG606" s="222"/>
      <c r="TYH606" s="222"/>
      <c r="TYI606" s="222"/>
      <c r="TYJ606" s="222"/>
      <c r="TYK606" s="222"/>
      <c r="TYL606" s="222"/>
      <c r="TYM606" s="223"/>
      <c r="TYN606" s="224"/>
      <c r="TYO606" s="222"/>
      <c r="TYP606" s="222"/>
      <c r="TYQ606" s="222"/>
      <c r="TYR606" s="222"/>
      <c r="TYS606" s="222"/>
      <c r="TYT606" s="222"/>
      <c r="TYU606" s="223"/>
      <c r="TYV606" s="224"/>
      <c r="TYW606" s="222"/>
      <c r="TYX606" s="222"/>
      <c r="TYY606" s="222"/>
      <c r="TYZ606" s="222"/>
      <c r="TZA606" s="222"/>
      <c r="TZB606" s="222"/>
      <c r="TZC606" s="223"/>
      <c r="TZD606" s="224"/>
      <c r="TZE606" s="222"/>
      <c r="TZF606" s="222"/>
      <c r="TZG606" s="222"/>
      <c r="TZH606" s="222"/>
      <c r="TZI606" s="222"/>
      <c r="TZJ606" s="222"/>
      <c r="TZK606" s="223"/>
      <c r="TZL606" s="224"/>
      <c r="TZM606" s="222"/>
      <c r="TZN606" s="222"/>
      <c r="TZO606" s="222"/>
      <c r="TZP606" s="222"/>
      <c r="TZQ606" s="222"/>
      <c r="TZR606" s="222"/>
      <c r="TZS606" s="223"/>
      <c r="TZT606" s="224"/>
      <c r="TZU606" s="222"/>
      <c r="TZV606" s="222"/>
      <c r="TZW606" s="222"/>
      <c r="TZX606" s="222"/>
      <c r="TZY606" s="222"/>
      <c r="TZZ606" s="222"/>
      <c r="UAA606" s="223"/>
      <c r="UAB606" s="224"/>
      <c r="UAC606" s="222"/>
      <c r="UAD606" s="222"/>
      <c r="UAE606" s="222"/>
      <c r="UAF606" s="222"/>
      <c r="UAG606" s="222"/>
      <c r="UAH606" s="222"/>
      <c r="UAI606" s="223"/>
      <c r="UAJ606" s="224"/>
      <c r="UAK606" s="222"/>
      <c r="UAL606" s="222"/>
      <c r="UAM606" s="222"/>
      <c r="UAN606" s="222"/>
      <c r="UAO606" s="222"/>
      <c r="UAP606" s="222"/>
      <c r="UAQ606" s="223"/>
      <c r="UAR606" s="224"/>
      <c r="UAS606" s="222"/>
      <c r="UAT606" s="222"/>
      <c r="UAU606" s="222"/>
      <c r="UAV606" s="222"/>
      <c r="UAW606" s="222"/>
      <c r="UAX606" s="222"/>
      <c r="UAY606" s="223"/>
      <c r="UAZ606" s="224"/>
      <c r="UBA606" s="222"/>
      <c r="UBB606" s="222"/>
      <c r="UBC606" s="222"/>
      <c r="UBD606" s="222"/>
      <c r="UBE606" s="222"/>
      <c r="UBF606" s="222"/>
      <c r="UBG606" s="223"/>
      <c r="UBH606" s="224"/>
      <c r="UBI606" s="222"/>
      <c r="UBJ606" s="222"/>
      <c r="UBK606" s="222"/>
      <c r="UBL606" s="222"/>
      <c r="UBM606" s="222"/>
      <c r="UBN606" s="222"/>
      <c r="UBO606" s="223"/>
      <c r="UBP606" s="224"/>
      <c r="UBQ606" s="222"/>
      <c r="UBR606" s="222"/>
      <c r="UBS606" s="222"/>
      <c r="UBT606" s="222"/>
      <c r="UBU606" s="222"/>
      <c r="UBV606" s="222"/>
      <c r="UBW606" s="223"/>
      <c r="UBX606" s="224"/>
      <c r="UBY606" s="222"/>
      <c r="UBZ606" s="222"/>
      <c r="UCA606" s="222"/>
      <c r="UCB606" s="222"/>
      <c r="UCC606" s="222"/>
      <c r="UCD606" s="222"/>
      <c r="UCE606" s="223"/>
      <c r="UCF606" s="224"/>
      <c r="UCG606" s="222"/>
      <c r="UCH606" s="222"/>
      <c r="UCI606" s="222"/>
      <c r="UCJ606" s="222"/>
      <c r="UCK606" s="222"/>
      <c r="UCL606" s="222"/>
      <c r="UCM606" s="223"/>
      <c r="UCN606" s="224"/>
      <c r="UCO606" s="222"/>
      <c r="UCP606" s="222"/>
      <c r="UCQ606" s="222"/>
      <c r="UCR606" s="222"/>
      <c r="UCS606" s="222"/>
      <c r="UCT606" s="222"/>
      <c r="UCU606" s="223"/>
      <c r="UCV606" s="224"/>
      <c r="UCW606" s="222"/>
      <c r="UCX606" s="222"/>
      <c r="UCY606" s="222"/>
      <c r="UCZ606" s="222"/>
      <c r="UDA606" s="222"/>
      <c r="UDB606" s="222"/>
      <c r="UDC606" s="223"/>
      <c r="UDD606" s="224"/>
      <c r="UDE606" s="222"/>
      <c r="UDF606" s="222"/>
      <c r="UDG606" s="222"/>
      <c r="UDH606" s="222"/>
      <c r="UDI606" s="222"/>
      <c r="UDJ606" s="222"/>
      <c r="UDK606" s="223"/>
      <c r="UDL606" s="224"/>
      <c r="UDM606" s="222"/>
      <c r="UDN606" s="222"/>
      <c r="UDO606" s="222"/>
      <c r="UDP606" s="222"/>
      <c r="UDQ606" s="222"/>
      <c r="UDR606" s="222"/>
      <c r="UDS606" s="223"/>
      <c r="UDT606" s="224"/>
      <c r="UDU606" s="222"/>
      <c r="UDV606" s="222"/>
      <c r="UDW606" s="222"/>
      <c r="UDX606" s="222"/>
      <c r="UDY606" s="222"/>
      <c r="UDZ606" s="222"/>
      <c r="UEA606" s="223"/>
      <c r="UEB606" s="224"/>
      <c r="UEC606" s="222"/>
      <c r="UED606" s="222"/>
      <c r="UEE606" s="222"/>
      <c r="UEF606" s="222"/>
      <c r="UEG606" s="222"/>
      <c r="UEH606" s="222"/>
      <c r="UEI606" s="223"/>
      <c r="UEJ606" s="224"/>
      <c r="UEK606" s="222"/>
      <c r="UEL606" s="222"/>
      <c r="UEM606" s="222"/>
      <c r="UEN606" s="222"/>
      <c r="UEO606" s="222"/>
      <c r="UEP606" s="222"/>
      <c r="UEQ606" s="223"/>
      <c r="UER606" s="224"/>
      <c r="UES606" s="222"/>
      <c r="UET606" s="222"/>
      <c r="UEU606" s="222"/>
      <c r="UEV606" s="222"/>
      <c r="UEW606" s="222"/>
      <c r="UEX606" s="222"/>
      <c r="UEY606" s="223"/>
      <c r="UEZ606" s="224"/>
      <c r="UFA606" s="222"/>
      <c r="UFB606" s="222"/>
      <c r="UFC606" s="222"/>
      <c r="UFD606" s="222"/>
      <c r="UFE606" s="222"/>
      <c r="UFF606" s="222"/>
      <c r="UFG606" s="223"/>
      <c r="UFH606" s="224"/>
      <c r="UFI606" s="222"/>
      <c r="UFJ606" s="222"/>
      <c r="UFK606" s="222"/>
      <c r="UFL606" s="222"/>
      <c r="UFM606" s="222"/>
      <c r="UFN606" s="222"/>
      <c r="UFO606" s="223"/>
      <c r="UFP606" s="224"/>
      <c r="UFQ606" s="222"/>
      <c r="UFR606" s="222"/>
      <c r="UFS606" s="222"/>
      <c r="UFT606" s="222"/>
      <c r="UFU606" s="222"/>
      <c r="UFV606" s="222"/>
      <c r="UFW606" s="223"/>
      <c r="UFX606" s="224"/>
      <c r="UFY606" s="222"/>
      <c r="UFZ606" s="222"/>
      <c r="UGA606" s="222"/>
      <c r="UGB606" s="222"/>
      <c r="UGC606" s="222"/>
      <c r="UGD606" s="222"/>
      <c r="UGE606" s="223"/>
      <c r="UGF606" s="224"/>
      <c r="UGG606" s="222"/>
      <c r="UGH606" s="222"/>
      <c r="UGI606" s="222"/>
      <c r="UGJ606" s="222"/>
      <c r="UGK606" s="222"/>
      <c r="UGL606" s="222"/>
      <c r="UGM606" s="223"/>
      <c r="UGN606" s="224"/>
      <c r="UGO606" s="222"/>
      <c r="UGP606" s="222"/>
      <c r="UGQ606" s="222"/>
      <c r="UGR606" s="222"/>
      <c r="UGS606" s="222"/>
      <c r="UGT606" s="222"/>
      <c r="UGU606" s="223"/>
      <c r="UGV606" s="224"/>
      <c r="UGW606" s="222"/>
      <c r="UGX606" s="222"/>
      <c r="UGY606" s="222"/>
      <c r="UGZ606" s="222"/>
      <c r="UHA606" s="222"/>
      <c r="UHB606" s="222"/>
      <c r="UHC606" s="223"/>
      <c r="UHD606" s="224"/>
      <c r="UHE606" s="222"/>
      <c r="UHF606" s="222"/>
      <c r="UHG606" s="222"/>
      <c r="UHH606" s="222"/>
      <c r="UHI606" s="222"/>
      <c r="UHJ606" s="222"/>
      <c r="UHK606" s="223"/>
      <c r="UHL606" s="224"/>
      <c r="UHM606" s="222"/>
      <c r="UHN606" s="222"/>
      <c r="UHO606" s="222"/>
      <c r="UHP606" s="222"/>
      <c r="UHQ606" s="222"/>
      <c r="UHR606" s="222"/>
      <c r="UHS606" s="223"/>
      <c r="UHT606" s="224"/>
      <c r="UHU606" s="222"/>
      <c r="UHV606" s="222"/>
      <c r="UHW606" s="222"/>
      <c r="UHX606" s="222"/>
      <c r="UHY606" s="222"/>
      <c r="UHZ606" s="222"/>
      <c r="UIA606" s="223"/>
      <c r="UIB606" s="224"/>
      <c r="UIC606" s="222"/>
      <c r="UID606" s="222"/>
      <c r="UIE606" s="222"/>
      <c r="UIF606" s="222"/>
      <c r="UIG606" s="222"/>
      <c r="UIH606" s="222"/>
      <c r="UII606" s="223"/>
      <c r="UIJ606" s="224"/>
      <c r="UIK606" s="222"/>
      <c r="UIL606" s="222"/>
      <c r="UIM606" s="222"/>
      <c r="UIN606" s="222"/>
      <c r="UIO606" s="222"/>
      <c r="UIP606" s="222"/>
      <c r="UIQ606" s="223"/>
      <c r="UIR606" s="224"/>
      <c r="UIS606" s="222"/>
      <c r="UIT606" s="222"/>
      <c r="UIU606" s="222"/>
      <c r="UIV606" s="222"/>
      <c r="UIW606" s="222"/>
      <c r="UIX606" s="222"/>
      <c r="UIY606" s="223"/>
      <c r="UIZ606" s="224"/>
      <c r="UJA606" s="222"/>
      <c r="UJB606" s="222"/>
      <c r="UJC606" s="222"/>
      <c r="UJD606" s="222"/>
      <c r="UJE606" s="222"/>
      <c r="UJF606" s="222"/>
      <c r="UJG606" s="223"/>
      <c r="UJH606" s="224"/>
      <c r="UJI606" s="222"/>
      <c r="UJJ606" s="222"/>
      <c r="UJK606" s="222"/>
      <c r="UJL606" s="222"/>
      <c r="UJM606" s="222"/>
      <c r="UJN606" s="222"/>
      <c r="UJO606" s="223"/>
      <c r="UJP606" s="224"/>
      <c r="UJQ606" s="222"/>
      <c r="UJR606" s="222"/>
      <c r="UJS606" s="222"/>
      <c r="UJT606" s="222"/>
      <c r="UJU606" s="222"/>
      <c r="UJV606" s="222"/>
      <c r="UJW606" s="223"/>
      <c r="UJX606" s="224"/>
      <c r="UJY606" s="222"/>
      <c r="UJZ606" s="222"/>
      <c r="UKA606" s="222"/>
      <c r="UKB606" s="222"/>
      <c r="UKC606" s="222"/>
      <c r="UKD606" s="222"/>
      <c r="UKE606" s="223"/>
      <c r="UKF606" s="224"/>
      <c r="UKG606" s="222"/>
      <c r="UKH606" s="222"/>
      <c r="UKI606" s="222"/>
      <c r="UKJ606" s="222"/>
      <c r="UKK606" s="222"/>
      <c r="UKL606" s="222"/>
      <c r="UKM606" s="223"/>
      <c r="UKN606" s="224"/>
      <c r="UKO606" s="222"/>
      <c r="UKP606" s="222"/>
      <c r="UKQ606" s="222"/>
      <c r="UKR606" s="222"/>
      <c r="UKS606" s="222"/>
      <c r="UKT606" s="222"/>
      <c r="UKU606" s="223"/>
      <c r="UKV606" s="224"/>
      <c r="UKW606" s="222"/>
      <c r="UKX606" s="222"/>
      <c r="UKY606" s="222"/>
      <c r="UKZ606" s="222"/>
      <c r="ULA606" s="222"/>
      <c r="ULB606" s="222"/>
      <c r="ULC606" s="223"/>
      <c r="ULD606" s="224"/>
      <c r="ULE606" s="222"/>
      <c r="ULF606" s="222"/>
      <c r="ULG606" s="222"/>
      <c r="ULH606" s="222"/>
      <c r="ULI606" s="222"/>
      <c r="ULJ606" s="222"/>
      <c r="ULK606" s="223"/>
      <c r="ULL606" s="224"/>
      <c r="ULM606" s="222"/>
      <c r="ULN606" s="222"/>
      <c r="ULO606" s="222"/>
      <c r="ULP606" s="222"/>
      <c r="ULQ606" s="222"/>
      <c r="ULR606" s="222"/>
      <c r="ULS606" s="223"/>
      <c r="ULT606" s="224"/>
      <c r="ULU606" s="222"/>
      <c r="ULV606" s="222"/>
      <c r="ULW606" s="222"/>
      <c r="ULX606" s="222"/>
      <c r="ULY606" s="222"/>
      <c r="ULZ606" s="222"/>
      <c r="UMA606" s="223"/>
      <c r="UMB606" s="224"/>
      <c r="UMC606" s="222"/>
      <c r="UMD606" s="222"/>
      <c r="UME606" s="222"/>
      <c r="UMF606" s="222"/>
      <c r="UMG606" s="222"/>
      <c r="UMH606" s="222"/>
      <c r="UMI606" s="223"/>
      <c r="UMJ606" s="224"/>
      <c r="UMK606" s="222"/>
      <c r="UML606" s="222"/>
      <c r="UMM606" s="222"/>
      <c r="UMN606" s="222"/>
      <c r="UMO606" s="222"/>
      <c r="UMP606" s="222"/>
      <c r="UMQ606" s="223"/>
      <c r="UMR606" s="224"/>
      <c r="UMS606" s="222"/>
      <c r="UMT606" s="222"/>
      <c r="UMU606" s="222"/>
      <c r="UMV606" s="222"/>
      <c r="UMW606" s="222"/>
      <c r="UMX606" s="222"/>
      <c r="UMY606" s="223"/>
      <c r="UMZ606" s="224"/>
      <c r="UNA606" s="222"/>
      <c r="UNB606" s="222"/>
      <c r="UNC606" s="222"/>
      <c r="UND606" s="222"/>
      <c r="UNE606" s="222"/>
      <c r="UNF606" s="222"/>
      <c r="UNG606" s="223"/>
      <c r="UNH606" s="224"/>
      <c r="UNI606" s="222"/>
      <c r="UNJ606" s="222"/>
      <c r="UNK606" s="222"/>
      <c r="UNL606" s="222"/>
      <c r="UNM606" s="222"/>
      <c r="UNN606" s="222"/>
      <c r="UNO606" s="223"/>
      <c r="UNP606" s="224"/>
      <c r="UNQ606" s="222"/>
      <c r="UNR606" s="222"/>
      <c r="UNS606" s="222"/>
      <c r="UNT606" s="222"/>
      <c r="UNU606" s="222"/>
      <c r="UNV606" s="222"/>
      <c r="UNW606" s="223"/>
      <c r="UNX606" s="224"/>
      <c r="UNY606" s="222"/>
      <c r="UNZ606" s="222"/>
      <c r="UOA606" s="222"/>
      <c r="UOB606" s="222"/>
      <c r="UOC606" s="222"/>
      <c r="UOD606" s="222"/>
      <c r="UOE606" s="223"/>
      <c r="UOF606" s="224"/>
      <c r="UOG606" s="222"/>
      <c r="UOH606" s="222"/>
      <c r="UOI606" s="222"/>
      <c r="UOJ606" s="222"/>
      <c r="UOK606" s="222"/>
      <c r="UOL606" s="222"/>
      <c r="UOM606" s="223"/>
      <c r="UON606" s="224"/>
      <c r="UOO606" s="222"/>
      <c r="UOP606" s="222"/>
      <c r="UOQ606" s="222"/>
      <c r="UOR606" s="222"/>
      <c r="UOS606" s="222"/>
      <c r="UOT606" s="222"/>
      <c r="UOU606" s="223"/>
      <c r="UOV606" s="224"/>
      <c r="UOW606" s="222"/>
      <c r="UOX606" s="222"/>
      <c r="UOY606" s="222"/>
      <c r="UOZ606" s="222"/>
      <c r="UPA606" s="222"/>
      <c r="UPB606" s="222"/>
      <c r="UPC606" s="223"/>
      <c r="UPD606" s="224"/>
      <c r="UPE606" s="222"/>
      <c r="UPF606" s="222"/>
      <c r="UPG606" s="222"/>
      <c r="UPH606" s="222"/>
      <c r="UPI606" s="222"/>
      <c r="UPJ606" s="222"/>
      <c r="UPK606" s="223"/>
      <c r="UPL606" s="224"/>
      <c r="UPM606" s="222"/>
      <c r="UPN606" s="222"/>
      <c r="UPO606" s="222"/>
      <c r="UPP606" s="222"/>
      <c r="UPQ606" s="222"/>
      <c r="UPR606" s="222"/>
      <c r="UPS606" s="223"/>
      <c r="UPT606" s="224"/>
      <c r="UPU606" s="222"/>
      <c r="UPV606" s="222"/>
      <c r="UPW606" s="222"/>
      <c r="UPX606" s="222"/>
      <c r="UPY606" s="222"/>
      <c r="UPZ606" s="222"/>
      <c r="UQA606" s="223"/>
      <c r="UQB606" s="224"/>
      <c r="UQC606" s="222"/>
      <c r="UQD606" s="222"/>
      <c r="UQE606" s="222"/>
      <c r="UQF606" s="222"/>
      <c r="UQG606" s="222"/>
      <c r="UQH606" s="222"/>
      <c r="UQI606" s="223"/>
      <c r="UQJ606" s="224"/>
      <c r="UQK606" s="222"/>
      <c r="UQL606" s="222"/>
      <c r="UQM606" s="222"/>
      <c r="UQN606" s="222"/>
      <c r="UQO606" s="222"/>
      <c r="UQP606" s="222"/>
      <c r="UQQ606" s="223"/>
      <c r="UQR606" s="224"/>
      <c r="UQS606" s="222"/>
      <c r="UQT606" s="222"/>
      <c r="UQU606" s="222"/>
      <c r="UQV606" s="222"/>
      <c r="UQW606" s="222"/>
      <c r="UQX606" s="222"/>
      <c r="UQY606" s="223"/>
      <c r="UQZ606" s="224"/>
      <c r="URA606" s="222"/>
      <c r="URB606" s="222"/>
      <c r="URC606" s="222"/>
      <c r="URD606" s="222"/>
      <c r="URE606" s="222"/>
      <c r="URF606" s="222"/>
      <c r="URG606" s="223"/>
      <c r="URH606" s="224"/>
      <c r="URI606" s="222"/>
      <c r="URJ606" s="222"/>
      <c r="URK606" s="222"/>
      <c r="URL606" s="222"/>
      <c r="URM606" s="222"/>
      <c r="URN606" s="222"/>
      <c r="URO606" s="223"/>
      <c r="URP606" s="224"/>
      <c r="URQ606" s="222"/>
      <c r="URR606" s="222"/>
      <c r="URS606" s="222"/>
      <c r="URT606" s="222"/>
      <c r="URU606" s="222"/>
      <c r="URV606" s="222"/>
      <c r="URW606" s="223"/>
      <c r="URX606" s="224"/>
      <c r="URY606" s="222"/>
      <c r="URZ606" s="222"/>
      <c r="USA606" s="222"/>
      <c r="USB606" s="222"/>
      <c r="USC606" s="222"/>
      <c r="USD606" s="222"/>
      <c r="USE606" s="223"/>
      <c r="USF606" s="224"/>
      <c r="USG606" s="222"/>
      <c r="USH606" s="222"/>
      <c r="USI606" s="222"/>
      <c r="USJ606" s="222"/>
      <c r="USK606" s="222"/>
      <c r="USL606" s="222"/>
      <c r="USM606" s="223"/>
      <c r="USN606" s="224"/>
      <c r="USO606" s="222"/>
      <c r="USP606" s="222"/>
      <c r="USQ606" s="222"/>
      <c r="USR606" s="222"/>
      <c r="USS606" s="222"/>
      <c r="UST606" s="222"/>
      <c r="USU606" s="223"/>
      <c r="USV606" s="224"/>
      <c r="USW606" s="222"/>
      <c r="USX606" s="222"/>
      <c r="USY606" s="222"/>
      <c r="USZ606" s="222"/>
      <c r="UTA606" s="222"/>
      <c r="UTB606" s="222"/>
      <c r="UTC606" s="223"/>
      <c r="UTD606" s="224"/>
      <c r="UTE606" s="222"/>
      <c r="UTF606" s="222"/>
      <c r="UTG606" s="222"/>
      <c r="UTH606" s="222"/>
      <c r="UTI606" s="222"/>
      <c r="UTJ606" s="222"/>
      <c r="UTK606" s="223"/>
      <c r="UTL606" s="224"/>
      <c r="UTM606" s="222"/>
      <c r="UTN606" s="222"/>
      <c r="UTO606" s="222"/>
      <c r="UTP606" s="222"/>
      <c r="UTQ606" s="222"/>
      <c r="UTR606" s="222"/>
      <c r="UTS606" s="223"/>
      <c r="UTT606" s="224"/>
      <c r="UTU606" s="222"/>
      <c r="UTV606" s="222"/>
      <c r="UTW606" s="222"/>
      <c r="UTX606" s="222"/>
      <c r="UTY606" s="222"/>
      <c r="UTZ606" s="222"/>
      <c r="UUA606" s="223"/>
      <c r="UUB606" s="224"/>
      <c r="UUC606" s="222"/>
      <c r="UUD606" s="222"/>
      <c r="UUE606" s="222"/>
      <c r="UUF606" s="222"/>
      <c r="UUG606" s="222"/>
      <c r="UUH606" s="222"/>
      <c r="UUI606" s="223"/>
      <c r="UUJ606" s="224"/>
      <c r="UUK606" s="222"/>
      <c r="UUL606" s="222"/>
      <c r="UUM606" s="222"/>
      <c r="UUN606" s="222"/>
      <c r="UUO606" s="222"/>
      <c r="UUP606" s="222"/>
      <c r="UUQ606" s="223"/>
      <c r="UUR606" s="224"/>
      <c r="UUS606" s="222"/>
      <c r="UUT606" s="222"/>
      <c r="UUU606" s="222"/>
      <c r="UUV606" s="222"/>
      <c r="UUW606" s="222"/>
      <c r="UUX606" s="222"/>
      <c r="UUY606" s="223"/>
      <c r="UUZ606" s="224"/>
      <c r="UVA606" s="222"/>
      <c r="UVB606" s="222"/>
      <c r="UVC606" s="222"/>
      <c r="UVD606" s="222"/>
      <c r="UVE606" s="222"/>
      <c r="UVF606" s="222"/>
      <c r="UVG606" s="223"/>
      <c r="UVH606" s="224"/>
      <c r="UVI606" s="222"/>
      <c r="UVJ606" s="222"/>
      <c r="UVK606" s="222"/>
      <c r="UVL606" s="222"/>
      <c r="UVM606" s="222"/>
      <c r="UVN606" s="222"/>
      <c r="UVO606" s="223"/>
      <c r="UVP606" s="224"/>
      <c r="UVQ606" s="222"/>
      <c r="UVR606" s="222"/>
      <c r="UVS606" s="222"/>
      <c r="UVT606" s="222"/>
      <c r="UVU606" s="222"/>
      <c r="UVV606" s="222"/>
      <c r="UVW606" s="223"/>
      <c r="UVX606" s="224"/>
      <c r="UVY606" s="222"/>
      <c r="UVZ606" s="222"/>
      <c r="UWA606" s="222"/>
      <c r="UWB606" s="222"/>
      <c r="UWC606" s="222"/>
      <c r="UWD606" s="222"/>
      <c r="UWE606" s="223"/>
      <c r="UWF606" s="224"/>
      <c r="UWG606" s="222"/>
      <c r="UWH606" s="222"/>
      <c r="UWI606" s="222"/>
      <c r="UWJ606" s="222"/>
      <c r="UWK606" s="222"/>
      <c r="UWL606" s="222"/>
      <c r="UWM606" s="223"/>
      <c r="UWN606" s="224"/>
      <c r="UWO606" s="222"/>
      <c r="UWP606" s="222"/>
      <c r="UWQ606" s="222"/>
      <c r="UWR606" s="222"/>
      <c r="UWS606" s="222"/>
      <c r="UWT606" s="222"/>
      <c r="UWU606" s="223"/>
      <c r="UWV606" s="224"/>
      <c r="UWW606" s="222"/>
      <c r="UWX606" s="222"/>
      <c r="UWY606" s="222"/>
      <c r="UWZ606" s="222"/>
      <c r="UXA606" s="222"/>
      <c r="UXB606" s="222"/>
      <c r="UXC606" s="223"/>
      <c r="UXD606" s="224"/>
      <c r="UXE606" s="222"/>
      <c r="UXF606" s="222"/>
      <c r="UXG606" s="222"/>
      <c r="UXH606" s="222"/>
      <c r="UXI606" s="222"/>
      <c r="UXJ606" s="222"/>
      <c r="UXK606" s="223"/>
      <c r="UXL606" s="224"/>
      <c r="UXM606" s="222"/>
      <c r="UXN606" s="222"/>
      <c r="UXO606" s="222"/>
      <c r="UXP606" s="222"/>
      <c r="UXQ606" s="222"/>
      <c r="UXR606" s="222"/>
      <c r="UXS606" s="223"/>
      <c r="UXT606" s="224"/>
      <c r="UXU606" s="222"/>
      <c r="UXV606" s="222"/>
      <c r="UXW606" s="222"/>
      <c r="UXX606" s="222"/>
      <c r="UXY606" s="222"/>
      <c r="UXZ606" s="222"/>
      <c r="UYA606" s="223"/>
      <c r="UYB606" s="224"/>
      <c r="UYC606" s="222"/>
      <c r="UYD606" s="222"/>
      <c r="UYE606" s="222"/>
      <c r="UYF606" s="222"/>
      <c r="UYG606" s="222"/>
      <c r="UYH606" s="222"/>
      <c r="UYI606" s="223"/>
      <c r="UYJ606" s="224"/>
      <c r="UYK606" s="222"/>
      <c r="UYL606" s="222"/>
      <c r="UYM606" s="222"/>
      <c r="UYN606" s="222"/>
      <c r="UYO606" s="222"/>
      <c r="UYP606" s="222"/>
      <c r="UYQ606" s="223"/>
      <c r="UYR606" s="224"/>
      <c r="UYS606" s="222"/>
      <c r="UYT606" s="222"/>
      <c r="UYU606" s="222"/>
      <c r="UYV606" s="222"/>
      <c r="UYW606" s="222"/>
      <c r="UYX606" s="222"/>
      <c r="UYY606" s="223"/>
      <c r="UYZ606" s="224"/>
      <c r="UZA606" s="222"/>
      <c r="UZB606" s="222"/>
      <c r="UZC606" s="222"/>
      <c r="UZD606" s="222"/>
      <c r="UZE606" s="222"/>
      <c r="UZF606" s="222"/>
      <c r="UZG606" s="223"/>
      <c r="UZH606" s="224"/>
      <c r="UZI606" s="222"/>
      <c r="UZJ606" s="222"/>
      <c r="UZK606" s="222"/>
      <c r="UZL606" s="222"/>
      <c r="UZM606" s="222"/>
      <c r="UZN606" s="222"/>
      <c r="UZO606" s="223"/>
      <c r="UZP606" s="224"/>
      <c r="UZQ606" s="222"/>
      <c r="UZR606" s="222"/>
      <c r="UZS606" s="222"/>
      <c r="UZT606" s="222"/>
      <c r="UZU606" s="222"/>
      <c r="UZV606" s="222"/>
      <c r="UZW606" s="223"/>
      <c r="UZX606" s="224"/>
      <c r="UZY606" s="222"/>
      <c r="UZZ606" s="222"/>
      <c r="VAA606" s="222"/>
      <c r="VAB606" s="222"/>
      <c r="VAC606" s="222"/>
      <c r="VAD606" s="222"/>
      <c r="VAE606" s="223"/>
      <c r="VAF606" s="224"/>
      <c r="VAG606" s="222"/>
      <c r="VAH606" s="222"/>
      <c r="VAI606" s="222"/>
      <c r="VAJ606" s="222"/>
      <c r="VAK606" s="222"/>
      <c r="VAL606" s="222"/>
      <c r="VAM606" s="223"/>
      <c r="VAN606" s="224"/>
      <c r="VAO606" s="222"/>
      <c r="VAP606" s="222"/>
      <c r="VAQ606" s="222"/>
      <c r="VAR606" s="222"/>
      <c r="VAS606" s="222"/>
      <c r="VAT606" s="222"/>
      <c r="VAU606" s="223"/>
      <c r="VAV606" s="224"/>
      <c r="VAW606" s="222"/>
      <c r="VAX606" s="222"/>
      <c r="VAY606" s="222"/>
      <c r="VAZ606" s="222"/>
      <c r="VBA606" s="222"/>
      <c r="VBB606" s="222"/>
      <c r="VBC606" s="223"/>
      <c r="VBD606" s="224"/>
      <c r="VBE606" s="222"/>
      <c r="VBF606" s="222"/>
      <c r="VBG606" s="222"/>
      <c r="VBH606" s="222"/>
      <c r="VBI606" s="222"/>
      <c r="VBJ606" s="222"/>
      <c r="VBK606" s="223"/>
      <c r="VBL606" s="224"/>
      <c r="VBM606" s="222"/>
      <c r="VBN606" s="222"/>
      <c r="VBO606" s="222"/>
      <c r="VBP606" s="222"/>
      <c r="VBQ606" s="222"/>
      <c r="VBR606" s="222"/>
      <c r="VBS606" s="223"/>
      <c r="VBT606" s="224"/>
      <c r="VBU606" s="222"/>
      <c r="VBV606" s="222"/>
      <c r="VBW606" s="222"/>
      <c r="VBX606" s="222"/>
      <c r="VBY606" s="222"/>
      <c r="VBZ606" s="222"/>
      <c r="VCA606" s="223"/>
      <c r="VCB606" s="224"/>
      <c r="VCC606" s="222"/>
      <c r="VCD606" s="222"/>
      <c r="VCE606" s="222"/>
      <c r="VCF606" s="222"/>
      <c r="VCG606" s="222"/>
      <c r="VCH606" s="222"/>
      <c r="VCI606" s="223"/>
      <c r="VCJ606" s="224"/>
      <c r="VCK606" s="222"/>
      <c r="VCL606" s="222"/>
      <c r="VCM606" s="222"/>
      <c r="VCN606" s="222"/>
      <c r="VCO606" s="222"/>
      <c r="VCP606" s="222"/>
      <c r="VCQ606" s="223"/>
      <c r="VCR606" s="224"/>
      <c r="VCS606" s="222"/>
      <c r="VCT606" s="222"/>
      <c r="VCU606" s="222"/>
      <c r="VCV606" s="222"/>
      <c r="VCW606" s="222"/>
      <c r="VCX606" s="222"/>
      <c r="VCY606" s="223"/>
      <c r="VCZ606" s="224"/>
      <c r="VDA606" s="222"/>
      <c r="VDB606" s="222"/>
      <c r="VDC606" s="222"/>
      <c r="VDD606" s="222"/>
      <c r="VDE606" s="222"/>
      <c r="VDF606" s="222"/>
      <c r="VDG606" s="223"/>
      <c r="VDH606" s="224"/>
      <c r="VDI606" s="222"/>
      <c r="VDJ606" s="222"/>
      <c r="VDK606" s="222"/>
      <c r="VDL606" s="222"/>
      <c r="VDM606" s="222"/>
      <c r="VDN606" s="222"/>
      <c r="VDO606" s="223"/>
      <c r="VDP606" s="224"/>
      <c r="VDQ606" s="222"/>
      <c r="VDR606" s="222"/>
      <c r="VDS606" s="222"/>
      <c r="VDT606" s="222"/>
      <c r="VDU606" s="222"/>
      <c r="VDV606" s="222"/>
      <c r="VDW606" s="223"/>
      <c r="VDX606" s="224"/>
      <c r="VDY606" s="222"/>
      <c r="VDZ606" s="222"/>
      <c r="VEA606" s="222"/>
      <c r="VEB606" s="222"/>
      <c r="VEC606" s="222"/>
      <c r="VED606" s="222"/>
      <c r="VEE606" s="223"/>
      <c r="VEF606" s="224"/>
      <c r="VEG606" s="222"/>
      <c r="VEH606" s="222"/>
      <c r="VEI606" s="222"/>
      <c r="VEJ606" s="222"/>
      <c r="VEK606" s="222"/>
      <c r="VEL606" s="222"/>
      <c r="VEM606" s="223"/>
      <c r="VEN606" s="224"/>
      <c r="VEO606" s="222"/>
      <c r="VEP606" s="222"/>
      <c r="VEQ606" s="222"/>
      <c r="VER606" s="222"/>
      <c r="VES606" s="222"/>
      <c r="VET606" s="222"/>
      <c r="VEU606" s="223"/>
      <c r="VEV606" s="224"/>
      <c r="VEW606" s="222"/>
      <c r="VEX606" s="222"/>
      <c r="VEY606" s="222"/>
      <c r="VEZ606" s="222"/>
      <c r="VFA606" s="222"/>
      <c r="VFB606" s="222"/>
      <c r="VFC606" s="223"/>
      <c r="VFD606" s="224"/>
      <c r="VFE606" s="222"/>
      <c r="VFF606" s="222"/>
      <c r="VFG606" s="222"/>
      <c r="VFH606" s="222"/>
      <c r="VFI606" s="222"/>
      <c r="VFJ606" s="222"/>
      <c r="VFK606" s="223"/>
      <c r="VFL606" s="224"/>
      <c r="VFM606" s="222"/>
      <c r="VFN606" s="222"/>
      <c r="VFO606" s="222"/>
      <c r="VFP606" s="222"/>
      <c r="VFQ606" s="222"/>
      <c r="VFR606" s="222"/>
      <c r="VFS606" s="223"/>
      <c r="VFT606" s="224"/>
      <c r="VFU606" s="222"/>
      <c r="VFV606" s="222"/>
      <c r="VFW606" s="222"/>
      <c r="VFX606" s="222"/>
      <c r="VFY606" s="222"/>
      <c r="VFZ606" s="222"/>
      <c r="VGA606" s="223"/>
      <c r="VGB606" s="224"/>
      <c r="VGC606" s="222"/>
      <c r="VGD606" s="222"/>
      <c r="VGE606" s="222"/>
      <c r="VGF606" s="222"/>
      <c r="VGG606" s="222"/>
      <c r="VGH606" s="222"/>
      <c r="VGI606" s="223"/>
      <c r="VGJ606" s="224"/>
      <c r="VGK606" s="222"/>
      <c r="VGL606" s="222"/>
      <c r="VGM606" s="222"/>
      <c r="VGN606" s="222"/>
      <c r="VGO606" s="222"/>
      <c r="VGP606" s="222"/>
      <c r="VGQ606" s="223"/>
      <c r="VGR606" s="224"/>
      <c r="VGS606" s="222"/>
      <c r="VGT606" s="222"/>
      <c r="VGU606" s="222"/>
      <c r="VGV606" s="222"/>
      <c r="VGW606" s="222"/>
      <c r="VGX606" s="222"/>
      <c r="VGY606" s="223"/>
      <c r="VGZ606" s="224"/>
      <c r="VHA606" s="222"/>
      <c r="VHB606" s="222"/>
      <c r="VHC606" s="222"/>
      <c r="VHD606" s="222"/>
      <c r="VHE606" s="222"/>
      <c r="VHF606" s="222"/>
      <c r="VHG606" s="223"/>
      <c r="VHH606" s="224"/>
      <c r="VHI606" s="222"/>
      <c r="VHJ606" s="222"/>
      <c r="VHK606" s="222"/>
      <c r="VHL606" s="222"/>
      <c r="VHM606" s="222"/>
      <c r="VHN606" s="222"/>
      <c r="VHO606" s="223"/>
      <c r="VHP606" s="224"/>
      <c r="VHQ606" s="222"/>
      <c r="VHR606" s="222"/>
      <c r="VHS606" s="222"/>
      <c r="VHT606" s="222"/>
      <c r="VHU606" s="222"/>
      <c r="VHV606" s="222"/>
      <c r="VHW606" s="223"/>
      <c r="VHX606" s="224"/>
      <c r="VHY606" s="222"/>
      <c r="VHZ606" s="222"/>
      <c r="VIA606" s="222"/>
      <c r="VIB606" s="222"/>
      <c r="VIC606" s="222"/>
      <c r="VID606" s="222"/>
      <c r="VIE606" s="223"/>
      <c r="VIF606" s="224"/>
      <c r="VIG606" s="222"/>
      <c r="VIH606" s="222"/>
      <c r="VII606" s="222"/>
      <c r="VIJ606" s="222"/>
      <c r="VIK606" s="222"/>
      <c r="VIL606" s="222"/>
      <c r="VIM606" s="223"/>
      <c r="VIN606" s="224"/>
      <c r="VIO606" s="222"/>
      <c r="VIP606" s="222"/>
      <c r="VIQ606" s="222"/>
      <c r="VIR606" s="222"/>
      <c r="VIS606" s="222"/>
      <c r="VIT606" s="222"/>
      <c r="VIU606" s="223"/>
      <c r="VIV606" s="224"/>
      <c r="VIW606" s="222"/>
      <c r="VIX606" s="222"/>
      <c r="VIY606" s="222"/>
      <c r="VIZ606" s="222"/>
      <c r="VJA606" s="222"/>
      <c r="VJB606" s="222"/>
      <c r="VJC606" s="223"/>
      <c r="VJD606" s="224"/>
      <c r="VJE606" s="222"/>
      <c r="VJF606" s="222"/>
      <c r="VJG606" s="222"/>
      <c r="VJH606" s="222"/>
      <c r="VJI606" s="222"/>
      <c r="VJJ606" s="222"/>
      <c r="VJK606" s="223"/>
      <c r="VJL606" s="224"/>
      <c r="VJM606" s="222"/>
      <c r="VJN606" s="222"/>
      <c r="VJO606" s="222"/>
      <c r="VJP606" s="222"/>
      <c r="VJQ606" s="222"/>
      <c r="VJR606" s="222"/>
      <c r="VJS606" s="223"/>
      <c r="VJT606" s="224"/>
      <c r="VJU606" s="222"/>
      <c r="VJV606" s="222"/>
      <c r="VJW606" s="222"/>
      <c r="VJX606" s="222"/>
      <c r="VJY606" s="222"/>
      <c r="VJZ606" s="222"/>
      <c r="VKA606" s="223"/>
      <c r="VKB606" s="224"/>
      <c r="VKC606" s="222"/>
      <c r="VKD606" s="222"/>
      <c r="VKE606" s="222"/>
      <c r="VKF606" s="222"/>
      <c r="VKG606" s="222"/>
      <c r="VKH606" s="222"/>
      <c r="VKI606" s="223"/>
      <c r="VKJ606" s="224"/>
      <c r="VKK606" s="222"/>
      <c r="VKL606" s="222"/>
      <c r="VKM606" s="222"/>
      <c r="VKN606" s="222"/>
      <c r="VKO606" s="222"/>
      <c r="VKP606" s="222"/>
      <c r="VKQ606" s="223"/>
      <c r="VKR606" s="224"/>
      <c r="VKS606" s="222"/>
      <c r="VKT606" s="222"/>
      <c r="VKU606" s="222"/>
      <c r="VKV606" s="222"/>
      <c r="VKW606" s="222"/>
      <c r="VKX606" s="222"/>
      <c r="VKY606" s="223"/>
      <c r="VKZ606" s="224"/>
      <c r="VLA606" s="222"/>
      <c r="VLB606" s="222"/>
      <c r="VLC606" s="222"/>
      <c r="VLD606" s="222"/>
      <c r="VLE606" s="222"/>
      <c r="VLF606" s="222"/>
      <c r="VLG606" s="223"/>
      <c r="VLH606" s="224"/>
      <c r="VLI606" s="222"/>
      <c r="VLJ606" s="222"/>
      <c r="VLK606" s="222"/>
      <c r="VLL606" s="222"/>
      <c r="VLM606" s="222"/>
      <c r="VLN606" s="222"/>
      <c r="VLO606" s="223"/>
      <c r="VLP606" s="224"/>
      <c r="VLQ606" s="222"/>
      <c r="VLR606" s="222"/>
      <c r="VLS606" s="222"/>
      <c r="VLT606" s="222"/>
      <c r="VLU606" s="222"/>
      <c r="VLV606" s="222"/>
      <c r="VLW606" s="223"/>
      <c r="VLX606" s="224"/>
      <c r="VLY606" s="222"/>
      <c r="VLZ606" s="222"/>
      <c r="VMA606" s="222"/>
      <c r="VMB606" s="222"/>
      <c r="VMC606" s="222"/>
      <c r="VMD606" s="222"/>
      <c r="VME606" s="223"/>
      <c r="VMF606" s="224"/>
      <c r="VMG606" s="222"/>
      <c r="VMH606" s="222"/>
      <c r="VMI606" s="222"/>
      <c r="VMJ606" s="222"/>
      <c r="VMK606" s="222"/>
      <c r="VML606" s="222"/>
      <c r="VMM606" s="223"/>
      <c r="VMN606" s="224"/>
      <c r="VMO606" s="222"/>
      <c r="VMP606" s="222"/>
      <c r="VMQ606" s="222"/>
      <c r="VMR606" s="222"/>
      <c r="VMS606" s="222"/>
      <c r="VMT606" s="222"/>
      <c r="VMU606" s="223"/>
      <c r="VMV606" s="224"/>
      <c r="VMW606" s="222"/>
      <c r="VMX606" s="222"/>
      <c r="VMY606" s="222"/>
      <c r="VMZ606" s="222"/>
      <c r="VNA606" s="222"/>
      <c r="VNB606" s="222"/>
      <c r="VNC606" s="223"/>
      <c r="VND606" s="224"/>
      <c r="VNE606" s="222"/>
      <c r="VNF606" s="222"/>
      <c r="VNG606" s="222"/>
      <c r="VNH606" s="222"/>
      <c r="VNI606" s="222"/>
      <c r="VNJ606" s="222"/>
      <c r="VNK606" s="223"/>
      <c r="VNL606" s="224"/>
      <c r="VNM606" s="222"/>
      <c r="VNN606" s="222"/>
      <c r="VNO606" s="222"/>
      <c r="VNP606" s="222"/>
      <c r="VNQ606" s="222"/>
      <c r="VNR606" s="222"/>
      <c r="VNS606" s="223"/>
      <c r="VNT606" s="224"/>
      <c r="VNU606" s="222"/>
      <c r="VNV606" s="222"/>
      <c r="VNW606" s="222"/>
      <c r="VNX606" s="222"/>
      <c r="VNY606" s="222"/>
      <c r="VNZ606" s="222"/>
      <c r="VOA606" s="223"/>
      <c r="VOB606" s="224"/>
      <c r="VOC606" s="222"/>
      <c r="VOD606" s="222"/>
      <c r="VOE606" s="222"/>
      <c r="VOF606" s="222"/>
      <c r="VOG606" s="222"/>
      <c r="VOH606" s="222"/>
      <c r="VOI606" s="223"/>
      <c r="VOJ606" s="224"/>
      <c r="VOK606" s="222"/>
      <c r="VOL606" s="222"/>
      <c r="VOM606" s="222"/>
      <c r="VON606" s="222"/>
      <c r="VOO606" s="222"/>
      <c r="VOP606" s="222"/>
      <c r="VOQ606" s="223"/>
      <c r="VOR606" s="224"/>
      <c r="VOS606" s="222"/>
      <c r="VOT606" s="222"/>
      <c r="VOU606" s="222"/>
      <c r="VOV606" s="222"/>
      <c r="VOW606" s="222"/>
      <c r="VOX606" s="222"/>
      <c r="VOY606" s="223"/>
      <c r="VOZ606" s="224"/>
      <c r="VPA606" s="222"/>
      <c r="VPB606" s="222"/>
      <c r="VPC606" s="222"/>
      <c r="VPD606" s="222"/>
      <c r="VPE606" s="222"/>
      <c r="VPF606" s="222"/>
      <c r="VPG606" s="223"/>
      <c r="VPH606" s="224"/>
      <c r="VPI606" s="222"/>
      <c r="VPJ606" s="222"/>
      <c r="VPK606" s="222"/>
      <c r="VPL606" s="222"/>
      <c r="VPM606" s="222"/>
      <c r="VPN606" s="222"/>
      <c r="VPO606" s="223"/>
      <c r="VPP606" s="224"/>
      <c r="VPQ606" s="222"/>
      <c r="VPR606" s="222"/>
      <c r="VPS606" s="222"/>
      <c r="VPT606" s="222"/>
      <c r="VPU606" s="222"/>
      <c r="VPV606" s="222"/>
      <c r="VPW606" s="223"/>
      <c r="VPX606" s="224"/>
      <c r="VPY606" s="222"/>
      <c r="VPZ606" s="222"/>
      <c r="VQA606" s="222"/>
      <c r="VQB606" s="222"/>
      <c r="VQC606" s="222"/>
      <c r="VQD606" s="222"/>
      <c r="VQE606" s="223"/>
      <c r="VQF606" s="224"/>
      <c r="VQG606" s="222"/>
      <c r="VQH606" s="222"/>
      <c r="VQI606" s="222"/>
      <c r="VQJ606" s="222"/>
      <c r="VQK606" s="222"/>
      <c r="VQL606" s="222"/>
      <c r="VQM606" s="223"/>
      <c r="VQN606" s="224"/>
      <c r="VQO606" s="222"/>
      <c r="VQP606" s="222"/>
      <c r="VQQ606" s="222"/>
      <c r="VQR606" s="222"/>
      <c r="VQS606" s="222"/>
      <c r="VQT606" s="222"/>
      <c r="VQU606" s="223"/>
      <c r="VQV606" s="224"/>
      <c r="VQW606" s="222"/>
      <c r="VQX606" s="222"/>
      <c r="VQY606" s="222"/>
      <c r="VQZ606" s="222"/>
      <c r="VRA606" s="222"/>
      <c r="VRB606" s="222"/>
      <c r="VRC606" s="223"/>
      <c r="VRD606" s="224"/>
      <c r="VRE606" s="222"/>
      <c r="VRF606" s="222"/>
      <c r="VRG606" s="222"/>
      <c r="VRH606" s="222"/>
      <c r="VRI606" s="222"/>
      <c r="VRJ606" s="222"/>
      <c r="VRK606" s="223"/>
      <c r="VRL606" s="224"/>
      <c r="VRM606" s="222"/>
      <c r="VRN606" s="222"/>
      <c r="VRO606" s="222"/>
      <c r="VRP606" s="222"/>
      <c r="VRQ606" s="222"/>
      <c r="VRR606" s="222"/>
      <c r="VRS606" s="223"/>
      <c r="VRT606" s="224"/>
      <c r="VRU606" s="222"/>
      <c r="VRV606" s="222"/>
      <c r="VRW606" s="222"/>
      <c r="VRX606" s="222"/>
      <c r="VRY606" s="222"/>
      <c r="VRZ606" s="222"/>
      <c r="VSA606" s="223"/>
      <c r="VSB606" s="224"/>
      <c r="VSC606" s="222"/>
      <c r="VSD606" s="222"/>
      <c r="VSE606" s="222"/>
      <c r="VSF606" s="222"/>
      <c r="VSG606" s="222"/>
      <c r="VSH606" s="222"/>
      <c r="VSI606" s="223"/>
      <c r="VSJ606" s="224"/>
      <c r="VSK606" s="222"/>
      <c r="VSL606" s="222"/>
      <c r="VSM606" s="222"/>
      <c r="VSN606" s="222"/>
      <c r="VSO606" s="222"/>
      <c r="VSP606" s="222"/>
      <c r="VSQ606" s="223"/>
      <c r="VSR606" s="224"/>
      <c r="VSS606" s="222"/>
      <c r="VST606" s="222"/>
      <c r="VSU606" s="222"/>
      <c r="VSV606" s="222"/>
      <c r="VSW606" s="222"/>
      <c r="VSX606" s="222"/>
      <c r="VSY606" s="223"/>
      <c r="VSZ606" s="224"/>
      <c r="VTA606" s="222"/>
      <c r="VTB606" s="222"/>
      <c r="VTC606" s="222"/>
      <c r="VTD606" s="222"/>
      <c r="VTE606" s="222"/>
      <c r="VTF606" s="222"/>
      <c r="VTG606" s="223"/>
      <c r="VTH606" s="224"/>
      <c r="VTI606" s="222"/>
      <c r="VTJ606" s="222"/>
      <c r="VTK606" s="222"/>
      <c r="VTL606" s="222"/>
      <c r="VTM606" s="222"/>
      <c r="VTN606" s="222"/>
      <c r="VTO606" s="223"/>
      <c r="VTP606" s="224"/>
      <c r="VTQ606" s="222"/>
      <c r="VTR606" s="222"/>
      <c r="VTS606" s="222"/>
      <c r="VTT606" s="222"/>
      <c r="VTU606" s="222"/>
      <c r="VTV606" s="222"/>
      <c r="VTW606" s="223"/>
      <c r="VTX606" s="224"/>
      <c r="VTY606" s="222"/>
      <c r="VTZ606" s="222"/>
      <c r="VUA606" s="222"/>
      <c r="VUB606" s="222"/>
      <c r="VUC606" s="222"/>
      <c r="VUD606" s="222"/>
      <c r="VUE606" s="223"/>
      <c r="VUF606" s="224"/>
      <c r="VUG606" s="222"/>
      <c r="VUH606" s="222"/>
      <c r="VUI606" s="222"/>
      <c r="VUJ606" s="222"/>
      <c r="VUK606" s="222"/>
      <c r="VUL606" s="222"/>
      <c r="VUM606" s="223"/>
      <c r="VUN606" s="224"/>
      <c r="VUO606" s="222"/>
      <c r="VUP606" s="222"/>
      <c r="VUQ606" s="222"/>
      <c r="VUR606" s="222"/>
      <c r="VUS606" s="222"/>
      <c r="VUT606" s="222"/>
      <c r="VUU606" s="223"/>
      <c r="VUV606" s="224"/>
      <c r="VUW606" s="222"/>
      <c r="VUX606" s="222"/>
      <c r="VUY606" s="222"/>
      <c r="VUZ606" s="222"/>
      <c r="VVA606" s="222"/>
      <c r="VVB606" s="222"/>
      <c r="VVC606" s="223"/>
      <c r="VVD606" s="224"/>
      <c r="VVE606" s="222"/>
      <c r="VVF606" s="222"/>
      <c r="VVG606" s="222"/>
      <c r="VVH606" s="222"/>
      <c r="VVI606" s="222"/>
      <c r="VVJ606" s="222"/>
      <c r="VVK606" s="223"/>
      <c r="VVL606" s="224"/>
      <c r="VVM606" s="222"/>
      <c r="VVN606" s="222"/>
      <c r="VVO606" s="222"/>
      <c r="VVP606" s="222"/>
      <c r="VVQ606" s="222"/>
      <c r="VVR606" s="222"/>
      <c r="VVS606" s="223"/>
      <c r="VVT606" s="224"/>
      <c r="VVU606" s="222"/>
      <c r="VVV606" s="222"/>
      <c r="VVW606" s="222"/>
      <c r="VVX606" s="222"/>
      <c r="VVY606" s="222"/>
      <c r="VVZ606" s="222"/>
      <c r="VWA606" s="223"/>
      <c r="VWB606" s="224"/>
      <c r="VWC606" s="222"/>
      <c r="VWD606" s="222"/>
      <c r="VWE606" s="222"/>
      <c r="VWF606" s="222"/>
      <c r="VWG606" s="222"/>
      <c r="VWH606" s="222"/>
      <c r="VWI606" s="223"/>
      <c r="VWJ606" s="224"/>
      <c r="VWK606" s="222"/>
      <c r="VWL606" s="222"/>
      <c r="VWM606" s="222"/>
      <c r="VWN606" s="222"/>
      <c r="VWO606" s="222"/>
      <c r="VWP606" s="222"/>
      <c r="VWQ606" s="223"/>
      <c r="VWR606" s="224"/>
      <c r="VWS606" s="222"/>
      <c r="VWT606" s="222"/>
      <c r="VWU606" s="222"/>
      <c r="VWV606" s="222"/>
      <c r="VWW606" s="222"/>
      <c r="VWX606" s="222"/>
      <c r="VWY606" s="223"/>
      <c r="VWZ606" s="224"/>
      <c r="VXA606" s="222"/>
      <c r="VXB606" s="222"/>
      <c r="VXC606" s="222"/>
      <c r="VXD606" s="222"/>
      <c r="VXE606" s="222"/>
      <c r="VXF606" s="222"/>
      <c r="VXG606" s="223"/>
      <c r="VXH606" s="224"/>
      <c r="VXI606" s="222"/>
      <c r="VXJ606" s="222"/>
      <c r="VXK606" s="222"/>
      <c r="VXL606" s="222"/>
      <c r="VXM606" s="222"/>
      <c r="VXN606" s="222"/>
      <c r="VXO606" s="223"/>
      <c r="VXP606" s="224"/>
      <c r="VXQ606" s="222"/>
      <c r="VXR606" s="222"/>
      <c r="VXS606" s="222"/>
      <c r="VXT606" s="222"/>
      <c r="VXU606" s="222"/>
      <c r="VXV606" s="222"/>
      <c r="VXW606" s="223"/>
      <c r="VXX606" s="224"/>
      <c r="VXY606" s="222"/>
      <c r="VXZ606" s="222"/>
      <c r="VYA606" s="222"/>
      <c r="VYB606" s="222"/>
      <c r="VYC606" s="222"/>
      <c r="VYD606" s="222"/>
      <c r="VYE606" s="223"/>
      <c r="VYF606" s="224"/>
      <c r="VYG606" s="222"/>
      <c r="VYH606" s="222"/>
      <c r="VYI606" s="222"/>
      <c r="VYJ606" s="222"/>
      <c r="VYK606" s="222"/>
      <c r="VYL606" s="222"/>
      <c r="VYM606" s="223"/>
      <c r="VYN606" s="224"/>
      <c r="VYO606" s="222"/>
      <c r="VYP606" s="222"/>
      <c r="VYQ606" s="222"/>
      <c r="VYR606" s="222"/>
      <c r="VYS606" s="222"/>
      <c r="VYT606" s="222"/>
      <c r="VYU606" s="223"/>
      <c r="VYV606" s="224"/>
      <c r="VYW606" s="222"/>
      <c r="VYX606" s="222"/>
      <c r="VYY606" s="222"/>
      <c r="VYZ606" s="222"/>
      <c r="VZA606" s="222"/>
      <c r="VZB606" s="222"/>
      <c r="VZC606" s="223"/>
      <c r="VZD606" s="224"/>
      <c r="VZE606" s="222"/>
      <c r="VZF606" s="222"/>
      <c r="VZG606" s="222"/>
      <c r="VZH606" s="222"/>
      <c r="VZI606" s="222"/>
      <c r="VZJ606" s="222"/>
      <c r="VZK606" s="223"/>
      <c r="VZL606" s="224"/>
      <c r="VZM606" s="222"/>
      <c r="VZN606" s="222"/>
      <c r="VZO606" s="222"/>
      <c r="VZP606" s="222"/>
      <c r="VZQ606" s="222"/>
      <c r="VZR606" s="222"/>
      <c r="VZS606" s="223"/>
      <c r="VZT606" s="224"/>
      <c r="VZU606" s="222"/>
      <c r="VZV606" s="222"/>
      <c r="VZW606" s="222"/>
      <c r="VZX606" s="222"/>
      <c r="VZY606" s="222"/>
      <c r="VZZ606" s="222"/>
      <c r="WAA606" s="223"/>
      <c r="WAB606" s="224"/>
      <c r="WAC606" s="222"/>
      <c r="WAD606" s="222"/>
      <c r="WAE606" s="222"/>
      <c r="WAF606" s="222"/>
      <c r="WAG606" s="222"/>
      <c r="WAH606" s="222"/>
      <c r="WAI606" s="223"/>
      <c r="WAJ606" s="224"/>
      <c r="WAK606" s="222"/>
      <c r="WAL606" s="222"/>
      <c r="WAM606" s="222"/>
      <c r="WAN606" s="222"/>
      <c r="WAO606" s="222"/>
      <c r="WAP606" s="222"/>
      <c r="WAQ606" s="223"/>
      <c r="WAR606" s="224"/>
      <c r="WAS606" s="222"/>
      <c r="WAT606" s="222"/>
      <c r="WAU606" s="222"/>
      <c r="WAV606" s="222"/>
      <c r="WAW606" s="222"/>
      <c r="WAX606" s="222"/>
      <c r="WAY606" s="223"/>
      <c r="WAZ606" s="224"/>
      <c r="WBA606" s="222"/>
      <c r="WBB606" s="222"/>
      <c r="WBC606" s="222"/>
      <c r="WBD606" s="222"/>
      <c r="WBE606" s="222"/>
      <c r="WBF606" s="222"/>
      <c r="WBG606" s="223"/>
      <c r="WBH606" s="224"/>
      <c r="WBI606" s="222"/>
      <c r="WBJ606" s="222"/>
      <c r="WBK606" s="222"/>
      <c r="WBL606" s="222"/>
      <c r="WBM606" s="222"/>
      <c r="WBN606" s="222"/>
      <c r="WBO606" s="223"/>
      <c r="WBP606" s="224"/>
      <c r="WBQ606" s="222"/>
      <c r="WBR606" s="222"/>
      <c r="WBS606" s="222"/>
      <c r="WBT606" s="222"/>
      <c r="WBU606" s="222"/>
      <c r="WBV606" s="222"/>
      <c r="WBW606" s="223"/>
      <c r="WBX606" s="224"/>
      <c r="WBY606" s="222"/>
      <c r="WBZ606" s="222"/>
      <c r="WCA606" s="222"/>
      <c r="WCB606" s="222"/>
      <c r="WCC606" s="222"/>
      <c r="WCD606" s="222"/>
      <c r="WCE606" s="223"/>
      <c r="WCF606" s="224"/>
      <c r="WCG606" s="222"/>
      <c r="WCH606" s="222"/>
      <c r="WCI606" s="222"/>
      <c r="WCJ606" s="222"/>
      <c r="WCK606" s="222"/>
      <c r="WCL606" s="222"/>
      <c r="WCM606" s="223"/>
      <c r="WCN606" s="224"/>
      <c r="WCO606" s="222"/>
      <c r="WCP606" s="222"/>
      <c r="WCQ606" s="222"/>
      <c r="WCR606" s="222"/>
      <c r="WCS606" s="222"/>
      <c r="WCT606" s="222"/>
      <c r="WCU606" s="223"/>
      <c r="WCV606" s="224"/>
      <c r="WCW606" s="222"/>
      <c r="WCX606" s="222"/>
      <c r="WCY606" s="222"/>
      <c r="WCZ606" s="222"/>
      <c r="WDA606" s="222"/>
      <c r="WDB606" s="222"/>
      <c r="WDC606" s="223"/>
      <c r="WDD606" s="224"/>
      <c r="WDE606" s="222"/>
      <c r="WDF606" s="222"/>
      <c r="WDG606" s="222"/>
      <c r="WDH606" s="222"/>
      <c r="WDI606" s="222"/>
      <c r="WDJ606" s="222"/>
      <c r="WDK606" s="223"/>
      <c r="WDL606" s="224"/>
      <c r="WDM606" s="222"/>
      <c r="WDN606" s="222"/>
      <c r="WDO606" s="222"/>
      <c r="WDP606" s="222"/>
      <c r="WDQ606" s="222"/>
      <c r="WDR606" s="222"/>
      <c r="WDS606" s="223"/>
      <c r="WDT606" s="224"/>
      <c r="WDU606" s="222"/>
      <c r="WDV606" s="222"/>
      <c r="WDW606" s="222"/>
      <c r="WDX606" s="222"/>
      <c r="WDY606" s="222"/>
      <c r="WDZ606" s="222"/>
      <c r="WEA606" s="223"/>
      <c r="WEB606" s="224"/>
      <c r="WEC606" s="222"/>
      <c r="WED606" s="222"/>
      <c r="WEE606" s="222"/>
      <c r="WEF606" s="222"/>
      <c r="WEG606" s="222"/>
      <c r="WEH606" s="222"/>
      <c r="WEI606" s="223"/>
      <c r="WEJ606" s="224"/>
      <c r="WEK606" s="222"/>
      <c r="WEL606" s="222"/>
      <c r="WEM606" s="222"/>
      <c r="WEN606" s="222"/>
      <c r="WEO606" s="222"/>
      <c r="WEP606" s="222"/>
      <c r="WEQ606" s="223"/>
      <c r="WER606" s="224"/>
      <c r="WES606" s="222"/>
      <c r="WET606" s="222"/>
      <c r="WEU606" s="222"/>
      <c r="WEV606" s="222"/>
      <c r="WEW606" s="222"/>
      <c r="WEX606" s="222"/>
      <c r="WEY606" s="223"/>
      <c r="WEZ606" s="224"/>
      <c r="WFA606" s="222"/>
      <c r="WFB606" s="222"/>
      <c r="WFC606" s="222"/>
      <c r="WFD606" s="222"/>
      <c r="WFE606" s="222"/>
      <c r="WFF606" s="222"/>
      <c r="WFG606" s="223"/>
      <c r="WFH606" s="224"/>
      <c r="WFI606" s="222"/>
      <c r="WFJ606" s="222"/>
      <c r="WFK606" s="222"/>
      <c r="WFL606" s="222"/>
      <c r="WFM606" s="222"/>
      <c r="WFN606" s="222"/>
      <c r="WFO606" s="223"/>
      <c r="WFP606" s="224"/>
      <c r="WFQ606" s="222"/>
      <c r="WFR606" s="222"/>
      <c r="WFS606" s="222"/>
      <c r="WFT606" s="222"/>
      <c r="WFU606" s="222"/>
      <c r="WFV606" s="222"/>
      <c r="WFW606" s="223"/>
      <c r="WFX606" s="224"/>
      <c r="WFY606" s="222"/>
      <c r="WFZ606" s="222"/>
      <c r="WGA606" s="222"/>
      <c r="WGB606" s="222"/>
      <c r="WGC606" s="222"/>
      <c r="WGD606" s="222"/>
      <c r="WGE606" s="223"/>
      <c r="WGF606" s="224"/>
      <c r="WGG606" s="222"/>
      <c r="WGH606" s="222"/>
      <c r="WGI606" s="222"/>
      <c r="WGJ606" s="222"/>
      <c r="WGK606" s="222"/>
      <c r="WGL606" s="222"/>
      <c r="WGM606" s="223"/>
      <c r="WGN606" s="224"/>
      <c r="WGO606" s="222"/>
      <c r="WGP606" s="222"/>
      <c r="WGQ606" s="222"/>
      <c r="WGR606" s="222"/>
      <c r="WGS606" s="222"/>
      <c r="WGT606" s="222"/>
      <c r="WGU606" s="223"/>
      <c r="WGV606" s="224"/>
      <c r="WGW606" s="222"/>
      <c r="WGX606" s="222"/>
      <c r="WGY606" s="222"/>
      <c r="WGZ606" s="222"/>
      <c r="WHA606" s="222"/>
      <c r="WHB606" s="222"/>
      <c r="WHC606" s="223"/>
      <c r="WHD606" s="224"/>
      <c r="WHE606" s="222"/>
      <c r="WHF606" s="222"/>
      <c r="WHG606" s="222"/>
      <c r="WHH606" s="222"/>
      <c r="WHI606" s="222"/>
      <c r="WHJ606" s="222"/>
      <c r="WHK606" s="223"/>
      <c r="WHL606" s="224"/>
      <c r="WHM606" s="222"/>
      <c r="WHN606" s="222"/>
      <c r="WHO606" s="222"/>
      <c r="WHP606" s="222"/>
      <c r="WHQ606" s="222"/>
      <c r="WHR606" s="222"/>
      <c r="WHS606" s="223"/>
      <c r="WHT606" s="224"/>
      <c r="WHU606" s="222"/>
      <c r="WHV606" s="222"/>
      <c r="WHW606" s="222"/>
      <c r="WHX606" s="222"/>
      <c r="WHY606" s="222"/>
      <c r="WHZ606" s="222"/>
      <c r="WIA606" s="223"/>
      <c r="WIB606" s="224"/>
      <c r="WIC606" s="222"/>
      <c r="WID606" s="222"/>
      <c r="WIE606" s="222"/>
      <c r="WIF606" s="222"/>
      <c r="WIG606" s="222"/>
      <c r="WIH606" s="222"/>
      <c r="WII606" s="223"/>
      <c r="WIJ606" s="224"/>
      <c r="WIK606" s="222"/>
      <c r="WIL606" s="222"/>
      <c r="WIM606" s="222"/>
      <c r="WIN606" s="222"/>
      <c r="WIO606" s="222"/>
      <c r="WIP606" s="222"/>
      <c r="WIQ606" s="223"/>
      <c r="WIR606" s="224"/>
      <c r="WIS606" s="222"/>
      <c r="WIT606" s="222"/>
      <c r="WIU606" s="222"/>
      <c r="WIV606" s="222"/>
      <c r="WIW606" s="222"/>
      <c r="WIX606" s="222"/>
      <c r="WIY606" s="223"/>
      <c r="WIZ606" s="224"/>
      <c r="WJA606" s="222"/>
      <c r="WJB606" s="222"/>
      <c r="WJC606" s="222"/>
      <c r="WJD606" s="222"/>
      <c r="WJE606" s="222"/>
      <c r="WJF606" s="222"/>
      <c r="WJG606" s="223"/>
      <c r="WJH606" s="224"/>
      <c r="WJI606" s="222"/>
      <c r="WJJ606" s="222"/>
      <c r="WJK606" s="222"/>
      <c r="WJL606" s="222"/>
      <c r="WJM606" s="222"/>
      <c r="WJN606" s="222"/>
      <c r="WJO606" s="223"/>
      <c r="WJP606" s="224"/>
      <c r="WJQ606" s="222"/>
      <c r="WJR606" s="222"/>
      <c r="WJS606" s="222"/>
      <c r="WJT606" s="222"/>
      <c r="WJU606" s="222"/>
      <c r="WJV606" s="222"/>
      <c r="WJW606" s="223"/>
      <c r="WJX606" s="224"/>
      <c r="WJY606" s="222"/>
      <c r="WJZ606" s="222"/>
      <c r="WKA606" s="222"/>
      <c r="WKB606" s="222"/>
      <c r="WKC606" s="222"/>
      <c r="WKD606" s="222"/>
      <c r="WKE606" s="223"/>
      <c r="WKF606" s="224"/>
      <c r="WKG606" s="222"/>
      <c r="WKH606" s="222"/>
      <c r="WKI606" s="222"/>
      <c r="WKJ606" s="222"/>
      <c r="WKK606" s="222"/>
      <c r="WKL606" s="222"/>
      <c r="WKM606" s="223"/>
      <c r="WKN606" s="224"/>
      <c r="WKO606" s="222"/>
      <c r="WKP606" s="222"/>
      <c r="WKQ606" s="222"/>
      <c r="WKR606" s="222"/>
      <c r="WKS606" s="222"/>
      <c r="WKT606" s="222"/>
      <c r="WKU606" s="223"/>
      <c r="WKV606" s="224"/>
      <c r="WKW606" s="222"/>
      <c r="WKX606" s="222"/>
      <c r="WKY606" s="222"/>
      <c r="WKZ606" s="222"/>
      <c r="WLA606" s="222"/>
      <c r="WLB606" s="222"/>
      <c r="WLC606" s="223"/>
      <c r="WLD606" s="224"/>
      <c r="WLE606" s="222"/>
      <c r="WLF606" s="222"/>
      <c r="WLG606" s="222"/>
      <c r="WLH606" s="222"/>
      <c r="WLI606" s="222"/>
      <c r="WLJ606" s="222"/>
      <c r="WLK606" s="223"/>
      <c r="WLL606" s="224"/>
      <c r="WLM606" s="222"/>
      <c r="WLN606" s="222"/>
      <c r="WLO606" s="222"/>
      <c r="WLP606" s="222"/>
      <c r="WLQ606" s="222"/>
      <c r="WLR606" s="222"/>
      <c r="WLS606" s="223"/>
      <c r="WLT606" s="224"/>
      <c r="WLU606" s="222"/>
      <c r="WLV606" s="222"/>
      <c r="WLW606" s="222"/>
      <c r="WLX606" s="222"/>
      <c r="WLY606" s="222"/>
      <c r="WLZ606" s="222"/>
      <c r="WMA606" s="223"/>
      <c r="WMB606" s="224"/>
      <c r="WMC606" s="222"/>
      <c r="WMD606" s="222"/>
      <c r="WME606" s="222"/>
      <c r="WMF606" s="222"/>
      <c r="WMG606" s="222"/>
      <c r="WMH606" s="222"/>
      <c r="WMI606" s="223"/>
      <c r="WMJ606" s="224"/>
      <c r="WMK606" s="222"/>
      <c r="WML606" s="222"/>
      <c r="WMM606" s="222"/>
      <c r="WMN606" s="222"/>
      <c r="WMO606" s="222"/>
      <c r="WMP606" s="222"/>
      <c r="WMQ606" s="223"/>
      <c r="WMR606" s="224"/>
      <c r="WMS606" s="222"/>
      <c r="WMT606" s="222"/>
      <c r="WMU606" s="222"/>
      <c r="WMV606" s="222"/>
      <c r="WMW606" s="222"/>
      <c r="WMX606" s="222"/>
      <c r="WMY606" s="223"/>
      <c r="WMZ606" s="224"/>
      <c r="WNA606" s="222"/>
      <c r="WNB606" s="222"/>
      <c r="WNC606" s="222"/>
      <c r="WND606" s="222"/>
      <c r="WNE606" s="222"/>
      <c r="WNF606" s="222"/>
      <c r="WNG606" s="223"/>
      <c r="WNH606" s="224"/>
      <c r="WNI606" s="222"/>
      <c r="WNJ606" s="222"/>
      <c r="WNK606" s="222"/>
      <c r="WNL606" s="222"/>
      <c r="WNM606" s="222"/>
      <c r="WNN606" s="222"/>
      <c r="WNO606" s="223"/>
      <c r="WNP606" s="224"/>
      <c r="WNQ606" s="222"/>
      <c r="WNR606" s="222"/>
      <c r="WNS606" s="222"/>
      <c r="WNT606" s="222"/>
      <c r="WNU606" s="222"/>
      <c r="WNV606" s="222"/>
      <c r="WNW606" s="223"/>
      <c r="WNX606" s="224"/>
      <c r="WNY606" s="222"/>
      <c r="WNZ606" s="222"/>
      <c r="WOA606" s="222"/>
      <c r="WOB606" s="222"/>
      <c r="WOC606" s="222"/>
      <c r="WOD606" s="222"/>
      <c r="WOE606" s="223"/>
      <c r="WOF606" s="224"/>
      <c r="WOG606" s="222"/>
      <c r="WOH606" s="222"/>
      <c r="WOI606" s="222"/>
      <c r="WOJ606" s="222"/>
      <c r="WOK606" s="222"/>
      <c r="WOL606" s="222"/>
      <c r="WOM606" s="223"/>
      <c r="WON606" s="224"/>
      <c r="WOO606" s="222"/>
      <c r="WOP606" s="222"/>
      <c r="WOQ606" s="222"/>
      <c r="WOR606" s="222"/>
      <c r="WOS606" s="222"/>
      <c r="WOT606" s="222"/>
      <c r="WOU606" s="223"/>
      <c r="WOV606" s="224"/>
      <c r="WOW606" s="222"/>
      <c r="WOX606" s="222"/>
      <c r="WOY606" s="222"/>
      <c r="WOZ606" s="222"/>
      <c r="WPA606" s="222"/>
      <c r="WPB606" s="222"/>
      <c r="WPC606" s="223"/>
      <c r="WPD606" s="224"/>
      <c r="WPE606" s="222"/>
      <c r="WPF606" s="222"/>
      <c r="WPG606" s="222"/>
      <c r="WPH606" s="222"/>
      <c r="WPI606" s="222"/>
      <c r="WPJ606" s="222"/>
      <c r="WPK606" s="223"/>
      <c r="WPL606" s="224"/>
      <c r="WPM606" s="222"/>
      <c r="WPN606" s="222"/>
      <c r="WPO606" s="222"/>
      <c r="WPP606" s="222"/>
      <c r="WPQ606" s="222"/>
      <c r="WPR606" s="222"/>
      <c r="WPS606" s="223"/>
      <c r="WPT606" s="224"/>
      <c r="WPU606" s="222"/>
      <c r="WPV606" s="222"/>
      <c r="WPW606" s="222"/>
      <c r="WPX606" s="222"/>
      <c r="WPY606" s="222"/>
      <c r="WPZ606" s="222"/>
      <c r="WQA606" s="223"/>
      <c r="WQB606" s="224"/>
      <c r="WQC606" s="222"/>
      <c r="WQD606" s="222"/>
      <c r="WQE606" s="222"/>
      <c r="WQF606" s="222"/>
      <c r="WQG606" s="222"/>
      <c r="WQH606" s="222"/>
      <c r="WQI606" s="223"/>
      <c r="WQJ606" s="224"/>
      <c r="WQK606" s="222"/>
      <c r="WQL606" s="222"/>
      <c r="WQM606" s="222"/>
      <c r="WQN606" s="222"/>
      <c r="WQO606" s="222"/>
      <c r="WQP606" s="222"/>
      <c r="WQQ606" s="223"/>
      <c r="WQR606" s="224"/>
      <c r="WQS606" s="222"/>
      <c r="WQT606" s="222"/>
      <c r="WQU606" s="222"/>
      <c r="WQV606" s="222"/>
      <c r="WQW606" s="222"/>
      <c r="WQX606" s="222"/>
      <c r="WQY606" s="223"/>
      <c r="WQZ606" s="224"/>
      <c r="WRA606" s="222"/>
      <c r="WRB606" s="222"/>
      <c r="WRC606" s="222"/>
      <c r="WRD606" s="222"/>
      <c r="WRE606" s="222"/>
      <c r="WRF606" s="222"/>
      <c r="WRG606" s="223"/>
      <c r="WRH606" s="224"/>
      <c r="WRI606" s="222"/>
      <c r="WRJ606" s="222"/>
      <c r="WRK606" s="222"/>
      <c r="WRL606" s="222"/>
      <c r="WRM606" s="222"/>
      <c r="WRN606" s="222"/>
      <c r="WRO606" s="223"/>
      <c r="WRP606" s="224"/>
      <c r="WRQ606" s="222"/>
      <c r="WRR606" s="222"/>
      <c r="WRS606" s="222"/>
      <c r="WRT606" s="222"/>
      <c r="WRU606" s="222"/>
      <c r="WRV606" s="222"/>
      <c r="WRW606" s="223"/>
      <c r="WRX606" s="224"/>
      <c r="WRY606" s="222"/>
      <c r="WRZ606" s="222"/>
      <c r="WSA606" s="222"/>
      <c r="WSB606" s="222"/>
      <c r="WSC606" s="222"/>
      <c r="WSD606" s="222"/>
      <c r="WSE606" s="223"/>
      <c r="WSF606" s="224"/>
      <c r="WSG606" s="222"/>
      <c r="WSH606" s="222"/>
      <c r="WSI606" s="222"/>
      <c r="WSJ606" s="222"/>
      <c r="WSK606" s="222"/>
      <c r="WSL606" s="222"/>
      <c r="WSM606" s="223"/>
      <c r="WSN606" s="224"/>
      <c r="WSO606" s="222"/>
      <c r="WSP606" s="222"/>
      <c r="WSQ606" s="222"/>
      <c r="WSR606" s="222"/>
      <c r="WSS606" s="222"/>
      <c r="WST606" s="222"/>
      <c r="WSU606" s="223"/>
      <c r="WSV606" s="224"/>
      <c r="WSW606" s="222"/>
      <c r="WSX606" s="222"/>
      <c r="WSY606" s="222"/>
      <c r="WSZ606" s="222"/>
      <c r="WTA606" s="222"/>
      <c r="WTB606" s="222"/>
      <c r="WTC606" s="223"/>
      <c r="WTD606" s="224"/>
      <c r="WTE606" s="222"/>
      <c r="WTF606" s="222"/>
      <c r="WTG606" s="222"/>
      <c r="WTH606" s="222"/>
      <c r="WTI606" s="222"/>
      <c r="WTJ606" s="222"/>
      <c r="WTK606" s="223"/>
      <c r="WTL606" s="224"/>
      <c r="WTM606" s="222"/>
      <c r="WTN606" s="222"/>
      <c r="WTO606" s="222"/>
      <c r="WTP606" s="222"/>
      <c r="WTQ606" s="222"/>
      <c r="WTR606" s="222"/>
      <c r="WTS606" s="223"/>
      <c r="WTT606" s="224"/>
      <c r="WTU606" s="222"/>
      <c r="WTV606" s="222"/>
      <c r="WTW606" s="222"/>
      <c r="WTX606" s="222"/>
      <c r="WTY606" s="222"/>
      <c r="WTZ606" s="222"/>
      <c r="WUA606" s="223"/>
      <c r="WUB606" s="224"/>
      <c r="WUC606" s="222"/>
      <c r="WUD606" s="222"/>
      <c r="WUE606" s="222"/>
      <c r="WUF606" s="222"/>
      <c r="WUG606" s="222"/>
      <c r="WUH606" s="222"/>
      <c r="WUI606" s="223"/>
      <c r="WUJ606" s="224"/>
      <c r="WUK606" s="222"/>
      <c r="WUL606" s="222"/>
      <c r="WUM606" s="222"/>
      <c r="WUN606" s="222"/>
      <c r="WUO606" s="222"/>
      <c r="WUP606" s="222"/>
      <c r="WUQ606" s="223"/>
      <c r="WUR606" s="224"/>
      <c r="WUS606" s="222"/>
      <c r="WUT606" s="222"/>
      <c r="WUU606" s="222"/>
      <c r="WUV606" s="222"/>
      <c r="WUW606" s="222"/>
      <c r="WUX606" s="222"/>
      <c r="WUY606" s="223"/>
      <c r="WUZ606" s="224"/>
      <c r="WVA606" s="222"/>
      <c r="WVB606" s="222"/>
      <c r="WVC606" s="222"/>
      <c r="WVD606" s="222"/>
      <c r="WVE606" s="222"/>
      <c r="WVF606" s="222"/>
      <c r="WVG606" s="223"/>
      <c r="WVH606" s="224"/>
      <c r="WVI606" s="222"/>
      <c r="WVJ606" s="222"/>
      <c r="WVK606" s="222"/>
      <c r="WVL606" s="222"/>
      <c r="WVM606" s="222"/>
      <c r="WVN606" s="222"/>
      <c r="WVO606" s="223"/>
      <c r="WVP606" s="224"/>
      <c r="WVQ606" s="222"/>
      <c r="WVR606" s="222"/>
      <c r="WVS606" s="222"/>
      <c r="WVT606" s="222"/>
      <c r="WVU606" s="222"/>
      <c r="WVV606" s="222"/>
      <c r="WVW606" s="223"/>
      <c r="WVX606" s="224"/>
      <c r="WVY606" s="222"/>
      <c r="WVZ606" s="222"/>
      <c r="WWA606" s="222"/>
      <c r="WWB606" s="222"/>
      <c r="WWC606" s="222"/>
      <c r="WWD606" s="222"/>
      <c r="WWE606" s="223"/>
      <c r="WWF606" s="224"/>
      <c r="WWG606" s="222"/>
      <c r="WWH606" s="222"/>
      <c r="WWI606" s="222"/>
      <c r="WWJ606" s="222"/>
      <c r="WWK606" s="222"/>
      <c r="WWL606" s="222"/>
      <c r="WWM606" s="223"/>
      <c r="WWN606" s="224"/>
      <c r="WWO606" s="222"/>
      <c r="WWP606" s="222"/>
      <c r="WWQ606" s="222"/>
      <c r="WWR606" s="222"/>
      <c r="WWS606" s="222"/>
      <c r="WWT606" s="222"/>
      <c r="WWU606" s="223"/>
      <c r="WWV606" s="224"/>
      <c r="WWW606" s="222"/>
      <c r="WWX606" s="222"/>
      <c r="WWY606" s="222"/>
      <c r="WWZ606" s="222"/>
      <c r="WXA606" s="222"/>
      <c r="WXB606" s="222"/>
      <c r="WXC606" s="223"/>
      <c r="WXD606" s="224"/>
      <c r="WXE606" s="222"/>
      <c r="WXF606" s="222"/>
      <c r="WXG606" s="222"/>
      <c r="WXH606" s="222"/>
      <c r="WXI606" s="222"/>
      <c r="WXJ606" s="222"/>
      <c r="WXK606" s="223"/>
      <c r="WXL606" s="224"/>
      <c r="WXM606" s="222"/>
      <c r="WXN606" s="222"/>
      <c r="WXO606" s="222"/>
      <c r="WXP606" s="222"/>
      <c r="WXQ606" s="222"/>
      <c r="WXR606" s="222"/>
      <c r="WXS606" s="223"/>
      <c r="WXT606" s="224"/>
      <c r="WXU606" s="222"/>
      <c r="WXV606" s="222"/>
      <c r="WXW606" s="222"/>
      <c r="WXX606" s="222"/>
      <c r="WXY606" s="222"/>
      <c r="WXZ606" s="222"/>
      <c r="WYA606" s="223"/>
      <c r="WYB606" s="224"/>
      <c r="WYC606" s="222"/>
      <c r="WYD606" s="222"/>
      <c r="WYE606" s="222"/>
      <c r="WYF606" s="222"/>
      <c r="WYG606" s="222"/>
      <c r="WYH606" s="222"/>
      <c r="WYI606" s="223"/>
      <c r="WYJ606" s="224"/>
      <c r="WYK606" s="222"/>
      <c r="WYL606" s="222"/>
      <c r="WYM606" s="222"/>
      <c r="WYN606" s="222"/>
      <c r="WYO606" s="222"/>
      <c r="WYP606" s="222"/>
      <c r="WYQ606" s="223"/>
      <c r="WYR606" s="224"/>
      <c r="WYS606" s="222"/>
      <c r="WYT606" s="222"/>
      <c r="WYU606" s="222"/>
      <c r="WYV606" s="222"/>
      <c r="WYW606" s="222"/>
      <c r="WYX606" s="222"/>
      <c r="WYY606" s="223"/>
      <c r="WYZ606" s="224"/>
      <c r="WZA606" s="222"/>
      <c r="WZB606" s="222"/>
      <c r="WZC606" s="222"/>
      <c r="WZD606" s="222"/>
      <c r="WZE606" s="222"/>
      <c r="WZF606" s="222"/>
      <c r="WZG606" s="223"/>
      <c r="WZH606" s="224"/>
      <c r="WZI606" s="222"/>
      <c r="WZJ606" s="222"/>
      <c r="WZK606" s="222"/>
      <c r="WZL606" s="222"/>
      <c r="WZM606" s="222"/>
      <c r="WZN606" s="222"/>
      <c r="WZO606" s="223"/>
      <c r="WZP606" s="224"/>
      <c r="WZQ606" s="222"/>
      <c r="WZR606" s="222"/>
      <c r="WZS606" s="222"/>
      <c r="WZT606" s="222"/>
      <c r="WZU606" s="222"/>
      <c r="WZV606" s="222"/>
      <c r="WZW606" s="223"/>
      <c r="WZX606" s="224"/>
      <c r="WZY606" s="222"/>
      <c r="WZZ606" s="222"/>
      <c r="XAA606" s="222"/>
      <c r="XAB606" s="222"/>
      <c r="XAC606" s="222"/>
      <c r="XAD606" s="222"/>
      <c r="XAE606" s="223"/>
      <c r="XAF606" s="224"/>
      <c r="XAG606" s="222"/>
      <c r="XAH606" s="222"/>
      <c r="XAI606" s="222"/>
      <c r="XAJ606" s="222"/>
      <c r="XAK606" s="222"/>
      <c r="XAL606" s="222"/>
      <c r="XAM606" s="223"/>
      <c r="XAN606" s="224"/>
      <c r="XAO606" s="222"/>
      <c r="XAP606" s="222"/>
      <c r="XAQ606" s="222"/>
      <c r="XAR606" s="222"/>
      <c r="XAS606" s="222"/>
      <c r="XAT606" s="222"/>
      <c r="XAU606" s="223"/>
      <c r="XAV606" s="224"/>
      <c r="XAW606" s="222"/>
      <c r="XAX606" s="222"/>
      <c r="XAY606" s="222"/>
      <c r="XAZ606" s="222"/>
      <c r="XBA606" s="222"/>
      <c r="XBB606" s="222"/>
      <c r="XBC606" s="223"/>
      <c r="XBD606" s="224"/>
      <c r="XBE606" s="222"/>
      <c r="XBF606" s="222"/>
      <c r="XBG606" s="222"/>
      <c r="XBH606" s="222"/>
      <c r="XBI606" s="222"/>
      <c r="XBJ606" s="222"/>
      <c r="XBK606" s="223"/>
      <c r="XBL606" s="224"/>
      <c r="XBM606" s="222"/>
      <c r="XBN606" s="222"/>
      <c r="XBO606" s="222"/>
      <c r="XBP606" s="222"/>
      <c r="XBQ606" s="222"/>
      <c r="XBR606" s="222"/>
      <c r="XBS606" s="223"/>
      <c r="XBT606" s="224"/>
      <c r="XBU606" s="222"/>
      <c r="XBV606" s="222"/>
      <c r="XBW606" s="222"/>
      <c r="XBX606" s="222"/>
      <c r="XBY606" s="222"/>
      <c r="XBZ606" s="222"/>
      <c r="XCA606" s="223"/>
      <c r="XCB606" s="224"/>
      <c r="XCC606" s="222"/>
      <c r="XCD606" s="222"/>
      <c r="XCE606" s="222"/>
      <c r="XCF606" s="222"/>
      <c r="XCG606" s="222"/>
      <c r="XCH606" s="222"/>
      <c r="XCI606" s="223"/>
      <c r="XCJ606" s="224"/>
      <c r="XCK606" s="222"/>
      <c r="XCL606" s="222"/>
      <c r="XCM606" s="222"/>
      <c r="XCN606" s="222"/>
      <c r="XCO606" s="222"/>
      <c r="XCP606" s="222"/>
      <c r="XCQ606" s="223"/>
      <c r="XCR606" s="224"/>
      <c r="XCS606" s="222"/>
      <c r="XCT606" s="222"/>
      <c r="XCU606" s="222"/>
      <c r="XCV606" s="222"/>
      <c r="XCW606" s="222"/>
      <c r="XCX606" s="222"/>
      <c r="XCY606" s="223"/>
      <c r="XCZ606" s="224"/>
      <c r="XDA606" s="222"/>
      <c r="XDB606" s="222"/>
      <c r="XDC606" s="222"/>
      <c r="XDD606" s="222"/>
      <c r="XDE606" s="222"/>
      <c r="XDF606" s="222"/>
      <c r="XDG606" s="223"/>
      <c r="XDH606" s="224"/>
      <c r="XDI606" s="222"/>
      <c r="XDJ606" s="222"/>
      <c r="XDK606" s="222"/>
      <c r="XDL606" s="222"/>
      <c r="XDM606" s="222"/>
      <c r="XDN606" s="222"/>
      <c r="XDO606" s="223"/>
      <c r="XDP606" s="224"/>
      <c r="XDQ606" s="222"/>
      <c r="XDR606" s="222"/>
      <c r="XDS606" s="222"/>
      <c r="XDT606" s="222"/>
      <c r="XDU606" s="222"/>
      <c r="XDV606" s="222"/>
      <c r="XDW606" s="223"/>
      <c r="XDX606" s="224"/>
      <c r="XDY606" s="222"/>
      <c r="XDZ606" s="222"/>
      <c r="XEA606" s="222"/>
      <c r="XEB606" s="222"/>
      <c r="XEC606" s="222"/>
      <c r="XED606" s="222"/>
      <c r="XEE606" s="223"/>
      <c r="XEF606" s="224"/>
      <c r="XEG606" s="222"/>
      <c r="XEH606" s="222"/>
      <c r="XEI606" s="222"/>
      <c r="XEJ606" s="222"/>
      <c r="XEK606" s="222"/>
      <c r="XEL606" s="222"/>
      <c r="XEM606" s="223"/>
      <c r="XEN606" s="224"/>
      <c r="XEO606" s="222"/>
      <c r="XEP606" s="222"/>
      <c r="XEQ606" s="222"/>
      <c r="XER606" s="222"/>
      <c r="XES606" s="222"/>
      <c r="XET606" s="222"/>
      <c r="XEU606" s="223"/>
      <c r="XEV606" s="224"/>
      <c r="XEW606" s="222"/>
      <c r="XEX606" s="222"/>
      <c r="XEY606" s="222"/>
      <c r="XEZ606" s="222"/>
      <c r="XFA606" s="222"/>
      <c r="XFB606" s="222"/>
      <c r="XFC606" s="223"/>
      <c r="XFD606" s="224"/>
    </row>
    <row r="607" spans="1:16384" x14ac:dyDescent="0.2">
      <c r="A607" s="181">
        <f>A605+1</f>
        <v>605</v>
      </c>
      <c r="B607" s="228">
        <v>41550</v>
      </c>
      <c r="C607" s="228">
        <v>41596</v>
      </c>
      <c r="D607" s="229" t="s">
        <v>1092</v>
      </c>
      <c r="E607" s="229" t="s">
        <v>392</v>
      </c>
      <c r="F607" s="229" t="s">
        <v>10</v>
      </c>
      <c r="G607" s="229" t="s">
        <v>1253</v>
      </c>
      <c r="H607" s="229" t="s">
        <v>1254</v>
      </c>
      <c r="I607" s="370">
        <v>1027080.45</v>
      </c>
      <c r="J607" s="222"/>
      <c r="K607" s="222"/>
      <c r="L607" s="222"/>
      <c r="M607" s="222"/>
      <c r="N607" s="222"/>
      <c r="O607" s="223"/>
      <c r="P607" s="224"/>
      <c r="Q607" s="222"/>
      <c r="R607" s="222"/>
      <c r="S607" s="222"/>
      <c r="T607" s="222"/>
      <c r="U607" s="222"/>
      <c r="V607" s="222"/>
      <c r="W607" s="223"/>
      <c r="X607" s="224"/>
      <c r="Y607" s="222"/>
      <c r="Z607" s="222"/>
      <c r="AA607" s="222"/>
      <c r="AB607" s="222"/>
      <c r="AC607" s="222"/>
      <c r="AD607" s="222"/>
      <c r="AE607" s="223"/>
      <c r="AF607" s="224"/>
      <c r="AG607" s="222"/>
      <c r="AH607" s="222"/>
      <c r="AI607" s="222"/>
      <c r="AJ607" s="222"/>
      <c r="AK607" s="222"/>
      <c r="AL607" s="222"/>
      <c r="AM607" s="223"/>
      <c r="AN607" s="224"/>
      <c r="AO607" s="222"/>
      <c r="AP607" s="222"/>
      <c r="AQ607" s="222"/>
      <c r="AR607" s="222"/>
      <c r="AS607" s="222"/>
      <c r="AT607" s="222"/>
      <c r="AU607" s="223"/>
      <c r="AV607" s="224"/>
      <c r="AW607" s="222"/>
      <c r="AX607" s="222"/>
      <c r="AY607" s="222"/>
      <c r="AZ607" s="222"/>
      <c r="BA607" s="222"/>
      <c r="BB607" s="222"/>
      <c r="BC607" s="223"/>
      <c r="BD607" s="224"/>
      <c r="BE607" s="222"/>
      <c r="BF607" s="222"/>
      <c r="BG607" s="222"/>
      <c r="BH607" s="222"/>
      <c r="BI607" s="222"/>
      <c r="BJ607" s="222"/>
      <c r="BK607" s="223"/>
      <c r="BL607" s="224"/>
      <c r="BM607" s="222"/>
      <c r="BN607" s="222"/>
      <c r="BO607" s="222"/>
      <c r="BP607" s="222"/>
      <c r="BQ607" s="222"/>
      <c r="BR607" s="222"/>
      <c r="BS607" s="223"/>
      <c r="BT607" s="224"/>
      <c r="BU607" s="222"/>
      <c r="BV607" s="222"/>
      <c r="BW607" s="222"/>
      <c r="BX607" s="222"/>
      <c r="BY607" s="222"/>
      <c r="BZ607" s="222"/>
      <c r="CA607" s="223"/>
      <c r="CB607" s="224"/>
      <c r="CC607" s="222"/>
      <c r="CD607" s="222"/>
      <c r="CE607" s="222"/>
      <c r="CF607" s="222"/>
      <c r="CG607" s="222"/>
      <c r="CH607" s="222"/>
      <c r="CI607" s="223"/>
      <c r="CJ607" s="224"/>
      <c r="CK607" s="222"/>
      <c r="CL607" s="222"/>
      <c r="CM607" s="222"/>
      <c r="CN607" s="222"/>
      <c r="CO607" s="222"/>
      <c r="CP607" s="222"/>
      <c r="CQ607" s="223"/>
      <c r="CR607" s="224"/>
      <c r="CS607" s="222"/>
      <c r="CT607" s="222"/>
      <c r="CU607" s="222"/>
      <c r="CV607" s="222"/>
      <c r="CW607" s="222"/>
      <c r="CX607" s="222"/>
      <c r="CY607" s="223"/>
      <c r="CZ607" s="224"/>
      <c r="DA607" s="222"/>
      <c r="DB607" s="222"/>
      <c r="DC607" s="222"/>
      <c r="DD607" s="222"/>
      <c r="DE607" s="222"/>
      <c r="DF607" s="222"/>
      <c r="DG607" s="223"/>
      <c r="DH607" s="224"/>
      <c r="DI607" s="222"/>
      <c r="DJ607" s="222"/>
      <c r="DK607" s="222"/>
      <c r="DL607" s="222"/>
      <c r="DM607" s="222"/>
      <c r="DN607" s="222"/>
      <c r="DO607" s="223"/>
      <c r="DP607" s="224"/>
      <c r="DQ607" s="222"/>
      <c r="DR607" s="222"/>
      <c r="DS607" s="222"/>
      <c r="DT607" s="222"/>
      <c r="DU607" s="222"/>
      <c r="DV607" s="222"/>
      <c r="DW607" s="223"/>
      <c r="DX607" s="224"/>
      <c r="DY607" s="222"/>
      <c r="DZ607" s="222"/>
      <c r="EA607" s="222"/>
      <c r="EB607" s="222"/>
      <c r="EC607" s="222"/>
      <c r="ED607" s="222"/>
      <c r="EE607" s="223"/>
      <c r="EF607" s="224"/>
      <c r="EG607" s="222"/>
      <c r="EH607" s="222"/>
      <c r="EI607" s="222"/>
      <c r="EJ607" s="222"/>
      <c r="EK607" s="222"/>
      <c r="EL607" s="222"/>
      <c r="EM607" s="223"/>
      <c r="EN607" s="224"/>
      <c r="EO607" s="222"/>
      <c r="EP607" s="222"/>
      <c r="EQ607" s="222"/>
      <c r="ER607" s="222"/>
      <c r="ES607" s="222"/>
      <c r="ET607" s="222"/>
      <c r="EU607" s="223"/>
      <c r="EV607" s="224"/>
      <c r="EW607" s="222"/>
      <c r="EX607" s="222"/>
      <c r="EY607" s="222"/>
      <c r="EZ607" s="222"/>
      <c r="FA607" s="222"/>
      <c r="FB607" s="222"/>
      <c r="FC607" s="223"/>
      <c r="FD607" s="224"/>
      <c r="FE607" s="222"/>
      <c r="FF607" s="222"/>
      <c r="FG607" s="222"/>
      <c r="FH607" s="222"/>
      <c r="FI607" s="222"/>
      <c r="FJ607" s="222"/>
      <c r="FK607" s="223"/>
      <c r="FL607" s="224"/>
      <c r="FM607" s="222"/>
      <c r="FN607" s="222"/>
      <c r="FO607" s="222"/>
      <c r="FP607" s="222"/>
      <c r="FQ607" s="222"/>
      <c r="FR607" s="222"/>
      <c r="FS607" s="223"/>
      <c r="FT607" s="224"/>
      <c r="FU607" s="222"/>
      <c r="FV607" s="222"/>
      <c r="FW607" s="222"/>
      <c r="FX607" s="222"/>
      <c r="FY607" s="222"/>
      <c r="FZ607" s="222"/>
      <c r="GA607" s="223"/>
      <c r="GB607" s="224"/>
      <c r="GC607" s="222"/>
      <c r="GD607" s="222"/>
      <c r="GE607" s="222"/>
      <c r="GF607" s="222"/>
      <c r="GG607" s="222"/>
      <c r="GH607" s="222"/>
      <c r="GI607" s="223"/>
      <c r="GJ607" s="224"/>
      <c r="GK607" s="222"/>
      <c r="GL607" s="222"/>
      <c r="GM607" s="222"/>
      <c r="GN607" s="222"/>
      <c r="GO607" s="222"/>
      <c r="GP607" s="222"/>
      <c r="GQ607" s="223"/>
      <c r="GR607" s="224"/>
      <c r="GS607" s="222"/>
      <c r="GT607" s="222"/>
      <c r="GU607" s="222"/>
      <c r="GV607" s="222"/>
      <c r="GW607" s="222"/>
      <c r="GX607" s="222"/>
      <c r="GY607" s="223"/>
      <c r="GZ607" s="224"/>
      <c r="HA607" s="222"/>
      <c r="HB607" s="222"/>
      <c r="HC607" s="222"/>
      <c r="HD607" s="222"/>
      <c r="HE607" s="222"/>
      <c r="HF607" s="222"/>
      <c r="HG607" s="223"/>
      <c r="HH607" s="224"/>
      <c r="HI607" s="222"/>
      <c r="HJ607" s="222"/>
      <c r="HK607" s="222"/>
      <c r="HL607" s="222"/>
      <c r="HM607" s="222"/>
      <c r="HN607" s="222"/>
      <c r="HO607" s="223"/>
      <c r="HP607" s="224"/>
      <c r="HQ607" s="222"/>
      <c r="HR607" s="222"/>
      <c r="HS607" s="222"/>
      <c r="HT607" s="222"/>
      <c r="HU607" s="222"/>
      <c r="HV607" s="222"/>
      <c r="HW607" s="223"/>
      <c r="HX607" s="224"/>
      <c r="HY607" s="222"/>
      <c r="HZ607" s="222"/>
      <c r="IA607" s="222"/>
      <c r="IB607" s="222"/>
      <c r="IC607" s="222"/>
      <c r="ID607" s="222"/>
      <c r="IE607" s="223"/>
      <c r="IF607" s="224"/>
      <c r="IG607" s="222"/>
      <c r="IH607" s="222"/>
      <c r="II607" s="222"/>
      <c r="IJ607" s="222"/>
      <c r="IK607" s="222"/>
      <c r="IL607" s="222"/>
      <c r="IM607" s="223"/>
      <c r="IN607" s="224"/>
      <c r="IO607" s="222"/>
      <c r="IP607" s="222"/>
      <c r="IQ607" s="222"/>
      <c r="IR607" s="222"/>
      <c r="IS607" s="222"/>
      <c r="IT607" s="222"/>
      <c r="IU607" s="223"/>
      <c r="IV607" s="224"/>
      <c r="IW607" s="222"/>
      <c r="IX607" s="222"/>
      <c r="IY607" s="222"/>
      <c r="IZ607" s="222"/>
      <c r="JA607" s="222"/>
      <c r="JB607" s="222"/>
      <c r="JC607" s="223"/>
      <c r="JD607" s="224"/>
      <c r="JE607" s="222"/>
      <c r="JF607" s="222"/>
      <c r="JG607" s="222"/>
      <c r="JH607" s="222"/>
      <c r="JI607" s="222"/>
      <c r="JJ607" s="222"/>
      <c r="JK607" s="223"/>
      <c r="JL607" s="224"/>
      <c r="JM607" s="222"/>
      <c r="JN607" s="222"/>
      <c r="JO607" s="222"/>
      <c r="JP607" s="222"/>
      <c r="JQ607" s="222"/>
      <c r="JR607" s="222"/>
      <c r="JS607" s="223"/>
      <c r="JT607" s="224"/>
      <c r="JU607" s="222"/>
      <c r="JV607" s="222"/>
      <c r="JW607" s="222"/>
      <c r="JX607" s="222"/>
      <c r="JY607" s="222"/>
      <c r="JZ607" s="222"/>
      <c r="KA607" s="223"/>
      <c r="KB607" s="224"/>
      <c r="KC607" s="222"/>
      <c r="KD607" s="222"/>
      <c r="KE607" s="222"/>
      <c r="KF607" s="222"/>
      <c r="KG607" s="222"/>
      <c r="KH607" s="222"/>
      <c r="KI607" s="223"/>
      <c r="KJ607" s="224"/>
      <c r="KK607" s="222"/>
      <c r="KL607" s="222"/>
      <c r="KM607" s="222"/>
      <c r="KN607" s="222"/>
      <c r="KO607" s="222"/>
      <c r="KP607" s="222"/>
      <c r="KQ607" s="223"/>
      <c r="KR607" s="224"/>
      <c r="KS607" s="222"/>
      <c r="KT607" s="222"/>
      <c r="KU607" s="222"/>
      <c r="KV607" s="222"/>
      <c r="KW607" s="222"/>
      <c r="KX607" s="222"/>
      <c r="KY607" s="223"/>
      <c r="KZ607" s="224"/>
      <c r="LA607" s="222"/>
      <c r="LB607" s="222"/>
      <c r="LC607" s="222"/>
      <c r="LD607" s="222"/>
      <c r="LE607" s="222"/>
      <c r="LF607" s="222"/>
      <c r="LG607" s="223"/>
      <c r="LH607" s="224"/>
      <c r="LI607" s="222"/>
      <c r="LJ607" s="222"/>
      <c r="LK607" s="222"/>
      <c r="LL607" s="222"/>
      <c r="LM607" s="222"/>
      <c r="LN607" s="222"/>
      <c r="LO607" s="223"/>
      <c r="LP607" s="224"/>
      <c r="LQ607" s="222"/>
      <c r="LR607" s="222"/>
      <c r="LS607" s="222"/>
      <c r="LT607" s="222"/>
      <c r="LU607" s="222"/>
      <c r="LV607" s="222"/>
      <c r="LW607" s="223"/>
      <c r="LX607" s="224"/>
      <c r="LY607" s="222"/>
      <c r="LZ607" s="222"/>
      <c r="MA607" s="222"/>
      <c r="MB607" s="222"/>
      <c r="MC607" s="222"/>
      <c r="MD607" s="222"/>
      <c r="ME607" s="223"/>
      <c r="MF607" s="224"/>
      <c r="MG607" s="222"/>
      <c r="MH607" s="222"/>
      <c r="MI607" s="222"/>
      <c r="MJ607" s="222"/>
      <c r="MK607" s="222"/>
      <c r="ML607" s="222"/>
      <c r="MM607" s="223"/>
      <c r="MN607" s="224"/>
      <c r="MO607" s="222"/>
      <c r="MP607" s="222"/>
      <c r="MQ607" s="222"/>
      <c r="MR607" s="222"/>
      <c r="MS607" s="222"/>
      <c r="MT607" s="222"/>
      <c r="MU607" s="223"/>
      <c r="MV607" s="224"/>
      <c r="MW607" s="222"/>
      <c r="MX607" s="222"/>
      <c r="MY607" s="222"/>
      <c r="MZ607" s="222"/>
      <c r="NA607" s="222"/>
      <c r="NB607" s="222"/>
      <c r="NC607" s="223"/>
      <c r="ND607" s="224"/>
      <c r="NE607" s="222"/>
      <c r="NF607" s="222"/>
      <c r="NG607" s="222"/>
      <c r="NH607" s="222"/>
      <c r="NI607" s="222"/>
      <c r="NJ607" s="222"/>
      <c r="NK607" s="223"/>
      <c r="NL607" s="224"/>
      <c r="NM607" s="222"/>
      <c r="NN607" s="222"/>
      <c r="NO607" s="222"/>
      <c r="NP607" s="222"/>
      <c r="NQ607" s="222"/>
      <c r="NR607" s="222"/>
      <c r="NS607" s="223"/>
      <c r="NT607" s="224"/>
      <c r="NU607" s="222"/>
      <c r="NV607" s="222"/>
      <c r="NW607" s="222"/>
      <c r="NX607" s="222"/>
      <c r="NY607" s="222"/>
      <c r="NZ607" s="222"/>
      <c r="OA607" s="223"/>
      <c r="OB607" s="224"/>
      <c r="OC607" s="222"/>
      <c r="OD607" s="222"/>
      <c r="OE607" s="222"/>
      <c r="OF607" s="222"/>
      <c r="OG607" s="222"/>
      <c r="OH607" s="222"/>
      <c r="OI607" s="223"/>
      <c r="OJ607" s="224"/>
      <c r="OK607" s="222"/>
      <c r="OL607" s="222"/>
      <c r="OM607" s="222"/>
      <c r="ON607" s="222"/>
      <c r="OO607" s="222"/>
      <c r="OP607" s="222"/>
      <c r="OQ607" s="223"/>
      <c r="OR607" s="224"/>
      <c r="OS607" s="222"/>
      <c r="OT607" s="222"/>
      <c r="OU607" s="222"/>
      <c r="OV607" s="222"/>
      <c r="OW607" s="222"/>
      <c r="OX607" s="222"/>
      <c r="OY607" s="223"/>
      <c r="OZ607" s="224"/>
      <c r="PA607" s="222"/>
      <c r="PB607" s="222"/>
      <c r="PC607" s="222"/>
      <c r="PD607" s="222"/>
      <c r="PE607" s="222"/>
      <c r="PF607" s="222"/>
      <c r="PG607" s="223"/>
      <c r="PH607" s="224"/>
      <c r="PI607" s="222"/>
      <c r="PJ607" s="222"/>
      <c r="PK607" s="222"/>
      <c r="PL607" s="222"/>
      <c r="PM607" s="222"/>
      <c r="PN607" s="222"/>
      <c r="PO607" s="223"/>
      <c r="PP607" s="224"/>
      <c r="PQ607" s="222"/>
      <c r="PR607" s="222"/>
      <c r="PS607" s="222"/>
      <c r="PT607" s="222"/>
      <c r="PU607" s="222"/>
      <c r="PV607" s="222"/>
      <c r="PW607" s="223"/>
      <c r="PX607" s="224"/>
      <c r="PY607" s="222"/>
      <c r="PZ607" s="222"/>
      <c r="QA607" s="222"/>
      <c r="QB607" s="222"/>
      <c r="QC607" s="222"/>
      <c r="QD607" s="222"/>
      <c r="QE607" s="223"/>
      <c r="QF607" s="224"/>
      <c r="QG607" s="222"/>
      <c r="QH607" s="222"/>
      <c r="QI607" s="222"/>
      <c r="QJ607" s="222"/>
      <c r="QK607" s="222"/>
      <c r="QL607" s="222"/>
      <c r="QM607" s="223"/>
      <c r="QN607" s="224"/>
      <c r="QO607" s="222"/>
      <c r="QP607" s="222"/>
      <c r="QQ607" s="222"/>
      <c r="QR607" s="222"/>
      <c r="QS607" s="222"/>
      <c r="QT607" s="222"/>
      <c r="QU607" s="223"/>
      <c r="QV607" s="224"/>
      <c r="QW607" s="222"/>
      <c r="QX607" s="222"/>
      <c r="QY607" s="222"/>
      <c r="QZ607" s="222"/>
      <c r="RA607" s="222"/>
      <c r="RB607" s="222"/>
      <c r="RC607" s="223"/>
      <c r="RD607" s="224"/>
      <c r="RE607" s="222"/>
      <c r="RF607" s="222"/>
      <c r="RG607" s="222"/>
      <c r="RH607" s="222"/>
      <c r="RI607" s="222"/>
      <c r="RJ607" s="222"/>
      <c r="RK607" s="223"/>
      <c r="RL607" s="224"/>
      <c r="RM607" s="222"/>
      <c r="RN607" s="222"/>
      <c r="RO607" s="222"/>
      <c r="RP607" s="222"/>
      <c r="RQ607" s="222"/>
      <c r="RR607" s="222"/>
      <c r="RS607" s="223"/>
      <c r="RT607" s="224"/>
      <c r="RU607" s="222"/>
      <c r="RV607" s="222"/>
      <c r="RW607" s="222"/>
      <c r="RX607" s="222"/>
      <c r="RY607" s="222"/>
      <c r="RZ607" s="222"/>
      <c r="SA607" s="223"/>
      <c r="SB607" s="224"/>
      <c r="SC607" s="222"/>
      <c r="SD607" s="222"/>
      <c r="SE607" s="222"/>
      <c r="SF607" s="222"/>
      <c r="SG607" s="222"/>
      <c r="SH607" s="222"/>
      <c r="SI607" s="223"/>
      <c r="SJ607" s="224"/>
      <c r="SK607" s="222"/>
      <c r="SL607" s="222"/>
      <c r="SM607" s="222"/>
      <c r="SN607" s="222"/>
      <c r="SO607" s="222"/>
      <c r="SP607" s="222"/>
      <c r="SQ607" s="223"/>
      <c r="SR607" s="224"/>
      <c r="SS607" s="222"/>
      <c r="ST607" s="222"/>
      <c r="SU607" s="222"/>
      <c r="SV607" s="222"/>
      <c r="SW607" s="222"/>
      <c r="SX607" s="222"/>
      <c r="SY607" s="223"/>
      <c r="SZ607" s="224"/>
      <c r="TA607" s="222"/>
      <c r="TB607" s="222"/>
      <c r="TC607" s="222"/>
      <c r="TD607" s="222"/>
      <c r="TE607" s="222"/>
      <c r="TF607" s="222"/>
      <c r="TG607" s="223"/>
      <c r="TH607" s="224"/>
      <c r="TI607" s="222"/>
      <c r="TJ607" s="222"/>
      <c r="TK607" s="222"/>
      <c r="TL607" s="222"/>
      <c r="TM607" s="222"/>
      <c r="TN607" s="222"/>
      <c r="TO607" s="223"/>
      <c r="TP607" s="224"/>
      <c r="TQ607" s="222"/>
      <c r="TR607" s="222"/>
      <c r="TS607" s="222"/>
      <c r="TT607" s="222"/>
      <c r="TU607" s="222"/>
      <c r="TV607" s="222"/>
      <c r="TW607" s="223"/>
      <c r="TX607" s="224"/>
      <c r="TY607" s="222"/>
      <c r="TZ607" s="222"/>
      <c r="UA607" s="222"/>
      <c r="UB607" s="222"/>
      <c r="UC607" s="222"/>
      <c r="UD607" s="222"/>
      <c r="UE607" s="223"/>
      <c r="UF607" s="224"/>
      <c r="UG607" s="222"/>
      <c r="UH607" s="222"/>
      <c r="UI607" s="222"/>
      <c r="UJ607" s="222"/>
      <c r="UK607" s="222"/>
      <c r="UL607" s="222"/>
      <c r="UM607" s="223"/>
      <c r="UN607" s="224"/>
      <c r="UO607" s="222"/>
      <c r="UP607" s="222"/>
      <c r="UQ607" s="222"/>
      <c r="UR607" s="222"/>
      <c r="US607" s="222"/>
      <c r="UT607" s="222"/>
      <c r="UU607" s="223"/>
      <c r="UV607" s="224"/>
      <c r="UW607" s="222"/>
      <c r="UX607" s="222"/>
      <c r="UY607" s="222"/>
      <c r="UZ607" s="222"/>
      <c r="VA607" s="222"/>
      <c r="VB607" s="222"/>
      <c r="VC607" s="223"/>
      <c r="VD607" s="224"/>
      <c r="VE607" s="222"/>
      <c r="VF607" s="222"/>
      <c r="VG607" s="222"/>
      <c r="VH607" s="222"/>
      <c r="VI607" s="222"/>
      <c r="VJ607" s="222"/>
      <c r="VK607" s="223"/>
      <c r="VL607" s="224"/>
      <c r="VM607" s="222"/>
      <c r="VN607" s="222"/>
      <c r="VO607" s="222"/>
      <c r="VP607" s="222"/>
      <c r="VQ607" s="222"/>
      <c r="VR607" s="222"/>
      <c r="VS607" s="223"/>
      <c r="VT607" s="224"/>
      <c r="VU607" s="222"/>
      <c r="VV607" s="222"/>
      <c r="VW607" s="222"/>
      <c r="VX607" s="222"/>
      <c r="VY607" s="222"/>
      <c r="VZ607" s="222"/>
      <c r="WA607" s="223"/>
      <c r="WB607" s="224"/>
      <c r="WC607" s="222"/>
      <c r="WD607" s="222"/>
      <c r="WE607" s="222"/>
      <c r="WF607" s="222"/>
      <c r="WG607" s="222"/>
      <c r="WH607" s="222"/>
      <c r="WI607" s="223"/>
      <c r="WJ607" s="224"/>
      <c r="WK607" s="222"/>
      <c r="WL607" s="222"/>
      <c r="WM607" s="222"/>
      <c r="WN607" s="222"/>
      <c r="WO607" s="222"/>
      <c r="WP607" s="222"/>
      <c r="WQ607" s="223"/>
      <c r="WR607" s="224"/>
      <c r="WS607" s="222"/>
      <c r="WT607" s="222"/>
      <c r="WU607" s="222"/>
      <c r="WV607" s="222"/>
      <c r="WW607" s="222"/>
      <c r="WX607" s="222"/>
      <c r="WY607" s="223"/>
      <c r="WZ607" s="224"/>
      <c r="XA607" s="222"/>
      <c r="XB607" s="222"/>
      <c r="XC607" s="222"/>
      <c r="XD607" s="222"/>
      <c r="XE607" s="222"/>
      <c r="XF607" s="222"/>
      <c r="XG607" s="223"/>
      <c r="XH607" s="224"/>
      <c r="XI607" s="222"/>
      <c r="XJ607" s="222"/>
      <c r="XK607" s="222"/>
      <c r="XL607" s="222"/>
      <c r="XM607" s="222"/>
      <c r="XN607" s="222"/>
      <c r="XO607" s="223"/>
      <c r="XP607" s="224"/>
      <c r="XQ607" s="222"/>
      <c r="XR607" s="222"/>
      <c r="XS607" s="222"/>
      <c r="XT607" s="222"/>
      <c r="XU607" s="222"/>
      <c r="XV607" s="222"/>
      <c r="XW607" s="223"/>
      <c r="XX607" s="224"/>
      <c r="XY607" s="222"/>
      <c r="XZ607" s="222"/>
      <c r="YA607" s="222"/>
      <c r="YB607" s="222"/>
      <c r="YC607" s="222"/>
      <c r="YD607" s="222"/>
      <c r="YE607" s="223"/>
      <c r="YF607" s="224"/>
      <c r="YG607" s="222"/>
      <c r="YH607" s="222"/>
      <c r="YI607" s="222"/>
      <c r="YJ607" s="222"/>
      <c r="YK607" s="222"/>
      <c r="YL607" s="222"/>
      <c r="YM607" s="223"/>
      <c r="YN607" s="224"/>
      <c r="YO607" s="222"/>
      <c r="YP607" s="222"/>
      <c r="YQ607" s="222"/>
      <c r="YR607" s="222"/>
      <c r="YS607" s="222"/>
      <c r="YT607" s="222"/>
      <c r="YU607" s="223"/>
      <c r="YV607" s="224"/>
      <c r="YW607" s="222"/>
      <c r="YX607" s="222"/>
      <c r="YY607" s="222"/>
      <c r="YZ607" s="222"/>
      <c r="ZA607" s="222"/>
      <c r="ZB607" s="222"/>
      <c r="ZC607" s="223"/>
      <c r="ZD607" s="224"/>
      <c r="ZE607" s="222"/>
      <c r="ZF607" s="222"/>
      <c r="ZG607" s="222"/>
      <c r="ZH607" s="222"/>
      <c r="ZI607" s="222"/>
      <c r="ZJ607" s="222"/>
      <c r="ZK607" s="223"/>
      <c r="ZL607" s="224"/>
      <c r="ZM607" s="222"/>
      <c r="ZN607" s="222"/>
      <c r="ZO607" s="222"/>
      <c r="ZP607" s="222"/>
      <c r="ZQ607" s="222"/>
      <c r="ZR607" s="222"/>
      <c r="ZS607" s="223"/>
      <c r="ZT607" s="224"/>
      <c r="ZU607" s="222"/>
      <c r="ZV607" s="222"/>
      <c r="ZW607" s="222"/>
      <c r="ZX607" s="222"/>
      <c r="ZY607" s="222"/>
      <c r="ZZ607" s="222"/>
      <c r="AAA607" s="223"/>
      <c r="AAB607" s="224"/>
      <c r="AAC607" s="222"/>
      <c r="AAD607" s="222"/>
      <c r="AAE607" s="222"/>
      <c r="AAF607" s="222"/>
      <c r="AAG607" s="222"/>
      <c r="AAH607" s="222"/>
      <c r="AAI607" s="223"/>
      <c r="AAJ607" s="224"/>
      <c r="AAK607" s="222"/>
      <c r="AAL607" s="222"/>
      <c r="AAM607" s="222"/>
      <c r="AAN607" s="222"/>
      <c r="AAO607" s="222"/>
      <c r="AAP607" s="222"/>
      <c r="AAQ607" s="223"/>
      <c r="AAR607" s="224"/>
      <c r="AAS607" s="222"/>
      <c r="AAT607" s="222"/>
      <c r="AAU607" s="222"/>
      <c r="AAV607" s="222"/>
      <c r="AAW607" s="222"/>
      <c r="AAX607" s="222"/>
      <c r="AAY607" s="223"/>
      <c r="AAZ607" s="224"/>
      <c r="ABA607" s="222"/>
      <c r="ABB607" s="222"/>
      <c r="ABC607" s="222"/>
      <c r="ABD607" s="222"/>
      <c r="ABE607" s="222"/>
      <c r="ABF607" s="222"/>
      <c r="ABG607" s="223"/>
      <c r="ABH607" s="224"/>
      <c r="ABI607" s="222"/>
      <c r="ABJ607" s="222"/>
      <c r="ABK607" s="222"/>
      <c r="ABL607" s="222"/>
      <c r="ABM607" s="222"/>
      <c r="ABN607" s="222"/>
      <c r="ABO607" s="223"/>
      <c r="ABP607" s="224"/>
      <c r="ABQ607" s="222"/>
      <c r="ABR607" s="222"/>
      <c r="ABS607" s="222"/>
      <c r="ABT607" s="222"/>
      <c r="ABU607" s="222"/>
      <c r="ABV607" s="222"/>
      <c r="ABW607" s="223"/>
      <c r="ABX607" s="224"/>
      <c r="ABY607" s="222"/>
      <c r="ABZ607" s="222"/>
      <c r="ACA607" s="222"/>
      <c r="ACB607" s="222"/>
      <c r="ACC607" s="222"/>
      <c r="ACD607" s="222"/>
      <c r="ACE607" s="223"/>
      <c r="ACF607" s="224"/>
      <c r="ACG607" s="222"/>
      <c r="ACH607" s="222"/>
      <c r="ACI607" s="222"/>
      <c r="ACJ607" s="222"/>
      <c r="ACK607" s="222"/>
      <c r="ACL607" s="222"/>
      <c r="ACM607" s="223"/>
      <c r="ACN607" s="224"/>
      <c r="ACO607" s="222"/>
      <c r="ACP607" s="222"/>
      <c r="ACQ607" s="222"/>
      <c r="ACR607" s="222"/>
      <c r="ACS607" s="222"/>
      <c r="ACT607" s="222"/>
      <c r="ACU607" s="223"/>
      <c r="ACV607" s="224"/>
      <c r="ACW607" s="222"/>
      <c r="ACX607" s="222"/>
      <c r="ACY607" s="222"/>
      <c r="ACZ607" s="222"/>
      <c r="ADA607" s="222"/>
      <c r="ADB607" s="222"/>
      <c r="ADC607" s="223"/>
      <c r="ADD607" s="224"/>
      <c r="ADE607" s="222"/>
      <c r="ADF607" s="222"/>
      <c r="ADG607" s="222"/>
      <c r="ADH607" s="222"/>
      <c r="ADI607" s="222"/>
      <c r="ADJ607" s="222"/>
      <c r="ADK607" s="223"/>
      <c r="ADL607" s="224"/>
      <c r="ADM607" s="222"/>
      <c r="ADN607" s="222"/>
      <c r="ADO607" s="222"/>
      <c r="ADP607" s="222"/>
      <c r="ADQ607" s="222"/>
      <c r="ADR607" s="222"/>
      <c r="ADS607" s="223"/>
      <c r="ADT607" s="224"/>
      <c r="ADU607" s="222"/>
      <c r="ADV607" s="222"/>
      <c r="ADW607" s="222"/>
      <c r="ADX607" s="222"/>
      <c r="ADY607" s="222"/>
      <c r="ADZ607" s="222"/>
      <c r="AEA607" s="223"/>
      <c r="AEB607" s="224"/>
      <c r="AEC607" s="222"/>
      <c r="AED607" s="222"/>
      <c r="AEE607" s="222"/>
      <c r="AEF607" s="222"/>
      <c r="AEG607" s="222"/>
      <c r="AEH607" s="222"/>
      <c r="AEI607" s="223"/>
      <c r="AEJ607" s="224"/>
      <c r="AEK607" s="222"/>
      <c r="AEL607" s="222"/>
      <c r="AEM607" s="222"/>
      <c r="AEN607" s="222"/>
      <c r="AEO607" s="222"/>
      <c r="AEP607" s="222"/>
      <c r="AEQ607" s="223"/>
      <c r="AER607" s="224"/>
      <c r="AES607" s="222"/>
      <c r="AET607" s="222"/>
      <c r="AEU607" s="222"/>
      <c r="AEV607" s="222"/>
      <c r="AEW607" s="222"/>
      <c r="AEX607" s="222"/>
      <c r="AEY607" s="223"/>
      <c r="AEZ607" s="224"/>
      <c r="AFA607" s="222"/>
      <c r="AFB607" s="222"/>
      <c r="AFC607" s="222"/>
      <c r="AFD607" s="222"/>
      <c r="AFE607" s="222"/>
      <c r="AFF607" s="222"/>
      <c r="AFG607" s="223"/>
      <c r="AFH607" s="224"/>
      <c r="AFI607" s="222"/>
      <c r="AFJ607" s="222"/>
      <c r="AFK607" s="222"/>
      <c r="AFL607" s="222"/>
      <c r="AFM607" s="222"/>
      <c r="AFN607" s="222"/>
      <c r="AFO607" s="223"/>
      <c r="AFP607" s="224"/>
      <c r="AFQ607" s="222"/>
      <c r="AFR607" s="222"/>
      <c r="AFS607" s="222"/>
      <c r="AFT607" s="222"/>
      <c r="AFU607" s="222"/>
      <c r="AFV607" s="222"/>
      <c r="AFW607" s="223"/>
      <c r="AFX607" s="224"/>
      <c r="AFY607" s="222"/>
      <c r="AFZ607" s="222"/>
      <c r="AGA607" s="222"/>
      <c r="AGB607" s="222"/>
      <c r="AGC607" s="222"/>
      <c r="AGD607" s="222"/>
      <c r="AGE607" s="223"/>
      <c r="AGF607" s="224"/>
      <c r="AGG607" s="222"/>
      <c r="AGH607" s="222"/>
      <c r="AGI607" s="222"/>
      <c r="AGJ607" s="222"/>
      <c r="AGK607" s="222"/>
      <c r="AGL607" s="222"/>
      <c r="AGM607" s="223"/>
      <c r="AGN607" s="224"/>
      <c r="AGO607" s="222"/>
      <c r="AGP607" s="222"/>
      <c r="AGQ607" s="222"/>
      <c r="AGR607" s="222"/>
      <c r="AGS607" s="222"/>
      <c r="AGT607" s="222"/>
      <c r="AGU607" s="223"/>
      <c r="AGV607" s="224"/>
      <c r="AGW607" s="222"/>
      <c r="AGX607" s="222"/>
      <c r="AGY607" s="222"/>
      <c r="AGZ607" s="222"/>
      <c r="AHA607" s="222"/>
      <c r="AHB607" s="222"/>
      <c r="AHC607" s="223"/>
      <c r="AHD607" s="224"/>
      <c r="AHE607" s="222"/>
      <c r="AHF607" s="222"/>
      <c r="AHG607" s="222"/>
      <c r="AHH607" s="222"/>
      <c r="AHI607" s="222"/>
      <c r="AHJ607" s="222"/>
      <c r="AHK607" s="223"/>
      <c r="AHL607" s="224"/>
      <c r="AHM607" s="222"/>
      <c r="AHN607" s="222"/>
      <c r="AHO607" s="222"/>
      <c r="AHP607" s="222"/>
      <c r="AHQ607" s="222"/>
      <c r="AHR607" s="222"/>
      <c r="AHS607" s="223"/>
      <c r="AHT607" s="224"/>
      <c r="AHU607" s="222"/>
      <c r="AHV607" s="222"/>
      <c r="AHW607" s="222"/>
      <c r="AHX607" s="222"/>
      <c r="AHY607" s="222"/>
      <c r="AHZ607" s="222"/>
      <c r="AIA607" s="223"/>
      <c r="AIB607" s="224"/>
      <c r="AIC607" s="222"/>
      <c r="AID607" s="222"/>
      <c r="AIE607" s="222"/>
      <c r="AIF607" s="222"/>
      <c r="AIG607" s="222"/>
      <c r="AIH607" s="222"/>
      <c r="AII607" s="223"/>
      <c r="AIJ607" s="224"/>
      <c r="AIK607" s="222"/>
      <c r="AIL607" s="222"/>
      <c r="AIM607" s="222"/>
      <c r="AIN607" s="222"/>
      <c r="AIO607" s="222"/>
      <c r="AIP607" s="222"/>
      <c r="AIQ607" s="223"/>
      <c r="AIR607" s="224"/>
      <c r="AIS607" s="222"/>
      <c r="AIT607" s="222"/>
      <c r="AIU607" s="222"/>
      <c r="AIV607" s="222"/>
      <c r="AIW607" s="222"/>
      <c r="AIX607" s="222"/>
      <c r="AIY607" s="223"/>
      <c r="AIZ607" s="224"/>
      <c r="AJA607" s="222"/>
      <c r="AJB607" s="222"/>
      <c r="AJC607" s="222"/>
      <c r="AJD607" s="222"/>
      <c r="AJE607" s="222"/>
      <c r="AJF607" s="222"/>
      <c r="AJG607" s="223"/>
      <c r="AJH607" s="224"/>
      <c r="AJI607" s="222"/>
      <c r="AJJ607" s="222"/>
      <c r="AJK607" s="222"/>
      <c r="AJL607" s="222"/>
      <c r="AJM607" s="222"/>
      <c r="AJN607" s="222"/>
      <c r="AJO607" s="223"/>
      <c r="AJP607" s="224"/>
      <c r="AJQ607" s="222"/>
      <c r="AJR607" s="222"/>
      <c r="AJS607" s="222"/>
      <c r="AJT607" s="222"/>
      <c r="AJU607" s="222"/>
      <c r="AJV607" s="222"/>
      <c r="AJW607" s="223"/>
      <c r="AJX607" s="224"/>
      <c r="AJY607" s="222"/>
      <c r="AJZ607" s="222"/>
      <c r="AKA607" s="222"/>
      <c r="AKB607" s="222"/>
      <c r="AKC607" s="222"/>
      <c r="AKD607" s="222"/>
      <c r="AKE607" s="223"/>
      <c r="AKF607" s="224"/>
      <c r="AKG607" s="222"/>
      <c r="AKH607" s="222"/>
      <c r="AKI607" s="222"/>
      <c r="AKJ607" s="222"/>
      <c r="AKK607" s="222"/>
      <c r="AKL607" s="222"/>
      <c r="AKM607" s="223"/>
      <c r="AKN607" s="224"/>
      <c r="AKO607" s="222"/>
      <c r="AKP607" s="222"/>
      <c r="AKQ607" s="222"/>
      <c r="AKR607" s="222"/>
      <c r="AKS607" s="222"/>
      <c r="AKT607" s="222"/>
      <c r="AKU607" s="223"/>
      <c r="AKV607" s="224"/>
      <c r="AKW607" s="222"/>
      <c r="AKX607" s="222"/>
      <c r="AKY607" s="222"/>
      <c r="AKZ607" s="222"/>
      <c r="ALA607" s="222"/>
      <c r="ALB607" s="222"/>
      <c r="ALC607" s="223"/>
      <c r="ALD607" s="224"/>
      <c r="ALE607" s="222"/>
      <c r="ALF607" s="222"/>
      <c r="ALG607" s="222"/>
      <c r="ALH607" s="222"/>
      <c r="ALI607" s="222"/>
      <c r="ALJ607" s="222"/>
      <c r="ALK607" s="223"/>
      <c r="ALL607" s="224"/>
      <c r="ALM607" s="222"/>
      <c r="ALN607" s="222"/>
      <c r="ALO607" s="222"/>
      <c r="ALP607" s="222"/>
      <c r="ALQ607" s="222"/>
      <c r="ALR607" s="222"/>
      <c r="ALS607" s="223"/>
      <c r="ALT607" s="224"/>
      <c r="ALU607" s="222"/>
      <c r="ALV607" s="222"/>
      <c r="ALW607" s="222"/>
      <c r="ALX607" s="222"/>
      <c r="ALY607" s="222"/>
      <c r="ALZ607" s="222"/>
      <c r="AMA607" s="223"/>
      <c r="AMB607" s="224"/>
      <c r="AMC607" s="222"/>
      <c r="AMD607" s="222"/>
      <c r="AME607" s="222"/>
      <c r="AMF607" s="222"/>
      <c r="AMG607" s="222"/>
      <c r="AMH607" s="222"/>
      <c r="AMI607" s="223"/>
      <c r="AMJ607" s="224"/>
      <c r="AMK607" s="222"/>
      <c r="AML607" s="222"/>
      <c r="AMM607" s="222"/>
      <c r="AMN607" s="222"/>
      <c r="AMO607" s="222"/>
      <c r="AMP607" s="222"/>
      <c r="AMQ607" s="223"/>
      <c r="AMR607" s="224"/>
      <c r="AMS607" s="222"/>
      <c r="AMT607" s="222"/>
      <c r="AMU607" s="222"/>
      <c r="AMV607" s="222"/>
      <c r="AMW607" s="222"/>
      <c r="AMX607" s="222"/>
      <c r="AMY607" s="223"/>
      <c r="AMZ607" s="224"/>
      <c r="ANA607" s="222"/>
      <c r="ANB607" s="222"/>
      <c r="ANC607" s="222"/>
      <c r="AND607" s="222"/>
      <c r="ANE607" s="222"/>
      <c r="ANF607" s="222"/>
      <c r="ANG607" s="223"/>
      <c r="ANH607" s="224"/>
      <c r="ANI607" s="222"/>
      <c r="ANJ607" s="222"/>
      <c r="ANK607" s="222"/>
      <c r="ANL607" s="222"/>
      <c r="ANM607" s="222"/>
      <c r="ANN607" s="222"/>
      <c r="ANO607" s="223"/>
      <c r="ANP607" s="224"/>
      <c r="ANQ607" s="222"/>
      <c r="ANR607" s="222"/>
      <c r="ANS607" s="222"/>
      <c r="ANT607" s="222"/>
      <c r="ANU607" s="222"/>
      <c r="ANV607" s="222"/>
      <c r="ANW607" s="223"/>
      <c r="ANX607" s="224"/>
      <c r="ANY607" s="222"/>
      <c r="ANZ607" s="222"/>
      <c r="AOA607" s="222"/>
      <c r="AOB607" s="222"/>
      <c r="AOC607" s="222"/>
      <c r="AOD607" s="222"/>
      <c r="AOE607" s="223"/>
      <c r="AOF607" s="224"/>
      <c r="AOG607" s="222"/>
      <c r="AOH607" s="222"/>
      <c r="AOI607" s="222"/>
      <c r="AOJ607" s="222"/>
      <c r="AOK607" s="222"/>
      <c r="AOL607" s="222"/>
      <c r="AOM607" s="223"/>
      <c r="AON607" s="224"/>
      <c r="AOO607" s="222"/>
      <c r="AOP607" s="222"/>
      <c r="AOQ607" s="222"/>
      <c r="AOR607" s="222"/>
      <c r="AOS607" s="222"/>
      <c r="AOT607" s="222"/>
      <c r="AOU607" s="223"/>
      <c r="AOV607" s="224"/>
      <c r="AOW607" s="222"/>
      <c r="AOX607" s="222"/>
      <c r="AOY607" s="222"/>
      <c r="AOZ607" s="222"/>
      <c r="APA607" s="222"/>
      <c r="APB607" s="222"/>
      <c r="APC607" s="223"/>
      <c r="APD607" s="224"/>
      <c r="APE607" s="222"/>
      <c r="APF607" s="222"/>
      <c r="APG607" s="222"/>
      <c r="APH607" s="222"/>
      <c r="API607" s="222"/>
      <c r="APJ607" s="222"/>
      <c r="APK607" s="223"/>
      <c r="APL607" s="224"/>
      <c r="APM607" s="222"/>
      <c r="APN607" s="222"/>
      <c r="APO607" s="222"/>
      <c r="APP607" s="222"/>
      <c r="APQ607" s="222"/>
      <c r="APR607" s="222"/>
      <c r="APS607" s="223"/>
      <c r="APT607" s="224"/>
      <c r="APU607" s="222"/>
      <c r="APV607" s="222"/>
      <c r="APW607" s="222"/>
      <c r="APX607" s="222"/>
      <c r="APY607" s="222"/>
      <c r="APZ607" s="222"/>
      <c r="AQA607" s="223"/>
      <c r="AQB607" s="224"/>
      <c r="AQC607" s="222"/>
      <c r="AQD607" s="222"/>
      <c r="AQE607" s="222"/>
      <c r="AQF607" s="222"/>
      <c r="AQG607" s="222"/>
      <c r="AQH607" s="222"/>
      <c r="AQI607" s="223"/>
      <c r="AQJ607" s="224"/>
      <c r="AQK607" s="222"/>
      <c r="AQL607" s="222"/>
      <c r="AQM607" s="222"/>
      <c r="AQN607" s="222"/>
      <c r="AQO607" s="222"/>
      <c r="AQP607" s="222"/>
      <c r="AQQ607" s="223"/>
      <c r="AQR607" s="224"/>
      <c r="AQS607" s="222"/>
      <c r="AQT607" s="222"/>
      <c r="AQU607" s="222"/>
      <c r="AQV607" s="222"/>
      <c r="AQW607" s="222"/>
      <c r="AQX607" s="222"/>
      <c r="AQY607" s="223"/>
      <c r="AQZ607" s="224"/>
      <c r="ARA607" s="222"/>
      <c r="ARB607" s="222"/>
      <c r="ARC607" s="222"/>
      <c r="ARD607" s="222"/>
      <c r="ARE607" s="222"/>
      <c r="ARF607" s="222"/>
      <c r="ARG607" s="223"/>
      <c r="ARH607" s="224"/>
      <c r="ARI607" s="222"/>
      <c r="ARJ607" s="222"/>
      <c r="ARK607" s="222"/>
      <c r="ARL607" s="222"/>
      <c r="ARM607" s="222"/>
      <c r="ARN607" s="222"/>
      <c r="ARO607" s="223"/>
      <c r="ARP607" s="224"/>
      <c r="ARQ607" s="222"/>
      <c r="ARR607" s="222"/>
      <c r="ARS607" s="222"/>
      <c r="ART607" s="222"/>
      <c r="ARU607" s="222"/>
      <c r="ARV607" s="222"/>
      <c r="ARW607" s="223"/>
      <c r="ARX607" s="224"/>
      <c r="ARY607" s="222"/>
      <c r="ARZ607" s="222"/>
      <c r="ASA607" s="222"/>
      <c r="ASB607" s="222"/>
      <c r="ASC607" s="222"/>
      <c r="ASD607" s="222"/>
      <c r="ASE607" s="223"/>
      <c r="ASF607" s="224"/>
      <c r="ASG607" s="222"/>
      <c r="ASH607" s="222"/>
      <c r="ASI607" s="222"/>
      <c r="ASJ607" s="222"/>
      <c r="ASK607" s="222"/>
      <c r="ASL607" s="222"/>
      <c r="ASM607" s="223"/>
      <c r="ASN607" s="224"/>
      <c r="ASO607" s="222"/>
      <c r="ASP607" s="222"/>
      <c r="ASQ607" s="222"/>
      <c r="ASR607" s="222"/>
      <c r="ASS607" s="222"/>
      <c r="AST607" s="222"/>
      <c r="ASU607" s="223"/>
      <c r="ASV607" s="224"/>
      <c r="ASW607" s="222"/>
      <c r="ASX607" s="222"/>
      <c r="ASY607" s="222"/>
      <c r="ASZ607" s="222"/>
      <c r="ATA607" s="222"/>
      <c r="ATB607" s="222"/>
      <c r="ATC607" s="223"/>
      <c r="ATD607" s="224"/>
      <c r="ATE607" s="222"/>
      <c r="ATF607" s="222"/>
      <c r="ATG607" s="222"/>
      <c r="ATH607" s="222"/>
      <c r="ATI607" s="222"/>
      <c r="ATJ607" s="222"/>
      <c r="ATK607" s="223"/>
      <c r="ATL607" s="224"/>
      <c r="ATM607" s="222"/>
      <c r="ATN607" s="222"/>
      <c r="ATO607" s="222"/>
      <c r="ATP607" s="222"/>
      <c r="ATQ607" s="222"/>
      <c r="ATR607" s="222"/>
      <c r="ATS607" s="223"/>
      <c r="ATT607" s="224"/>
      <c r="ATU607" s="222"/>
      <c r="ATV607" s="222"/>
      <c r="ATW607" s="222"/>
      <c r="ATX607" s="222"/>
      <c r="ATY607" s="222"/>
      <c r="ATZ607" s="222"/>
      <c r="AUA607" s="223"/>
      <c r="AUB607" s="224"/>
      <c r="AUC607" s="222"/>
      <c r="AUD607" s="222"/>
      <c r="AUE607" s="222"/>
      <c r="AUF607" s="222"/>
      <c r="AUG607" s="222"/>
      <c r="AUH607" s="222"/>
      <c r="AUI607" s="223"/>
      <c r="AUJ607" s="224"/>
      <c r="AUK607" s="222"/>
      <c r="AUL607" s="222"/>
      <c r="AUM607" s="222"/>
      <c r="AUN607" s="222"/>
      <c r="AUO607" s="222"/>
      <c r="AUP607" s="222"/>
      <c r="AUQ607" s="223"/>
      <c r="AUR607" s="224"/>
      <c r="AUS607" s="222"/>
      <c r="AUT607" s="222"/>
      <c r="AUU607" s="222"/>
      <c r="AUV607" s="222"/>
      <c r="AUW607" s="222"/>
      <c r="AUX607" s="222"/>
      <c r="AUY607" s="223"/>
      <c r="AUZ607" s="224"/>
      <c r="AVA607" s="222"/>
      <c r="AVB607" s="222"/>
      <c r="AVC607" s="222"/>
      <c r="AVD607" s="222"/>
      <c r="AVE607" s="222"/>
      <c r="AVF607" s="222"/>
      <c r="AVG607" s="223"/>
      <c r="AVH607" s="224"/>
      <c r="AVI607" s="222"/>
      <c r="AVJ607" s="222"/>
      <c r="AVK607" s="222"/>
      <c r="AVL607" s="222"/>
      <c r="AVM607" s="222"/>
      <c r="AVN607" s="222"/>
      <c r="AVO607" s="223"/>
      <c r="AVP607" s="224"/>
      <c r="AVQ607" s="222"/>
      <c r="AVR607" s="222"/>
      <c r="AVS607" s="222"/>
      <c r="AVT607" s="222"/>
      <c r="AVU607" s="222"/>
      <c r="AVV607" s="222"/>
      <c r="AVW607" s="223"/>
      <c r="AVX607" s="224"/>
      <c r="AVY607" s="222"/>
      <c r="AVZ607" s="222"/>
      <c r="AWA607" s="222"/>
      <c r="AWB607" s="222"/>
      <c r="AWC607" s="222"/>
      <c r="AWD607" s="222"/>
      <c r="AWE607" s="223"/>
      <c r="AWF607" s="224"/>
      <c r="AWG607" s="222"/>
      <c r="AWH607" s="222"/>
      <c r="AWI607" s="222"/>
      <c r="AWJ607" s="222"/>
      <c r="AWK607" s="222"/>
      <c r="AWL607" s="222"/>
      <c r="AWM607" s="223"/>
      <c r="AWN607" s="224"/>
      <c r="AWO607" s="222"/>
      <c r="AWP607" s="222"/>
      <c r="AWQ607" s="222"/>
      <c r="AWR607" s="222"/>
      <c r="AWS607" s="222"/>
      <c r="AWT607" s="222"/>
      <c r="AWU607" s="223"/>
      <c r="AWV607" s="224"/>
      <c r="AWW607" s="222"/>
      <c r="AWX607" s="222"/>
      <c r="AWY607" s="222"/>
      <c r="AWZ607" s="222"/>
      <c r="AXA607" s="222"/>
      <c r="AXB607" s="222"/>
      <c r="AXC607" s="223"/>
      <c r="AXD607" s="224"/>
      <c r="AXE607" s="222"/>
      <c r="AXF607" s="222"/>
      <c r="AXG607" s="222"/>
      <c r="AXH607" s="222"/>
      <c r="AXI607" s="222"/>
      <c r="AXJ607" s="222"/>
      <c r="AXK607" s="223"/>
      <c r="AXL607" s="224"/>
      <c r="AXM607" s="222"/>
      <c r="AXN607" s="222"/>
      <c r="AXO607" s="222"/>
      <c r="AXP607" s="222"/>
      <c r="AXQ607" s="222"/>
      <c r="AXR607" s="222"/>
      <c r="AXS607" s="223"/>
      <c r="AXT607" s="224"/>
      <c r="AXU607" s="222"/>
      <c r="AXV607" s="222"/>
      <c r="AXW607" s="222"/>
      <c r="AXX607" s="222"/>
      <c r="AXY607" s="222"/>
      <c r="AXZ607" s="222"/>
      <c r="AYA607" s="223"/>
      <c r="AYB607" s="224"/>
      <c r="AYC607" s="222"/>
      <c r="AYD607" s="222"/>
      <c r="AYE607" s="222"/>
      <c r="AYF607" s="222"/>
      <c r="AYG607" s="222"/>
      <c r="AYH607" s="222"/>
      <c r="AYI607" s="223"/>
      <c r="AYJ607" s="224"/>
      <c r="AYK607" s="222"/>
      <c r="AYL607" s="222"/>
      <c r="AYM607" s="222"/>
      <c r="AYN607" s="222"/>
      <c r="AYO607" s="222"/>
      <c r="AYP607" s="222"/>
      <c r="AYQ607" s="223"/>
      <c r="AYR607" s="224"/>
      <c r="AYS607" s="222"/>
      <c r="AYT607" s="222"/>
      <c r="AYU607" s="222"/>
      <c r="AYV607" s="222"/>
      <c r="AYW607" s="222"/>
      <c r="AYX607" s="222"/>
      <c r="AYY607" s="223"/>
      <c r="AYZ607" s="224"/>
      <c r="AZA607" s="222"/>
      <c r="AZB607" s="222"/>
      <c r="AZC607" s="222"/>
      <c r="AZD607" s="222"/>
      <c r="AZE607" s="222"/>
      <c r="AZF607" s="222"/>
      <c r="AZG607" s="223"/>
      <c r="AZH607" s="224"/>
      <c r="AZI607" s="222"/>
      <c r="AZJ607" s="222"/>
      <c r="AZK607" s="222"/>
      <c r="AZL607" s="222"/>
      <c r="AZM607" s="222"/>
      <c r="AZN607" s="222"/>
      <c r="AZO607" s="223"/>
      <c r="AZP607" s="224"/>
      <c r="AZQ607" s="222"/>
      <c r="AZR607" s="222"/>
      <c r="AZS607" s="222"/>
      <c r="AZT607" s="222"/>
      <c r="AZU607" s="222"/>
      <c r="AZV607" s="222"/>
      <c r="AZW607" s="223"/>
      <c r="AZX607" s="224"/>
      <c r="AZY607" s="222"/>
      <c r="AZZ607" s="222"/>
      <c r="BAA607" s="222"/>
      <c r="BAB607" s="222"/>
      <c r="BAC607" s="222"/>
      <c r="BAD607" s="222"/>
      <c r="BAE607" s="223"/>
      <c r="BAF607" s="224"/>
      <c r="BAG607" s="222"/>
      <c r="BAH607" s="222"/>
      <c r="BAI607" s="222"/>
      <c r="BAJ607" s="222"/>
      <c r="BAK607" s="222"/>
      <c r="BAL607" s="222"/>
      <c r="BAM607" s="223"/>
      <c r="BAN607" s="224"/>
      <c r="BAO607" s="222"/>
      <c r="BAP607" s="222"/>
      <c r="BAQ607" s="222"/>
      <c r="BAR607" s="222"/>
      <c r="BAS607" s="222"/>
      <c r="BAT607" s="222"/>
      <c r="BAU607" s="223"/>
      <c r="BAV607" s="224"/>
      <c r="BAW607" s="222"/>
      <c r="BAX607" s="222"/>
      <c r="BAY607" s="222"/>
      <c r="BAZ607" s="222"/>
      <c r="BBA607" s="222"/>
      <c r="BBB607" s="222"/>
      <c r="BBC607" s="223"/>
      <c r="BBD607" s="224"/>
      <c r="BBE607" s="222"/>
      <c r="BBF607" s="222"/>
      <c r="BBG607" s="222"/>
      <c r="BBH607" s="222"/>
      <c r="BBI607" s="222"/>
      <c r="BBJ607" s="222"/>
      <c r="BBK607" s="223"/>
      <c r="BBL607" s="224"/>
      <c r="BBM607" s="222"/>
      <c r="BBN607" s="222"/>
      <c r="BBO607" s="222"/>
      <c r="BBP607" s="222"/>
      <c r="BBQ607" s="222"/>
      <c r="BBR607" s="222"/>
      <c r="BBS607" s="223"/>
      <c r="BBT607" s="224"/>
      <c r="BBU607" s="222"/>
      <c r="BBV607" s="222"/>
      <c r="BBW607" s="222"/>
      <c r="BBX607" s="222"/>
      <c r="BBY607" s="222"/>
      <c r="BBZ607" s="222"/>
      <c r="BCA607" s="223"/>
      <c r="BCB607" s="224"/>
      <c r="BCC607" s="222"/>
      <c r="BCD607" s="222"/>
      <c r="BCE607" s="222"/>
      <c r="BCF607" s="222"/>
      <c r="BCG607" s="222"/>
      <c r="BCH607" s="222"/>
      <c r="BCI607" s="223"/>
      <c r="BCJ607" s="224"/>
      <c r="BCK607" s="222"/>
      <c r="BCL607" s="222"/>
      <c r="BCM607" s="222"/>
      <c r="BCN607" s="222"/>
      <c r="BCO607" s="222"/>
      <c r="BCP607" s="222"/>
      <c r="BCQ607" s="223"/>
      <c r="BCR607" s="224"/>
      <c r="BCS607" s="222"/>
      <c r="BCT607" s="222"/>
      <c r="BCU607" s="222"/>
      <c r="BCV607" s="222"/>
      <c r="BCW607" s="222"/>
      <c r="BCX607" s="222"/>
      <c r="BCY607" s="223"/>
      <c r="BCZ607" s="224"/>
      <c r="BDA607" s="222"/>
      <c r="BDB607" s="222"/>
      <c r="BDC607" s="222"/>
      <c r="BDD607" s="222"/>
      <c r="BDE607" s="222"/>
      <c r="BDF607" s="222"/>
      <c r="BDG607" s="223"/>
      <c r="BDH607" s="224"/>
      <c r="BDI607" s="222"/>
      <c r="BDJ607" s="222"/>
      <c r="BDK607" s="222"/>
      <c r="BDL607" s="222"/>
      <c r="BDM607" s="222"/>
      <c r="BDN607" s="222"/>
      <c r="BDO607" s="223"/>
      <c r="BDP607" s="224"/>
      <c r="BDQ607" s="222"/>
      <c r="BDR607" s="222"/>
      <c r="BDS607" s="222"/>
      <c r="BDT607" s="222"/>
      <c r="BDU607" s="222"/>
      <c r="BDV607" s="222"/>
      <c r="BDW607" s="223"/>
      <c r="BDX607" s="224"/>
      <c r="BDY607" s="222"/>
      <c r="BDZ607" s="222"/>
      <c r="BEA607" s="222"/>
      <c r="BEB607" s="222"/>
      <c r="BEC607" s="222"/>
      <c r="BED607" s="222"/>
      <c r="BEE607" s="223"/>
      <c r="BEF607" s="224"/>
      <c r="BEG607" s="222"/>
      <c r="BEH607" s="222"/>
      <c r="BEI607" s="222"/>
      <c r="BEJ607" s="222"/>
      <c r="BEK607" s="222"/>
      <c r="BEL607" s="222"/>
      <c r="BEM607" s="223"/>
      <c r="BEN607" s="224"/>
      <c r="BEO607" s="222"/>
      <c r="BEP607" s="222"/>
      <c r="BEQ607" s="222"/>
      <c r="BER607" s="222"/>
      <c r="BES607" s="222"/>
      <c r="BET607" s="222"/>
      <c r="BEU607" s="223"/>
      <c r="BEV607" s="224"/>
      <c r="BEW607" s="222"/>
      <c r="BEX607" s="222"/>
      <c r="BEY607" s="222"/>
      <c r="BEZ607" s="222"/>
      <c r="BFA607" s="222"/>
      <c r="BFB607" s="222"/>
      <c r="BFC607" s="223"/>
      <c r="BFD607" s="224"/>
      <c r="BFE607" s="222"/>
      <c r="BFF607" s="222"/>
      <c r="BFG607" s="222"/>
      <c r="BFH607" s="222"/>
      <c r="BFI607" s="222"/>
      <c r="BFJ607" s="222"/>
      <c r="BFK607" s="223"/>
      <c r="BFL607" s="224"/>
      <c r="BFM607" s="222"/>
      <c r="BFN607" s="222"/>
      <c r="BFO607" s="222"/>
      <c r="BFP607" s="222"/>
      <c r="BFQ607" s="222"/>
      <c r="BFR607" s="222"/>
      <c r="BFS607" s="223"/>
      <c r="BFT607" s="224"/>
      <c r="BFU607" s="222"/>
      <c r="BFV607" s="222"/>
      <c r="BFW607" s="222"/>
      <c r="BFX607" s="222"/>
      <c r="BFY607" s="222"/>
      <c r="BFZ607" s="222"/>
      <c r="BGA607" s="223"/>
      <c r="BGB607" s="224"/>
      <c r="BGC607" s="222"/>
      <c r="BGD607" s="222"/>
      <c r="BGE607" s="222"/>
      <c r="BGF607" s="222"/>
      <c r="BGG607" s="222"/>
      <c r="BGH607" s="222"/>
      <c r="BGI607" s="223"/>
      <c r="BGJ607" s="224"/>
      <c r="BGK607" s="222"/>
      <c r="BGL607" s="222"/>
      <c r="BGM607" s="222"/>
      <c r="BGN607" s="222"/>
      <c r="BGO607" s="222"/>
      <c r="BGP607" s="222"/>
      <c r="BGQ607" s="223"/>
      <c r="BGR607" s="224"/>
      <c r="BGS607" s="222"/>
      <c r="BGT607" s="222"/>
      <c r="BGU607" s="222"/>
      <c r="BGV607" s="222"/>
      <c r="BGW607" s="222"/>
      <c r="BGX607" s="222"/>
      <c r="BGY607" s="223"/>
      <c r="BGZ607" s="224"/>
      <c r="BHA607" s="222"/>
      <c r="BHB607" s="222"/>
      <c r="BHC607" s="222"/>
      <c r="BHD607" s="222"/>
      <c r="BHE607" s="222"/>
      <c r="BHF607" s="222"/>
      <c r="BHG607" s="223"/>
      <c r="BHH607" s="224"/>
      <c r="BHI607" s="222"/>
      <c r="BHJ607" s="222"/>
      <c r="BHK607" s="222"/>
      <c r="BHL607" s="222"/>
      <c r="BHM607" s="222"/>
      <c r="BHN607" s="222"/>
      <c r="BHO607" s="223"/>
      <c r="BHP607" s="224"/>
      <c r="BHQ607" s="222"/>
      <c r="BHR607" s="222"/>
      <c r="BHS607" s="222"/>
      <c r="BHT607" s="222"/>
      <c r="BHU607" s="222"/>
      <c r="BHV607" s="222"/>
      <c r="BHW607" s="223"/>
      <c r="BHX607" s="224"/>
      <c r="BHY607" s="222"/>
      <c r="BHZ607" s="222"/>
      <c r="BIA607" s="222"/>
      <c r="BIB607" s="222"/>
      <c r="BIC607" s="222"/>
      <c r="BID607" s="222"/>
      <c r="BIE607" s="223"/>
      <c r="BIF607" s="224"/>
      <c r="BIG607" s="222"/>
      <c r="BIH607" s="222"/>
      <c r="BII607" s="222"/>
      <c r="BIJ607" s="222"/>
      <c r="BIK607" s="222"/>
      <c r="BIL607" s="222"/>
      <c r="BIM607" s="223"/>
      <c r="BIN607" s="224"/>
      <c r="BIO607" s="222"/>
      <c r="BIP607" s="222"/>
      <c r="BIQ607" s="222"/>
      <c r="BIR607" s="222"/>
      <c r="BIS607" s="222"/>
      <c r="BIT607" s="222"/>
      <c r="BIU607" s="223"/>
      <c r="BIV607" s="224"/>
      <c r="BIW607" s="222"/>
      <c r="BIX607" s="222"/>
      <c r="BIY607" s="222"/>
      <c r="BIZ607" s="222"/>
      <c r="BJA607" s="222"/>
      <c r="BJB607" s="222"/>
      <c r="BJC607" s="223"/>
      <c r="BJD607" s="224"/>
      <c r="BJE607" s="222"/>
      <c r="BJF607" s="222"/>
      <c r="BJG607" s="222"/>
      <c r="BJH607" s="222"/>
      <c r="BJI607" s="222"/>
      <c r="BJJ607" s="222"/>
      <c r="BJK607" s="223"/>
      <c r="BJL607" s="224"/>
      <c r="BJM607" s="222"/>
      <c r="BJN607" s="222"/>
      <c r="BJO607" s="222"/>
      <c r="BJP607" s="222"/>
      <c r="BJQ607" s="222"/>
      <c r="BJR607" s="222"/>
      <c r="BJS607" s="223"/>
      <c r="BJT607" s="224"/>
      <c r="BJU607" s="222"/>
      <c r="BJV607" s="222"/>
      <c r="BJW607" s="222"/>
      <c r="BJX607" s="222"/>
      <c r="BJY607" s="222"/>
      <c r="BJZ607" s="222"/>
      <c r="BKA607" s="223"/>
      <c r="BKB607" s="224"/>
      <c r="BKC607" s="222"/>
      <c r="BKD607" s="222"/>
      <c r="BKE607" s="222"/>
      <c r="BKF607" s="222"/>
      <c r="BKG607" s="222"/>
      <c r="BKH607" s="222"/>
      <c r="BKI607" s="223"/>
      <c r="BKJ607" s="224"/>
      <c r="BKK607" s="222"/>
      <c r="BKL607" s="222"/>
      <c r="BKM607" s="222"/>
      <c r="BKN607" s="222"/>
      <c r="BKO607" s="222"/>
      <c r="BKP607" s="222"/>
      <c r="BKQ607" s="223"/>
      <c r="BKR607" s="224"/>
      <c r="BKS607" s="222"/>
      <c r="BKT607" s="222"/>
      <c r="BKU607" s="222"/>
      <c r="BKV607" s="222"/>
      <c r="BKW607" s="222"/>
      <c r="BKX607" s="222"/>
      <c r="BKY607" s="223"/>
      <c r="BKZ607" s="224"/>
      <c r="BLA607" s="222"/>
      <c r="BLB607" s="222"/>
      <c r="BLC607" s="222"/>
      <c r="BLD607" s="222"/>
      <c r="BLE607" s="222"/>
      <c r="BLF607" s="222"/>
      <c r="BLG607" s="223"/>
      <c r="BLH607" s="224"/>
      <c r="BLI607" s="222"/>
      <c r="BLJ607" s="222"/>
      <c r="BLK607" s="222"/>
      <c r="BLL607" s="222"/>
      <c r="BLM607" s="222"/>
      <c r="BLN607" s="222"/>
      <c r="BLO607" s="223"/>
      <c r="BLP607" s="224"/>
      <c r="BLQ607" s="222"/>
      <c r="BLR607" s="222"/>
      <c r="BLS607" s="222"/>
      <c r="BLT607" s="222"/>
      <c r="BLU607" s="222"/>
      <c r="BLV607" s="222"/>
      <c r="BLW607" s="223"/>
      <c r="BLX607" s="224"/>
      <c r="BLY607" s="222"/>
      <c r="BLZ607" s="222"/>
      <c r="BMA607" s="222"/>
      <c r="BMB607" s="222"/>
      <c r="BMC607" s="222"/>
      <c r="BMD607" s="222"/>
      <c r="BME607" s="223"/>
      <c r="BMF607" s="224"/>
      <c r="BMG607" s="222"/>
      <c r="BMH607" s="222"/>
      <c r="BMI607" s="222"/>
      <c r="BMJ607" s="222"/>
      <c r="BMK607" s="222"/>
      <c r="BML607" s="222"/>
      <c r="BMM607" s="223"/>
      <c r="BMN607" s="224"/>
      <c r="BMO607" s="222"/>
      <c r="BMP607" s="222"/>
      <c r="BMQ607" s="222"/>
      <c r="BMR607" s="222"/>
      <c r="BMS607" s="222"/>
      <c r="BMT607" s="222"/>
      <c r="BMU607" s="223"/>
      <c r="BMV607" s="224"/>
      <c r="BMW607" s="222"/>
      <c r="BMX607" s="222"/>
      <c r="BMY607" s="222"/>
      <c r="BMZ607" s="222"/>
      <c r="BNA607" s="222"/>
      <c r="BNB607" s="222"/>
      <c r="BNC607" s="223"/>
      <c r="BND607" s="224"/>
      <c r="BNE607" s="222"/>
      <c r="BNF607" s="222"/>
      <c r="BNG607" s="222"/>
      <c r="BNH607" s="222"/>
      <c r="BNI607" s="222"/>
      <c r="BNJ607" s="222"/>
      <c r="BNK607" s="223"/>
      <c r="BNL607" s="224"/>
      <c r="BNM607" s="222"/>
      <c r="BNN607" s="222"/>
      <c r="BNO607" s="222"/>
      <c r="BNP607" s="222"/>
      <c r="BNQ607" s="222"/>
      <c r="BNR607" s="222"/>
      <c r="BNS607" s="223"/>
      <c r="BNT607" s="224"/>
      <c r="BNU607" s="222"/>
      <c r="BNV607" s="222"/>
      <c r="BNW607" s="222"/>
      <c r="BNX607" s="222"/>
      <c r="BNY607" s="222"/>
      <c r="BNZ607" s="222"/>
      <c r="BOA607" s="223"/>
      <c r="BOB607" s="224"/>
      <c r="BOC607" s="222"/>
      <c r="BOD607" s="222"/>
      <c r="BOE607" s="222"/>
      <c r="BOF607" s="222"/>
      <c r="BOG607" s="222"/>
      <c r="BOH607" s="222"/>
      <c r="BOI607" s="223"/>
      <c r="BOJ607" s="224"/>
      <c r="BOK607" s="222"/>
      <c r="BOL607" s="222"/>
      <c r="BOM607" s="222"/>
      <c r="BON607" s="222"/>
      <c r="BOO607" s="222"/>
      <c r="BOP607" s="222"/>
      <c r="BOQ607" s="223"/>
      <c r="BOR607" s="224"/>
      <c r="BOS607" s="222"/>
      <c r="BOT607" s="222"/>
      <c r="BOU607" s="222"/>
      <c r="BOV607" s="222"/>
      <c r="BOW607" s="222"/>
      <c r="BOX607" s="222"/>
      <c r="BOY607" s="223"/>
      <c r="BOZ607" s="224"/>
      <c r="BPA607" s="222"/>
      <c r="BPB607" s="222"/>
      <c r="BPC607" s="222"/>
      <c r="BPD607" s="222"/>
      <c r="BPE607" s="222"/>
      <c r="BPF607" s="222"/>
      <c r="BPG607" s="223"/>
      <c r="BPH607" s="224"/>
      <c r="BPI607" s="222"/>
      <c r="BPJ607" s="222"/>
      <c r="BPK607" s="222"/>
      <c r="BPL607" s="222"/>
      <c r="BPM607" s="222"/>
      <c r="BPN607" s="222"/>
      <c r="BPO607" s="223"/>
      <c r="BPP607" s="224"/>
      <c r="BPQ607" s="222"/>
      <c r="BPR607" s="222"/>
      <c r="BPS607" s="222"/>
      <c r="BPT607" s="222"/>
      <c r="BPU607" s="222"/>
      <c r="BPV607" s="222"/>
      <c r="BPW607" s="223"/>
      <c r="BPX607" s="224"/>
      <c r="BPY607" s="222"/>
      <c r="BPZ607" s="222"/>
      <c r="BQA607" s="222"/>
      <c r="BQB607" s="222"/>
      <c r="BQC607" s="222"/>
      <c r="BQD607" s="222"/>
      <c r="BQE607" s="223"/>
      <c r="BQF607" s="224"/>
      <c r="BQG607" s="222"/>
      <c r="BQH607" s="222"/>
      <c r="BQI607" s="222"/>
      <c r="BQJ607" s="222"/>
      <c r="BQK607" s="222"/>
      <c r="BQL607" s="222"/>
      <c r="BQM607" s="223"/>
      <c r="BQN607" s="224"/>
      <c r="BQO607" s="222"/>
      <c r="BQP607" s="222"/>
      <c r="BQQ607" s="222"/>
      <c r="BQR607" s="222"/>
      <c r="BQS607" s="222"/>
      <c r="BQT607" s="222"/>
      <c r="BQU607" s="223"/>
      <c r="BQV607" s="224"/>
      <c r="BQW607" s="222"/>
      <c r="BQX607" s="222"/>
      <c r="BQY607" s="222"/>
      <c r="BQZ607" s="222"/>
      <c r="BRA607" s="222"/>
      <c r="BRB607" s="222"/>
      <c r="BRC607" s="223"/>
      <c r="BRD607" s="224"/>
      <c r="BRE607" s="222"/>
      <c r="BRF607" s="222"/>
      <c r="BRG607" s="222"/>
      <c r="BRH607" s="222"/>
      <c r="BRI607" s="222"/>
      <c r="BRJ607" s="222"/>
      <c r="BRK607" s="223"/>
      <c r="BRL607" s="224"/>
      <c r="BRM607" s="222"/>
      <c r="BRN607" s="222"/>
      <c r="BRO607" s="222"/>
      <c r="BRP607" s="222"/>
      <c r="BRQ607" s="222"/>
      <c r="BRR607" s="222"/>
      <c r="BRS607" s="223"/>
      <c r="BRT607" s="224"/>
      <c r="BRU607" s="222"/>
      <c r="BRV607" s="222"/>
      <c r="BRW607" s="222"/>
      <c r="BRX607" s="222"/>
      <c r="BRY607" s="222"/>
      <c r="BRZ607" s="222"/>
      <c r="BSA607" s="223"/>
      <c r="BSB607" s="224"/>
      <c r="BSC607" s="222"/>
      <c r="BSD607" s="222"/>
      <c r="BSE607" s="222"/>
      <c r="BSF607" s="222"/>
      <c r="BSG607" s="222"/>
      <c r="BSH607" s="222"/>
      <c r="BSI607" s="223"/>
      <c r="BSJ607" s="224"/>
      <c r="BSK607" s="222"/>
      <c r="BSL607" s="222"/>
      <c r="BSM607" s="222"/>
      <c r="BSN607" s="222"/>
      <c r="BSO607" s="222"/>
      <c r="BSP607" s="222"/>
      <c r="BSQ607" s="223"/>
      <c r="BSR607" s="224"/>
      <c r="BSS607" s="222"/>
      <c r="BST607" s="222"/>
      <c r="BSU607" s="222"/>
      <c r="BSV607" s="222"/>
      <c r="BSW607" s="222"/>
      <c r="BSX607" s="222"/>
      <c r="BSY607" s="223"/>
      <c r="BSZ607" s="224"/>
      <c r="BTA607" s="222"/>
      <c r="BTB607" s="222"/>
      <c r="BTC607" s="222"/>
      <c r="BTD607" s="222"/>
      <c r="BTE607" s="222"/>
      <c r="BTF607" s="222"/>
      <c r="BTG607" s="223"/>
      <c r="BTH607" s="224"/>
      <c r="BTI607" s="222"/>
      <c r="BTJ607" s="222"/>
      <c r="BTK607" s="222"/>
      <c r="BTL607" s="222"/>
      <c r="BTM607" s="222"/>
      <c r="BTN607" s="222"/>
      <c r="BTO607" s="223"/>
      <c r="BTP607" s="224"/>
      <c r="BTQ607" s="222"/>
      <c r="BTR607" s="222"/>
      <c r="BTS607" s="222"/>
      <c r="BTT607" s="222"/>
      <c r="BTU607" s="222"/>
      <c r="BTV607" s="222"/>
      <c r="BTW607" s="223"/>
      <c r="BTX607" s="224"/>
      <c r="BTY607" s="222"/>
      <c r="BTZ607" s="222"/>
      <c r="BUA607" s="222"/>
      <c r="BUB607" s="222"/>
      <c r="BUC607" s="222"/>
      <c r="BUD607" s="222"/>
      <c r="BUE607" s="223"/>
      <c r="BUF607" s="224"/>
      <c r="BUG607" s="222"/>
      <c r="BUH607" s="222"/>
      <c r="BUI607" s="222"/>
      <c r="BUJ607" s="222"/>
      <c r="BUK607" s="222"/>
      <c r="BUL607" s="222"/>
      <c r="BUM607" s="223"/>
      <c r="BUN607" s="224"/>
      <c r="BUO607" s="222"/>
      <c r="BUP607" s="222"/>
      <c r="BUQ607" s="222"/>
      <c r="BUR607" s="222"/>
      <c r="BUS607" s="222"/>
      <c r="BUT607" s="222"/>
      <c r="BUU607" s="223"/>
      <c r="BUV607" s="224"/>
      <c r="BUW607" s="222"/>
      <c r="BUX607" s="222"/>
      <c r="BUY607" s="222"/>
      <c r="BUZ607" s="222"/>
      <c r="BVA607" s="222"/>
      <c r="BVB607" s="222"/>
      <c r="BVC607" s="223"/>
      <c r="BVD607" s="224"/>
      <c r="BVE607" s="222"/>
      <c r="BVF607" s="222"/>
      <c r="BVG607" s="222"/>
      <c r="BVH607" s="222"/>
      <c r="BVI607" s="222"/>
      <c r="BVJ607" s="222"/>
      <c r="BVK607" s="223"/>
      <c r="BVL607" s="224"/>
      <c r="BVM607" s="222"/>
      <c r="BVN607" s="222"/>
      <c r="BVO607" s="222"/>
      <c r="BVP607" s="222"/>
      <c r="BVQ607" s="222"/>
      <c r="BVR607" s="222"/>
      <c r="BVS607" s="223"/>
      <c r="BVT607" s="224"/>
      <c r="BVU607" s="222"/>
      <c r="BVV607" s="222"/>
      <c r="BVW607" s="222"/>
      <c r="BVX607" s="222"/>
      <c r="BVY607" s="222"/>
      <c r="BVZ607" s="222"/>
      <c r="BWA607" s="223"/>
      <c r="BWB607" s="224"/>
      <c r="BWC607" s="222"/>
      <c r="BWD607" s="222"/>
      <c r="BWE607" s="222"/>
      <c r="BWF607" s="222"/>
      <c r="BWG607" s="222"/>
      <c r="BWH607" s="222"/>
      <c r="BWI607" s="223"/>
      <c r="BWJ607" s="224"/>
      <c r="BWK607" s="222"/>
      <c r="BWL607" s="222"/>
      <c r="BWM607" s="222"/>
      <c r="BWN607" s="222"/>
      <c r="BWO607" s="222"/>
      <c r="BWP607" s="222"/>
      <c r="BWQ607" s="223"/>
      <c r="BWR607" s="224"/>
      <c r="BWS607" s="222"/>
      <c r="BWT607" s="222"/>
      <c r="BWU607" s="222"/>
      <c r="BWV607" s="222"/>
      <c r="BWW607" s="222"/>
      <c r="BWX607" s="222"/>
      <c r="BWY607" s="223"/>
      <c r="BWZ607" s="224"/>
      <c r="BXA607" s="222"/>
      <c r="BXB607" s="222"/>
      <c r="BXC607" s="222"/>
      <c r="BXD607" s="222"/>
      <c r="BXE607" s="222"/>
      <c r="BXF607" s="222"/>
      <c r="BXG607" s="223"/>
      <c r="BXH607" s="224"/>
      <c r="BXI607" s="222"/>
      <c r="BXJ607" s="222"/>
      <c r="BXK607" s="222"/>
      <c r="BXL607" s="222"/>
      <c r="BXM607" s="222"/>
      <c r="BXN607" s="222"/>
      <c r="BXO607" s="223"/>
      <c r="BXP607" s="224"/>
      <c r="BXQ607" s="222"/>
      <c r="BXR607" s="222"/>
      <c r="BXS607" s="222"/>
      <c r="BXT607" s="222"/>
      <c r="BXU607" s="222"/>
      <c r="BXV607" s="222"/>
      <c r="BXW607" s="223"/>
      <c r="BXX607" s="224"/>
      <c r="BXY607" s="222"/>
      <c r="BXZ607" s="222"/>
      <c r="BYA607" s="222"/>
      <c r="BYB607" s="222"/>
      <c r="BYC607" s="222"/>
      <c r="BYD607" s="222"/>
      <c r="BYE607" s="223"/>
      <c r="BYF607" s="224"/>
      <c r="BYG607" s="222"/>
      <c r="BYH607" s="222"/>
      <c r="BYI607" s="222"/>
      <c r="BYJ607" s="222"/>
      <c r="BYK607" s="222"/>
      <c r="BYL607" s="222"/>
      <c r="BYM607" s="223"/>
      <c r="BYN607" s="224"/>
      <c r="BYO607" s="222"/>
      <c r="BYP607" s="222"/>
      <c r="BYQ607" s="222"/>
      <c r="BYR607" s="222"/>
      <c r="BYS607" s="222"/>
      <c r="BYT607" s="222"/>
      <c r="BYU607" s="223"/>
      <c r="BYV607" s="224"/>
      <c r="BYW607" s="222"/>
      <c r="BYX607" s="222"/>
      <c r="BYY607" s="222"/>
      <c r="BYZ607" s="222"/>
      <c r="BZA607" s="222"/>
      <c r="BZB607" s="222"/>
      <c r="BZC607" s="223"/>
      <c r="BZD607" s="224"/>
      <c r="BZE607" s="222"/>
      <c r="BZF607" s="222"/>
      <c r="BZG607" s="222"/>
      <c r="BZH607" s="222"/>
      <c r="BZI607" s="222"/>
      <c r="BZJ607" s="222"/>
      <c r="BZK607" s="223"/>
      <c r="BZL607" s="224"/>
      <c r="BZM607" s="222"/>
      <c r="BZN607" s="222"/>
      <c r="BZO607" s="222"/>
      <c r="BZP607" s="222"/>
      <c r="BZQ607" s="222"/>
      <c r="BZR607" s="222"/>
      <c r="BZS607" s="223"/>
      <c r="BZT607" s="224"/>
      <c r="BZU607" s="222"/>
      <c r="BZV607" s="222"/>
      <c r="BZW607" s="222"/>
      <c r="BZX607" s="222"/>
      <c r="BZY607" s="222"/>
      <c r="BZZ607" s="222"/>
      <c r="CAA607" s="223"/>
      <c r="CAB607" s="224"/>
      <c r="CAC607" s="222"/>
      <c r="CAD607" s="222"/>
      <c r="CAE607" s="222"/>
      <c r="CAF607" s="222"/>
      <c r="CAG607" s="222"/>
      <c r="CAH607" s="222"/>
      <c r="CAI607" s="223"/>
      <c r="CAJ607" s="224"/>
      <c r="CAK607" s="222"/>
      <c r="CAL607" s="222"/>
      <c r="CAM607" s="222"/>
      <c r="CAN607" s="222"/>
      <c r="CAO607" s="222"/>
      <c r="CAP607" s="222"/>
      <c r="CAQ607" s="223"/>
      <c r="CAR607" s="224"/>
      <c r="CAS607" s="222"/>
      <c r="CAT607" s="222"/>
      <c r="CAU607" s="222"/>
      <c r="CAV607" s="222"/>
      <c r="CAW607" s="222"/>
      <c r="CAX607" s="222"/>
      <c r="CAY607" s="223"/>
      <c r="CAZ607" s="224"/>
      <c r="CBA607" s="222"/>
      <c r="CBB607" s="222"/>
      <c r="CBC607" s="222"/>
      <c r="CBD607" s="222"/>
      <c r="CBE607" s="222"/>
      <c r="CBF607" s="222"/>
      <c r="CBG607" s="223"/>
      <c r="CBH607" s="224"/>
      <c r="CBI607" s="222"/>
      <c r="CBJ607" s="222"/>
      <c r="CBK607" s="222"/>
      <c r="CBL607" s="222"/>
      <c r="CBM607" s="222"/>
      <c r="CBN607" s="222"/>
      <c r="CBO607" s="223"/>
      <c r="CBP607" s="224"/>
      <c r="CBQ607" s="222"/>
      <c r="CBR607" s="222"/>
      <c r="CBS607" s="222"/>
      <c r="CBT607" s="222"/>
      <c r="CBU607" s="222"/>
      <c r="CBV607" s="222"/>
      <c r="CBW607" s="223"/>
      <c r="CBX607" s="224"/>
      <c r="CBY607" s="222"/>
      <c r="CBZ607" s="222"/>
      <c r="CCA607" s="222"/>
      <c r="CCB607" s="222"/>
      <c r="CCC607" s="222"/>
      <c r="CCD607" s="222"/>
      <c r="CCE607" s="223"/>
      <c r="CCF607" s="224"/>
      <c r="CCG607" s="222"/>
      <c r="CCH607" s="222"/>
      <c r="CCI607" s="222"/>
      <c r="CCJ607" s="222"/>
      <c r="CCK607" s="222"/>
      <c r="CCL607" s="222"/>
      <c r="CCM607" s="223"/>
      <c r="CCN607" s="224"/>
      <c r="CCO607" s="222"/>
      <c r="CCP607" s="222"/>
      <c r="CCQ607" s="222"/>
      <c r="CCR607" s="222"/>
      <c r="CCS607" s="222"/>
      <c r="CCT607" s="222"/>
      <c r="CCU607" s="223"/>
      <c r="CCV607" s="224"/>
      <c r="CCW607" s="222"/>
      <c r="CCX607" s="222"/>
      <c r="CCY607" s="222"/>
      <c r="CCZ607" s="222"/>
      <c r="CDA607" s="222"/>
      <c r="CDB607" s="222"/>
      <c r="CDC607" s="223"/>
      <c r="CDD607" s="224"/>
      <c r="CDE607" s="222"/>
      <c r="CDF607" s="222"/>
      <c r="CDG607" s="222"/>
      <c r="CDH607" s="222"/>
      <c r="CDI607" s="222"/>
      <c r="CDJ607" s="222"/>
      <c r="CDK607" s="223"/>
      <c r="CDL607" s="224"/>
      <c r="CDM607" s="222"/>
      <c r="CDN607" s="222"/>
      <c r="CDO607" s="222"/>
      <c r="CDP607" s="222"/>
      <c r="CDQ607" s="222"/>
      <c r="CDR607" s="222"/>
      <c r="CDS607" s="223"/>
      <c r="CDT607" s="224"/>
      <c r="CDU607" s="222"/>
      <c r="CDV607" s="222"/>
      <c r="CDW607" s="222"/>
      <c r="CDX607" s="222"/>
      <c r="CDY607" s="222"/>
      <c r="CDZ607" s="222"/>
      <c r="CEA607" s="223"/>
      <c r="CEB607" s="224"/>
      <c r="CEC607" s="222"/>
      <c r="CED607" s="222"/>
      <c r="CEE607" s="222"/>
      <c r="CEF607" s="222"/>
      <c r="CEG607" s="222"/>
      <c r="CEH607" s="222"/>
      <c r="CEI607" s="223"/>
      <c r="CEJ607" s="224"/>
      <c r="CEK607" s="222"/>
      <c r="CEL607" s="222"/>
      <c r="CEM607" s="222"/>
      <c r="CEN607" s="222"/>
      <c r="CEO607" s="222"/>
      <c r="CEP607" s="222"/>
      <c r="CEQ607" s="223"/>
      <c r="CER607" s="224"/>
      <c r="CES607" s="222"/>
      <c r="CET607" s="222"/>
      <c r="CEU607" s="222"/>
      <c r="CEV607" s="222"/>
      <c r="CEW607" s="222"/>
      <c r="CEX607" s="222"/>
      <c r="CEY607" s="223"/>
      <c r="CEZ607" s="224"/>
      <c r="CFA607" s="222"/>
      <c r="CFB607" s="222"/>
      <c r="CFC607" s="222"/>
      <c r="CFD607" s="222"/>
      <c r="CFE607" s="222"/>
      <c r="CFF607" s="222"/>
      <c r="CFG607" s="223"/>
      <c r="CFH607" s="224"/>
      <c r="CFI607" s="222"/>
      <c r="CFJ607" s="222"/>
      <c r="CFK607" s="222"/>
      <c r="CFL607" s="222"/>
      <c r="CFM607" s="222"/>
      <c r="CFN607" s="222"/>
      <c r="CFO607" s="223"/>
      <c r="CFP607" s="224"/>
      <c r="CFQ607" s="222"/>
      <c r="CFR607" s="222"/>
      <c r="CFS607" s="222"/>
      <c r="CFT607" s="222"/>
      <c r="CFU607" s="222"/>
      <c r="CFV607" s="222"/>
      <c r="CFW607" s="223"/>
      <c r="CFX607" s="224"/>
      <c r="CFY607" s="222"/>
      <c r="CFZ607" s="222"/>
      <c r="CGA607" s="222"/>
      <c r="CGB607" s="222"/>
      <c r="CGC607" s="222"/>
      <c r="CGD607" s="222"/>
      <c r="CGE607" s="223"/>
      <c r="CGF607" s="224"/>
      <c r="CGG607" s="222"/>
      <c r="CGH607" s="222"/>
      <c r="CGI607" s="222"/>
      <c r="CGJ607" s="222"/>
      <c r="CGK607" s="222"/>
      <c r="CGL607" s="222"/>
      <c r="CGM607" s="223"/>
      <c r="CGN607" s="224"/>
      <c r="CGO607" s="222"/>
      <c r="CGP607" s="222"/>
      <c r="CGQ607" s="222"/>
      <c r="CGR607" s="222"/>
      <c r="CGS607" s="222"/>
      <c r="CGT607" s="222"/>
      <c r="CGU607" s="223"/>
      <c r="CGV607" s="224"/>
      <c r="CGW607" s="222"/>
      <c r="CGX607" s="222"/>
      <c r="CGY607" s="222"/>
      <c r="CGZ607" s="222"/>
      <c r="CHA607" s="222"/>
      <c r="CHB607" s="222"/>
      <c r="CHC607" s="223"/>
      <c r="CHD607" s="224"/>
      <c r="CHE607" s="222"/>
      <c r="CHF607" s="222"/>
      <c r="CHG607" s="222"/>
      <c r="CHH607" s="222"/>
      <c r="CHI607" s="222"/>
      <c r="CHJ607" s="222"/>
      <c r="CHK607" s="223"/>
      <c r="CHL607" s="224"/>
      <c r="CHM607" s="222"/>
      <c r="CHN607" s="222"/>
      <c r="CHO607" s="222"/>
      <c r="CHP607" s="222"/>
      <c r="CHQ607" s="222"/>
      <c r="CHR607" s="222"/>
      <c r="CHS607" s="223"/>
      <c r="CHT607" s="224"/>
      <c r="CHU607" s="222"/>
      <c r="CHV607" s="222"/>
      <c r="CHW607" s="222"/>
      <c r="CHX607" s="222"/>
      <c r="CHY607" s="222"/>
      <c r="CHZ607" s="222"/>
      <c r="CIA607" s="223"/>
      <c r="CIB607" s="224"/>
      <c r="CIC607" s="222"/>
      <c r="CID607" s="222"/>
      <c r="CIE607" s="222"/>
      <c r="CIF607" s="222"/>
      <c r="CIG607" s="222"/>
      <c r="CIH607" s="222"/>
      <c r="CII607" s="223"/>
      <c r="CIJ607" s="224"/>
      <c r="CIK607" s="222"/>
      <c r="CIL607" s="222"/>
      <c r="CIM607" s="222"/>
      <c r="CIN607" s="222"/>
      <c r="CIO607" s="222"/>
      <c r="CIP607" s="222"/>
      <c r="CIQ607" s="223"/>
      <c r="CIR607" s="224"/>
      <c r="CIS607" s="222"/>
      <c r="CIT607" s="222"/>
      <c r="CIU607" s="222"/>
      <c r="CIV607" s="222"/>
      <c r="CIW607" s="222"/>
      <c r="CIX607" s="222"/>
      <c r="CIY607" s="223"/>
      <c r="CIZ607" s="224"/>
      <c r="CJA607" s="222"/>
      <c r="CJB607" s="222"/>
      <c r="CJC607" s="222"/>
      <c r="CJD607" s="222"/>
      <c r="CJE607" s="222"/>
      <c r="CJF607" s="222"/>
      <c r="CJG607" s="223"/>
      <c r="CJH607" s="224"/>
      <c r="CJI607" s="222"/>
      <c r="CJJ607" s="222"/>
      <c r="CJK607" s="222"/>
      <c r="CJL607" s="222"/>
      <c r="CJM607" s="222"/>
      <c r="CJN607" s="222"/>
      <c r="CJO607" s="223"/>
      <c r="CJP607" s="224"/>
      <c r="CJQ607" s="222"/>
      <c r="CJR607" s="222"/>
      <c r="CJS607" s="222"/>
      <c r="CJT607" s="222"/>
      <c r="CJU607" s="222"/>
      <c r="CJV607" s="222"/>
      <c r="CJW607" s="223"/>
      <c r="CJX607" s="224"/>
      <c r="CJY607" s="222"/>
      <c r="CJZ607" s="222"/>
      <c r="CKA607" s="222"/>
      <c r="CKB607" s="222"/>
      <c r="CKC607" s="222"/>
      <c r="CKD607" s="222"/>
      <c r="CKE607" s="223"/>
      <c r="CKF607" s="224"/>
      <c r="CKG607" s="222"/>
      <c r="CKH607" s="222"/>
      <c r="CKI607" s="222"/>
      <c r="CKJ607" s="222"/>
      <c r="CKK607" s="222"/>
      <c r="CKL607" s="222"/>
      <c r="CKM607" s="223"/>
      <c r="CKN607" s="224"/>
      <c r="CKO607" s="222"/>
      <c r="CKP607" s="222"/>
      <c r="CKQ607" s="222"/>
      <c r="CKR607" s="222"/>
      <c r="CKS607" s="222"/>
      <c r="CKT607" s="222"/>
      <c r="CKU607" s="223"/>
      <c r="CKV607" s="224"/>
      <c r="CKW607" s="222"/>
      <c r="CKX607" s="222"/>
      <c r="CKY607" s="222"/>
      <c r="CKZ607" s="222"/>
      <c r="CLA607" s="222"/>
      <c r="CLB607" s="222"/>
      <c r="CLC607" s="223"/>
      <c r="CLD607" s="224"/>
      <c r="CLE607" s="222"/>
      <c r="CLF607" s="222"/>
      <c r="CLG607" s="222"/>
      <c r="CLH607" s="222"/>
      <c r="CLI607" s="222"/>
      <c r="CLJ607" s="222"/>
      <c r="CLK607" s="223"/>
      <c r="CLL607" s="224"/>
      <c r="CLM607" s="222"/>
      <c r="CLN607" s="222"/>
      <c r="CLO607" s="222"/>
      <c r="CLP607" s="222"/>
      <c r="CLQ607" s="222"/>
      <c r="CLR607" s="222"/>
      <c r="CLS607" s="223"/>
      <c r="CLT607" s="224"/>
      <c r="CLU607" s="222"/>
      <c r="CLV607" s="222"/>
      <c r="CLW607" s="222"/>
      <c r="CLX607" s="222"/>
      <c r="CLY607" s="222"/>
      <c r="CLZ607" s="222"/>
      <c r="CMA607" s="223"/>
      <c r="CMB607" s="224"/>
      <c r="CMC607" s="222"/>
      <c r="CMD607" s="222"/>
      <c r="CME607" s="222"/>
      <c r="CMF607" s="222"/>
      <c r="CMG607" s="222"/>
      <c r="CMH607" s="222"/>
      <c r="CMI607" s="223"/>
      <c r="CMJ607" s="224"/>
      <c r="CMK607" s="222"/>
      <c r="CML607" s="222"/>
      <c r="CMM607" s="222"/>
      <c r="CMN607" s="222"/>
      <c r="CMO607" s="222"/>
      <c r="CMP607" s="222"/>
      <c r="CMQ607" s="223"/>
      <c r="CMR607" s="224"/>
      <c r="CMS607" s="222"/>
      <c r="CMT607" s="222"/>
      <c r="CMU607" s="222"/>
      <c r="CMV607" s="222"/>
      <c r="CMW607" s="222"/>
      <c r="CMX607" s="222"/>
      <c r="CMY607" s="223"/>
      <c r="CMZ607" s="224"/>
      <c r="CNA607" s="222"/>
      <c r="CNB607" s="222"/>
      <c r="CNC607" s="222"/>
      <c r="CND607" s="222"/>
      <c r="CNE607" s="222"/>
      <c r="CNF607" s="222"/>
      <c r="CNG607" s="223"/>
      <c r="CNH607" s="224"/>
      <c r="CNI607" s="222"/>
      <c r="CNJ607" s="222"/>
      <c r="CNK607" s="222"/>
      <c r="CNL607" s="222"/>
      <c r="CNM607" s="222"/>
      <c r="CNN607" s="222"/>
      <c r="CNO607" s="223"/>
      <c r="CNP607" s="224"/>
      <c r="CNQ607" s="222"/>
      <c r="CNR607" s="222"/>
      <c r="CNS607" s="222"/>
      <c r="CNT607" s="222"/>
      <c r="CNU607" s="222"/>
      <c r="CNV607" s="222"/>
      <c r="CNW607" s="223"/>
      <c r="CNX607" s="224"/>
      <c r="CNY607" s="222"/>
      <c r="CNZ607" s="222"/>
      <c r="COA607" s="222"/>
      <c r="COB607" s="222"/>
      <c r="COC607" s="222"/>
      <c r="COD607" s="222"/>
      <c r="COE607" s="223"/>
      <c r="COF607" s="224"/>
      <c r="COG607" s="222"/>
      <c r="COH607" s="222"/>
      <c r="COI607" s="222"/>
      <c r="COJ607" s="222"/>
      <c r="COK607" s="222"/>
      <c r="COL607" s="222"/>
      <c r="COM607" s="223"/>
      <c r="CON607" s="224"/>
      <c r="COO607" s="222"/>
      <c r="COP607" s="222"/>
      <c r="COQ607" s="222"/>
      <c r="COR607" s="222"/>
      <c r="COS607" s="222"/>
      <c r="COT607" s="222"/>
      <c r="COU607" s="223"/>
      <c r="COV607" s="224"/>
      <c r="COW607" s="222"/>
      <c r="COX607" s="222"/>
      <c r="COY607" s="222"/>
      <c r="COZ607" s="222"/>
      <c r="CPA607" s="222"/>
      <c r="CPB607" s="222"/>
      <c r="CPC607" s="223"/>
      <c r="CPD607" s="224"/>
      <c r="CPE607" s="222"/>
      <c r="CPF607" s="222"/>
      <c r="CPG607" s="222"/>
      <c r="CPH607" s="222"/>
      <c r="CPI607" s="222"/>
      <c r="CPJ607" s="222"/>
      <c r="CPK607" s="223"/>
      <c r="CPL607" s="224"/>
      <c r="CPM607" s="222"/>
      <c r="CPN607" s="222"/>
      <c r="CPO607" s="222"/>
      <c r="CPP607" s="222"/>
      <c r="CPQ607" s="222"/>
      <c r="CPR607" s="222"/>
      <c r="CPS607" s="223"/>
      <c r="CPT607" s="224"/>
      <c r="CPU607" s="222"/>
      <c r="CPV607" s="222"/>
      <c r="CPW607" s="222"/>
      <c r="CPX607" s="222"/>
      <c r="CPY607" s="222"/>
      <c r="CPZ607" s="222"/>
      <c r="CQA607" s="223"/>
      <c r="CQB607" s="224"/>
      <c r="CQC607" s="222"/>
      <c r="CQD607" s="222"/>
      <c r="CQE607" s="222"/>
      <c r="CQF607" s="222"/>
      <c r="CQG607" s="222"/>
      <c r="CQH607" s="222"/>
      <c r="CQI607" s="223"/>
      <c r="CQJ607" s="224"/>
      <c r="CQK607" s="222"/>
      <c r="CQL607" s="222"/>
      <c r="CQM607" s="222"/>
      <c r="CQN607" s="222"/>
      <c r="CQO607" s="222"/>
      <c r="CQP607" s="222"/>
      <c r="CQQ607" s="223"/>
      <c r="CQR607" s="224"/>
      <c r="CQS607" s="222"/>
      <c r="CQT607" s="222"/>
      <c r="CQU607" s="222"/>
      <c r="CQV607" s="222"/>
      <c r="CQW607" s="222"/>
      <c r="CQX607" s="222"/>
      <c r="CQY607" s="223"/>
      <c r="CQZ607" s="224"/>
      <c r="CRA607" s="222"/>
      <c r="CRB607" s="222"/>
      <c r="CRC607" s="222"/>
      <c r="CRD607" s="222"/>
      <c r="CRE607" s="222"/>
      <c r="CRF607" s="222"/>
      <c r="CRG607" s="223"/>
      <c r="CRH607" s="224"/>
      <c r="CRI607" s="222"/>
      <c r="CRJ607" s="222"/>
      <c r="CRK607" s="222"/>
      <c r="CRL607" s="222"/>
      <c r="CRM607" s="222"/>
      <c r="CRN607" s="222"/>
      <c r="CRO607" s="223"/>
      <c r="CRP607" s="224"/>
      <c r="CRQ607" s="222"/>
      <c r="CRR607" s="222"/>
      <c r="CRS607" s="222"/>
      <c r="CRT607" s="222"/>
      <c r="CRU607" s="222"/>
      <c r="CRV607" s="222"/>
      <c r="CRW607" s="223"/>
      <c r="CRX607" s="224"/>
      <c r="CRY607" s="222"/>
      <c r="CRZ607" s="222"/>
      <c r="CSA607" s="222"/>
      <c r="CSB607" s="222"/>
      <c r="CSC607" s="222"/>
      <c r="CSD607" s="222"/>
      <c r="CSE607" s="223"/>
      <c r="CSF607" s="224"/>
      <c r="CSG607" s="222"/>
      <c r="CSH607" s="222"/>
      <c r="CSI607" s="222"/>
      <c r="CSJ607" s="222"/>
      <c r="CSK607" s="222"/>
      <c r="CSL607" s="222"/>
      <c r="CSM607" s="223"/>
      <c r="CSN607" s="224"/>
      <c r="CSO607" s="222"/>
      <c r="CSP607" s="222"/>
      <c r="CSQ607" s="222"/>
      <c r="CSR607" s="222"/>
      <c r="CSS607" s="222"/>
      <c r="CST607" s="222"/>
      <c r="CSU607" s="223"/>
      <c r="CSV607" s="224"/>
      <c r="CSW607" s="222"/>
      <c r="CSX607" s="222"/>
      <c r="CSY607" s="222"/>
      <c r="CSZ607" s="222"/>
      <c r="CTA607" s="222"/>
      <c r="CTB607" s="222"/>
      <c r="CTC607" s="223"/>
      <c r="CTD607" s="224"/>
      <c r="CTE607" s="222"/>
      <c r="CTF607" s="222"/>
      <c r="CTG607" s="222"/>
      <c r="CTH607" s="222"/>
      <c r="CTI607" s="222"/>
      <c r="CTJ607" s="222"/>
      <c r="CTK607" s="223"/>
      <c r="CTL607" s="224"/>
      <c r="CTM607" s="222"/>
      <c r="CTN607" s="222"/>
      <c r="CTO607" s="222"/>
      <c r="CTP607" s="222"/>
      <c r="CTQ607" s="222"/>
      <c r="CTR607" s="222"/>
      <c r="CTS607" s="223"/>
      <c r="CTT607" s="224"/>
      <c r="CTU607" s="222"/>
      <c r="CTV607" s="222"/>
      <c r="CTW607" s="222"/>
      <c r="CTX607" s="222"/>
      <c r="CTY607" s="222"/>
      <c r="CTZ607" s="222"/>
      <c r="CUA607" s="223"/>
      <c r="CUB607" s="224"/>
      <c r="CUC607" s="222"/>
      <c r="CUD607" s="222"/>
      <c r="CUE607" s="222"/>
      <c r="CUF607" s="222"/>
      <c r="CUG607" s="222"/>
      <c r="CUH607" s="222"/>
      <c r="CUI607" s="223"/>
      <c r="CUJ607" s="224"/>
      <c r="CUK607" s="222"/>
      <c r="CUL607" s="222"/>
      <c r="CUM607" s="222"/>
      <c r="CUN607" s="222"/>
      <c r="CUO607" s="222"/>
      <c r="CUP607" s="222"/>
      <c r="CUQ607" s="223"/>
      <c r="CUR607" s="224"/>
      <c r="CUS607" s="222"/>
      <c r="CUT607" s="222"/>
      <c r="CUU607" s="222"/>
      <c r="CUV607" s="222"/>
      <c r="CUW607" s="222"/>
      <c r="CUX607" s="222"/>
      <c r="CUY607" s="223"/>
      <c r="CUZ607" s="224"/>
      <c r="CVA607" s="222"/>
      <c r="CVB607" s="222"/>
      <c r="CVC607" s="222"/>
      <c r="CVD607" s="222"/>
      <c r="CVE607" s="222"/>
      <c r="CVF607" s="222"/>
      <c r="CVG607" s="223"/>
      <c r="CVH607" s="224"/>
      <c r="CVI607" s="222"/>
      <c r="CVJ607" s="222"/>
      <c r="CVK607" s="222"/>
      <c r="CVL607" s="222"/>
      <c r="CVM607" s="222"/>
      <c r="CVN607" s="222"/>
      <c r="CVO607" s="223"/>
      <c r="CVP607" s="224"/>
      <c r="CVQ607" s="222"/>
      <c r="CVR607" s="222"/>
      <c r="CVS607" s="222"/>
      <c r="CVT607" s="222"/>
      <c r="CVU607" s="222"/>
      <c r="CVV607" s="222"/>
      <c r="CVW607" s="223"/>
      <c r="CVX607" s="224"/>
      <c r="CVY607" s="222"/>
      <c r="CVZ607" s="222"/>
      <c r="CWA607" s="222"/>
      <c r="CWB607" s="222"/>
      <c r="CWC607" s="222"/>
      <c r="CWD607" s="222"/>
      <c r="CWE607" s="223"/>
      <c r="CWF607" s="224"/>
      <c r="CWG607" s="222"/>
      <c r="CWH607" s="222"/>
      <c r="CWI607" s="222"/>
      <c r="CWJ607" s="222"/>
      <c r="CWK607" s="222"/>
      <c r="CWL607" s="222"/>
      <c r="CWM607" s="223"/>
      <c r="CWN607" s="224"/>
      <c r="CWO607" s="222"/>
      <c r="CWP607" s="222"/>
      <c r="CWQ607" s="222"/>
      <c r="CWR607" s="222"/>
      <c r="CWS607" s="222"/>
      <c r="CWT607" s="222"/>
      <c r="CWU607" s="223"/>
      <c r="CWV607" s="224"/>
      <c r="CWW607" s="222"/>
      <c r="CWX607" s="222"/>
      <c r="CWY607" s="222"/>
      <c r="CWZ607" s="222"/>
      <c r="CXA607" s="222"/>
      <c r="CXB607" s="222"/>
      <c r="CXC607" s="223"/>
      <c r="CXD607" s="224"/>
      <c r="CXE607" s="222"/>
      <c r="CXF607" s="222"/>
      <c r="CXG607" s="222"/>
      <c r="CXH607" s="222"/>
      <c r="CXI607" s="222"/>
      <c r="CXJ607" s="222"/>
      <c r="CXK607" s="223"/>
      <c r="CXL607" s="224"/>
      <c r="CXM607" s="222"/>
      <c r="CXN607" s="222"/>
      <c r="CXO607" s="222"/>
      <c r="CXP607" s="222"/>
      <c r="CXQ607" s="222"/>
      <c r="CXR607" s="222"/>
      <c r="CXS607" s="223"/>
      <c r="CXT607" s="224"/>
      <c r="CXU607" s="222"/>
      <c r="CXV607" s="222"/>
      <c r="CXW607" s="222"/>
      <c r="CXX607" s="222"/>
      <c r="CXY607" s="222"/>
      <c r="CXZ607" s="222"/>
      <c r="CYA607" s="223"/>
      <c r="CYB607" s="224"/>
      <c r="CYC607" s="222"/>
      <c r="CYD607" s="222"/>
      <c r="CYE607" s="222"/>
      <c r="CYF607" s="222"/>
      <c r="CYG607" s="222"/>
      <c r="CYH607" s="222"/>
      <c r="CYI607" s="223"/>
      <c r="CYJ607" s="224"/>
      <c r="CYK607" s="222"/>
      <c r="CYL607" s="222"/>
      <c r="CYM607" s="222"/>
      <c r="CYN607" s="222"/>
      <c r="CYO607" s="222"/>
      <c r="CYP607" s="222"/>
      <c r="CYQ607" s="223"/>
      <c r="CYR607" s="224"/>
      <c r="CYS607" s="222"/>
      <c r="CYT607" s="222"/>
      <c r="CYU607" s="222"/>
      <c r="CYV607" s="222"/>
      <c r="CYW607" s="222"/>
      <c r="CYX607" s="222"/>
      <c r="CYY607" s="223"/>
      <c r="CYZ607" s="224"/>
      <c r="CZA607" s="222"/>
      <c r="CZB607" s="222"/>
      <c r="CZC607" s="222"/>
      <c r="CZD607" s="222"/>
      <c r="CZE607" s="222"/>
      <c r="CZF607" s="222"/>
      <c r="CZG607" s="223"/>
      <c r="CZH607" s="224"/>
      <c r="CZI607" s="222"/>
      <c r="CZJ607" s="222"/>
      <c r="CZK607" s="222"/>
      <c r="CZL607" s="222"/>
      <c r="CZM607" s="222"/>
      <c r="CZN607" s="222"/>
      <c r="CZO607" s="223"/>
      <c r="CZP607" s="224"/>
      <c r="CZQ607" s="222"/>
      <c r="CZR607" s="222"/>
      <c r="CZS607" s="222"/>
      <c r="CZT607" s="222"/>
      <c r="CZU607" s="222"/>
      <c r="CZV607" s="222"/>
      <c r="CZW607" s="223"/>
      <c r="CZX607" s="224"/>
      <c r="CZY607" s="222"/>
      <c r="CZZ607" s="222"/>
      <c r="DAA607" s="222"/>
      <c r="DAB607" s="222"/>
      <c r="DAC607" s="222"/>
      <c r="DAD607" s="222"/>
      <c r="DAE607" s="223"/>
      <c r="DAF607" s="224"/>
      <c r="DAG607" s="222"/>
      <c r="DAH607" s="222"/>
      <c r="DAI607" s="222"/>
      <c r="DAJ607" s="222"/>
      <c r="DAK607" s="222"/>
      <c r="DAL607" s="222"/>
      <c r="DAM607" s="223"/>
      <c r="DAN607" s="224"/>
      <c r="DAO607" s="222"/>
      <c r="DAP607" s="222"/>
      <c r="DAQ607" s="222"/>
      <c r="DAR607" s="222"/>
      <c r="DAS607" s="222"/>
      <c r="DAT607" s="222"/>
      <c r="DAU607" s="223"/>
      <c r="DAV607" s="224"/>
      <c r="DAW607" s="222"/>
      <c r="DAX607" s="222"/>
      <c r="DAY607" s="222"/>
      <c r="DAZ607" s="222"/>
      <c r="DBA607" s="222"/>
      <c r="DBB607" s="222"/>
      <c r="DBC607" s="223"/>
      <c r="DBD607" s="224"/>
      <c r="DBE607" s="222"/>
      <c r="DBF607" s="222"/>
      <c r="DBG607" s="222"/>
      <c r="DBH607" s="222"/>
      <c r="DBI607" s="222"/>
      <c r="DBJ607" s="222"/>
      <c r="DBK607" s="223"/>
      <c r="DBL607" s="224"/>
      <c r="DBM607" s="222"/>
      <c r="DBN607" s="222"/>
      <c r="DBO607" s="222"/>
      <c r="DBP607" s="222"/>
      <c r="DBQ607" s="222"/>
      <c r="DBR607" s="222"/>
      <c r="DBS607" s="223"/>
      <c r="DBT607" s="224"/>
      <c r="DBU607" s="222"/>
      <c r="DBV607" s="222"/>
      <c r="DBW607" s="222"/>
      <c r="DBX607" s="222"/>
      <c r="DBY607" s="222"/>
      <c r="DBZ607" s="222"/>
      <c r="DCA607" s="223"/>
      <c r="DCB607" s="224"/>
      <c r="DCC607" s="222"/>
      <c r="DCD607" s="222"/>
      <c r="DCE607" s="222"/>
      <c r="DCF607" s="222"/>
      <c r="DCG607" s="222"/>
      <c r="DCH607" s="222"/>
      <c r="DCI607" s="223"/>
      <c r="DCJ607" s="224"/>
      <c r="DCK607" s="222"/>
      <c r="DCL607" s="222"/>
      <c r="DCM607" s="222"/>
      <c r="DCN607" s="222"/>
      <c r="DCO607" s="222"/>
      <c r="DCP607" s="222"/>
      <c r="DCQ607" s="223"/>
      <c r="DCR607" s="224"/>
      <c r="DCS607" s="222"/>
      <c r="DCT607" s="222"/>
      <c r="DCU607" s="222"/>
      <c r="DCV607" s="222"/>
      <c r="DCW607" s="222"/>
      <c r="DCX607" s="222"/>
      <c r="DCY607" s="223"/>
      <c r="DCZ607" s="224"/>
      <c r="DDA607" s="222"/>
      <c r="DDB607" s="222"/>
      <c r="DDC607" s="222"/>
      <c r="DDD607" s="222"/>
      <c r="DDE607" s="222"/>
      <c r="DDF607" s="222"/>
      <c r="DDG607" s="223"/>
      <c r="DDH607" s="224"/>
      <c r="DDI607" s="222"/>
      <c r="DDJ607" s="222"/>
      <c r="DDK607" s="222"/>
      <c r="DDL607" s="222"/>
      <c r="DDM607" s="222"/>
      <c r="DDN607" s="222"/>
      <c r="DDO607" s="223"/>
      <c r="DDP607" s="224"/>
      <c r="DDQ607" s="222"/>
      <c r="DDR607" s="222"/>
      <c r="DDS607" s="222"/>
      <c r="DDT607" s="222"/>
      <c r="DDU607" s="222"/>
      <c r="DDV607" s="222"/>
      <c r="DDW607" s="223"/>
      <c r="DDX607" s="224"/>
      <c r="DDY607" s="222"/>
      <c r="DDZ607" s="222"/>
      <c r="DEA607" s="222"/>
      <c r="DEB607" s="222"/>
      <c r="DEC607" s="222"/>
      <c r="DED607" s="222"/>
      <c r="DEE607" s="223"/>
      <c r="DEF607" s="224"/>
      <c r="DEG607" s="222"/>
      <c r="DEH607" s="222"/>
      <c r="DEI607" s="222"/>
      <c r="DEJ607" s="222"/>
      <c r="DEK607" s="222"/>
      <c r="DEL607" s="222"/>
      <c r="DEM607" s="223"/>
      <c r="DEN607" s="224"/>
      <c r="DEO607" s="222"/>
      <c r="DEP607" s="222"/>
      <c r="DEQ607" s="222"/>
      <c r="DER607" s="222"/>
      <c r="DES607" s="222"/>
      <c r="DET607" s="222"/>
      <c r="DEU607" s="223"/>
      <c r="DEV607" s="224"/>
      <c r="DEW607" s="222"/>
      <c r="DEX607" s="222"/>
      <c r="DEY607" s="222"/>
      <c r="DEZ607" s="222"/>
      <c r="DFA607" s="222"/>
      <c r="DFB607" s="222"/>
      <c r="DFC607" s="223"/>
      <c r="DFD607" s="224"/>
      <c r="DFE607" s="222"/>
      <c r="DFF607" s="222"/>
      <c r="DFG607" s="222"/>
      <c r="DFH607" s="222"/>
      <c r="DFI607" s="222"/>
      <c r="DFJ607" s="222"/>
      <c r="DFK607" s="223"/>
      <c r="DFL607" s="224"/>
      <c r="DFM607" s="222"/>
      <c r="DFN607" s="222"/>
      <c r="DFO607" s="222"/>
      <c r="DFP607" s="222"/>
      <c r="DFQ607" s="222"/>
      <c r="DFR607" s="222"/>
      <c r="DFS607" s="223"/>
      <c r="DFT607" s="224"/>
      <c r="DFU607" s="222"/>
      <c r="DFV607" s="222"/>
      <c r="DFW607" s="222"/>
      <c r="DFX607" s="222"/>
      <c r="DFY607" s="222"/>
      <c r="DFZ607" s="222"/>
      <c r="DGA607" s="223"/>
      <c r="DGB607" s="224"/>
      <c r="DGC607" s="222"/>
      <c r="DGD607" s="222"/>
      <c r="DGE607" s="222"/>
      <c r="DGF607" s="222"/>
      <c r="DGG607" s="222"/>
      <c r="DGH607" s="222"/>
      <c r="DGI607" s="223"/>
      <c r="DGJ607" s="224"/>
      <c r="DGK607" s="222"/>
      <c r="DGL607" s="222"/>
      <c r="DGM607" s="222"/>
      <c r="DGN607" s="222"/>
      <c r="DGO607" s="222"/>
      <c r="DGP607" s="222"/>
      <c r="DGQ607" s="223"/>
      <c r="DGR607" s="224"/>
      <c r="DGS607" s="222"/>
      <c r="DGT607" s="222"/>
      <c r="DGU607" s="222"/>
      <c r="DGV607" s="222"/>
      <c r="DGW607" s="222"/>
      <c r="DGX607" s="222"/>
      <c r="DGY607" s="223"/>
      <c r="DGZ607" s="224"/>
      <c r="DHA607" s="222"/>
      <c r="DHB607" s="222"/>
      <c r="DHC607" s="222"/>
      <c r="DHD607" s="222"/>
      <c r="DHE607" s="222"/>
      <c r="DHF607" s="222"/>
      <c r="DHG607" s="223"/>
      <c r="DHH607" s="224"/>
      <c r="DHI607" s="222"/>
      <c r="DHJ607" s="222"/>
      <c r="DHK607" s="222"/>
      <c r="DHL607" s="222"/>
      <c r="DHM607" s="222"/>
      <c r="DHN607" s="222"/>
      <c r="DHO607" s="223"/>
      <c r="DHP607" s="224"/>
      <c r="DHQ607" s="222"/>
      <c r="DHR607" s="222"/>
      <c r="DHS607" s="222"/>
      <c r="DHT607" s="222"/>
      <c r="DHU607" s="222"/>
      <c r="DHV607" s="222"/>
      <c r="DHW607" s="223"/>
      <c r="DHX607" s="224"/>
      <c r="DHY607" s="222"/>
      <c r="DHZ607" s="222"/>
      <c r="DIA607" s="222"/>
      <c r="DIB607" s="222"/>
      <c r="DIC607" s="222"/>
      <c r="DID607" s="222"/>
      <c r="DIE607" s="223"/>
      <c r="DIF607" s="224"/>
      <c r="DIG607" s="222"/>
      <c r="DIH607" s="222"/>
      <c r="DII607" s="222"/>
      <c r="DIJ607" s="222"/>
      <c r="DIK607" s="222"/>
      <c r="DIL607" s="222"/>
      <c r="DIM607" s="223"/>
      <c r="DIN607" s="224"/>
      <c r="DIO607" s="222"/>
      <c r="DIP607" s="222"/>
      <c r="DIQ607" s="222"/>
      <c r="DIR607" s="222"/>
      <c r="DIS607" s="222"/>
      <c r="DIT607" s="222"/>
      <c r="DIU607" s="223"/>
      <c r="DIV607" s="224"/>
      <c r="DIW607" s="222"/>
      <c r="DIX607" s="222"/>
      <c r="DIY607" s="222"/>
      <c r="DIZ607" s="222"/>
      <c r="DJA607" s="222"/>
      <c r="DJB607" s="222"/>
      <c r="DJC607" s="223"/>
      <c r="DJD607" s="224"/>
      <c r="DJE607" s="222"/>
      <c r="DJF607" s="222"/>
      <c r="DJG607" s="222"/>
      <c r="DJH607" s="222"/>
      <c r="DJI607" s="222"/>
      <c r="DJJ607" s="222"/>
      <c r="DJK607" s="223"/>
      <c r="DJL607" s="224"/>
      <c r="DJM607" s="222"/>
      <c r="DJN607" s="222"/>
      <c r="DJO607" s="222"/>
      <c r="DJP607" s="222"/>
      <c r="DJQ607" s="222"/>
      <c r="DJR607" s="222"/>
      <c r="DJS607" s="223"/>
      <c r="DJT607" s="224"/>
      <c r="DJU607" s="222"/>
      <c r="DJV607" s="222"/>
      <c r="DJW607" s="222"/>
      <c r="DJX607" s="222"/>
      <c r="DJY607" s="222"/>
      <c r="DJZ607" s="222"/>
      <c r="DKA607" s="223"/>
      <c r="DKB607" s="224"/>
      <c r="DKC607" s="222"/>
      <c r="DKD607" s="222"/>
      <c r="DKE607" s="222"/>
      <c r="DKF607" s="222"/>
      <c r="DKG607" s="222"/>
      <c r="DKH607" s="222"/>
      <c r="DKI607" s="223"/>
      <c r="DKJ607" s="224"/>
      <c r="DKK607" s="222"/>
      <c r="DKL607" s="222"/>
      <c r="DKM607" s="222"/>
      <c r="DKN607" s="222"/>
      <c r="DKO607" s="222"/>
      <c r="DKP607" s="222"/>
      <c r="DKQ607" s="223"/>
      <c r="DKR607" s="224"/>
      <c r="DKS607" s="222"/>
      <c r="DKT607" s="222"/>
      <c r="DKU607" s="222"/>
      <c r="DKV607" s="222"/>
      <c r="DKW607" s="222"/>
      <c r="DKX607" s="222"/>
      <c r="DKY607" s="223"/>
      <c r="DKZ607" s="224"/>
      <c r="DLA607" s="222"/>
      <c r="DLB607" s="222"/>
      <c r="DLC607" s="222"/>
      <c r="DLD607" s="222"/>
      <c r="DLE607" s="222"/>
      <c r="DLF607" s="222"/>
      <c r="DLG607" s="223"/>
      <c r="DLH607" s="224"/>
      <c r="DLI607" s="222"/>
      <c r="DLJ607" s="222"/>
      <c r="DLK607" s="222"/>
      <c r="DLL607" s="222"/>
      <c r="DLM607" s="222"/>
      <c r="DLN607" s="222"/>
      <c r="DLO607" s="223"/>
      <c r="DLP607" s="224"/>
      <c r="DLQ607" s="222"/>
      <c r="DLR607" s="222"/>
      <c r="DLS607" s="222"/>
      <c r="DLT607" s="222"/>
      <c r="DLU607" s="222"/>
      <c r="DLV607" s="222"/>
      <c r="DLW607" s="223"/>
      <c r="DLX607" s="224"/>
      <c r="DLY607" s="222"/>
      <c r="DLZ607" s="222"/>
      <c r="DMA607" s="222"/>
      <c r="DMB607" s="222"/>
      <c r="DMC607" s="222"/>
      <c r="DMD607" s="222"/>
      <c r="DME607" s="223"/>
      <c r="DMF607" s="224"/>
      <c r="DMG607" s="222"/>
      <c r="DMH607" s="222"/>
      <c r="DMI607" s="222"/>
      <c r="DMJ607" s="222"/>
      <c r="DMK607" s="222"/>
      <c r="DML607" s="222"/>
      <c r="DMM607" s="223"/>
      <c r="DMN607" s="224"/>
      <c r="DMO607" s="222"/>
      <c r="DMP607" s="222"/>
      <c r="DMQ607" s="222"/>
      <c r="DMR607" s="222"/>
      <c r="DMS607" s="222"/>
      <c r="DMT607" s="222"/>
      <c r="DMU607" s="223"/>
      <c r="DMV607" s="224"/>
      <c r="DMW607" s="222"/>
      <c r="DMX607" s="222"/>
      <c r="DMY607" s="222"/>
      <c r="DMZ607" s="222"/>
      <c r="DNA607" s="222"/>
      <c r="DNB607" s="222"/>
      <c r="DNC607" s="223"/>
      <c r="DND607" s="224"/>
      <c r="DNE607" s="222"/>
      <c r="DNF607" s="222"/>
      <c r="DNG607" s="222"/>
      <c r="DNH607" s="222"/>
      <c r="DNI607" s="222"/>
      <c r="DNJ607" s="222"/>
      <c r="DNK607" s="223"/>
      <c r="DNL607" s="224"/>
      <c r="DNM607" s="222"/>
      <c r="DNN607" s="222"/>
      <c r="DNO607" s="222"/>
      <c r="DNP607" s="222"/>
      <c r="DNQ607" s="222"/>
      <c r="DNR607" s="222"/>
      <c r="DNS607" s="223"/>
      <c r="DNT607" s="224"/>
      <c r="DNU607" s="222"/>
      <c r="DNV607" s="222"/>
      <c r="DNW607" s="222"/>
      <c r="DNX607" s="222"/>
      <c r="DNY607" s="222"/>
      <c r="DNZ607" s="222"/>
      <c r="DOA607" s="223"/>
      <c r="DOB607" s="224"/>
      <c r="DOC607" s="222"/>
      <c r="DOD607" s="222"/>
      <c r="DOE607" s="222"/>
      <c r="DOF607" s="222"/>
      <c r="DOG607" s="222"/>
      <c r="DOH607" s="222"/>
      <c r="DOI607" s="223"/>
      <c r="DOJ607" s="224"/>
      <c r="DOK607" s="222"/>
      <c r="DOL607" s="222"/>
      <c r="DOM607" s="222"/>
      <c r="DON607" s="222"/>
      <c r="DOO607" s="222"/>
      <c r="DOP607" s="222"/>
      <c r="DOQ607" s="223"/>
      <c r="DOR607" s="224"/>
      <c r="DOS607" s="222"/>
      <c r="DOT607" s="222"/>
      <c r="DOU607" s="222"/>
      <c r="DOV607" s="222"/>
      <c r="DOW607" s="222"/>
      <c r="DOX607" s="222"/>
      <c r="DOY607" s="223"/>
      <c r="DOZ607" s="224"/>
      <c r="DPA607" s="222"/>
      <c r="DPB607" s="222"/>
      <c r="DPC607" s="222"/>
      <c r="DPD607" s="222"/>
      <c r="DPE607" s="222"/>
      <c r="DPF607" s="222"/>
      <c r="DPG607" s="223"/>
      <c r="DPH607" s="224"/>
      <c r="DPI607" s="222"/>
      <c r="DPJ607" s="222"/>
      <c r="DPK607" s="222"/>
      <c r="DPL607" s="222"/>
      <c r="DPM607" s="222"/>
      <c r="DPN607" s="222"/>
      <c r="DPO607" s="223"/>
      <c r="DPP607" s="224"/>
      <c r="DPQ607" s="222"/>
      <c r="DPR607" s="222"/>
      <c r="DPS607" s="222"/>
      <c r="DPT607" s="222"/>
      <c r="DPU607" s="222"/>
      <c r="DPV607" s="222"/>
      <c r="DPW607" s="223"/>
      <c r="DPX607" s="224"/>
      <c r="DPY607" s="222"/>
      <c r="DPZ607" s="222"/>
      <c r="DQA607" s="222"/>
      <c r="DQB607" s="222"/>
      <c r="DQC607" s="222"/>
      <c r="DQD607" s="222"/>
      <c r="DQE607" s="223"/>
      <c r="DQF607" s="224"/>
      <c r="DQG607" s="222"/>
      <c r="DQH607" s="222"/>
      <c r="DQI607" s="222"/>
      <c r="DQJ607" s="222"/>
      <c r="DQK607" s="222"/>
      <c r="DQL607" s="222"/>
      <c r="DQM607" s="223"/>
      <c r="DQN607" s="224"/>
      <c r="DQO607" s="222"/>
      <c r="DQP607" s="222"/>
      <c r="DQQ607" s="222"/>
      <c r="DQR607" s="222"/>
      <c r="DQS607" s="222"/>
      <c r="DQT607" s="222"/>
      <c r="DQU607" s="223"/>
      <c r="DQV607" s="224"/>
      <c r="DQW607" s="222"/>
      <c r="DQX607" s="222"/>
      <c r="DQY607" s="222"/>
      <c r="DQZ607" s="222"/>
      <c r="DRA607" s="222"/>
      <c r="DRB607" s="222"/>
      <c r="DRC607" s="223"/>
      <c r="DRD607" s="224"/>
      <c r="DRE607" s="222"/>
      <c r="DRF607" s="222"/>
      <c r="DRG607" s="222"/>
      <c r="DRH607" s="222"/>
      <c r="DRI607" s="222"/>
      <c r="DRJ607" s="222"/>
      <c r="DRK607" s="223"/>
      <c r="DRL607" s="224"/>
      <c r="DRM607" s="222"/>
      <c r="DRN607" s="222"/>
      <c r="DRO607" s="222"/>
      <c r="DRP607" s="222"/>
      <c r="DRQ607" s="222"/>
      <c r="DRR607" s="222"/>
      <c r="DRS607" s="223"/>
      <c r="DRT607" s="224"/>
      <c r="DRU607" s="222"/>
      <c r="DRV607" s="222"/>
      <c r="DRW607" s="222"/>
      <c r="DRX607" s="222"/>
      <c r="DRY607" s="222"/>
      <c r="DRZ607" s="222"/>
      <c r="DSA607" s="223"/>
      <c r="DSB607" s="224"/>
      <c r="DSC607" s="222"/>
      <c r="DSD607" s="222"/>
      <c r="DSE607" s="222"/>
      <c r="DSF607" s="222"/>
      <c r="DSG607" s="222"/>
      <c r="DSH607" s="222"/>
      <c r="DSI607" s="223"/>
      <c r="DSJ607" s="224"/>
      <c r="DSK607" s="222"/>
      <c r="DSL607" s="222"/>
      <c r="DSM607" s="222"/>
      <c r="DSN607" s="222"/>
      <c r="DSO607" s="222"/>
      <c r="DSP607" s="222"/>
      <c r="DSQ607" s="223"/>
      <c r="DSR607" s="224"/>
      <c r="DSS607" s="222"/>
      <c r="DST607" s="222"/>
      <c r="DSU607" s="222"/>
      <c r="DSV607" s="222"/>
      <c r="DSW607" s="222"/>
      <c r="DSX607" s="222"/>
      <c r="DSY607" s="223"/>
      <c r="DSZ607" s="224"/>
      <c r="DTA607" s="222"/>
      <c r="DTB607" s="222"/>
      <c r="DTC607" s="222"/>
      <c r="DTD607" s="222"/>
      <c r="DTE607" s="222"/>
      <c r="DTF607" s="222"/>
      <c r="DTG607" s="223"/>
      <c r="DTH607" s="224"/>
      <c r="DTI607" s="222"/>
      <c r="DTJ607" s="222"/>
      <c r="DTK607" s="222"/>
      <c r="DTL607" s="222"/>
      <c r="DTM607" s="222"/>
      <c r="DTN607" s="222"/>
      <c r="DTO607" s="223"/>
      <c r="DTP607" s="224"/>
      <c r="DTQ607" s="222"/>
      <c r="DTR607" s="222"/>
      <c r="DTS607" s="222"/>
      <c r="DTT607" s="222"/>
      <c r="DTU607" s="222"/>
      <c r="DTV607" s="222"/>
      <c r="DTW607" s="223"/>
      <c r="DTX607" s="224"/>
      <c r="DTY607" s="222"/>
      <c r="DTZ607" s="222"/>
      <c r="DUA607" s="222"/>
      <c r="DUB607" s="222"/>
      <c r="DUC607" s="222"/>
      <c r="DUD607" s="222"/>
      <c r="DUE607" s="223"/>
      <c r="DUF607" s="224"/>
      <c r="DUG607" s="222"/>
      <c r="DUH607" s="222"/>
      <c r="DUI607" s="222"/>
      <c r="DUJ607" s="222"/>
      <c r="DUK607" s="222"/>
      <c r="DUL607" s="222"/>
      <c r="DUM607" s="223"/>
      <c r="DUN607" s="224"/>
      <c r="DUO607" s="222"/>
      <c r="DUP607" s="222"/>
      <c r="DUQ607" s="222"/>
      <c r="DUR607" s="222"/>
      <c r="DUS607" s="222"/>
      <c r="DUT607" s="222"/>
      <c r="DUU607" s="223"/>
      <c r="DUV607" s="224"/>
      <c r="DUW607" s="222"/>
      <c r="DUX607" s="222"/>
      <c r="DUY607" s="222"/>
      <c r="DUZ607" s="222"/>
      <c r="DVA607" s="222"/>
      <c r="DVB607" s="222"/>
      <c r="DVC607" s="223"/>
      <c r="DVD607" s="224"/>
      <c r="DVE607" s="222"/>
      <c r="DVF607" s="222"/>
      <c r="DVG607" s="222"/>
      <c r="DVH607" s="222"/>
      <c r="DVI607" s="222"/>
      <c r="DVJ607" s="222"/>
      <c r="DVK607" s="223"/>
      <c r="DVL607" s="224"/>
      <c r="DVM607" s="222"/>
      <c r="DVN607" s="222"/>
      <c r="DVO607" s="222"/>
      <c r="DVP607" s="222"/>
      <c r="DVQ607" s="222"/>
      <c r="DVR607" s="222"/>
      <c r="DVS607" s="223"/>
      <c r="DVT607" s="224"/>
      <c r="DVU607" s="222"/>
      <c r="DVV607" s="222"/>
      <c r="DVW607" s="222"/>
      <c r="DVX607" s="222"/>
      <c r="DVY607" s="222"/>
      <c r="DVZ607" s="222"/>
      <c r="DWA607" s="223"/>
      <c r="DWB607" s="224"/>
      <c r="DWC607" s="222"/>
      <c r="DWD607" s="222"/>
      <c r="DWE607" s="222"/>
      <c r="DWF607" s="222"/>
      <c r="DWG607" s="222"/>
      <c r="DWH607" s="222"/>
      <c r="DWI607" s="223"/>
      <c r="DWJ607" s="224"/>
      <c r="DWK607" s="222"/>
      <c r="DWL607" s="222"/>
      <c r="DWM607" s="222"/>
      <c r="DWN607" s="222"/>
      <c r="DWO607" s="222"/>
      <c r="DWP607" s="222"/>
      <c r="DWQ607" s="223"/>
      <c r="DWR607" s="224"/>
      <c r="DWS607" s="222"/>
      <c r="DWT607" s="222"/>
      <c r="DWU607" s="222"/>
      <c r="DWV607" s="222"/>
      <c r="DWW607" s="222"/>
      <c r="DWX607" s="222"/>
      <c r="DWY607" s="223"/>
      <c r="DWZ607" s="224"/>
      <c r="DXA607" s="222"/>
      <c r="DXB607" s="222"/>
      <c r="DXC607" s="222"/>
      <c r="DXD607" s="222"/>
      <c r="DXE607" s="222"/>
      <c r="DXF607" s="222"/>
      <c r="DXG607" s="223"/>
      <c r="DXH607" s="224"/>
      <c r="DXI607" s="222"/>
      <c r="DXJ607" s="222"/>
      <c r="DXK607" s="222"/>
      <c r="DXL607" s="222"/>
      <c r="DXM607" s="222"/>
      <c r="DXN607" s="222"/>
      <c r="DXO607" s="223"/>
      <c r="DXP607" s="224"/>
      <c r="DXQ607" s="222"/>
      <c r="DXR607" s="222"/>
      <c r="DXS607" s="222"/>
      <c r="DXT607" s="222"/>
      <c r="DXU607" s="222"/>
      <c r="DXV607" s="222"/>
      <c r="DXW607" s="223"/>
      <c r="DXX607" s="224"/>
      <c r="DXY607" s="222"/>
      <c r="DXZ607" s="222"/>
      <c r="DYA607" s="222"/>
      <c r="DYB607" s="222"/>
      <c r="DYC607" s="222"/>
      <c r="DYD607" s="222"/>
      <c r="DYE607" s="223"/>
      <c r="DYF607" s="224"/>
      <c r="DYG607" s="222"/>
      <c r="DYH607" s="222"/>
      <c r="DYI607" s="222"/>
      <c r="DYJ607" s="222"/>
      <c r="DYK607" s="222"/>
      <c r="DYL607" s="222"/>
      <c r="DYM607" s="223"/>
      <c r="DYN607" s="224"/>
      <c r="DYO607" s="222"/>
      <c r="DYP607" s="222"/>
      <c r="DYQ607" s="222"/>
      <c r="DYR607" s="222"/>
      <c r="DYS607" s="222"/>
      <c r="DYT607" s="222"/>
      <c r="DYU607" s="223"/>
      <c r="DYV607" s="224"/>
      <c r="DYW607" s="222"/>
      <c r="DYX607" s="222"/>
      <c r="DYY607" s="222"/>
      <c r="DYZ607" s="222"/>
      <c r="DZA607" s="222"/>
      <c r="DZB607" s="222"/>
      <c r="DZC607" s="223"/>
      <c r="DZD607" s="224"/>
      <c r="DZE607" s="222"/>
      <c r="DZF607" s="222"/>
      <c r="DZG607" s="222"/>
      <c r="DZH607" s="222"/>
      <c r="DZI607" s="222"/>
      <c r="DZJ607" s="222"/>
      <c r="DZK607" s="223"/>
      <c r="DZL607" s="224"/>
      <c r="DZM607" s="222"/>
      <c r="DZN607" s="222"/>
      <c r="DZO607" s="222"/>
      <c r="DZP607" s="222"/>
      <c r="DZQ607" s="222"/>
      <c r="DZR607" s="222"/>
      <c r="DZS607" s="223"/>
      <c r="DZT607" s="224"/>
      <c r="DZU607" s="222"/>
      <c r="DZV607" s="222"/>
      <c r="DZW607" s="222"/>
      <c r="DZX607" s="222"/>
      <c r="DZY607" s="222"/>
      <c r="DZZ607" s="222"/>
      <c r="EAA607" s="223"/>
      <c r="EAB607" s="224"/>
      <c r="EAC607" s="222"/>
      <c r="EAD607" s="222"/>
      <c r="EAE607" s="222"/>
      <c r="EAF607" s="222"/>
      <c r="EAG607" s="222"/>
      <c r="EAH607" s="222"/>
      <c r="EAI607" s="223"/>
      <c r="EAJ607" s="224"/>
      <c r="EAK607" s="222"/>
      <c r="EAL607" s="222"/>
      <c r="EAM607" s="222"/>
      <c r="EAN607" s="222"/>
      <c r="EAO607" s="222"/>
      <c r="EAP607" s="222"/>
      <c r="EAQ607" s="223"/>
      <c r="EAR607" s="224"/>
      <c r="EAS607" s="222"/>
      <c r="EAT607" s="222"/>
      <c r="EAU607" s="222"/>
      <c r="EAV607" s="222"/>
      <c r="EAW607" s="222"/>
      <c r="EAX607" s="222"/>
      <c r="EAY607" s="223"/>
      <c r="EAZ607" s="224"/>
      <c r="EBA607" s="222"/>
      <c r="EBB607" s="222"/>
      <c r="EBC607" s="222"/>
      <c r="EBD607" s="222"/>
      <c r="EBE607" s="222"/>
      <c r="EBF607" s="222"/>
      <c r="EBG607" s="223"/>
      <c r="EBH607" s="224"/>
      <c r="EBI607" s="222"/>
      <c r="EBJ607" s="222"/>
      <c r="EBK607" s="222"/>
      <c r="EBL607" s="222"/>
      <c r="EBM607" s="222"/>
      <c r="EBN607" s="222"/>
      <c r="EBO607" s="223"/>
      <c r="EBP607" s="224"/>
      <c r="EBQ607" s="222"/>
      <c r="EBR607" s="222"/>
      <c r="EBS607" s="222"/>
      <c r="EBT607" s="222"/>
      <c r="EBU607" s="222"/>
      <c r="EBV607" s="222"/>
      <c r="EBW607" s="223"/>
      <c r="EBX607" s="224"/>
      <c r="EBY607" s="222"/>
      <c r="EBZ607" s="222"/>
      <c r="ECA607" s="222"/>
      <c r="ECB607" s="222"/>
      <c r="ECC607" s="222"/>
      <c r="ECD607" s="222"/>
      <c r="ECE607" s="223"/>
      <c r="ECF607" s="224"/>
      <c r="ECG607" s="222"/>
      <c r="ECH607" s="222"/>
      <c r="ECI607" s="222"/>
      <c r="ECJ607" s="222"/>
      <c r="ECK607" s="222"/>
      <c r="ECL607" s="222"/>
      <c r="ECM607" s="223"/>
      <c r="ECN607" s="224"/>
      <c r="ECO607" s="222"/>
      <c r="ECP607" s="222"/>
      <c r="ECQ607" s="222"/>
      <c r="ECR607" s="222"/>
      <c r="ECS607" s="222"/>
      <c r="ECT607" s="222"/>
      <c r="ECU607" s="223"/>
      <c r="ECV607" s="224"/>
      <c r="ECW607" s="222"/>
      <c r="ECX607" s="222"/>
      <c r="ECY607" s="222"/>
      <c r="ECZ607" s="222"/>
      <c r="EDA607" s="222"/>
      <c r="EDB607" s="222"/>
      <c r="EDC607" s="223"/>
      <c r="EDD607" s="224"/>
      <c r="EDE607" s="222"/>
      <c r="EDF607" s="222"/>
      <c r="EDG607" s="222"/>
      <c r="EDH607" s="222"/>
      <c r="EDI607" s="222"/>
      <c r="EDJ607" s="222"/>
      <c r="EDK607" s="223"/>
      <c r="EDL607" s="224"/>
      <c r="EDM607" s="222"/>
      <c r="EDN607" s="222"/>
      <c r="EDO607" s="222"/>
      <c r="EDP607" s="222"/>
      <c r="EDQ607" s="222"/>
      <c r="EDR607" s="222"/>
      <c r="EDS607" s="223"/>
      <c r="EDT607" s="224"/>
      <c r="EDU607" s="222"/>
      <c r="EDV607" s="222"/>
      <c r="EDW607" s="222"/>
      <c r="EDX607" s="222"/>
      <c r="EDY607" s="222"/>
      <c r="EDZ607" s="222"/>
      <c r="EEA607" s="223"/>
      <c r="EEB607" s="224"/>
      <c r="EEC607" s="222"/>
      <c r="EED607" s="222"/>
      <c r="EEE607" s="222"/>
      <c r="EEF607" s="222"/>
      <c r="EEG607" s="222"/>
      <c r="EEH607" s="222"/>
      <c r="EEI607" s="223"/>
      <c r="EEJ607" s="224"/>
      <c r="EEK607" s="222"/>
      <c r="EEL607" s="222"/>
      <c r="EEM607" s="222"/>
      <c r="EEN607" s="222"/>
      <c r="EEO607" s="222"/>
      <c r="EEP607" s="222"/>
      <c r="EEQ607" s="223"/>
      <c r="EER607" s="224"/>
      <c r="EES607" s="222"/>
      <c r="EET607" s="222"/>
      <c r="EEU607" s="222"/>
      <c r="EEV607" s="222"/>
      <c r="EEW607" s="222"/>
      <c r="EEX607" s="222"/>
      <c r="EEY607" s="223"/>
      <c r="EEZ607" s="224"/>
      <c r="EFA607" s="222"/>
      <c r="EFB607" s="222"/>
      <c r="EFC607" s="222"/>
      <c r="EFD607" s="222"/>
      <c r="EFE607" s="222"/>
      <c r="EFF607" s="222"/>
      <c r="EFG607" s="223"/>
      <c r="EFH607" s="224"/>
      <c r="EFI607" s="222"/>
      <c r="EFJ607" s="222"/>
      <c r="EFK607" s="222"/>
      <c r="EFL607" s="222"/>
      <c r="EFM607" s="222"/>
      <c r="EFN607" s="222"/>
      <c r="EFO607" s="223"/>
      <c r="EFP607" s="224"/>
      <c r="EFQ607" s="222"/>
      <c r="EFR607" s="222"/>
      <c r="EFS607" s="222"/>
      <c r="EFT607" s="222"/>
      <c r="EFU607" s="222"/>
      <c r="EFV607" s="222"/>
      <c r="EFW607" s="223"/>
      <c r="EFX607" s="224"/>
      <c r="EFY607" s="222"/>
      <c r="EFZ607" s="222"/>
      <c r="EGA607" s="222"/>
      <c r="EGB607" s="222"/>
      <c r="EGC607" s="222"/>
      <c r="EGD607" s="222"/>
      <c r="EGE607" s="223"/>
      <c r="EGF607" s="224"/>
      <c r="EGG607" s="222"/>
      <c r="EGH607" s="222"/>
      <c r="EGI607" s="222"/>
      <c r="EGJ607" s="222"/>
      <c r="EGK607" s="222"/>
      <c r="EGL607" s="222"/>
      <c r="EGM607" s="223"/>
      <c r="EGN607" s="224"/>
      <c r="EGO607" s="222"/>
      <c r="EGP607" s="222"/>
      <c r="EGQ607" s="222"/>
      <c r="EGR607" s="222"/>
      <c r="EGS607" s="222"/>
      <c r="EGT607" s="222"/>
      <c r="EGU607" s="223"/>
      <c r="EGV607" s="224"/>
      <c r="EGW607" s="222"/>
      <c r="EGX607" s="222"/>
      <c r="EGY607" s="222"/>
      <c r="EGZ607" s="222"/>
      <c r="EHA607" s="222"/>
      <c r="EHB607" s="222"/>
      <c r="EHC607" s="223"/>
      <c r="EHD607" s="224"/>
      <c r="EHE607" s="222"/>
      <c r="EHF607" s="222"/>
      <c r="EHG607" s="222"/>
      <c r="EHH607" s="222"/>
      <c r="EHI607" s="222"/>
      <c r="EHJ607" s="222"/>
      <c r="EHK607" s="223"/>
      <c r="EHL607" s="224"/>
      <c r="EHM607" s="222"/>
      <c r="EHN607" s="222"/>
      <c r="EHO607" s="222"/>
      <c r="EHP607" s="222"/>
      <c r="EHQ607" s="222"/>
      <c r="EHR607" s="222"/>
      <c r="EHS607" s="223"/>
      <c r="EHT607" s="224"/>
      <c r="EHU607" s="222"/>
      <c r="EHV607" s="222"/>
      <c r="EHW607" s="222"/>
      <c r="EHX607" s="222"/>
      <c r="EHY607" s="222"/>
      <c r="EHZ607" s="222"/>
      <c r="EIA607" s="223"/>
      <c r="EIB607" s="224"/>
      <c r="EIC607" s="222"/>
      <c r="EID607" s="222"/>
      <c r="EIE607" s="222"/>
      <c r="EIF607" s="222"/>
      <c r="EIG607" s="222"/>
      <c r="EIH607" s="222"/>
      <c r="EII607" s="223"/>
      <c r="EIJ607" s="224"/>
      <c r="EIK607" s="222"/>
      <c r="EIL607" s="222"/>
      <c r="EIM607" s="222"/>
      <c r="EIN607" s="222"/>
      <c r="EIO607" s="222"/>
      <c r="EIP607" s="222"/>
      <c r="EIQ607" s="223"/>
      <c r="EIR607" s="224"/>
      <c r="EIS607" s="222"/>
      <c r="EIT607" s="222"/>
      <c r="EIU607" s="222"/>
      <c r="EIV607" s="222"/>
      <c r="EIW607" s="222"/>
      <c r="EIX607" s="222"/>
      <c r="EIY607" s="223"/>
      <c r="EIZ607" s="224"/>
      <c r="EJA607" s="222"/>
      <c r="EJB607" s="222"/>
      <c r="EJC607" s="222"/>
      <c r="EJD607" s="222"/>
      <c r="EJE607" s="222"/>
      <c r="EJF607" s="222"/>
      <c r="EJG607" s="223"/>
      <c r="EJH607" s="224"/>
      <c r="EJI607" s="222"/>
      <c r="EJJ607" s="222"/>
      <c r="EJK607" s="222"/>
      <c r="EJL607" s="222"/>
      <c r="EJM607" s="222"/>
      <c r="EJN607" s="222"/>
      <c r="EJO607" s="223"/>
      <c r="EJP607" s="224"/>
      <c r="EJQ607" s="222"/>
      <c r="EJR607" s="222"/>
      <c r="EJS607" s="222"/>
      <c r="EJT607" s="222"/>
      <c r="EJU607" s="222"/>
      <c r="EJV607" s="222"/>
      <c r="EJW607" s="223"/>
      <c r="EJX607" s="224"/>
      <c r="EJY607" s="222"/>
      <c r="EJZ607" s="222"/>
      <c r="EKA607" s="222"/>
      <c r="EKB607" s="222"/>
      <c r="EKC607" s="222"/>
      <c r="EKD607" s="222"/>
      <c r="EKE607" s="223"/>
      <c r="EKF607" s="224"/>
      <c r="EKG607" s="222"/>
      <c r="EKH607" s="222"/>
      <c r="EKI607" s="222"/>
      <c r="EKJ607" s="222"/>
      <c r="EKK607" s="222"/>
      <c r="EKL607" s="222"/>
      <c r="EKM607" s="223"/>
      <c r="EKN607" s="224"/>
      <c r="EKO607" s="222"/>
      <c r="EKP607" s="222"/>
      <c r="EKQ607" s="222"/>
      <c r="EKR607" s="222"/>
      <c r="EKS607" s="222"/>
      <c r="EKT607" s="222"/>
      <c r="EKU607" s="223"/>
      <c r="EKV607" s="224"/>
      <c r="EKW607" s="222"/>
      <c r="EKX607" s="222"/>
      <c r="EKY607" s="222"/>
      <c r="EKZ607" s="222"/>
      <c r="ELA607" s="222"/>
      <c r="ELB607" s="222"/>
      <c r="ELC607" s="223"/>
      <c r="ELD607" s="224"/>
      <c r="ELE607" s="222"/>
      <c r="ELF607" s="222"/>
      <c r="ELG607" s="222"/>
      <c r="ELH607" s="222"/>
      <c r="ELI607" s="222"/>
      <c r="ELJ607" s="222"/>
      <c r="ELK607" s="223"/>
      <c r="ELL607" s="224"/>
      <c r="ELM607" s="222"/>
      <c r="ELN607" s="222"/>
      <c r="ELO607" s="222"/>
      <c r="ELP607" s="222"/>
      <c r="ELQ607" s="222"/>
      <c r="ELR607" s="222"/>
      <c r="ELS607" s="223"/>
      <c r="ELT607" s="224"/>
      <c r="ELU607" s="222"/>
      <c r="ELV607" s="222"/>
      <c r="ELW607" s="222"/>
      <c r="ELX607" s="222"/>
      <c r="ELY607" s="222"/>
      <c r="ELZ607" s="222"/>
      <c r="EMA607" s="223"/>
      <c r="EMB607" s="224"/>
      <c r="EMC607" s="222"/>
      <c r="EMD607" s="222"/>
      <c r="EME607" s="222"/>
      <c r="EMF607" s="222"/>
      <c r="EMG607" s="222"/>
      <c r="EMH607" s="222"/>
      <c r="EMI607" s="223"/>
      <c r="EMJ607" s="224"/>
      <c r="EMK607" s="222"/>
      <c r="EML607" s="222"/>
      <c r="EMM607" s="222"/>
      <c r="EMN607" s="222"/>
      <c r="EMO607" s="222"/>
      <c r="EMP607" s="222"/>
      <c r="EMQ607" s="223"/>
      <c r="EMR607" s="224"/>
      <c r="EMS607" s="222"/>
      <c r="EMT607" s="222"/>
      <c r="EMU607" s="222"/>
      <c r="EMV607" s="222"/>
      <c r="EMW607" s="222"/>
      <c r="EMX607" s="222"/>
      <c r="EMY607" s="223"/>
      <c r="EMZ607" s="224"/>
      <c r="ENA607" s="222"/>
      <c r="ENB607" s="222"/>
      <c r="ENC607" s="222"/>
      <c r="END607" s="222"/>
      <c r="ENE607" s="222"/>
      <c r="ENF607" s="222"/>
      <c r="ENG607" s="223"/>
      <c r="ENH607" s="224"/>
      <c r="ENI607" s="222"/>
      <c r="ENJ607" s="222"/>
      <c r="ENK607" s="222"/>
      <c r="ENL607" s="222"/>
      <c r="ENM607" s="222"/>
      <c r="ENN607" s="222"/>
      <c r="ENO607" s="223"/>
      <c r="ENP607" s="224"/>
      <c r="ENQ607" s="222"/>
      <c r="ENR607" s="222"/>
      <c r="ENS607" s="222"/>
      <c r="ENT607" s="222"/>
      <c r="ENU607" s="222"/>
      <c r="ENV607" s="222"/>
      <c r="ENW607" s="223"/>
      <c r="ENX607" s="224"/>
      <c r="ENY607" s="222"/>
      <c r="ENZ607" s="222"/>
      <c r="EOA607" s="222"/>
      <c r="EOB607" s="222"/>
      <c r="EOC607" s="222"/>
      <c r="EOD607" s="222"/>
      <c r="EOE607" s="223"/>
      <c r="EOF607" s="224"/>
      <c r="EOG607" s="222"/>
      <c r="EOH607" s="222"/>
      <c r="EOI607" s="222"/>
      <c r="EOJ607" s="222"/>
      <c r="EOK607" s="222"/>
      <c r="EOL607" s="222"/>
      <c r="EOM607" s="223"/>
      <c r="EON607" s="224"/>
      <c r="EOO607" s="222"/>
      <c r="EOP607" s="222"/>
      <c r="EOQ607" s="222"/>
      <c r="EOR607" s="222"/>
      <c r="EOS607" s="222"/>
      <c r="EOT607" s="222"/>
      <c r="EOU607" s="223"/>
      <c r="EOV607" s="224"/>
      <c r="EOW607" s="222"/>
      <c r="EOX607" s="222"/>
      <c r="EOY607" s="222"/>
      <c r="EOZ607" s="222"/>
      <c r="EPA607" s="222"/>
      <c r="EPB607" s="222"/>
      <c r="EPC607" s="223"/>
      <c r="EPD607" s="224"/>
      <c r="EPE607" s="222"/>
      <c r="EPF607" s="222"/>
      <c r="EPG607" s="222"/>
      <c r="EPH607" s="222"/>
      <c r="EPI607" s="222"/>
      <c r="EPJ607" s="222"/>
      <c r="EPK607" s="223"/>
      <c r="EPL607" s="224"/>
      <c r="EPM607" s="222"/>
      <c r="EPN607" s="222"/>
      <c r="EPO607" s="222"/>
      <c r="EPP607" s="222"/>
      <c r="EPQ607" s="222"/>
      <c r="EPR607" s="222"/>
      <c r="EPS607" s="223"/>
      <c r="EPT607" s="224"/>
      <c r="EPU607" s="222"/>
      <c r="EPV607" s="222"/>
      <c r="EPW607" s="222"/>
      <c r="EPX607" s="222"/>
      <c r="EPY607" s="222"/>
      <c r="EPZ607" s="222"/>
      <c r="EQA607" s="223"/>
      <c r="EQB607" s="224"/>
      <c r="EQC607" s="222"/>
      <c r="EQD607" s="222"/>
      <c r="EQE607" s="222"/>
      <c r="EQF607" s="222"/>
      <c r="EQG607" s="222"/>
      <c r="EQH607" s="222"/>
      <c r="EQI607" s="223"/>
      <c r="EQJ607" s="224"/>
      <c r="EQK607" s="222"/>
      <c r="EQL607" s="222"/>
      <c r="EQM607" s="222"/>
      <c r="EQN607" s="222"/>
      <c r="EQO607" s="222"/>
      <c r="EQP607" s="222"/>
      <c r="EQQ607" s="223"/>
      <c r="EQR607" s="224"/>
      <c r="EQS607" s="222"/>
      <c r="EQT607" s="222"/>
      <c r="EQU607" s="222"/>
      <c r="EQV607" s="222"/>
      <c r="EQW607" s="222"/>
      <c r="EQX607" s="222"/>
      <c r="EQY607" s="223"/>
      <c r="EQZ607" s="224"/>
      <c r="ERA607" s="222"/>
      <c r="ERB607" s="222"/>
      <c r="ERC607" s="222"/>
      <c r="ERD607" s="222"/>
      <c r="ERE607" s="222"/>
      <c r="ERF607" s="222"/>
      <c r="ERG607" s="223"/>
      <c r="ERH607" s="224"/>
      <c r="ERI607" s="222"/>
      <c r="ERJ607" s="222"/>
      <c r="ERK607" s="222"/>
      <c r="ERL607" s="222"/>
      <c r="ERM607" s="222"/>
      <c r="ERN607" s="222"/>
      <c r="ERO607" s="223"/>
      <c r="ERP607" s="224"/>
      <c r="ERQ607" s="222"/>
      <c r="ERR607" s="222"/>
      <c r="ERS607" s="222"/>
      <c r="ERT607" s="222"/>
      <c r="ERU607" s="222"/>
      <c r="ERV607" s="222"/>
      <c r="ERW607" s="223"/>
      <c r="ERX607" s="224"/>
      <c r="ERY607" s="222"/>
      <c r="ERZ607" s="222"/>
      <c r="ESA607" s="222"/>
      <c r="ESB607" s="222"/>
      <c r="ESC607" s="222"/>
      <c r="ESD607" s="222"/>
      <c r="ESE607" s="223"/>
      <c r="ESF607" s="224"/>
      <c r="ESG607" s="222"/>
      <c r="ESH607" s="222"/>
      <c r="ESI607" s="222"/>
      <c r="ESJ607" s="222"/>
      <c r="ESK607" s="222"/>
      <c r="ESL607" s="222"/>
      <c r="ESM607" s="223"/>
      <c r="ESN607" s="224"/>
      <c r="ESO607" s="222"/>
      <c r="ESP607" s="222"/>
      <c r="ESQ607" s="222"/>
      <c r="ESR607" s="222"/>
      <c r="ESS607" s="222"/>
      <c r="EST607" s="222"/>
      <c r="ESU607" s="223"/>
      <c r="ESV607" s="224"/>
      <c r="ESW607" s="222"/>
      <c r="ESX607" s="222"/>
      <c r="ESY607" s="222"/>
      <c r="ESZ607" s="222"/>
      <c r="ETA607" s="222"/>
      <c r="ETB607" s="222"/>
      <c r="ETC607" s="223"/>
      <c r="ETD607" s="224"/>
      <c r="ETE607" s="222"/>
      <c r="ETF607" s="222"/>
      <c r="ETG607" s="222"/>
      <c r="ETH607" s="222"/>
      <c r="ETI607" s="222"/>
      <c r="ETJ607" s="222"/>
      <c r="ETK607" s="223"/>
      <c r="ETL607" s="224"/>
      <c r="ETM607" s="222"/>
      <c r="ETN607" s="222"/>
      <c r="ETO607" s="222"/>
      <c r="ETP607" s="222"/>
      <c r="ETQ607" s="222"/>
      <c r="ETR607" s="222"/>
      <c r="ETS607" s="223"/>
      <c r="ETT607" s="224"/>
      <c r="ETU607" s="222"/>
      <c r="ETV607" s="222"/>
      <c r="ETW607" s="222"/>
      <c r="ETX607" s="222"/>
      <c r="ETY607" s="222"/>
      <c r="ETZ607" s="222"/>
      <c r="EUA607" s="223"/>
      <c r="EUB607" s="224"/>
      <c r="EUC607" s="222"/>
      <c r="EUD607" s="222"/>
      <c r="EUE607" s="222"/>
      <c r="EUF607" s="222"/>
      <c r="EUG607" s="222"/>
      <c r="EUH607" s="222"/>
      <c r="EUI607" s="223"/>
      <c r="EUJ607" s="224"/>
      <c r="EUK607" s="222"/>
      <c r="EUL607" s="222"/>
      <c r="EUM607" s="222"/>
      <c r="EUN607" s="222"/>
      <c r="EUO607" s="222"/>
      <c r="EUP607" s="222"/>
      <c r="EUQ607" s="223"/>
      <c r="EUR607" s="224"/>
      <c r="EUS607" s="222"/>
      <c r="EUT607" s="222"/>
      <c r="EUU607" s="222"/>
      <c r="EUV607" s="222"/>
      <c r="EUW607" s="222"/>
      <c r="EUX607" s="222"/>
      <c r="EUY607" s="223"/>
      <c r="EUZ607" s="224"/>
      <c r="EVA607" s="222"/>
      <c r="EVB607" s="222"/>
      <c r="EVC607" s="222"/>
      <c r="EVD607" s="222"/>
      <c r="EVE607" s="222"/>
      <c r="EVF607" s="222"/>
      <c r="EVG607" s="223"/>
      <c r="EVH607" s="224"/>
      <c r="EVI607" s="222"/>
      <c r="EVJ607" s="222"/>
      <c r="EVK607" s="222"/>
      <c r="EVL607" s="222"/>
      <c r="EVM607" s="222"/>
      <c r="EVN607" s="222"/>
      <c r="EVO607" s="223"/>
      <c r="EVP607" s="224"/>
      <c r="EVQ607" s="222"/>
      <c r="EVR607" s="222"/>
      <c r="EVS607" s="222"/>
      <c r="EVT607" s="222"/>
      <c r="EVU607" s="222"/>
      <c r="EVV607" s="222"/>
      <c r="EVW607" s="223"/>
      <c r="EVX607" s="224"/>
      <c r="EVY607" s="222"/>
      <c r="EVZ607" s="222"/>
      <c r="EWA607" s="222"/>
      <c r="EWB607" s="222"/>
      <c r="EWC607" s="222"/>
      <c r="EWD607" s="222"/>
      <c r="EWE607" s="223"/>
      <c r="EWF607" s="224"/>
      <c r="EWG607" s="222"/>
      <c r="EWH607" s="222"/>
      <c r="EWI607" s="222"/>
      <c r="EWJ607" s="222"/>
      <c r="EWK607" s="222"/>
      <c r="EWL607" s="222"/>
      <c r="EWM607" s="223"/>
      <c r="EWN607" s="224"/>
      <c r="EWO607" s="222"/>
      <c r="EWP607" s="222"/>
      <c r="EWQ607" s="222"/>
      <c r="EWR607" s="222"/>
      <c r="EWS607" s="222"/>
      <c r="EWT607" s="222"/>
      <c r="EWU607" s="223"/>
      <c r="EWV607" s="224"/>
      <c r="EWW607" s="222"/>
      <c r="EWX607" s="222"/>
      <c r="EWY607" s="222"/>
      <c r="EWZ607" s="222"/>
      <c r="EXA607" s="222"/>
      <c r="EXB607" s="222"/>
      <c r="EXC607" s="223"/>
      <c r="EXD607" s="224"/>
      <c r="EXE607" s="222"/>
      <c r="EXF607" s="222"/>
      <c r="EXG607" s="222"/>
      <c r="EXH607" s="222"/>
      <c r="EXI607" s="222"/>
      <c r="EXJ607" s="222"/>
      <c r="EXK607" s="223"/>
      <c r="EXL607" s="224"/>
      <c r="EXM607" s="222"/>
      <c r="EXN607" s="222"/>
      <c r="EXO607" s="222"/>
      <c r="EXP607" s="222"/>
      <c r="EXQ607" s="222"/>
      <c r="EXR607" s="222"/>
      <c r="EXS607" s="223"/>
      <c r="EXT607" s="224"/>
      <c r="EXU607" s="222"/>
      <c r="EXV607" s="222"/>
      <c r="EXW607" s="222"/>
      <c r="EXX607" s="222"/>
      <c r="EXY607" s="222"/>
      <c r="EXZ607" s="222"/>
      <c r="EYA607" s="223"/>
      <c r="EYB607" s="224"/>
      <c r="EYC607" s="222"/>
      <c r="EYD607" s="222"/>
      <c r="EYE607" s="222"/>
      <c r="EYF607" s="222"/>
      <c r="EYG607" s="222"/>
      <c r="EYH607" s="222"/>
      <c r="EYI607" s="223"/>
      <c r="EYJ607" s="224"/>
      <c r="EYK607" s="222"/>
      <c r="EYL607" s="222"/>
      <c r="EYM607" s="222"/>
      <c r="EYN607" s="222"/>
      <c r="EYO607" s="222"/>
      <c r="EYP607" s="222"/>
      <c r="EYQ607" s="223"/>
      <c r="EYR607" s="224"/>
      <c r="EYS607" s="222"/>
      <c r="EYT607" s="222"/>
      <c r="EYU607" s="222"/>
      <c r="EYV607" s="222"/>
      <c r="EYW607" s="222"/>
      <c r="EYX607" s="222"/>
      <c r="EYY607" s="223"/>
      <c r="EYZ607" s="224"/>
      <c r="EZA607" s="222"/>
      <c r="EZB607" s="222"/>
      <c r="EZC607" s="222"/>
      <c r="EZD607" s="222"/>
      <c r="EZE607" s="222"/>
      <c r="EZF607" s="222"/>
      <c r="EZG607" s="223"/>
      <c r="EZH607" s="224"/>
      <c r="EZI607" s="222"/>
      <c r="EZJ607" s="222"/>
      <c r="EZK607" s="222"/>
      <c r="EZL607" s="222"/>
      <c r="EZM607" s="222"/>
      <c r="EZN607" s="222"/>
      <c r="EZO607" s="223"/>
      <c r="EZP607" s="224"/>
      <c r="EZQ607" s="222"/>
      <c r="EZR607" s="222"/>
      <c r="EZS607" s="222"/>
      <c r="EZT607" s="222"/>
      <c r="EZU607" s="222"/>
      <c r="EZV607" s="222"/>
      <c r="EZW607" s="223"/>
      <c r="EZX607" s="224"/>
      <c r="EZY607" s="222"/>
      <c r="EZZ607" s="222"/>
      <c r="FAA607" s="222"/>
      <c r="FAB607" s="222"/>
      <c r="FAC607" s="222"/>
      <c r="FAD607" s="222"/>
      <c r="FAE607" s="223"/>
      <c r="FAF607" s="224"/>
      <c r="FAG607" s="222"/>
      <c r="FAH607" s="222"/>
      <c r="FAI607" s="222"/>
      <c r="FAJ607" s="222"/>
      <c r="FAK607" s="222"/>
      <c r="FAL607" s="222"/>
      <c r="FAM607" s="223"/>
      <c r="FAN607" s="224"/>
      <c r="FAO607" s="222"/>
      <c r="FAP607" s="222"/>
      <c r="FAQ607" s="222"/>
      <c r="FAR607" s="222"/>
      <c r="FAS607" s="222"/>
      <c r="FAT607" s="222"/>
      <c r="FAU607" s="223"/>
      <c r="FAV607" s="224"/>
      <c r="FAW607" s="222"/>
      <c r="FAX607" s="222"/>
      <c r="FAY607" s="222"/>
      <c r="FAZ607" s="222"/>
      <c r="FBA607" s="222"/>
      <c r="FBB607" s="222"/>
      <c r="FBC607" s="223"/>
      <c r="FBD607" s="224"/>
      <c r="FBE607" s="222"/>
      <c r="FBF607" s="222"/>
      <c r="FBG607" s="222"/>
      <c r="FBH607" s="222"/>
      <c r="FBI607" s="222"/>
      <c r="FBJ607" s="222"/>
      <c r="FBK607" s="223"/>
      <c r="FBL607" s="224"/>
      <c r="FBM607" s="222"/>
      <c r="FBN607" s="222"/>
      <c r="FBO607" s="222"/>
      <c r="FBP607" s="222"/>
      <c r="FBQ607" s="222"/>
      <c r="FBR607" s="222"/>
      <c r="FBS607" s="223"/>
      <c r="FBT607" s="224"/>
      <c r="FBU607" s="222"/>
      <c r="FBV607" s="222"/>
      <c r="FBW607" s="222"/>
      <c r="FBX607" s="222"/>
      <c r="FBY607" s="222"/>
      <c r="FBZ607" s="222"/>
      <c r="FCA607" s="223"/>
      <c r="FCB607" s="224"/>
      <c r="FCC607" s="222"/>
      <c r="FCD607" s="222"/>
      <c r="FCE607" s="222"/>
      <c r="FCF607" s="222"/>
      <c r="FCG607" s="222"/>
      <c r="FCH607" s="222"/>
      <c r="FCI607" s="223"/>
      <c r="FCJ607" s="224"/>
      <c r="FCK607" s="222"/>
      <c r="FCL607" s="222"/>
      <c r="FCM607" s="222"/>
      <c r="FCN607" s="222"/>
      <c r="FCO607" s="222"/>
      <c r="FCP607" s="222"/>
      <c r="FCQ607" s="223"/>
      <c r="FCR607" s="224"/>
      <c r="FCS607" s="222"/>
      <c r="FCT607" s="222"/>
      <c r="FCU607" s="222"/>
      <c r="FCV607" s="222"/>
      <c r="FCW607" s="222"/>
      <c r="FCX607" s="222"/>
      <c r="FCY607" s="223"/>
      <c r="FCZ607" s="224"/>
      <c r="FDA607" s="222"/>
      <c r="FDB607" s="222"/>
      <c r="FDC607" s="222"/>
      <c r="FDD607" s="222"/>
      <c r="FDE607" s="222"/>
      <c r="FDF607" s="222"/>
      <c r="FDG607" s="223"/>
      <c r="FDH607" s="224"/>
      <c r="FDI607" s="222"/>
      <c r="FDJ607" s="222"/>
      <c r="FDK607" s="222"/>
      <c r="FDL607" s="222"/>
      <c r="FDM607" s="222"/>
      <c r="FDN607" s="222"/>
      <c r="FDO607" s="223"/>
      <c r="FDP607" s="224"/>
      <c r="FDQ607" s="222"/>
      <c r="FDR607" s="222"/>
      <c r="FDS607" s="222"/>
      <c r="FDT607" s="222"/>
      <c r="FDU607" s="222"/>
      <c r="FDV607" s="222"/>
      <c r="FDW607" s="223"/>
      <c r="FDX607" s="224"/>
      <c r="FDY607" s="222"/>
      <c r="FDZ607" s="222"/>
      <c r="FEA607" s="222"/>
      <c r="FEB607" s="222"/>
      <c r="FEC607" s="222"/>
      <c r="FED607" s="222"/>
      <c r="FEE607" s="223"/>
      <c r="FEF607" s="224"/>
      <c r="FEG607" s="222"/>
      <c r="FEH607" s="222"/>
      <c r="FEI607" s="222"/>
      <c r="FEJ607" s="222"/>
      <c r="FEK607" s="222"/>
      <c r="FEL607" s="222"/>
      <c r="FEM607" s="223"/>
      <c r="FEN607" s="224"/>
      <c r="FEO607" s="222"/>
      <c r="FEP607" s="222"/>
      <c r="FEQ607" s="222"/>
      <c r="FER607" s="222"/>
      <c r="FES607" s="222"/>
      <c r="FET607" s="222"/>
      <c r="FEU607" s="223"/>
      <c r="FEV607" s="224"/>
      <c r="FEW607" s="222"/>
      <c r="FEX607" s="222"/>
      <c r="FEY607" s="222"/>
      <c r="FEZ607" s="222"/>
      <c r="FFA607" s="222"/>
      <c r="FFB607" s="222"/>
      <c r="FFC607" s="223"/>
      <c r="FFD607" s="224"/>
      <c r="FFE607" s="222"/>
      <c r="FFF607" s="222"/>
      <c r="FFG607" s="222"/>
      <c r="FFH607" s="222"/>
      <c r="FFI607" s="222"/>
      <c r="FFJ607" s="222"/>
      <c r="FFK607" s="223"/>
      <c r="FFL607" s="224"/>
      <c r="FFM607" s="222"/>
      <c r="FFN607" s="222"/>
      <c r="FFO607" s="222"/>
      <c r="FFP607" s="222"/>
      <c r="FFQ607" s="222"/>
      <c r="FFR607" s="222"/>
      <c r="FFS607" s="223"/>
      <c r="FFT607" s="224"/>
      <c r="FFU607" s="222"/>
      <c r="FFV607" s="222"/>
      <c r="FFW607" s="222"/>
      <c r="FFX607" s="222"/>
      <c r="FFY607" s="222"/>
      <c r="FFZ607" s="222"/>
      <c r="FGA607" s="223"/>
      <c r="FGB607" s="224"/>
      <c r="FGC607" s="222"/>
      <c r="FGD607" s="222"/>
      <c r="FGE607" s="222"/>
      <c r="FGF607" s="222"/>
      <c r="FGG607" s="222"/>
      <c r="FGH607" s="222"/>
      <c r="FGI607" s="223"/>
      <c r="FGJ607" s="224"/>
      <c r="FGK607" s="222"/>
      <c r="FGL607" s="222"/>
      <c r="FGM607" s="222"/>
      <c r="FGN607" s="222"/>
      <c r="FGO607" s="222"/>
      <c r="FGP607" s="222"/>
      <c r="FGQ607" s="223"/>
      <c r="FGR607" s="224"/>
      <c r="FGS607" s="222"/>
      <c r="FGT607" s="222"/>
      <c r="FGU607" s="222"/>
      <c r="FGV607" s="222"/>
      <c r="FGW607" s="222"/>
      <c r="FGX607" s="222"/>
      <c r="FGY607" s="223"/>
      <c r="FGZ607" s="224"/>
      <c r="FHA607" s="222"/>
      <c r="FHB607" s="222"/>
      <c r="FHC607" s="222"/>
      <c r="FHD607" s="222"/>
      <c r="FHE607" s="222"/>
      <c r="FHF607" s="222"/>
      <c r="FHG607" s="223"/>
      <c r="FHH607" s="224"/>
      <c r="FHI607" s="222"/>
      <c r="FHJ607" s="222"/>
      <c r="FHK607" s="222"/>
      <c r="FHL607" s="222"/>
      <c r="FHM607" s="222"/>
      <c r="FHN607" s="222"/>
      <c r="FHO607" s="223"/>
      <c r="FHP607" s="224"/>
      <c r="FHQ607" s="222"/>
      <c r="FHR607" s="222"/>
      <c r="FHS607" s="222"/>
      <c r="FHT607" s="222"/>
      <c r="FHU607" s="222"/>
      <c r="FHV607" s="222"/>
      <c r="FHW607" s="223"/>
      <c r="FHX607" s="224"/>
      <c r="FHY607" s="222"/>
      <c r="FHZ607" s="222"/>
      <c r="FIA607" s="222"/>
      <c r="FIB607" s="222"/>
      <c r="FIC607" s="222"/>
      <c r="FID607" s="222"/>
      <c r="FIE607" s="223"/>
      <c r="FIF607" s="224"/>
      <c r="FIG607" s="222"/>
      <c r="FIH607" s="222"/>
      <c r="FII607" s="222"/>
      <c r="FIJ607" s="222"/>
      <c r="FIK607" s="222"/>
      <c r="FIL607" s="222"/>
      <c r="FIM607" s="223"/>
      <c r="FIN607" s="224"/>
      <c r="FIO607" s="222"/>
      <c r="FIP607" s="222"/>
      <c r="FIQ607" s="222"/>
      <c r="FIR607" s="222"/>
      <c r="FIS607" s="222"/>
      <c r="FIT607" s="222"/>
      <c r="FIU607" s="223"/>
      <c r="FIV607" s="224"/>
      <c r="FIW607" s="222"/>
      <c r="FIX607" s="222"/>
      <c r="FIY607" s="222"/>
      <c r="FIZ607" s="222"/>
      <c r="FJA607" s="222"/>
      <c r="FJB607" s="222"/>
      <c r="FJC607" s="223"/>
      <c r="FJD607" s="224"/>
      <c r="FJE607" s="222"/>
      <c r="FJF607" s="222"/>
      <c r="FJG607" s="222"/>
      <c r="FJH607" s="222"/>
      <c r="FJI607" s="222"/>
      <c r="FJJ607" s="222"/>
      <c r="FJK607" s="223"/>
      <c r="FJL607" s="224"/>
      <c r="FJM607" s="222"/>
      <c r="FJN607" s="222"/>
      <c r="FJO607" s="222"/>
      <c r="FJP607" s="222"/>
      <c r="FJQ607" s="222"/>
      <c r="FJR607" s="222"/>
      <c r="FJS607" s="223"/>
      <c r="FJT607" s="224"/>
      <c r="FJU607" s="222"/>
      <c r="FJV607" s="222"/>
      <c r="FJW607" s="222"/>
      <c r="FJX607" s="222"/>
      <c r="FJY607" s="222"/>
      <c r="FJZ607" s="222"/>
      <c r="FKA607" s="223"/>
      <c r="FKB607" s="224"/>
      <c r="FKC607" s="222"/>
      <c r="FKD607" s="222"/>
      <c r="FKE607" s="222"/>
      <c r="FKF607" s="222"/>
      <c r="FKG607" s="222"/>
      <c r="FKH607" s="222"/>
      <c r="FKI607" s="223"/>
      <c r="FKJ607" s="224"/>
      <c r="FKK607" s="222"/>
      <c r="FKL607" s="222"/>
      <c r="FKM607" s="222"/>
      <c r="FKN607" s="222"/>
      <c r="FKO607" s="222"/>
      <c r="FKP607" s="222"/>
      <c r="FKQ607" s="223"/>
      <c r="FKR607" s="224"/>
      <c r="FKS607" s="222"/>
      <c r="FKT607" s="222"/>
      <c r="FKU607" s="222"/>
      <c r="FKV607" s="222"/>
      <c r="FKW607" s="222"/>
      <c r="FKX607" s="222"/>
      <c r="FKY607" s="223"/>
      <c r="FKZ607" s="224"/>
      <c r="FLA607" s="222"/>
      <c r="FLB607" s="222"/>
      <c r="FLC607" s="222"/>
      <c r="FLD607" s="222"/>
      <c r="FLE607" s="222"/>
      <c r="FLF607" s="222"/>
      <c r="FLG607" s="223"/>
      <c r="FLH607" s="224"/>
      <c r="FLI607" s="222"/>
      <c r="FLJ607" s="222"/>
      <c r="FLK607" s="222"/>
      <c r="FLL607" s="222"/>
      <c r="FLM607" s="222"/>
      <c r="FLN607" s="222"/>
      <c r="FLO607" s="223"/>
      <c r="FLP607" s="224"/>
      <c r="FLQ607" s="222"/>
      <c r="FLR607" s="222"/>
      <c r="FLS607" s="222"/>
      <c r="FLT607" s="222"/>
      <c r="FLU607" s="222"/>
      <c r="FLV607" s="222"/>
      <c r="FLW607" s="223"/>
      <c r="FLX607" s="224"/>
      <c r="FLY607" s="222"/>
      <c r="FLZ607" s="222"/>
      <c r="FMA607" s="222"/>
      <c r="FMB607" s="222"/>
      <c r="FMC607" s="222"/>
      <c r="FMD607" s="222"/>
      <c r="FME607" s="223"/>
      <c r="FMF607" s="224"/>
      <c r="FMG607" s="222"/>
      <c r="FMH607" s="222"/>
      <c r="FMI607" s="222"/>
      <c r="FMJ607" s="222"/>
      <c r="FMK607" s="222"/>
      <c r="FML607" s="222"/>
      <c r="FMM607" s="223"/>
      <c r="FMN607" s="224"/>
      <c r="FMO607" s="222"/>
      <c r="FMP607" s="222"/>
      <c r="FMQ607" s="222"/>
      <c r="FMR607" s="222"/>
      <c r="FMS607" s="222"/>
      <c r="FMT607" s="222"/>
      <c r="FMU607" s="223"/>
      <c r="FMV607" s="224"/>
      <c r="FMW607" s="222"/>
      <c r="FMX607" s="222"/>
      <c r="FMY607" s="222"/>
      <c r="FMZ607" s="222"/>
      <c r="FNA607" s="222"/>
      <c r="FNB607" s="222"/>
      <c r="FNC607" s="223"/>
      <c r="FND607" s="224"/>
      <c r="FNE607" s="222"/>
      <c r="FNF607" s="222"/>
      <c r="FNG607" s="222"/>
      <c r="FNH607" s="222"/>
      <c r="FNI607" s="222"/>
      <c r="FNJ607" s="222"/>
      <c r="FNK607" s="223"/>
      <c r="FNL607" s="224"/>
      <c r="FNM607" s="222"/>
      <c r="FNN607" s="222"/>
      <c r="FNO607" s="222"/>
      <c r="FNP607" s="222"/>
      <c r="FNQ607" s="222"/>
      <c r="FNR607" s="222"/>
      <c r="FNS607" s="223"/>
      <c r="FNT607" s="224"/>
      <c r="FNU607" s="222"/>
      <c r="FNV607" s="222"/>
      <c r="FNW607" s="222"/>
      <c r="FNX607" s="222"/>
      <c r="FNY607" s="222"/>
      <c r="FNZ607" s="222"/>
      <c r="FOA607" s="223"/>
      <c r="FOB607" s="224"/>
      <c r="FOC607" s="222"/>
      <c r="FOD607" s="222"/>
      <c r="FOE607" s="222"/>
      <c r="FOF607" s="222"/>
      <c r="FOG607" s="222"/>
      <c r="FOH607" s="222"/>
      <c r="FOI607" s="223"/>
      <c r="FOJ607" s="224"/>
      <c r="FOK607" s="222"/>
      <c r="FOL607" s="222"/>
      <c r="FOM607" s="222"/>
      <c r="FON607" s="222"/>
      <c r="FOO607" s="222"/>
      <c r="FOP607" s="222"/>
      <c r="FOQ607" s="223"/>
      <c r="FOR607" s="224"/>
      <c r="FOS607" s="222"/>
      <c r="FOT607" s="222"/>
      <c r="FOU607" s="222"/>
      <c r="FOV607" s="222"/>
      <c r="FOW607" s="222"/>
      <c r="FOX607" s="222"/>
      <c r="FOY607" s="223"/>
      <c r="FOZ607" s="224"/>
      <c r="FPA607" s="222"/>
      <c r="FPB607" s="222"/>
      <c r="FPC607" s="222"/>
      <c r="FPD607" s="222"/>
      <c r="FPE607" s="222"/>
      <c r="FPF607" s="222"/>
      <c r="FPG607" s="223"/>
      <c r="FPH607" s="224"/>
      <c r="FPI607" s="222"/>
      <c r="FPJ607" s="222"/>
      <c r="FPK607" s="222"/>
      <c r="FPL607" s="222"/>
      <c r="FPM607" s="222"/>
      <c r="FPN607" s="222"/>
      <c r="FPO607" s="223"/>
      <c r="FPP607" s="224"/>
      <c r="FPQ607" s="222"/>
      <c r="FPR607" s="222"/>
      <c r="FPS607" s="222"/>
      <c r="FPT607" s="222"/>
      <c r="FPU607" s="222"/>
      <c r="FPV607" s="222"/>
      <c r="FPW607" s="223"/>
      <c r="FPX607" s="224"/>
      <c r="FPY607" s="222"/>
      <c r="FPZ607" s="222"/>
      <c r="FQA607" s="222"/>
      <c r="FQB607" s="222"/>
      <c r="FQC607" s="222"/>
      <c r="FQD607" s="222"/>
      <c r="FQE607" s="223"/>
      <c r="FQF607" s="224"/>
      <c r="FQG607" s="222"/>
      <c r="FQH607" s="222"/>
      <c r="FQI607" s="222"/>
      <c r="FQJ607" s="222"/>
      <c r="FQK607" s="222"/>
      <c r="FQL607" s="222"/>
      <c r="FQM607" s="223"/>
      <c r="FQN607" s="224"/>
      <c r="FQO607" s="222"/>
      <c r="FQP607" s="222"/>
      <c r="FQQ607" s="222"/>
      <c r="FQR607" s="222"/>
      <c r="FQS607" s="222"/>
      <c r="FQT607" s="222"/>
      <c r="FQU607" s="223"/>
      <c r="FQV607" s="224"/>
      <c r="FQW607" s="222"/>
      <c r="FQX607" s="222"/>
      <c r="FQY607" s="222"/>
      <c r="FQZ607" s="222"/>
      <c r="FRA607" s="222"/>
      <c r="FRB607" s="222"/>
      <c r="FRC607" s="223"/>
      <c r="FRD607" s="224"/>
      <c r="FRE607" s="222"/>
      <c r="FRF607" s="222"/>
      <c r="FRG607" s="222"/>
      <c r="FRH607" s="222"/>
      <c r="FRI607" s="222"/>
      <c r="FRJ607" s="222"/>
      <c r="FRK607" s="223"/>
      <c r="FRL607" s="224"/>
      <c r="FRM607" s="222"/>
      <c r="FRN607" s="222"/>
      <c r="FRO607" s="222"/>
      <c r="FRP607" s="222"/>
      <c r="FRQ607" s="222"/>
      <c r="FRR607" s="222"/>
      <c r="FRS607" s="223"/>
      <c r="FRT607" s="224"/>
      <c r="FRU607" s="222"/>
      <c r="FRV607" s="222"/>
      <c r="FRW607" s="222"/>
      <c r="FRX607" s="222"/>
      <c r="FRY607" s="222"/>
      <c r="FRZ607" s="222"/>
      <c r="FSA607" s="223"/>
      <c r="FSB607" s="224"/>
      <c r="FSC607" s="222"/>
      <c r="FSD607" s="222"/>
      <c r="FSE607" s="222"/>
      <c r="FSF607" s="222"/>
      <c r="FSG607" s="222"/>
      <c r="FSH607" s="222"/>
      <c r="FSI607" s="223"/>
      <c r="FSJ607" s="224"/>
      <c r="FSK607" s="222"/>
      <c r="FSL607" s="222"/>
      <c r="FSM607" s="222"/>
      <c r="FSN607" s="222"/>
      <c r="FSO607" s="222"/>
      <c r="FSP607" s="222"/>
      <c r="FSQ607" s="223"/>
      <c r="FSR607" s="224"/>
      <c r="FSS607" s="222"/>
      <c r="FST607" s="222"/>
      <c r="FSU607" s="222"/>
      <c r="FSV607" s="222"/>
      <c r="FSW607" s="222"/>
      <c r="FSX607" s="222"/>
      <c r="FSY607" s="223"/>
      <c r="FSZ607" s="224"/>
      <c r="FTA607" s="222"/>
      <c r="FTB607" s="222"/>
      <c r="FTC607" s="222"/>
      <c r="FTD607" s="222"/>
      <c r="FTE607" s="222"/>
      <c r="FTF607" s="222"/>
      <c r="FTG607" s="223"/>
      <c r="FTH607" s="224"/>
      <c r="FTI607" s="222"/>
      <c r="FTJ607" s="222"/>
      <c r="FTK607" s="222"/>
      <c r="FTL607" s="222"/>
      <c r="FTM607" s="222"/>
      <c r="FTN607" s="222"/>
      <c r="FTO607" s="223"/>
      <c r="FTP607" s="224"/>
      <c r="FTQ607" s="222"/>
      <c r="FTR607" s="222"/>
      <c r="FTS607" s="222"/>
      <c r="FTT607" s="222"/>
      <c r="FTU607" s="222"/>
      <c r="FTV607" s="222"/>
      <c r="FTW607" s="223"/>
      <c r="FTX607" s="224"/>
      <c r="FTY607" s="222"/>
      <c r="FTZ607" s="222"/>
      <c r="FUA607" s="222"/>
      <c r="FUB607" s="222"/>
      <c r="FUC607" s="222"/>
      <c r="FUD607" s="222"/>
      <c r="FUE607" s="223"/>
      <c r="FUF607" s="224"/>
      <c r="FUG607" s="222"/>
      <c r="FUH607" s="222"/>
      <c r="FUI607" s="222"/>
      <c r="FUJ607" s="222"/>
      <c r="FUK607" s="222"/>
      <c r="FUL607" s="222"/>
      <c r="FUM607" s="223"/>
      <c r="FUN607" s="224"/>
      <c r="FUO607" s="222"/>
      <c r="FUP607" s="222"/>
      <c r="FUQ607" s="222"/>
      <c r="FUR607" s="222"/>
      <c r="FUS607" s="222"/>
      <c r="FUT607" s="222"/>
      <c r="FUU607" s="223"/>
      <c r="FUV607" s="224"/>
      <c r="FUW607" s="222"/>
      <c r="FUX607" s="222"/>
      <c r="FUY607" s="222"/>
      <c r="FUZ607" s="222"/>
      <c r="FVA607" s="222"/>
      <c r="FVB607" s="222"/>
      <c r="FVC607" s="223"/>
      <c r="FVD607" s="224"/>
      <c r="FVE607" s="222"/>
      <c r="FVF607" s="222"/>
      <c r="FVG607" s="222"/>
      <c r="FVH607" s="222"/>
      <c r="FVI607" s="222"/>
      <c r="FVJ607" s="222"/>
      <c r="FVK607" s="223"/>
      <c r="FVL607" s="224"/>
      <c r="FVM607" s="222"/>
      <c r="FVN607" s="222"/>
      <c r="FVO607" s="222"/>
      <c r="FVP607" s="222"/>
      <c r="FVQ607" s="222"/>
      <c r="FVR607" s="222"/>
      <c r="FVS607" s="223"/>
      <c r="FVT607" s="224"/>
      <c r="FVU607" s="222"/>
      <c r="FVV607" s="222"/>
      <c r="FVW607" s="222"/>
      <c r="FVX607" s="222"/>
      <c r="FVY607" s="222"/>
      <c r="FVZ607" s="222"/>
      <c r="FWA607" s="223"/>
      <c r="FWB607" s="224"/>
      <c r="FWC607" s="222"/>
      <c r="FWD607" s="222"/>
      <c r="FWE607" s="222"/>
      <c r="FWF607" s="222"/>
      <c r="FWG607" s="222"/>
      <c r="FWH607" s="222"/>
      <c r="FWI607" s="223"/>
      <c r="FWJ607" s="224"/>
      <c r="FWK607" s="222"/>
      <c r="FWL607" s="222"/>
      <c r="FWM607" s="222"/>
      <c r="FWN607" s="222"/>
      <c r="FWO607" s="222"/>
      <c r="FWP607" s="222"/>
      <c r="FWQ607" s="223"/>
      <c r="FWR607" s="224"/>
      <c r="FWS607" s="222"/>
      <c r="FWT607" s="222"/>
      <c r="FWU607" s="222"/>
      <c r="FWV607" s="222"/>
      <c r="FWW607" s="222"/>
      <c r="FWX607" s="222"/>
      <c r="FWY607" s="223"/>
      <c r="FWZ607" s="224"/>
      <c r="FXA607" s="222"/>
      <c r="FXB607" s="222"/>
      <c r="FXC607" s="222"/>
      <c r="FXD607" s="222"/>
      <c r="FXE607" s="222"/>
      <c r="FXF607" s="222"/>
      <c r="FXG607" s="223"/>
      <c r="FXH607" s="224"/>
      <c r="FXI607" s="222"/>
      <c r="FXJ607" s="222"/>
      <c r="FXK607" s="222"/>
      <c r="FXL607" s="222"/>
      <c r="FXM607" s="222"/>
      <c r="FXN607" s="222"/>
      <c r="FXO607" s="223"/>
      <c r="FXP607" s="224"/>
      <c r="FXQ607" s="222"/>
      <c r="FXR607" s="222"/>
      <c r="FXS607" s="222"/>
      <c r="FXT607" s="222"/>
      <c r="FXU607" s="222"/>
      <c r="FXV607" s="222"/>
      <c r="FXW607" s="223"/>
      <c r="FXX607" s="224"/>
      <c r="FXY607" s="222"/>
      <c r="FXZ607" s="222"/>
      <c r="FYA607" s="222"/>
      <c r="FYB607" s="222"/>
      <c r="FYC607" s="222"/>
      <c r="FYD607" s="222"/>
      <c r="FYE607" s="223"/>
      <c r="FYF607" s="224"/>
      <c r="FYG607" s="222"/>
      <c r="FYH607" s="222"/>
      <c r="FYI607" s="222"/>
      <c r="FYJ607" s="222"/>
      <c r="FYK607" s="222"/>
      <c r="FYL607" s="222"/>
      <c r="FYM607" s="223"/>
      <c r="FYN607" s="224"/>
      <c r="FYO607" s="222"/>
      <c r="FYP607" s="222"/>
      <c r="FYQ607" s="222"/>
      <c r="FYR607" s="222"/>
      <c r="FYS607" s="222"/>
      <c r="FYT607" s="222"/>
      <c r="FYU607" s="223"/>
      <c r="FYV607" s="224"/>
      <c r="FYW607" s="222"/>
      <c r="FYX607" s="222"/>
      <c r="FYY607" s="222"/>
      <c r="FYZ607" s="222"/>
      <c r="FZA607" s="222"/>
      <c r="FZB607" s="222"/>
      <c r="FZC607" s="223"/>
      <c r="FZD607" s="224"/>
      <c r="FZE607" s="222"/>
      <c r="FZF607" s="222"/>
      <c r="FZG607" s="222"/>
      <c r="FZH607" s="222"/>
      <c r="FZI607" s="222"/>
      <c r="FZJ607" s="222"/>
      <c r="FZK607" s="223"/>
      <c r="FZL607" s="224"/>
      <c r="FZM607" s="222"/>
      <c r="FZN607" s="222"/>
      <c r="FZO607" s="222"/>
      <c r="FZP607" s="222"/>
      <c r="FZQ607" s="222"/>
      <c r="FZR607" s="222"/>
      <c r="FZS607" s="223"/>
      <c r="FZT607" s="224"/>
      <c r="FZU607" s="222"/>
      <c r="FZV607" s="222"/>
      <c r="FZW607" s="222"/>
      <c r="FZX607" s="222"/>
      <c r="FZY607" s="222"/>
      <c r="FZZ607" s="222"/>
      <c r="GAA607" s="223"/>
      <c r="GAB607" s="224"/>
      <c r="GAC607" s="222"/>
      <c r="GAD607" s="222"/>
      <c r="GAE607" s="222"/>
      <c r="GAF607" s="222"/>
      <c r="GAG607" s="222"/>
      <c r="GAH607" s="222"/>
      <c r="GAI607" s="223"/>
      <c r="GAJ607" s="224"/>
      <c r="GAK607" s="222"/>
      <c r="GAL607" s="222"/>
      <c r="GAM607" s="222"/>
      <c r="GAN607" s="222"/>
      <c r="GAO607" s="222"/>
      <c r="GAP607" s="222"/>
      <c r="GAQ607" s="223"/>
      <c r="GAR607" s="224"/>
      <c r="GAS607" s="222"/>
      <c r="GAT607" s="222"/>
      <c r="GAU607" s="222"/>
      <c r="GAV607" s="222"/>
      <c r="GAW607" s="222"/>
      <c r="GAX607" s="222"/>
      <c r="GAY607" s="223"/>
      <c r="GAZ607" s="224"/>
      <c r="GBA607" s="222"/>
      <c r="GBB607" s="222"/>
      <c r="GBC607" s="222"/>
      <c r="GBD607" s="222"/>
      <c r="GBE607" s="222"/>
      <c r="GBF607" s="222"/>
      <c r="GBG607" s="223"/>
      <c r="GBH607" s="224"/>
      <c r="GBI607" s="222"/>
      <c r="GBJ607" s="222"/>
      <c r="GBK607" s="222"/>
      <c r="GBL607" s="222"/>
      <c r="GBM607" s="222"/>
      <c r="GBN607" s="222"/>
      <c r="GBO607" s="223"/>
      <c r="GBP607" s="224"/>
      <c r="GBQ607" s="222"/>
      <c r="GBR607" s="222"/>
      <c r="GBS607" s="222"/>
      <c r="GBT607" s="222"/>
      <c r="GBU607" s="222"/>
      <c r="GBV607" s="222"/>
      <c r="GBW607" s="223"/>
      <c r="GBX607" s="224"/>
      <c r="GBY607" s="222"/>
      <c r="GBZ607" s="222"/>
      <c r="GCA607" s="222"/>
      <c r="GCB607" s="222"/>
      <c r="GCC607" s="222"/>
      <c r="GCD607" s="222"/>
      <c r="GCE607" s="223"/>
      <c r="GCF607" s="224"/>
      <c r="GCG607" s="222"/>
      <c r="GCH607" s="222"/>
      <c r="GCI607" s="222"/>
      <c r="GCJ607" s="222"/>
      <c r="GCK607" s="222"/>
      <c r="GCL607" s="222"/>
      <c r="GCM607" s="223"/>
      <c r="GCN607" s="224"/>
      <c r="GCO607" s="222"/>
      <c r="GCP607" s="222"/>
      <c r="GCQ607" s="222"/>
      <c r="GCR607" s="222"/>
      <c r="GCS607" s="222"/>
      <c r="GCT607" s="222"/>
      <c r="GCU607" s="223"/>
      <c r="GCV607" s="224"/>
      <c r="GCW607" s="222"/>
      <c r="GCX607" s="222"/>
      <c r="GCY607" s="222"/>
      <c r="GCZ607" s="222"/>
      <c r="GDA607" s="222"/>
      <c r="GDB607" s="222"/>
      <c r="GDC607" s="223"/>
      <c r="GDD607" s="224"/>
      <c r="GDE607" s="222"/>
      <c r="GDF607" s="222"/>
      <c r="GDG607" s="222"/>
      <c r="GDH607" s="222"/>
      <c r="GDI607" s="222"/>
      <c r="GDJ607" s="222"/>
      <c r="GDK607" s="223"/>
      <c r="GDL607" s="224"/>
      <c r="GDM607" s="222"/>
      <c r="GDN607" s="222"/>
      <c r="GDO607" s="222"/>
      <c r="GDP607" s="222"/>
      <c r="GDQ607" s="222"/>
      <c r="GDR607" s="222"/>
      <c r="GDS607" s="223"/>
      <c r="GDT607" s="224"/>
      <c r="GDU607" s="222"/>
      <c r="GDV607" s="222"/>
      <c r="GDW607" s="222"/>
      <c r="GDX607" s="222"/>
      <c r="GDY607" s="222"/>
      <c r="GDZ607" s="222"/>
      <c r="GEA607" s="223"/>
      <c r="GEB607" s="224"/>
      <c r="GEC607" s="222"/>
      <c r="GED607" s="222"/>
      <c r="GEE607" s="222"/>
      <c r="GEF607" s="222"/>
      <c r="GEG607" s="222"/>
      <c r="GEH607" s="222"/>
      <c r="GEI607" s="223"/>
      <c r="GEJ607" s="224"/>
      <c r="GEK607" s="222"/>
      <c r="GEL607" s="222"/>
      <c r="GEM607" s="222"/>
      <c r="GEN607" s="222"/>
      <c r="GEO607" s="222"/>
      <c r="GEP607" s="222"/>
      <c r="GEQ607" s="223"/>
      <c r="GER607" s="224"/>
      <c r="GES607" s="222"/>
      <c r="GET607" s="222"/>
      <c r="GEU607" s="222"/>
      <c r="GEV607" s="222"/>
      <c r="GEW607" s="222"/>
      <c r="GEX607" s="222"/>
      <c r="GEY607" s="223"/>
      <c r="GEZ607" s="224"/>
      <c r="GFA607" s="222"/>
      <c r="GFB607" s="222"/>
      <c r="GFC607" s="222"/>
      <c r="GFD607" s="222"/>
      <c r="GFE607" s="222"/>
      <c r="GFF607" s="222"/>
      <c r="GFG607" s="223"/>
      <c r="GFH607" s="224"/>
      <c r="GFI607" s="222"/>
      <c r="GFJ607" s="222"/>
      <c r="GFK607" s="222"/>
      <c r="GFL607" s="222"/>
      <c r="GFM607" s="222"/>
      <c r="GFN607" s="222"/>
      <c r="GFO607" s="223"/>
      <c r="GFP607" s="224"/>
      <c r="GFQ607" s="222"/>
      <c r="GFR607" s="222"/>
      <c r="GFS607" s="222"/>
      <c r="GFT607" s="222"/>
      <c r="GFU607" s="222"/>
      <c r="GFV607" s="222"/>
      <c r="GFW607" s="223"/>
      <c r="GFX607" s="224"/>
      <c r="GFY607" s="222"/>
      <c r="GFZ607" s="222"/>
      <c r="GGA607" s="222"/>
      <c r="GGB607" s="222"/>
      <c r="GGC607" s="222"/>
      <c r="GGD607" s="222"/>
      <c r="GGE607" s="223"/>
      <c r="GGF607" s="224"/>
      <c r="GGG607" s="222"/>
      <c r="GGH607" s="222"/>
      <c r="GGI607" s="222"/>
      <c r="GGJ607" s="222"/>
      <c r="GGK607" s="222"/>
      <c r="GGL607" s="222"/>
      <c r="GGM607" s="223"/>
      <c r="GGN607" s="224"/>
      <c r="GGO607" s="222"/>
      <c r="GGP607" s="222"/>
      <c r="GGQ607" s="222"/>
      <c r="GGR607" s="222"/>
      <c r="GGS607" s="222"/>
      <c r="GGT607" s="222"/>
      <c r="GGU607" s="223"/>
      <c r="GGV607" s="224"/>
      <c r="GGW607" s="222"/>
      <c r="GGX607" s="222"/>
      <c r="GGY607" s="222"/>
      <c r="GGZ607" s="222"/>
      <c r="GHA607" s="222"/>
      <c r="GHB607" s="222"/>
      <c r="GHC607" s="223"/>
      <c r="GHD607" s="224"/>
      <c r="GHE607" s="222"/>
      <c r="GHF607" s="222"/>
      <c r="GHG607" s="222"/>
      <c r="GHH607" s="222"/>
      <c r="GHI607" s="222"/>
      <c r="GHJ607" s="222"/>
      <c r="GHK607" s="223"/>
      <c r="GHL607" s="224"/>
      <c r="GHM607" s="222"/>
      <c r="GHN607" s="222"/>
      <c r="GHO607" s="222"/>
      <c r="GHP607" s="222"/>
      <c r="GHQ607" s="222"/>
      <c r="GHR607" s="222"/>
      <c r="GHS607" s="223"/>
      <c r="GHT607" s="224"/>
      <c r="GHU607" s="222"/>
      <c r="GHV607" s="222"/>
      <c r="GHW607" s="222"/>
      <c r="GHX607" s="222"/>
      <c r="GHY607" s="222"/>
      <c r="GHZ607" s="222"/>
      <c r="GIA607" s="223"/>
      <c r="GIB607" s="224"/>
      <c r="GIC607" s="222"/>
      <c r="GID607" s="222"/>
      <c r="GIE607" s="222"/>
      <c r="GIF607" s="222"/>
      <c r="GIG607" s="222"/>
      <c r="GIH607" s="222"/>
      <c r="GII607" s="223"/>
      <c r="GIJ607" s="224"/>
      <c r="GIK607" s="222"/>
      <c r="GIL607" s="222"/>
      <c r="GIM607" s="222"/>
      <c r="GIN607" s="222"/>
      <c r="GIO607" s="222"/>
      <c r="GIP607" s="222"/>
      <c r="GIQ607" s="223"/>
      <c r="GIR607" s="224"/>
      <c r="GIS607" s="222"/>
      <c r="GIT607" s="222"/>
      <c r="GIU607" s="222"/>
      <c r="GIV607" s="222"/>
      <c r="GIW607" s="222"/>
      <c r="GIX607" s="222"/>
      <c r="GIY607" s="223"/>
      <c r="GIZ607" s="224"/>
      <c r="GJA607" s="222"/>
      <c r="GJB607" s="222"/>
      <c r="GJC607" s="222"/>
      <c r="GJD607" s="222"/>
      <c r="GJE607" s="222"/>
      <c r="GJF607" s="222"/>
      <c r="GJG607" s="223"/>
      <c r="GJH607" s="224"/>
      <c r="GJI607" s="222"/>
      <c r="GJJ607" s="222"/>
      <c r="GJK607" s="222"/>
      <c r="GJL607" s="222"/>
      <c r="GJM607" s="222"/>
      <c r="GJN607" s="222"/>
      <c r="GJO607" s="223"/>
      <c r="GJP607" s="224"/>
      <c r="GJQ607" s="222"/>
      <c r="GJR607" s="222"/>
      <c r="GJS607" s="222"/>
      <c r="GJT607" s="222"/>
      <c r="GJU607" s="222"/>
      <c r="GJV607" s="222"/>
      <c r="GJW607" s="223"/>
      <c r="GJX607" s="224"/>
      <c r="GJY607" s="222"/>
      <c r="GJZ607" s="222"/>
      <c r="GKA607" s="222"/>
      <c r="GKB607" s="222"/>
      <c r="GKC607" s="222"/>
      <c r="GKD607" s="222"/>
      <c r="GKE607" s="223"/>
      <c r="GKF607" s="224"/>
      <c r="GKG607" s="222"/>
      <c r="GKH607" s="222"/>
      <c r="GKI607" s="222"/>
      <c r="GKJ607" s="222"/>
      <c r="GKK607" s="222"/>
      <c r="GKL607" s="222"/>
      <c r="GKM607" s="223"/>
      <c r="GKN607" s="224"/>
      <c r="GKO607" s="222"/>
      <c r="GKP607" s="222"/>
      <c r="GKQ607" s="222"/>
      <c r="GKR607" s="222"/>
      <c r="GKS607" s="222"/>
      <c r="GKT607" s="222"/>
      <c r="GKU607" s="223"/>
      <c r="GKV607" s="224"/>
      <c r="GKW607" s="222"/>
      <c r="GKX607" s="222"/>
      <c r="GKY607" s="222"/>
      <c r="GKZ607" s="222"/>
      <c r="GLA607" s="222"/>
      <c r="GLB607" s="222"/>
      <c r="GLC607" s="223"/>
      <c r="GLD607" s="224"/>
      <c r="GLE607" s="222"/>
      <c r="GLF607" s="222"/>
      <c r="GLG607" s="222"/>
      <c r="GLH607" s="222"/>
      <c r="GLI607" s="222"/>
      <c r="GLJ607" s="222"/>
      <c r="GLK607" s="223"/>
      <c r="GLL607" s="224"/>
      <c r="GLM607" s="222"/>
      <c r="GLN607" s="222"/>
      <c r="GLO607" s="222"/>
      <c r="GLP607" s="222"/>
      <c r="GLQ607" s="222"/>
      <c r="GLR607" s="222"/>
      <c r="GLS607" s="223"/>
      <c r="GLT607" s="224"/>
      <c r="GLU607" s="222"/>
      <c r="GLV607" s="222"/>
      <c r="GLW607" s="222"/>
      <c r="GLX607" s="222"/>
      <c r="GLY607" s="222"/>
      <c r="GLZ607" s="222"/>
      <c r="GMA607" s="223"/>
      <c r="GMB607" s="224"/>
      <c r="GMC607" s="222"/>
      <c r="GMD607" s="222"/>
      <c r="GME607" s="222"/>
      <c r="GMF607" s="222"/>
      <c r="GMG607" s="222"/>
      <c r="GMH607" s="222"/>
      <c r="GMI607" s="223"/>
      <c r="GMJ607" s="224"/>
      <c r="GMK607" s="222"/>
      <c r="GML607" s="222"/>
      <c r="GMM607" s="222"/>
      <c r="GMN607" s="222"/>
      <c r="GMO607" s="222"/>
      <c r="GMP607" s="222"/>
      <c r="GMQ607" s="223"/>
      <c r="GMR607" s="224"/>
      <c r="GMS607" s="222"/>
      <c r="GMT607" s="222"/>
      <c r="GMU607" s="222"/>
      <c r="GMV607" s="222"/>
      <c r="GMW607" s="222"/>
      <c r="GMX607" s="222"/>
      <c r="GMY607" s="223"/>
      <c r="GMZ607" s="224"/>
      <c r="GNA607" s="222"/>
      <c r="GNB607" s="222"/>
      <c r="GNC607" s="222"/>
      <c r="GND607" s="222"/>
      <c r="GNE607" s="222"/>
      <c r="GNF607" s="222"/>
      <c r="GNG607" s="223"/>
      <c r="GNH607" s="224"/>
      <c r="GNI607" s="222"/>
      <c r="GNJ607" s="222"/>
      <c r="GNK607" s="222"/>
      <c r="GNL607" s="222"/>
      <c r="GNM607" s="222"/>
      <c r="GNN607" s="222"/>
      <c r="GNO607" s="223"/>
      <c r="GNP607" s="224"/>
      <c r="GNQ607" s="222"/>
      <c r="GNR607" s="222"/>
      <c r="GNS607" s="222"/>
      <c r="GNT607" s="222"/>
      <c r="GNU607" s="222"/>
      <c r="GNV607" s="222"/>
      <c r="GNW607" s="223"/>
      <c r="GNX607" s="224"/>
      <c r="GNY607" s="222"/>
      <c r="GNZ607" s="222"/>
      <c r="GOA607" s="222"/>
      <c r="GOB607" s="222"/>
      <c r="GOC607" s="222"/>
      <c r="GOD607" s="222"/>
      <c r="GOE607" s="223"/>
      <c r="GOF607" s="224"/>
      <c r="GOG607" s="222"/>
      <c r="GOH607" s="222"/>
      <c r="GOI607" s="222"/>
      <c r="GOJ607" s="222"/>
      <c r="GOK607" s="222"/>
      <c r="GOL607" s="222"/>
      <c r="GOM607" s="223"/>
      <c r="GON607" s="224"/>
      <c r="GOO607" s="222"/>
      <c r="GOP607" s="222"/>
      <c r="GOQ607" s="222"/>
      <c r="GOR607" s="222"/>
      <c r="GOS607" s="222"/>
      <c r="GOT607" s="222"/>
      <c r="GOU607" s="223"/>
      <c r="GOV607" s="224"/>
      <c r="GOW607" s="222"/>
      <c r="GOX607" s="222"/>
      <c r="GOY607" s="222"/>
      <c r="GOZ607" s="222"/>
      <c r="GPA607" s="222"/>
      <c r="GPB607" s="222"/>
      <c r="GPC607" s="223"/>
      <c r="GPD607" s="224"/>
      <c r="GPE607" s="222"/>
      <c r="GPF607" s="222"/>
      <c r="GPG607" s="222"/>
      <c r="GPH607" s="222"/>
      <c r="GPI607" s="222"/>
      <c r="GPJ607" s="222"/>
      <c r="GPK607" s="223"/>
      <c r="GPL607" s="224"/>
      <c r="GPM607" s="222"/>
      <c r="GPN607" s="222"/>
      <c r="GPO607" s="222"/>
      <c r="GPP607" s="222"/>
      <c r="GPQ607" s="222"/>
      <c r="GPR607" s="222"/>
      <c r="GPS607" s="223"/>
      <c r="GPT607" s="224"/>
      <c r="GPU607" s="222"/>
      <c r="GPV607" s="222"/>
      <c r="GPW607" s="222"/>
      <c r="GPX607" s="222"/>
      <c r="GPY607" s="222"/>
      <c r="GPZ607" s="222"/>
      <c r="GQA607" s="223"/>
      <c r="GQB607" s="224"/>
      <c r="GQC607" s="222"/>
      <c r="GQD607" s="222"/>
      <c r="GQE607" s="222"/>
      <c r="GQF607" s="222"/>
      <c r="GQG607" s="222"/>
      <c r="GQH607" s="222"/>
      <c r="GQI607" s="223"/>
      <c r="GQJ607" s="224"/>
      <c r="GQK607" s="222"/>
      <c r="GQL607" s="222"/>
      <c r="GQM607" s="222"/>
      <c r="GQN607" s="222"/>
      <c r="GQO607" s="222"/>
      <c r="GQP607" s="222"/>
      <c r="GQQ607" s="223"/>
      <c r="GQR607" s="224"/>
      <c r="GQS607" s="222"/>
      <c r="GQT607" s="222"/>
      <c r="GQU607" s="222"/>
      <c r="GQV607" s="222"/>
      <c r="GQW607" s="222"/>
      <c r="GQX607" s="222"/>
      <c r="GQY607" s="223"/>
      <c r="GQZ607" s="224"/>
      <c r="GRA607" s="222"/>
      <c r="GRB607" s="222"/>
      <c r="GRC607" s="222"/>
      <c r="GRD607" s="222"/>
      <c r="GRE607" s="222"/>
      <c r="GRF607" s="222"/>
      <c r="GRG607" s="223"/>
      <c r="GRH607" s="224"/>
      <c r="GRI607" s="222"/>
      <c r="GRJ607" s="222"/>
      <c r="GRK607" s="222"/>
      <c r="GRL607" s="222"/>
      <c r="GRM607" s="222"/>
      <c r="GRN607" s="222"/>
      <c r="GRO607" s="223"/>
      <c r="GRP607" s="224"/>
      <c r="GRQ607" s="222"/>
      <c r="GRR607" s="222"/>
      <c r="GRS607" s="222"/>
      <c r="GRT607" s="222"/>
      <c r="GRU607" s="222"/>
      <c r="GRV607" s="222"/>
      <c r="GRW607" s="223"/>
      <c r="GRX607" s="224"/>
      <c r="GRY607" s="222"/>
      <c r="GRZ607" s="222"/>
      <c r="GSA607" s="222"/>
      <c r="GSB607" s="222"/>
      <c r="GSC607" s="222"/>
      <c r="GSD607" s="222"/>
      <c r="GSE607" s="223"/>
      <c r="GSF607" s="224"/>
      <c r="GSG607" s="222"/>
      <c r="GSH607" s="222"/>
      <c r="GSI607" s="222"/>
      <c r="GSJ607" s="222"/>
      <c r="GSK607" s="222"/>
      <c r="GSL607" s="222"/>
      <c r="GSM607" s="223"/>
      <c r="GSN607" s="224"/>
      <c r="GSO607" s="222"/>
      <c r="GSP607" s="222"/>
      <c r="GSQ607" s="222"/>
      <c r="GSR607" s="222"/>
      <c r="GSS607" s="222"/>
      <c r="GST607" s="222"/>
      <c r="GSU607" s="223"/>
      <c r="GSV607" s="224"/>
      <c r="GSW607" s="222"/>
      <c r="GSX607" s="222"/>
      <c r="GSY607" s="222"/>
      <c r="GSZ607" s="222"/>
      <c r="GTA607" s="222"/>
      <c r="GTB607" s="222"/>
      <c r="GTC607" s="223"/>
      <c r="GTD607" s="224"/>
      <c r="GTE607" s="222"/>
      <c r="GTF607" s="222"/>
      <c r="GTG607" s="222"/>
      <c r="GTH607" s="222"/>
      <c r="GTI607" s="222"/>
      <c r="GTJ607" s="222"/>
      <c r="GTK607" s="223"/>
      <c r="GTL607" s="224"/>
      <c r="GTM607" s="222"/>
      <c r="GTN607" s="222"/>
      <c r="GTO607" s="222"/>
      <c r="GTP607" s="222"/>
      <c r="GTQ607" s="222"/>
      <c r="GTR607" s="222"/>
      <c r="GTS607" s="223"/>
      <c r="GTT607" s="224"/>
      <c r="GTU607" s="222"/>
      <c r="GTV607" s="222"/>
      <c r="GTW607" s="222"/>
      <c r="GTX607" s="222"/>
      <c r="GTY607" s="222"/>
      <c r="GTZ607" s="222"/>
      <c r="GUA607" s="223"/>
      <c r="GUB607" s="224"/>
      <c r="GUC607" s="222"/>
      <c r="GUD607" s="222"/>
      <c r="GUE607" s="222"/>
      <c r="GUF607" s="222"/>
      <c r="GUG607" s="222"/>
      <c r="GUH607" s="222"/>
      <c r="GUI607" s="223"/>
      <c r="GUJ607" s="224"/>
      <c r="GUK607" s="222"/>
      <c r="GUL607" s="222"/>
      <c r="GUM607" s="222"/>
      <c r="GUN607" s="222"/>
      <c r="GUO607" s="222"/>
      <c r="GUP607" s="222"/>
      <c r="GUQ607" s="223"/>
      <c r="GUR607" s="224"/>
      <c r="GUS607" s="222"/>
      <c r="GUT607" s="222"/>
      <c r="GUU607" s="222"/>
      <c r="GUV607" s="222"/>
      <c r="GUW607" s="222"/>
      <c r="GUX607" s="222"/>
      <c r="GUY607" s="223"/>
      <c r="GUZ607" s="224"/>
      <c r="GVA607" s="222"/>
      <c r="GVB607" s="222"/>
      <c r="GVC607" s="222"/>
      <c r="GVD607" s="222"/>
      <c r="GVE607" s="222"/>
      <c r="GVF607" s="222"/>
      <c r="GVG607" s="223"/>
      <c r="GVH607" s="224"/>
      <c r="GVI607" s="222"/>
      <c r="GVJ607" s="222"/>
      <c r="GVK607" s="222"/>
      <c r="GVL607" s="222"/>
      <c r="GVM607" s="222"/>
      <c r="GVN607" s="222"/>
      <c r="GVO607" s="223"/>
      <c r="GVP607" s="224"/>
      <c r="GVQ607" s="222"/>
      <c r="GVR607" s="222"/>
      <c r="GVS607" s="222"/>
      <c r="GVT607" s="222"/>
      <c r="GVU607" s="222"/>
      <c r="GVV607" s="222"/>
      <c r="GVW607" s="223"/>
      <c r="GVX607" s="224"/>
      <c r="GVY607" s="222"/>
      <c r="GVZ607" s="222"/>
      <c r="GWA607" s="222"/>
      <c r="GWB607" s="222"/>
      <c r="GWC607" s="222"/>
      <c r="GWD607" s="222"/>
      <c r="GWE607" s="223"/>
      <c r="GWF607" s="224"/>
      <c r="GWG607" s="222"/>
      <c r="GWH607" s="222"/>
      <c r="GWI607" s="222"/>
      <c r="GWJ607" s="222"/>
      <c r="GWK607" s="222"/>
      <c r="GWL607" s="222"/>
      <c r="GWM607" s="223"/>
      <c r="GWN607" s="224"/>
      <c r="GWO607" s="222"/>
      <c r="GWP607" s="222"/>
      <c r="GWQ607" s="222"/>
      <c r="GWR607" s="222"/>
      <c r="GWS607" s="222"/>
      <c r="GWT607" s="222"/>
      <c r="GWU607" s="223"/>
      <c r="GWV607" s="224"/>
      <c r="GWW607" s="222"/>
      <c r="GWX607" s="222"/>
      <c r="GWY607" s="222"/>
      <c r="GWZ607" s="222"/>
      <c r="GXA607" s="222"/>
      <c r="GXB607" s="222"/>
      <c r="GXC607" s="223"/>
      <c r="GXD607" s="224"/>
      <c r="GXE607" s="222"/>
      <c r="GXF607" s="222"/>
      <c r="GXG607" s="222"/>
      <c r="GXH607" s="222"/>
      <c r="GXI607" s="222"/>
      <c r="GXJ607" s="222"/>
      <c r="GXK607" s="223"/>
      <c r="GXL607" s="224"/>
      <c r="GXM607" s="222"/>
      <c r="GXN607" s="222"/>
      <c r="GXO607" s="222"/>
      <c r="GXP607" s="222"/>
      <c r="GXQ607" s="222"/>
      <c r="GXR607" s="222"/>
      <c r="GXS607" s="223"/>
      <c r="GXT607" s="224"/>
      <c r="GXU607" s="222"/>
      <c r="GXV607" s="222"/>
      <c r="GXW607" s="222"/>
      <c r="GXX607" s="222"/>
      <c r="GXY607" s="222"/>
      <c r="GXZ607" s="222"/>
      <c r="GYA607" s="223"/>
      <c r="GYB607" s="224"/>
      <c r="GYC607" s="222"/>
      <c r="GYD607" s="222"/>
      <c r="GYE607" s="222"/>
      <c r="GYF607" s="222"/>
      <c r="GYG607" s="222"/>
      <c r="GYH607" s="222"/>
      <c r="GYI607" s="223"/>
      <c r="GYJ607" s="224"/>
      <c r="GYK607" s="222"/>
      <c r="GYL607" s="222"/>
      <c r="GYM607" s="222"/>
      <c r="GYN607" s="222"/>
      <c r="GYO607" s="222"/>
      <c r="GYP607" s="222"/>
      <c r="GYQ607" s="223"/>
      <c r="GYR607" s="224"/>
      <c r="GYS607" s="222"/>
      <c r="GYT607" s="222"/>
      <c r="GYU607" s="222"/>
      <c r="GYV607" s="222"/>
      <c r="GYW607" s="222"/>
      <c r="GYX607" s="222"/>
      <c r="GYY607" s="223"/>
      <c r="GYZ607" s="224"/>
      <c r="GZA607" s="222"/>
      <c r="GZB607" s="222"/>
      <c r="GZC607" s="222"/>
      <c r="GZD607" s="222"/>
      <c r="GZE607" s="222"/>
      <c r="GZF607" s="222"/>
      <c r="GZG607" s="223"/>
      <c r="GZH607" s="224"/>
      <c r="GZI607" s="222"/>
      <c r="GZJ607" s="222"/>
      <c r="GZK607" s="222"/>
      <c r="GZL607" s="222"/>
      <c r="GZM607" s="222"/>
      <c r="GZN607" s="222"/>
      <c r="GZO607" s="223"/>
      <c r="GZP607" s="224"/>
      <c r="GZQ607" s="222"/>
      <c r="GZR607" s="222"/>
      <c r="GZS607" s="222"/>
      <c r="GZT607" s="222"/>
      <c r="GZU607" s="222"/>
      <c r="GZV607" s="222"/>
      <c r="GZW607" s="223"/>
      <c r="GZX607" s="224"/>
      <c r="GZY607" s="222"/>
      <c r="GZZ607" s="222"/>
      <c r="HAA607" s="222"/>
      <c r="HAB607" s="222"/>
      <c r="HAC607" s="222"/>
      <c r="HAD607" s="222"/>
      <c r="HAE607" s="223"/>
      <c r="HAF607" s="224"/>
      <c r="HAG607" s="222"/>
      <c r="HAH607" s="222"/>
      <c r="HAI607" s="222"/>
      <c r="HAJ607" s="222"/>
      <c r="HAK607" s="222"/>
      <c r="HAL607" s="222"/>
      <c r="HAM607" s="223"/>
      <c r="HAN607" s="224"/>
      <c r="HAO607" s="222"/>
      <c r="HAP607" s="222"/>
      <c r="HAQ607" s="222"/>
      <c r="HAR607" s="222"/>
      <c r="HAS607" s="222"/>
      <c r="HAT607" s="222"/>
      <c r="HAU607" s="223"/>
      <c r="HAV607" s="224"/>
      <c r="HAW607" s="222"/>
      <c r="HAX607" s="222"/>
      <c r="HAY607" s="222"/>
      <c r="HAZ607" s="222"/>
      <c r="HBA607" s="222"/>
      <c r="HBB607" s="222"/>
      <c r="HBC607" s="223"/>
      <c r="HBD607" s="224"/>
      <c r="HBE607" s="222"/>
      <c r="HBF607" s="222"/>
      <c r="HBG607" s="222"/>
      <c r="HBH607" s="222"/>
      <c r="HBI607" s="222"/>
      <c r="HBJ607" s="222"/>
      <c r="HBK607" s="223"/>
      <c r="HBL607" s="224"/>
      <c r="HBM607" s="222"/>
      <c r="HBN607" s="222"/>
      <c r="HBO607" s="222"/>
      <c r="HBP607" s="222"/>
      <c r="HBQ607" s="222"/>
      <c r="HBR607" s="222"/>
      <c r="HBS607" s="223"/>
      <c r="HBT607" s="224"/>
      <c r="HBU607" s="222"/>
      <c r="HBV607" s="222"/>
      <c r="HBW607" s="222"/>
      <c r="HBX607" s="222"/>
      <c r="HBY607" s="222"/>
      <c r="HBZ607" s="222"/>
      <c r="HCA607" s="223"/>
      <c r="HCB607" s="224"/>
      <c r="HCC607" s="222"/>
      <c r="HCD607" s="222"/>
      <c r="HCE607" s="222"/>
      <c r="HCF607" s="222"/>
      <c r="HCG607" s="222"/>
      <c r="HCH607" s="222"/>
      <c r="HCI607" s="223"/>
      <c r="HCJ607" s="224"/>
      <c r="HCK607" s="222"/>
      <c r="HCL607" s="222"/>
      <c r="HCM607" s="222"/>
      <c r="HCN607" s="222"/>
      <c r="HCO607" s="222"/>
      <c r="HCP607" s="222"/>
      <c r="HCQ607" s="223"/>
      <c r="HCR607" s="224"/>
      <c r="HCS607" s="222"/>
      <c r="HCT607" s="222"/>
      <c r="HCU607" s="222"/>
      <c r="HCV607" s="222"/>
      <c r="HCW607" s="222"/>
      <c r="HCX607" s="222"/>
      <c r="HCY607" s="223"/>
      <c r="HCZ607" s="224"/>
      <c r="HDA607" s="222"/>
      <c r="HDB607" s="222"/>
      <c r="HDC607" s="222"/>
      <c r="HDD607" s="222"/>
      <c r="HDE607" s="222"/>
      <c r="HDF607" s="222"/>
      <c r="HDG607" s="223"/>
      <c r="HDH607" s="224"/>
      <c r="HDI607" s="222"/>
      <c r="HDJ607" s="222"/>
      <c r="HDK607" s="222"/>
      <c r="HDL607" s="222"/>
      <c r="HDM607" s="222"/>
      <c r="HDN607" s="222"/>
      <c r="HDO607" s="223"/>
      <c r="HDP607" s="224"/>
      <c r="HDQ607" s="222"/>
      <c r="HDR607" s="222"/>
      <c r="HDS607" s="222"/>
      <c r="HDT607" s="222"/>
      <c r="HDU607" s="222"/>
      <c r="HDV607" s="222"/>
      <c r="HDW607" s="223"/>
      <c r="HDX607" s="224"/>
      <c r="HDY607" s="222"/>
      <c r="HDZ607" s="222"/>
      <c r="HEA607" s="222"/>
      <c r="HEB607" s="222"/>
      <c r="HEC607" s="222"/>
      <c r="HED607" s="222"/>
      <c r="HEE607" s="223"/>
      <c r="HEF607" s="224"/>
      <c r="HEG607" s="222"/>
      <c r="HEH607" s="222"/>
      <c r="HEI607" s="222"/>
      <c r="HEJ607" s="222"/>
      <c r="HEK607" s="222"/>
      <c r="HEL607" s="222"/>
      <c r="HEM607" s="223"/>
      <c r="HEN607" s="224"/>
      <c r="HEO607" s="222"/>
      <c r="HEP607" s="222"/>
      <c r="HEQ607" s="222"/>
      <c r="HER607" s="222"/>
      <c r="HES607" s="222"/>
      <c r="HET607" s="222"/>
      <c r="HEU607" s="223"/>
      <c r="HEV607" s="224"/>
      <c r="HEW607" s="222"/>
      <c r="HEX607" s="222"/>
      <c r="HEY607" s="222"/>
      <c r="HEZ607" s="222"/>
      <c r="HFA607" s="222"/>
      <c r="HFB607" s="222"/>
      <c r="HFC607" s="223"/>
      <c r="HFD607" s="224"/>
      <c r="HFE607" s="222"/>
      <c r="HFF607" s="222"/>
      <c r="HFG607" s="222"/>
      <c r="HFH607" s="222"/>
      <c r="HFI607" s="222"/>
      <c r="HFJ607" s="222"/>
      <c r="HFK607" s="223"/>
      <c r="HFL607" s="224"/>
      <c r="HFM607" s="222"/>
      <c r="HFN607" s="222"/>
      <c r="HFO607" s="222"/>
      <c r="HFP607" s="222"/>
      <c r="HFQ607" s="222"/>
      <c r="HFR607" s="222"/>
      <c r="HFS607" s="223"/>
      <c r="HFT607" s="224"/>
      <c r="HFU607" s="222"/>
      <c r="HFV607" s="222"/>
      <c r="HFW607" s="222"/>
      <c r="HFX607" s="222"/>
      <c r="HFY607" s="222"/>
      <c r="HFZ607" s="222"/>
      <c r="HGA607" s="223"/>
      <c r="HGB607" s="224"/>
      <c r="HGC607" s="222"/>
      <c r="HGD607" s="222"/>
      <c r="HGE607" s="222"/>
      <c r="HGF607" s="222"/>
      <c r="HGG607" s="222"/>
      <c r="HGH607" s="222"/>
      <c r="HGI607" s="223"/>
      <c r="HGJ607" s="224"/>
      <c r="HGK607" s="222"/>
      <c r="HGL607" s="222"/>
      <c r="HGM607" s="222"/>
      <c r="HGN607" s="222"/>
      <c r="HGO607" s="222"/>
      <c r="HGP607" s="222"/>
      <c r="HGQ607" s="223"/>
      <c r="HGR607" s="224"/>
      <c r="HGS607" s="222"/>
      <c r="HGT607" s="222"/>
      <c r="HGU607" s="222"/>
      <c r="HGV607" s="222"/>
      <c r="HGW607" s="222"/>
      <c r="HGX607" s="222"/>
      <c r="HGY607" s="223"/>
      <c r="HGZ607" s="224"/>
      <c r="HHA607" s="222"/>
      <c r="HHB607" s="222"/>
      <c r="HHC607" s="222"/>
      <c r="HHD607" s="222"/>
      <c r="HHE607" s="222"/>
      <c r="HHF607" s="222"/>
      <c r="HHG607" s="223"/>
      <c r="HHH607" s="224"/>
      <c r="HHI607" s="222"/>
      <c r="HHJ607" s="222"/>
      <c r="HHK607" s="222"/>
      <c r="HHL607" s="222"/>
      <c r="HHM607" s="222"/>
      <c r="HHN607" s="222"/>
      <c r="HHO607" s="223"/>
      <c r="HHP607" s="224"/>
      <c r="HHQ607" s="222"/>
      <c r="HHR607" s="222"/>
      <c r="HHS607" s="222"/>
      <c r="HHT607" s="222"/>
      <c r="HHU607" s="222"/>
      <c r="HHV607" s="222"/>
      <c r="HHW607" s="223"/>
      <c r="HHX607" s="224"/>
      <c r="HHY607" s="222"/>
      <c r="HHZ607" s="222"/>
      <c r="HIA607" s="222"/>
      <c r="HIB607" s="222"/>
      <c r="HIC607" s="222"/>
      <c r="HID607" s="222"/>
      <c r="HIE607" s="223"/>
      <c r="HIF607" s="224"/>
      <c r="HIG607" s="222"/>
      <c r="HIH607" s="222"/>
      <c r="HII607" s="222"/>
      <c r="HIJ607" s="222"/>
      <c r="HIK607" s="222"/>
      <c r="HIL607" s="222"/>
      <c r="HIM607" s="223"/>
      <c r="HIN607" s="224"/>
      <c r="HIO607" s="222"/>
      <c r="HIP607" s="222"/>
      <c r="HIQ607" s="222"/>
      <c r="HIR607" s="222"/>
      <c r="HIS607" s="222"/>
      <c r="HIT607" s="222"/>
      <c r="HIU607" s="223"/>
      <c r="HIV607" s="224"/>
      <c r="HIW607" s="222"/>
      <c r="HIX607" s="222"/>
      <c r="HIY607" s="222"/>
      <c r="HIZ607" s="222"/>
      <c r="HJA607" s="222"/>
      <c r="HJB607" s="222"/>
      <c r="HJC607" s="223"/>
      <c r="HJD607" s="224"/>
      <c r="HJE607" s="222"/>
      <c r="HJF607" s="222"/>
      <c r="HJG607" s="222"/>
      <c r="HJH607" s="222"/>
      <c r="HJI607" s="222"/>
      <c r="HJJ607" s="222"/>
      <c r="HJK607" s="223"/>
      <c r="HJL607" s="224"/>
      <c r="HJM607" s="222"/>
      <c r="HJN607" s="222"/>
      <c r="HJO607" s="222"/>
      <c r="HJP607" s="222"/>
      <c r="HJQ607" s="222"/>
      <c r="HJR607" s="222"/>
      <c r="HJS607" s="223"/>
      <c r="HJT607" s="224"/>
      <c r="HJU607" s="222"/>
      <c r="HJV607" s="222"/>
      <c r="HJW607" s="222"/>
      <c r="HJX607" s="222"/>
      <c r="HJY607" s="222"/>
      <c r="HJZ607" s="222"/>
      <c r="HKA607" s="223"/>
      <c r="HKB607" s="224"/>
      <c r="HKC607" s="222"/>
      <c r="HKD607" s="222"/>
      <c r="HKE607" s="222"/>
      <c r="HKF607" s="222"/>
      <c r="HKG607" s="222"/>
      <c r="HKH607" s="222"/>
      <c r="HKI607" s="223"/>
      <c r="HKJ607" s="224"/>
      <c r="HKK607" s="222"/>
      <c r="HKL607" s="222"/>
      <c r="HKM607" s="222"/>
      <c r="HKN607" s="222"/>
      <c r="HKO607" s="222"/>
      <c r="HKP607" s="222"/>
      <c r="HKQ607" s="223"/>
      <c r="HKR607" s="224"/>
      <c r="HKS607" s="222"/>
      <c r="HKT607" s="222"/>
      <c r="HKU607" s="222"/>
      <c r="HKV607" s="222"/>
      <c r="HKW607" s="222"/>
      <c r="HKX607" s="222"/>
      <c r="HKY607" s="223"/>
      <c r="HKZ607" s="224"/>
      <c r="HLA607" s="222"/>
      <c r="HLB607" s="222"/>
      <c r="HLC607" s="222"/>
      <c r="HLD607" s="222"/>
      <c r="HLE607" s="222"/>
      <c r="HLF607" s="222"/>
      <c r="HLG607" s="223"/>
      <c r="HLH607" s="224"/>
      <c r="HLI607" s="222"/>
      <c r="HLJ607" s="222"/>
      <c r="HLK607" s="222"/>
      <c r="HLL607" s="222"/>
      <c r="HLM607" s="222"/>
      <c r="HLN607" s="222"/>
      <c r="HLO607" s="223"/>
      <c r="HLP607" s="224"/>
      <c r="HLQ607" s="222"/>
      <c r="HLR607" s="222"/>
      <c r="HLS607" s="222"/>
      <c r="HLT607" s="222"/>
      <c r="HLU607" s="222"/>
      <c r="HLV607" s="222"/>
      <c r="HLW607" s="223"/>
      <c r="HLX607" s="224"/>
      <c r="HLY607" s="222"/>
      <c r="HLZ607" s="222"/>
      <c r="HMA607" s="222"/>
      <c r="HMB607" s="222"/>
      <c r="HMC607" s="222"/>
      <c r="HMD607" s="222"/>
      <c r="HME607" s="223"/>
      <c r="HMF607" s="224"/>
      <c r="HMG607" s="222"/>
      <c r="HMH607" s="222"/>
      <c r="HMI607" s="222"/>
      <c r="HMJ607" s="222"/>
      <c r="HMK607" s="222"/>
      <c r="HML607" s="222"/>
      <c r="HMM607" s="223"/>
      <c r="HMN607" s="224"/>
      <c r="HMO607" s="222"/>
      <c r="HMP607" s="222"/>
      <c r="HMQ607" s="222"/>
      <c r="HMR607" s="222"/>
      <c r="HMS607" s="222"/>
      <c r="HMT607" s="222"/>
      <c r="HMU607" s="223"/>
      <c r="HMV607" s="224"/>
      <c r="HMW607" s="222"/>
      <c r="HMX607" s="222"/>
      <c r="HMY607" s="222"/>
      <c r="HMZ607" s="222"/>
      <c r="HNA607" s="222"/>
      <c r="HNB607" s="222"/>
      <c r="HNC607" s="223"/>
      <c r="HND607" s="224"/>
      <c r="HNE607" s="222"/>
      <c r="HNF607" s="222"/>
      <c r="HNG607" s="222"/>
      <c r="HNH607" s="222"/>
      <c r="HNI607" s="222"/>
      <c r="HNJ607" s="222"/>
      <c r="HNK607" s="223"/>
      <c r="HNL607" s="224"/>
      <c r="HNM607" s="222"/>
      <c r="HNN607" s="222"/>
      <c r="HNO607" s="222"/>
      <c r="HNP607" s="222"/>
      <c r="HNQ607" s="222"/>
      <c r="HNR607" s="222"/>
      <c r="HNS607" s="223"/>
      <c r="HNT607" s="224"/>
      <c r="HNU607" s="222"/>
      <c r="HNV607" s="222"/>
      <c r="HNW607" s="222"/>
      <c r="HNX607" s="222"/>
      <c r="HNY607" s="222"/>
      <c r="HNZ607" s="222"/>
      <c r="HOA607" s="223"/>
      <c r="HOB607" s="224"/>
      <c r="HOC607" s="222"/>
      <c r="HOD607" s="222"/>
      <c r="HOE607" s="222"/>
      <c r="HOF607" s="222"/>
      <c r="HOG607" s="222"/>
      <c r="HOH607" s="222"/>
      <c r="HOI607" s="223"/>
      <c r="HOJ607" s="224"/>
      <c r="HOK607" s="222"/>
      <c r="HOL607" s="222"/>
      <c r="HOM607" s="222"/>
      <c r="HON607" s="222"/>
      <c r="HOO607" s="222"/>
      <c r="HOP607" s="222"/>
      <c r="HOQ607" s="223"/>
      <c r="HOR607" s="224"/>
      <c r="HOS607" s="222"/>
      <c r="HOT607" s="222"/>
      <c r="HOU607" s="222"/>
      <c r="HOV607" s="222"/>
      <c r="HOW607" s="222"/>
      <c r="HOX607" s="222"/>
      <c r="HOY607" s="223"/>
      <c r="HOZ607" s="224"/>
      <c r="HPA607" s="222"/>
      <c r="HPB607" s="222"/>
      <c r="HPC607" s="222"/>
      <c r="HPD607" s="222"/>
      <c r="HPE607" s="222"/>
      <c r="HPF607" s="222"/>
      <c r="HPG607" s="223"/>
      <c r="HPH607" s="224"/>
      <c r="HPI607" s="222"/>
      <c r="HPJ607" s="222"/>
      <c r="HPK607" s="222"/>
      <c r="HPL607" s="222"/>
      <c r="HPM607" s="222"/>
      <c r="HPN607" s="222"/>
      <c r="HPO607" s="223"/>
      <c r="HPP607" s="224"/>
      <c r="HPQ607" s="222"/>
      <c r="HPR607" s="222"/>
      <c r="HPS607" s="222"/>
      <c r="HPT607" s="222"/>
      <c r="HPU607" s="222"/>
      <c r="HPV607" s="222"/>
      <c r="HPW607" s="223"/>
      <c r="HPX607" s="224"/>
      <c r="HPY607" s="222"/>
      <c r="HPZ607" s="222"/>
      <c r="HQA607" s="222"/>
      <c r="HQB607" s="222"/>
      <c r="HQC607" s="222"/>
      <c r="HQD607" s="222"/>
      <c r="HQE607" s="223"/>
      <c r="HQF607" s="224"/>
      <c r="HQG607" s="222"/>
      <c r="HQH607" s="222"/>
      <c r="HQI607" s="222"/>
      <c r="HQJ607" s="222"/>
      <c r="HQK607" s="222"/>
      <c r="HQL607" s="222"/>
      <c r="HQM607" s="223"/>
      <c r="HQN607" s="224"/>
      <c r="HQO607" s="222"/>
      <c r="HQP607" s="222"/>
      <c r="HQQ607" s="222"/>
      <c r="HQR607" s="222"/>
      <c r="HQS607" s="222"/>
      <c r="HQT607" s="222"/>
      <c r="HQU607" s="223"/>
      <c r="HQV607" s="224"/>
      <c r="HQW607" s="222"/>
      <c r="HQX607" s="222"/>
      <c r="HQY607" s="222"/>
      <c r="HQZ607" s="222"/>
      <c r="HRA607" s="222"/>
      <c r="HRB607" s="222"/>
      <c r="HRC607" s="223"/>
      <c r="HRD607" s="224"/>
      <c r="HRE607" s="222"/>
      <c r="HRF607" s="222"/>
      <c r="HRG607" s="222"/>
      <c r="HRH607" s="222"/>
      <c r="HRI607" s="222"/>
      <c r="HRJ607" s="222"/>
      <c r="HRK607" s="223"/>
      <c r="HRL607" s="224"/>
      <c r="HRM607" s="222"/>
      <c r="HRN607" s="222"/>
      <c r="HRO607" s="222"/>
      <c r="HRP607" s="222"/>
      <c r="HRQ607" s="222"/>
      <c r="HRR607" s="222"/>
      <c r="HRS607" s="223"/>
      <c r="HRT607" s="224"/>
      <c r="HRU607" s="222"/>
      <c r="HRV607" s="222"/>
      <c r="HRW607" s="222"/>
      <c r="HRX607" s="222"/>
      <c r="HRY607" s="222"/>
      <c r="HRZ607" s="222"/>
      <c r="HSA607" s="223"/>
      <c r="HSB607" s="224"/>
      <c r="HSC607" s="222"/>
      <c r="HSD607" s="222"/>
      <c r="HSE607" s="222"/>
      <c r="HSF607" s="222"/>
      <c r="HSG607" s="222"/>
      <c r="HSH607" s="222"/>
      <c r="HSI607" s="223"/>
      <c r="HSJ607" s="224"/>
      <c r="HSK607" s="222"/>
      <c r="HSL607" s="222"/>
      <c r="HSM607" s="222"/>
      <c r="HSN607" s="222"/>
      <c r="HSO607" s="222"/>
      <c r="HSP607" s="222"/>
      <c r="HSQ607" s="223"/>
      <c r="HSR607" s="224"/>
      <c r="HSS607" s="222"/>
      <c r="HST607" s="222"/>
      <c r="HSU607" s="222"/>
      <c r="HSV607" s="222"/>
      <c r="HSW607" s="222"/>
      <c r="HSX607" s="222"/>
      <c r="HSY607" s="223"/>
      <c r="HSZ607" s="224"/>
      <c r="HTA607" s="222"/>
      <c r="HTB607" s="222"/>
      <c r="HTC607" s="222"/>
      <c r="HTD607" s="222"/>
      <c r="HTE607" s="222"/>
      <c r="HTF607" s="222"/>
      <c r="HTG607" s="223"/>
      <c r="HTH607" s="224"/>
      <c r="HTI607" s="222"/>
      <c r="HTJ607" s="222"/>
      <c r="HTK607" s="222"/>
      <c r="HTL607" s="222"/>
      <c r="HTM607" s="222"/>
      <c r="HTN607" s="222"/>
      <c r="HTO607" s="223"/>
      <c r="HTP607" s="224"/>
      <c r="HTQ607" s="222"/>
      <c r="HTR607" s="222"/>
      <c r="HTS607" s="222"/>
      <c r="HTT607" s="222"/>
      <c r="HTU607" s="222"/>
      <c r="HTV607" s="222"/>
      <c r="HTW607" s="223"/>
      <c r="HTX607" s="224"/>
      <c r="HTY607" s="222"/>
      <c r="HTZ607" s="222"/>
      <c r="HUA607" s="222"/>
      <c r="HUB607" s="222"/>
      <c r="HUC607" s="222"/>
      <c r="HUD607" s="222"/>
      <c r="HUE607" s="223"/>
      <c r="HUF607" s="224"/>
      <c r="HUG607" s="222"/>
      <c r="HUH607" s="222"/>
      <c r="HUI607" s="222"/>
      <c r="HUJ607" s="222"/>
      <c r="HUK607" s="222"/>
      <c r="HUL607" s="222"/>
      <c r="HUM607" s="223"/>
      <c r="HUN607" s="224"/>
      <c r="HUO607" s="222"/>
      <c r="HUP607" s="222"/>
      <c r="HUQ607" s="222"/>
      <c r="HUR607" s="222"/>
      <c r="HUS607" s="222"/>
      <c r="HUT607" s="222"/>
      <c r="HUU607" s="223"/>
      <c r="HUV607" s="224"/>
      <c r="HUW607" s="222"/>
      <c r="HUX607" s="222"/>
      <c r="HUY607" s="222"/>
      <c r="HUZ607" s="222"/>
      <c r="HVA607" s="222"/>
      <c r="HVB607" s="222"/>
      <c r="HVC607" s="223"/>
      <c r="HVD607" s="224"/>
      <c r="HVE607" s="222"/>
      <c r="HVF607" s="222"/>
      <c r="HVG607" s="222"/>
      <c r="HVH607" s="222"/>
      <c r="HVI607" s="222"/>
      <c r="HVJ607" s="222"/>
      <c r="HVK607" s="223"/>
      <c r="HVL607" s="224"/>
      <c r="HVM607" s="222"/>
      <c r="HVN607" s="222"/>
      <c r="HVO607" s="222"/>
      <c r="HVP607" s="222"/>
      <c r="HVQ607" s="222"/>
      <c r="HVR607" s="222"/>
      <c r="HVS607" s="223"/>
      <c r="HVT607" s="224"/>
      <c r="HVU607" s="222"/>
      <c r="HVV607" s="222"/>
      <c r="HVW607" s="222"/>
      <c r="HVX607" s="222"/>
      <c r="HVY607" s="222"/>
      <c r="HVZ607" s="222"/>
      <c r="HWA607" s="223"/>
      <c r="HWB607" s="224"/>
      <c r="HWC607" s="222"/>
      <c r="HWD607" s="222"/>
      <c r="HWE607" s="222"/>
      <c r="HWF607" s="222"/>
      <c r="HWG607" s="222"/>
      <c r="HWH607" s="222"/>
      <c r="HWI607" s="223"/>
      <c r="HWJ607" s="224"/>
      <c r="HWK607" s="222"/>
      <c r="HWL607" s="222"/>
      <c r="HWM607" s="222"/>
      <c r="HWN607" s="222"/>
      <c r="HWO607" s="222"/>
      <c r="HWP607" s="222"/>
      <c r="HWQ607" s="223"/>
      <c r="HWR607" s="224"/>
      <c r="HWS607" s="222"/>
      <c r="HWT607" s="222"/>
      <c r="HWU607" s="222"/>
      <c r="HWV607" s="222"/>
      <c r="HWW607" s="222"/>
      <c r="HWX607" s="222"/>
      <c r="HWY607" s="223"/>
      <c r="HWZ607" s="224"/>
      <c r="HXA607" s="222"/>
      <c r="HXB607" s="222"/>
      <c r="HXC607" s="222"/>
      <c r="HXD607" s="222"/>
      <c r="HXE607" s="222"/>
      <c r="HXF607" s="222"/>
      <c r="HXG607" s="223"/>
      <c r="HXH607" s="224"/>
      <c r="HXI607" s="222"/>
      <c r="HXJ607" s="222"/>
      <c r="HXK607" s="222"/>
      <c r="HXL607" s="222"/>
      <c r="HXM607" s="222"/>
      <c r="HXN607" s="222"/>
      <c r="HXO607" s="223"/>
      <c r="HXP607" s="224"/>
      <c r="HXQ607" s="222"/>
      <c r="HXR607" s="222"/>
      <c r="HXS607" s="222"/>
      <c r="HXT607" s="222"/>
      <c r="HXU607" s="222"/>
      <c r="HXV607" s="222"/>
      <c r="HXW607" s="223"/>
      <c r="HXX607" s="224"/>
      <c r="HXY607" s="222"/>
      <c r="HXZ607" s="222"/>
      <c r="HYA607" s="222"/>
      <c r="HYB607" s="222"/>
      <c r="HYC607" s="222"/>
      <c r="HYD607" s="222"/>
      <c r="HYE607" s="223"/>
      <c r="HYF607" s="224"/>
      <c r="HYG607" s="222"/>
      <c r="HYH607" s="222"/>
      <c r="HYI607" s="222"/>
      <c r="HYJ607" s="222"/>
      <c r="HYK607" s="222"/>
      <c r="HYL607" s="222"/>
      <c r="HYM607" s="223"/>
      <c r="HYN607" s="224"/>
      <c r="HYO607" s="222"/>
      <c r="HYP607" s="222"/>
      <c r="HYQ607" s="222"/>
      <c r="HYR607" s="222"/>
      <c r="HYS607" s="222"/>
      <c r="HYT607" s="222"/>
      <c r="HYU607" s="223"/>
      <c r="HYV607" s="224"/>
      <c r="HYW607" s="222"/>
      <c r="HYX607" s="222"/>
      <c r="HYY607" s="222"/>
      <c r="HYZ607" s="222"/>
      <c r="HZA607" s="222"/>
      <c r="HZB607" s="222"/>
      <c r="HZC607" s="223"/>
      <c r="HZD607" s="224"/>
      <c r="HZE607" s="222"/>
      <c r="HZF607" s="222"/>
      <c r="HZG607" s="222"/>
      <c r="HZH607" s="222"/>
      <c r="HZI607" s="222"/>
      <c r="HZJ607" s="222"/>
      <c r="HZK607" s="223"/>
      <c r="HZL607" s="224"/>
      <c r="HZM607" s="222"/>
      <c r="HZN607" s="222"/>
      <c r="HZO607" s="222"/>
      <c r="HZP607" s="222"/>
      <c r="HZQ607" s="222"/>
      <c r="HZR607" s="222"/>
      <c r="HZS607" s="223"/>
      <c r="HZT607" s="224"/>
      <c r="HZU607" s="222"/>
      <c r="HZV607" s="222"/>
      <c r="HZW607" s="222"/>
      <c r="HZX607" s="222"/>
      <c r="HZY607" s="222"/>
      <c r="HZZ607" s="222"/>
      <c r="IAA607" s="223"/>
      <c r="IAB607" s="224"/>
      <c r="IAC607" s="222"/>
      <c r="IAD607" s="222"/>
      <c r="IAE607" s="222"/>
      <c r="IAF607" s="222"/>
      <c r="IAG607" s="222"/>
      <c r="IAH607" s="222"/>
      <c r="IAI607" s="223"/>
      <c r="IAJ607" s="224"/>
      <c r="IAK607" s="222"/>
      <c r="IAL607" s="222"/>
      <c r="IAM607" s="222"/>
      <c r="IAN607" s="222"/>
      <c r="IAO607" s="222"/>
      <c r="IAP607" s="222"/>
      <c r="IAQ607" s="223"/>
      <c r="IAR607" s="224"/>
      <c r="IAS607" s="222"/>
      <c r="IAT607" s="222"/>
      <c r="IAU607" s="222"/>
      <c r="IAV607" s="222"/>
      <c r="IAW607" s="222"/>
      <c r="IAX607" s="222"/>
      <c r="IAY607" s="223"/>
      <c r="IAZ607" s="224"/>
      <c r="IBA607" s="222"/>
      <c r="IBB607" s="222"/>
      <c r="IBC607" s="222"/>
      <c r="IBD607" s="222"/>
      <c r="IBE607" s="222"/>
      <c r="IBF607" s="222"/>
      <c r="IBG607" s="223"/>
      <c r="IBH607" s="224"/>
      <c r="IBI607" s="222"/>
      <c r="IBJ607" s="222"/>
      <c r="IBK607" s="222"/>
      <c r="IBL607" s="222"/>
      <c r="IBM607" s="222"/>
      <c r="IBN607" s="222"/>
      <c r="IBO607" s="223"/>
      <c r="IBP607" s="224"/>
      <c r="IBQ607" s="222"/>
      <c r="IBR607" s="222"/>
      <c r="IBS607" s="222"/>
      <c r="IBT607" s="222"/>
      <c r="IBU607" s="222"/>
      <c r="IBV607" s="222"/>
      <c r="IBW607" s="223"/>
      <c r="IBX607" s="224"/>
      <c r="IBY607" s="222"/>
      <c r="IBZ607" s="222"/>
      <c r="ICA607" s="222"/>
      <c r="ICB607" s="222"/>
      <c r="ICC607" s="222"/>
      <c r="ICD607" s="222"/>
      <c r="ICE607" s="223"/>
      <c r="ICF607" s="224"/>
      <c r="ICG607" s="222"/>
      <c r="ICH607" s="222"/>
      <c r="ICI607" s="222"/>
      <c r="ICJ607" s="222"/>
      <c r="ICK607" s="222"/>
      <c r="ICL607" s="222"/>
      <c r="ICM607" s="223"/>
      <c r="ICN607" s="224"/>
      <c r="ICO607" s="222"/>
      <c r="ICP607" s="222"/>
      <c r="ICQ607" s="222"/>
      <c r="ICR607" s="222"/>
      <c r="ICS607" s="222"/>
      <c r="ICT607" s="222"/>
      <c r="ICU607" s="223"/>
      <c r="ICV607" s="224"/>
      <c r="ICW607" s="222"/>
      <c r="ICX607" s="222"/>
      <c r="ICY607" s="222"/>
      <c r="ICZ607" s="222"/>
      <c r="IDA607" s="222"/>
      <c r="IDB607" s="222"/>
      <c r="IDC607" s="223"/>
      <c r="IDD607" s="224"/>
      <c r="IDE607" s="222"/>
      <c r="IDF607" s="222"/>
      <c r="IDG607" s="222"/>
      <c r="IDH607" s="222"/>
      <c r="IDI607" s="222"/>
      <c r="IDJ607" s="222"/>
      <c r="IDK607" s="223"/>
      <c r="IDL607" s="224"/>
      <c r="IDM607" s="222"/>
      <c r="IDN607" s="222"/>
      <c r="IDO607" s="222"/>
      <c r="IDP607" s="222"/>
      <c r="IDQ607" s="222"/>
      <c r="IDR607" s="222"/>
      <c r="IDS607" s="223"/>
      <c r="IDT607" s="224"/>
      <c r="IDU607" s="222"/>
      <c r="IDV607" s="222"/>
      <c r="IDW607" s="222"/>
      <c r="IDX607" s="222"/>
      <c r="IDY607" s="222"/>
      <c r="IDZ607" s="222"/>
      <c r="IEA607" s="223"/>
      <c r="IEB607" s="224"/>
      <c r="IEC607" s="222"/>
      <c r="IED607" s="222"/>
      <c r="IEE607" s="222"/>
      <c r="IEF607" s="222"/>
      <c r="IEG607" s="222"/>
      <c r="IEH607" s="222"/>
      <c r="IEI607" s="223"/>
      <c r="IEJ607" s="224"/>
      <c r="IEK607" s="222"/>
      <c r="IEL607" s="222"/>
      <c r="IEM607" s="222"/>
      <c r="IEN607" s="222"/>
      <c r="IEO607" s="222"/>
      <c r="IEP607" s="222"/>
      <c r="IEQ607" s="223"/>
      <c r="IER607" s="224"/>
      <c r="IES607" s="222"/>
      <c r="IET607" s="222"/>
      <c r="IEU607" s="222"/>
      <c r="IEV607" s="222"/>
      <c r="IEW607" s="222"/>
      <c r="IEX607" s="222"/>
      <c r="IEY607" s="223"/>
      <c r="IEZ607" s="224"/>
      <c r="IFA607" s="222"/>
      <c r="IFB607" s="222"/>
      <c r="IFC607" s="222"/>
      <c r="IFD607" s="222"/>
      <c r="IFE607" s="222"/>
      <c r="IFF607" s="222"/>
      <c r="IFG607" s="223"/>
      <c r="IFH607" s="224"/>
      <c r="IFI607" s="222"/>
      <c r="IFJ607" s="222"/>
      <c r="IFK607" s="222"/>
      <c r="IFL607" s="222"/>
      <c r="IFM607" s="222"/>
      <c r="IFN607" s="222"/>
      <c r="IFO607" s="223"/>
      <c r="IFP607" s="224"/>
      <c r="IFQ607" s="222"/>
      <c r="IFR607" s="222"/>
      <c r="IFS607" s="222"/>
      <c r="IFT607" s="222"/>
      <c r="IFU607" s="222"/>
      <c r="IFV607" s="222"/>
      <c r="IFW607" s="223"/>
      <c r="IFX607" s="224"/>
      <c r="IFY607" s="222"/>
      <c r="IFZ607" s="222"/>
      <c r="IGA607" s="222"/>
      <c r="IGB607" s="222"/>
      <c r="IGC607" s="222"/>
      <c r="IGD607" s="222"/>
      <c r="IGE607" s="223"/>
      <c r="IGF607" s="224"/>
      <c r="IGG607" s="222"/>
      <c r="IGH607" s="222"/>
      <c r="IGI607" s="222"/>
      <c r="IGJ607" s="222"/>
      <c r="IGK607" s="222"/>
      <c r="IGL607" s="222"/>
      <c r="IGM607" s="223"/>
      <c r="IGN607" s="224"/>
      <c r="IGO607" s="222"/>
      <c r="IGP607" s="222"/>
      <c r="IGQ607" s="222"/>
      <c r="IGR607" s="222"/>
      <c r="IGS607" s="222"/>
      <c r="IGT607" s="222"/>
      <c r="IGU607" s="223"/>
      <c r="IGV607" s="224"/>
      <c r="IGW607" s="222"/>
      <c r="IGX607" s="222"/>
      <c r="IGY607" s="222"/>
      <c r="IGZ607" s="222"/>
      <c r="IHA607" s="222"/>
      <c r="IHB607" s="222"/>
      <c r="IHC607" s="223"/>
      <c r="IHD607" s="224"/>
      <c r="IHE607" s="222"/>
      <c r="IHF607" s="222"/>
      <c r="IHG607" s="222"/>
      <c r="IHH607" s="222"/>
      <c r="IHI607" s="222"/>
      <c r="IHJ607" s="222"/>
      <c r="IHK607" s="223"/>
      <c r="IHL607" s="224"/>
      <c r="IHM607" s="222"/>
      <c r="IHN607" s="222"/>
      <c r="IHO607" s="222"/>
      <c r="IHP607" s="222"/>
      <c r="IHQ607" s="222"/>
      <c r="IHR607" s="222"/>
      <c r="IHS607" s="223"/>
      <c r="IHT607" s="224"/>
      <c r="IHU607" s="222"/>
      <c r="IHV607" s="222"/>
      <c r="IHW607" s="222"/>
      <c r="IHX607" s="222"/>
      <c r="IHY607" s="222"/>
      <c r="IHZ607" s="222"/>
      <c r="IIA607" s="223"/>
      <c r="IIB607" s="224"/>
      <c r="IIC607" s="222"/>
      <c r="IID607" s="222"/>
      <c r="IIE607" s="222"/>
      <c r="IIF607" s="222"/>
      <c r="IIG607" s="222"/>
      <c r="IIH607" s="222"/>
      <c r="III607" s="223"/>
      <c r="IIJ607" s="224"/>
      <c r="IIK607" s="222"/>
      <c r="IIL607" s="222"/>
      <c r="IIM607" s="222"/>
      <c r="IIN607" s="222"/>
      <c r="IIO607" s="222"/>
      <c r="IIP607" s="222"/>
      <c r="IIQ607" s="223"/>
      <c r="IIR607" s="224"/>
      <c r="IIS607" s="222"/>
      <c r="IIT607" s="222"/>
      <c r="IIU607" s="222"/>
      <c r="IIV607" s="222"/>
      <c r="IIW607" s="222"/>
      <c r="IIX607" s="222"/>
      <c r="IIY607" s="223"/>
      <c r="IIZ607" s="224"/>
      <c r="IJA607" s="222"/>
      <c r="IJB607" s="222"/>
      <c r="IJC607" s="222"/>
      <c r="IJD607" s="222"/>
      <c r="IJE607" s="222"/>
      <c r="IJF607" s="222"/>
      <c r="IJG607" s="223"/>
      <c r="IJH607" s="224"/>
      <c r="IJI607" s="222"/>
      <c r="IJJ607" s="222"/>
      <c r="IJK607" s="222"/>
      <c r="IJL607" s="222"/>
      <c r="IJM607" s="222"/>
      <c r="IJN607" s="222"/>
      <c r="IJO607" s="223"/>
      <c r="IJP607" s="224"/>
      <c r="IJQ607" s="222"/>
      <c r="IJR607" s="222"/>
      <c r="IJS607" s="222"/>
      <c r="IJT607" s="222"/>
      <c r="IJU607" s="222"/>
      <c r="IJV607" s="222"/>
      <c r="IJW607" s="223"/>
      <c r="IJX607" s="224"/>
      <c r="IJY607" s="222"/>
      <c r="IJZ607" s="222"/>
      <c r="IKA607" s="222"/>
      <c r="IKB607" s="222"/>
      <c r="IKC607" s="222"/>
      <c r="IKD607" s="222"/>
      <c r="IKE607" s="223"/>
      <c r="IKF607" s="224"/>
      <c r="IKG607" s="222"/>
      <c r="IKH607" s="222"/>
      <c r="IKI607" s="222"/>
      <c r="IKJ607" s="222"/>
      <c r="IKK607" s="222"/>
      <c r="IKL607" s="222"/>
      <c r="IKM607" s="223"/>
      <c r="IKN607" s="224"/>
      <c r="IKO607" s="222"/>
      <c r="IKP607" s="222"/>
      <c r="IKQ607" s="222"/>
      <c r="IKR607" s="222"/>
      <c r="IKS607" s="222"/>
      <c r="IKT607" s="222"/>
      <c r="IKU607" s="223"/>
      <c r="IKV607" s="224"/>
      <c r="IKW607" s="222"/>
      <c r="IKX607" s="222"/>
      <c r="IKY607" s="222"/>
      <c r="IKZ607" s="222"/>
      <c r="ILA607" s="222"/>
      <c r="ILB607" s="222"/>
      <c r="ILC607" s="223"/>
      <c r="ILD607" s="224"/>
      <c r="ILE607" s="222"/>
      <c r="ILF607" s="222"/>
      <c r="ILG607" s="222"/>
      <c r="ILH607" s="222"/>
      <c r="ILI607" s="222"/>
      <c r="ILJ607" s="222"/>
      <c r="ILK607" s="223"/>
      <c r="ILL607" s="224"/>
      <c r="ILM607" s="222"/>
      <c r="ILN607" s="222"/>
      <c r="ILO607" s="222"/>
      <c r="ILP607" s="222"/>
      <c r="ILQ607" s="222"/>
      <c r="ILR607" s="222"/>
      <c r="ILS607" s="223"/>
      <c r="ILT607" s="224"/>
      <c r="ILU607" s="222"/>
      <c r="ILV607" s="222"/>
      <c r="ILW607" s="222"/>
      <c r="ILX607" s="222"/>
      <c r="ILY607" s="222"/>
      <c r="ILZ607" s="222"/>
      <c r="IMA607" s="223"/>
      <c r="IMB607" s="224"/>
      <c r="IMC607" s="222"/>
      <c r="IMD607" s="222"/>
      <c r="IME607" s="222"/>
      <c r="IMF607" s="222"/>
      <c r="IMG607" s="222"/>
      <c r="IMH607" s="222"/>
      <c r="IMI607" s="223"/>
      <c r="IMJ607" s="224"/>
      <c r="IMK607" s="222"/>
      <c r="IML607" s="222"/>
      <c r="IMM607" s="222"/>
      <c r="IMN607" s="222"/>
      <c r="IMO607" s="222"/>
      <c r="IMP607" s="222"/>
      <c r="IMQ607" s="223"/>
      <c r="IMR607" s="224"/>
      <c r="IMS607" s="222"/>
      <c r="IMT607" s="222"/>
      <c r="IMU607" s="222"/>
      <c r="IMV607" s="222"/>
      <c r="IMW607" s="222"/>
      <c r="IMX607" s="222"/>
      <c r="IMY607" s="223"/>
      <c r="IMZ607" s="224"/>
      <c r="INA607" s="222"/>
      <c r="INB607" s="222"/>
      <c r="INC607" s="222"/>
      <c r="IND607" s="222"/>
      <c r="INE607" s="222"/>
      <c r="INF607" s="222"/>
      <c r="ING607" s="223"/>
      <c r="INH607" s="224"/>
      <c r="INI607" s="222"/>
      <c r="INJ607" s="222"/>
      <c r="INK607" s="222"/>
      <c r="INL607" s="222"/>
      <c r="INM607" s="222"/>
      <c r="INN607" s="222"/>
      <c r="INO607" s="223"/>
      <c r="INP607" s="224"/>
      <c r="INQ607" s="222"/>
      <c r="INR607" s="222"/>
      <c r="INS607" s="222"/>
      <c r="INT607" s="222"/>
      <c r="INU607" s="222"/>
      <c r="INV607" s="222"/>
      <c r="INW607" s="223"/>
      <c r="INX607" s="224"/>
      <c r="INY607" s="222"/>
      <c r="INZ607" s="222"/>
      <c r="IOA607" s="222"/>
      <c r="IOB607" s="222"/>
      <c r="IOC607" s="222"/>
      <c r="IOD607" s="222"/>
      <c r="IOE607" s="223"/>
      <c r="IOF607" s="224"/>
      <c r="IOG607" s="222"/>
      <c r="IOH607" s="222"/>
      <c r="IOI607" s="222"/>
      <c r="IOJ607" s="222"/>
      <c r="IOK607" s="222"/>
      <c r="IOL607" s="222"/>
      <c r="IOM607" s="223"/>
      <c r="ION607" s="224"/>
      <c r="IOO607" s="222"/>
      <c r="IOP607" s="222"/>
      <c r="IOQ607" s="222"/>
      <c r="IOR607" s="222"/>
      <c r="IOS607" s="222"/>
      <c r="IOT607" s="222"/>
      <c r="IOU607" s="223"/>
      <c r="IOV607" s="224"/>
      <c r="IOW607" s="222"/>
      <c r="IOX607" s="222"/>
      <c r="IOY607" s="222"/>
      <c r="IOZ607" s="222"/>
      <c r="IPA607" s="222"/>
      <c r="IPB607" s="222"/>
      <c r="IPC607" s="223"/>
      <c r="IPD607" s="224"/>
      <c r="IPE607" s="222"/>
      <c r="IPF607" s="222"/>
      <c r="IPG607" s="222"/>
      <c r="IPH607" s="222"/>
      <c r="IPI607" s="222"/>
      <c r="IPJ607" s="222"/>
      <c r="IPK607" s="223"/>
      <c r="IPL607" s="224"/>
      <c r="IPM607" s="222"/>
      <c r="IPN607" s="222"/>
      <c r="IPO607" s="222"/>
      <c r="IPP607" s="222"/>
      <c r="IPQ607" s="222"/>
      <c r="IPR607" s="222"/>
      <c r="IPS607" s="223"/>
      <c r="IPT607" s="224"/>
      <c r="IPU607" s="222"/>
      <c r="IPV607" s="222"/>
      <c r="IPW607" s="222"/>
      <c r="IPX607" s="222"/>
      <c r="IPY607" s="222"/>
      <c r="IPZ607" s="222"/>
      <c r="IQA607" s="223"/>
      <c r="IQB607" s="224"/>
      <c r="IQC607" s="222"/>
      <c r="IQD607" s="222"/>
      <c r="IQE607" s="222"/>
      <c r="IQF607" s="222"/>
      <c r="IQG607" s="222"/>
      <c r="IQH607" s="222"/>
      <c r="IQI607" s="223"/>
      <c r="IQJ607" s="224"/>
      <c r="IQK607" s="222"/>
      <c r="IQL607" s="222"/>
      <c r="IQM607" s="222"/>
      <c r="IQN607" s="222"/>
      <c r="IQO607" s="222"/>
      <c r="IQP607" s="222"/>
      <c r="IQQ607" s="223"/>
      <c r="IQR607" s="224"/>
      <c r="IQS607" s="222"/>
      <c r="IQT607" s="222"/>
      <c r="IQU607" s="222"/>
      <c r="IQV607" s="222"/>
      <c r="IQW607" s="222"/>
      <c r="IQX607" s="222"/>
      <c r="IQY607" s="223"/>
      <c r="IQZ607" s="224"/>
      <c r="IRA607" s="222"/>
      <c r="IRB607" s="222"/>
      <c r="IRC607" s="222"/>
      <c r="IRD607" s="222"/>
      <c r="IRE607" s="222"/>
      <c r="IRF607" s="222"/>
      <c r="IRG607" s="223"/>
      <c r="IRH607" s="224"/>
      <c r="IRI607" s="222"/>
      <c r="IRJ607" s="222"/>
      <c r="IRK607" s="222"/>
      <c r="IRL607" s="222"/>
      <c r="IRM607" s="222"/>
      <c r="IRN607" s="222"/>
      <c r="IRO607" s="223"/>
      <c r="IRP607" s="224"/>
      <c r="IRQ607" s="222"/>
      <c r="IRR607" s="222"/>
      <c r="IRS607" s="222"/>
      <c r="IRT607" s="222"/>
      <c r="IRU607" s="222"/>
      <c r="IRV607" s="222"/>
      <c r="IRW607" s="223"/>
      <c r="IRX607" s="224"/>
      <c r="IRY607" s="222"/>
      <c r="IRZ607" s="222"/>
      <c r="ISA607" s="222"/>
      <c r="ISB607" s="222"/>
      <c r="ISC607" s="222"/>
      <c r="ISD607" s="222"/>
      <c r="ISE607" s="223"/>
      <c r="ISF607" s="224"/>
      <c r="ISG607" s="222"/>
      <c r="ISH607" s="222"/>
      <c r="ISI607" s="222"/>
      <c r="ISJ607" s="222"/>
      <c r="ISK607" s="222"/>
      <c r="ISL607" s="222"/>
      <c r="ISM607" s="223"/>
      <c r="ISN607" s="224"/>
      <c r="ISO607" s="222"/>
      <c r="ISP607" s="222"/>
      <c r="ISQ607" s="222"/>
      <c r="ISR607" s="222"/>
      <c r="ISS607" s="222"/>
      <c r="IST607" s="222"/>
      <c r="ISU607" s="223"/>
      <c r="ISV607" s="224"/>
      <c r="ISW607" s="222"/>
      <c r="ISX607" s="222"/>
      <c r="ISY607" s="222"/>
      <c r="ISZ607" s="222"/>
      <c r="ITA607" s="222"/>
      <c r="ITB607" s="222"/>
      <c r="ITC607" s="223"/>
      <c r="ITD607" s="224"/>
      <c r="ITE607" s="222"/>
      <c r="ITF607" s="222"/>
      <c r="ITG607" s="222"/>
      <c r="ITH607" s="222"/>
      <c r="ITI607" s="222"/>
      <c r="ITJ607" s="222"/>
      <c r="ITK607" s="223"/>
      <c r="ITL607" s="224"/>
      <c r="ITM607" s="222"/>
      <c r="ITN607" s="222"/>
      <c r="ITO607" s="222"/>
      <c r="ITP607" s="222"/>
      <c r="ITQ607" s="222"/>
      <c r="ITR607" s="222"/>
      <c r="ITS607" s="223"/>
      <c r="ITT607" s="224"/>
      <c r="ITU607" s="222"/>
      <c r="ITV607" s="222"/>
      <c r="ITW607" s="222"/>
      <c r="ITX607" s="222"/>
      <c r="ITY607" s="222"/>
      <c r="ITZ607" s="222"/>
      <c r="IUA607" s="223"/>
      <c r="IUB607" s="224"/>
      <c r="IUC607" s="222"/>
      <c r="IUD607" s="222"/>
      <c r="IUE607" s="222"/>
      <c r="IUF607" s="222"/>
      <c r="IUG607" s="222"/>
      <c r="IUH607" s="222"/>
      <c r="IUI607" s="223"/>
      <c r="IUJ607" s="224"/>
      <c r="IUK607" s="222"/>
      <c r="IUL607" s="222"/>
      <c r="IUM607" s="222"/>
      <c r="IUN607" s="222"/>
      <c r="IUO607" s="222"/>
      <c r="IUP607" s="222"/>
      <c r="IUQ607" s="223"/>
      <c r="IUR607" s="224"/>
      <c r="IUS607" s="222"/>
      <c r="IUT607" s="222"/>
      <c r="IUU607" s="222"/>
      <c r="IUV607" s="222"/>
      <c r="IUW607" s="222"/>
      <c r="IUX607" s="222"/>
      <c r="IUY607" s="223"/>
      <c r="IUZ607" s="224"/>
      <c r="IVA607" s="222"/>
      <c r="IVB607" s="222"/>
      <c r="IVC607" s="222"/>
      <c r="IVD607" s="222"/>
      <c r="IVE607" s="222"/>
      <c r="IVF607" s="222"/>
      <c r="IVG607" s="223"/>
      <c r="IVH607" s="224"/>
      <c r="IVI607" s="222"/>
      <c r="IVJ607" s="222"/>
      <c r="IVK607" s="222"/>
      <c r="IVL607" s="222"/>
      <c r="IVM607" s="222"/>
      <c r="IVN607" s="222"/>
      <c r="IVO607" s="223"/>
      <c r="IVP607" s="224"/>
      <c r="IVQ607" s="222"/>
      <c r="IVR607" s="222"/>
      <c r="IVS607" s="222"/>
      <c r="IVT607" s="222"/>
      <c r="IVU607" s="222"/>
      <c r="IVV607" s="222"/>
      <c r="IVW607" s="223"/>
      <c r="IVX607" s="224"/>
      <c r="IVY607" s="222"/>
      <c r="IVZ607" s="222"/>
      <c r="IWA607" s="222"/>
      <c r="IWB607" s="222"/>
      <c r="IWC607" s="222"/>
      <c r="IWD607" s="222"/>
      <c r="IWE607" s="223"/>
      <c r="IWF607" s="224"/>
      <c r="IWG607" s="222"/>
      <c r="IWH607" s="222"/>
      <c r="IWI607" s="222"/>
      <c r="IWJ607" s="222"/>
      <c r="IWK607" s="222"/>
      <c r="IWL607" s="222"/>
      <c r="IWM607" s="223"/>
      <c r="IWN607" s="224"/>
      <c r="IWO607" s="222"/>
      <c r="IWP607" s="222"/>
      <c r="IWQ607" s="222"/>
      <c r="IWR607" s="222"/>
      <c r="IWS607" s="222"/>
      <c r="IWT607" s="222"/>
      <c r="IWU607" s="223"/>
      <c r="IWV607" s="224"/>
      <c r="IWW607" s="222"/>
      <c r="IWX607" s="222"/>
      <c r="IWY607" s="222"/>
      <c r="IWZ607" s="222"/>
      <c r="IXA607" s="222"/>
      <c r="IXB607" s="222"/>
      <c r="IXC607" s="223"/>
      <c r="IXD607" s="224"/>
      <c r="IXE607" s="222"/>
      <c r="IXF607" s="222"/>
      <c r="IXG607" s="222"/>
      <c r="IXH607" s="222"/>
      <c r="IXI607" s="222"/>
      <c r="IXJ607" s="222"/>
      <c r="IXK607" s="223"/>
      <c r="IXL607" s="224"/>
      <c r="IXM607" s="222"/>
      <c r="IXN607" s="222"/>
      <c r="IXO607" s="222"/>
      <c r="IXP607" s="222"/>
      <c r="IXQ607" s="222"/>
      <c r="IXR607" s="222"/>
      <c r="IXS607" s="223"/>
      <c r="IXT607" s="224"/>
      <c r="IXU607" s="222"/>
      <c r="IXV607" s="222"/>
      <c r="IXW607" s="222"/>
      <c r="IXX607" s="222"/>
      <c r="IXY607" s="222"/>
      <c r="IXZ607" s="222"/>
      <c r="IYA607" s="223"/>
      <c r="IYB607" s="224"/>
      <c r="IYC607" s="222"/>
      <c r="IYD607" s="222"/>
      <c r="IYE607" s="222"/>
      <c r="IYF607" s="222"/>
      <c r="IYG607" s="222"/>
      <c r="IYH607" s="222"/>
      <c r="IYI607" s="223"/>
      <c r="IYJ607" s="224"/>
      <c r="IYK607" s="222"/>
      <c r="IYL607" s="222"/>
      <c r="IYM607" s="222"/>
      <c r="IYN607" s="222"/>
      <c r="IYO607" s="222"/>
      <c r="IYP607" s="222"/>
      <c r="IYQ607" s="223"/>
      <c r="IYR607" s="224"/>
      <c r="IYS607" s="222"/>
      <c r="IYT607" s="222"/>
      <c r="IYU607" s="222"/>
      <c r="IYV607" s="222"/>
      <c r="IYW607" s="222"/>
      <c r="IYX607" s="222"/>
      <c r="IYY607" s="223"/>
      <c r="IYZ607" s="224"/>
      <c r="IZA607" s="222"/>
      <c r="IZB607" s="222"/>
      <c r="IZC607" s="222"/>
      <c r="IZD607" s="222"/>
      <c r="IZE607" s="222"/>
      <c r="IZF607" s="222"/>
      <c r="IZG607" s="223"/>
      <c r="IZH607" s="224"/>
      <c r="IZI607" s="222"/>
      <c r="IZJ607" s="222"/>
      <c r="IZK607" s="222"/>
      <c r="IZL607" s="222"/>
      <c r="IZM607" s="222"/>
      <c r="IZN607" s="222"/>
      <c r="IZO607" s="223"/>
      <c r="IZP607" s="224"/>
      <c r="IZQ607" s="222"/>
      <c r="IZR607" s="222"/>
      <c r="IZS607" s="222"/>
      <c r="IZT607" s="222"/>
      <c r="IZU607" s="222"/>
      <c r="IZV607" s="222"/>
      <c r="IZW607" s="223"/>
      <c r="IZX607" s="224"/>
      <c r="IZY607" s="222"/>
      <c r="IZZ607" s="222"/>
      <c r="JAA607" s="222"/>
      <c r="JAB607" s="222"/>
      <c r="JAC607" s="222"/>
      <c r="JAD607" s="222"/>
      <c r="JAE607" s="223"/>
      <c r="JAF607" s="224"/>
      <c r="JAG607" s="222"/>
      <c r="JAH607" s="222"/>
      <c r="JAI607" s="222"/>
      <c r="JAJ607" s="222"/>
      <c r="JAK607" s="222"/>
      <c r="JAL607" s="222"/>
      <c r="JAM607" s="223"/>
      <c r="JAN607" s="224"/>
      <c r="JAO607" s="222"/>
      <c r="JAP607" s="222"/>
      <c r="JAQ607" s="222"/>
      <c r="JAR607" s="222"/>
      <c r="JAS607" s="222"/>
      <c r="JAT607" s="222"/>
      <c r="JAU607" s="223"/>
      <c r="JAV607" s="224"/>
      <c r="JAW607" s="222"/>
      <c r="JAX607" s="222"/>
      <c r="JAY607" s="222"/>
      <c r="JAZ607" s="222"/>
      <c r="JBA607" s="222"/>
      <c r="JBB607" s="222"/>
      <c r="JBC607" s="223"/>
      <c r="JBD607" s="224"/>
      <c r="JBE607" s="222"/>
      <c r="JBF607" s="222"/>
      <c r="JBG607" s="222"/>
      <c r="JBH607" s="222"/>
      <c r="JBI607" s="222"/>
      <c r="JBJ607" s="222"/>
      <c r="JBK607" s="223"/>
      <c r="JBL607" s="224"/>
      <c r="JBM607" s="222"/>
      <c r="JBN607" s="222"/>
      <c r="JBO607" s="222"/>
      <c r="JBP607" s="222"/>
      <c r="JBQ607" s="222"/>
      <c r="JBR607" s="222"/>
      <c r="JBS607" s="223"/>
      <c r="JBT607" s="224"/>
      <c r="JBU607" s="222"/>
      <c r="JBV607" s="222"/>
      <c r="JBW607" s="222"/>
      <c r="JBX607" s="222"/>
      <c r="JBY607" s="222"/>
      <c r="JBZ607" s="222"/>
      <c r="JCA607" s="223"/>
      <c r="JCB607" s="224"/>
      <c r="JCC607" s="222"/>
      <c r="JCD607" s="222"/>
      <c r="JCE607" s="222"/>
      <c r="JCF607" s="222"/>
      <c r="JCG607" s="222"/>
      <c r="JCH607" s="222"/>
      <c r="JCI607" s="223"/>
      <c r="JCJ607" s="224"/>
      <c r="JCK607" s="222"/>
      <c r="JCL607" s="222"/>
      <c r="JCM607" s="222"/>
      <c r="JCN607" s="222"/>
      <c r="JCO607" s="222"/>
      <c r="JCP607" s="222"/>
      <c r="JCQ607" s="223"/>
      <c r="JCR607" s="224"/>
      <c r="JCS607" s="222"/>
      <c r="JCT607" s="222"/>
      <c r="JCU607" s="222"/>
      <c r="JCV607" s="222"/>
      <c r="JCW607" s="222"/>
      <c r="JCX607" s="222"/>
      <c r="JCY607" s="223"/>
      <c r="JCZ607" s="224"/>
      <c r="JDA607" s="222"/>
      <c r="JDB607" s="222"/>
      <c r="JDC607" s="222"/>
      <c r="JDD607" s="222"/>
      <c r="JDE607" s="222"/>
      <c r="JDF607" s="222"/>
      <c r="JDG607" s="223"/>
      <c r="JDH607" s="224"/>
      <c r="JDI607" s="222"/>
      <c r="JDJ607" s="222"/>
      <c r="JDK607" s="222"/>
      <c r="JDL607" s="222"/>
      <c r="JDM607" s="222"/>
      <c r="JDN607" s="222"/>
      <c r="JDO607" s="223"/>
      <c r="JDP607" s="224"/>
      <c r="JDQ607" s="222"/>
      <c r="JDR607" s="222"/>
      <c r="JDS607" s="222"/>
      <c r="JDT607" s="222"/>
      <c r="JDU607" s="222"/>
      <c r="JDV607" s="222"/>
      <c r="JDW607" s="223"/>
      <c r="JDX607" s="224"/>
      <c r="JDY607" s="222"/>
      <c r="JDZ607" s="222"/>
      <c r="JEA607" s="222"/>
      <c r="JEB607" s="222"/>
      <c r="JEC607" s="222"/>
      <c r="JED607" s="222"/>
      <c r="JEE607" s="223"/>
      <c r="JEF607" s="224"/>
      <c r="JEG607" s="222"/>
      <c r="JEH607" s="222"/>
      <c r="JEI607" s="222"/>
      <c r="JEJ607" s="222"/>
      <c r="JEK607" s="222"/>
      <c r="JEL607" s="222"/>
      <c r="JEM607" s="223"/>
      <c r="JEN607" s="224"/>
      <c r="JEO607" s="222"/>
      <c r="JEP607" s="222"/>
      <c r="JEQ607" s="222"/>
      <c r="JER607" s="222"/>
      <c r="JES607" s="222"/>
      <c r="JET607" s="222"/>
      <c r="JEU607" s="223"/>
      <c r="JEV607" s="224"/>
      <c r="JEW607" s="222"/>
      <c r="JEX607" s="222"/>
      <c r="JEY607" s="222"/>
      <c r="JEZ607" s="222"/>
      <c r="JFA607" s="222"/>
      <c r="JFB607" s="222"/>
      <c r="JFC607" s="223"/>
      <c r="JFD607" s="224"/>
      <c r="JFE607" s="222"/>
      <c r="JFF607" s="222"/>
      <c r="JFG607" s="222"/>
      <c r="JFH607" s="222"/>
      <c r="JFI607" s="222"/>
      <c r="JFJ607" s="222"/>
      <c r="JFK607" s="223"/>
      <c r="JFL607" s="224"/>
      <c r="JFM607" s="222"/>
      <c r="JFN607" s="222"/>
      <c r="JFO607" s="222"/>
      <c r="JFP607" s="222"/>
      <c r="JFQ607" s="222"/>
      <c r="JFR607" s="222"/>
      <c r="JFS607" s="223"/>
      <c r="JFT607" s="224"/>
      <c r="JFU607" s="222"/>
      <c r="JFV607" s="222"/>
      <c r="JFW607" s="222"/>
      <c r="JFX607" s="222"/>
      <c r="JFY607" s="222"/>
      <c r="JFZ607" s="222"/>
      <c r="JGA607" s="223"/>
      <c r="JGB607" s="224"/>
      <c r="JGC607" s="222"/>
      <c r="JGD607" s="222"/>
      <c r="JGE607" s="222"/>
      <c r="JGF607" s="222"/>
      <c r="JGG607" s="222"/>
      <c r="JGH607" s="222"/>
      <c r="JGI607" s="223"/>
      <c r="JGJ607" s="224"/>
      <c r="JGK607" s="222"/>
      <c r="JGL607" s="222"/>
      <c r="JGM607" s="222"/>
      <c r="JGN607" s="222"/>
      <c r="JGO607" s="222"/>
      <c r="JGP607" s="222"/>
      <c r="JGQ607" s="223"/>
      <c r="JGR607" s="224"/>
      <c r="JGS607" s="222"/>
      <c r="JGT607" s="222"/>
      <c r="JGU607" s="222"/>
      <c r="JGV607" s="222"/>
      <c r="JGW607" s="222"/>
      <c r="JGX607" s="222"/>
      <c r="JGY607" s="223"/>
      <c r="JGZ607" s="224"/>
      <c r="JHA607" s="222"/>
      <c r="JHB607" s="222"/>
      <c r="JHC607" s="222"/>
      <c r="JHD607" s="222"/>
      <c r="JHE607" s="222"/>
      <c r="JHF607" s="222"/>
      <c r="JHG607" s="223"/>
      <c r="JHH607" s="224"/>
      <c r="JHI607" s="222"/>
      <c r="JHJ607" s="222"/>
      <c r="JHK607" s="222"/>
      <c r="JHL607" s="222"/>
      <c r="JHM607" s="222"/>
      <c r="JHN607" s="222"/>
      <c r="JHO607" s="223"/>
      <c r="JHP607" s="224"/>
      <c r="JHQ607" s="222"/>
      <c r="JHR607" s="222"/>
      <c r="JHS607" s="222"/>
      <c r="JHT607" s="222"/>
      <c r="JHU607" s="222"/>
      <c r="JHV607" s="222"/>
      <c r="JHW607" s="223"/>
      <c r="JHX607" s="224"/>
      <c r="JHY607" s="222"/>
      <c r="JHZ607" s="222"/>
      <c r="JIA607" s="222"/>
      <c r="JIB607" s="222"/>
      <c r="JIC607" s="222"/>
      <c r="JID607" s="222"/>
      <c r="JIE607" s="223"/>
      <c r="JIF607" s="224"/>
      <c r="JIG607" s="222"/>
      <c r="JIH607" s="222"/>
      <c r="JII607" s="222"/>
      <c r="JIJ607" s="222"/>
      <c r="JIK607" s="222"/>
      <c r="JIL607" s="222"/>
      <c r="JIM607" s="223"/>
      <c r="JIN607" s="224"/>
      <c r="JIO607" s="222"/>
      <c r="JIP607" s="222"/>
      <c r="JIQ607" s="222"/>
      <c r="JIR607" s="222"/>
      <c r="JIS607" s="222"/>
      <c r="JIT607" s="222"/>
      <c r="JIU607" s="223"/>
      <c r="JIV607" s="224"/>
      <c r="JIW607" s="222"/>
      <c r="JIX607" s="222"/>
      <c r="JIY607" s="222"/>
      <c r="JIZ607" s="222"/>
      <c r="JJA607" s="222"/>
      <c r="JJB607" s="222"/>
      <c r="JJC607" s="223"/>
      <c r="JJD607" s="224"/>
      <c r="JJE607" s="222"/>
      <c r="JJF607" s="222"/>
      <c r="JJG607" s="222"/>
      <c r="JJH607" s="222"/>
      <c r="JJI607" s="222"/>
      <c r="JJJ607" s="222"/>
      <c r="JJK607" s="223"/>
      <c r="JJL607" s="224"/>
      <c r="JJM607" s="222"/>
      <c r="JJN607" s="222"/>
      <c r="JJO607" s="222"/>
      <c r="JJP607" s="222"/>
      <c r="JJQ607" s="222"/>
      <c r="JJR607" s="222"/>
      <c r="JJS607" s="223"/>
      <c r="JJT607" s="224"/>
      <c r="JJU607" s="222"/>
      <c r="JJV607" s="222"/>
      <c r="JJW607" s="222"/>
      <c r="JJX607" s="222"/>
      <c r="JJY607" s="222"/>
      <c r="JJZ607" s="222"/>
      <c r="JKA607" s="223"/>
      <c r="JKB607" s="224"/>
      <c r="JKC607" s="222"/>
      <c r="JKD607" s="222"/>
      <c r="JKE607" s="222"/>
      <c r="JKF607" s="222"/>
      <c r="JKG607" s="222"/>
      <c r="JKH607" s="222"/>
      <c r="JKI607" s="223"/>
      <c r="JKJ607" s="224"/>
      <c r="JKK607" s="222"/>
      <c r="JKL607" s="222"/>
      <c r="JKM607" s="222"/>
      <c r="JKN607" s="222"/>
      <c r="JKO607" s="222"/>
      <c r="JKP607" s="222"/>
      <c r="JKQ607" s="223"/>
      <c r="JKR607" s="224"/>
      <c r="JKS607" s="222"/>
      <c r="JKT607" s="222"/>
      <c r="JKU607" s="222"/>
      <c r="JKV607" s="222"/>
      <c r="JKW607" s="222"/>
      <c r="JKX607" s="222"/>
      <c r="JKY607" s="223"/>
      <c r="JKZ607" s="224"/>
      <c r="JLA607" s="222"/>
      <c r="JLB607" s="222"/>
      <c r="JLC607" s="222"/>
      <c r="JLD607" s="222"/>
      <c r="JLE607" s="222"/>
      <c r="JLF607" s="222"/>
      <c r="JLG607" s="223"/>
      <c r="JLH607" s="224"/>
      <c r="JLI607" s="222"/>
      <c r="JLJ607" s="222"/>
      <c r="JLK607" s="222"/>
      <c r="JLL607" s="222"/>
      <c r="JLM607" s="222"/>
      <c r="JLN607" s="222"/>
      <c r="JLO607" s="223"/>
      <c r="JLP607" s="224"/>
      <c r="JLQ607" s="222"/>
      <c r="JLR607" s="222"/>
      <c r="JLS607" s="222"/>
      <c r="JLT607" s="222"/>
      <c r="JLU607" s="222"/>
      <c r="JLV607" s="222"/>
      <c r="JLW607" s="223"/>
      <c r="JLX607" s="224"/>
      <c r="JLY607" s="222"/>
      <c r="JLZ607" s="222"/>
      <c r="JMA607" s="222"/>
      <c r="JMB607" s="222"/>
      <c r="JMC607" s="222"/>
      <c r="JMD607" s="222"/>
      <c r="JME607" s="223"/>
      <c r="JMF607" s="224"/>
      <c r="JMG607" s="222"/>
      <c r="JMH607" s="222"/>
      <c r="JMI607" s="222"/>
      <c r="JMJ607" s="222"/>
      <c r="JMK607" s="222"/>
      <c r="JML607" s="222"/>
      <c r="JMM607" s="223"/>
      <c r="JMN607" s="224"/>
      <c r="JMO607" s="222"/>
      <c r="JMP607" s="222"/>
      <c r="JMQ607" s="222"/>
      <c r="JMR607" s="222"/>
      <c r="JMS607" s="222"/>
      <c r="JMT607" s="222"/>
      <c r="JMU607" s="223"/>
      <c r="JMV607" s="224"/>
      <c r="JMW607" s="222"/>
      <c r="JMX607" s="222"/>
      <c r="JMY607" s="222"/>
      <c r="JMZ607" s="222"/>
      <c r="JNA607" s="222"/>
      <c r="JNB607" s="222"/>
      <c r="JNC607" s="223"/>
      <c r="JND607" s="224"/>
      <c r="JNE607" s="222"/>
      <c r="JNF607" s="222"/>
      <c r="JNG607" s="222"/>
      <c r="JNH607" s="222"/>
      <c r="JNI607" s="222"/>
      <c r="JNJ607" s="222"/>
      <c r="JNK607" s="223"/>
      <c r="JNL607" s="224"/>
      <c r="JNM607" s="222"/>
      <c r="JNN607" s="222"/>
      <c r="JNO607" s="222"/>
      <c r="JNP607" s="222"/>
      <c r="JNQ607" s="222"/>
      <c r="JNR607" s="222"/>
      <c r="JNS607" s="223"/>
      <c r="JNT607" s="224"/>
      <c r="JNU607" s="222"/>
      <c r="JNV607" s="222"/>
      <c r="JNW607" s="222"/>
      <c r="JNX607" s="222"/>
      <c r="JNY607" s="222"/>
      <c r="JNZ607" s="222"/>
      <c r="JOA607" s="223"/>
      <c r="JOB607" s="224"/>
      <c r="JOC607" s="222"/>
      <c r="JOD607" s="222"/>
      <c r="JOE607" s="222"/>
      <c r="JOF607" s="222"/>
      <c r="JOG607" s="222"/>
      <c r="JOH607" s="222"/>
      <c r="JOI607" s="223"/>
      <c r="JOJ607" s="224"/>
      <c r="JOK607" s="222"/>
      <c r="JOL607" s="222"/>
      <c r="JOM607" s="222"/>
      <c r="JON607" s="222"/>
      <c r="JOO607" s="222"/>
      <c r="JOP607" s="222"/>
      <c r="JOQ607" s="223"/>
      <c r="JOR607" s="224"/>
      <c r="JOS607" s="222"/>
      <c r="JOT607" s="222"/>
      <c r="JOU607" s="222"/>
      <c r="JOV607" s="222"/>
      <c r="JOW607" s="222"/>
      <c r="JOX607" s="222"/>
      <c r="JOY607" s="223"/>
      <c r="JOZ607" s="224"/>
      <c r="JPA607" s="222"/>
      <c r="JPB607" s="222"/>
      <c r="JPC607" s="222"/>
      <c r="JPD607" s="222"/>
      <c r="JPE607" s="222"/>
      <c r="JPF607" s="222"/>
      <c r="JPG607" s="223"/>
      <c r="JPH607" s="224"/>
      <c r="JPI607" s="222"/>
      <c r="JPJ607" s="222"/>
      <c r="JPK607" s="222"/>
      <c r="JPL607" s="222"/>
      <c r="JPM607" s="222"/>
      <c r="JPN607" s="222"/>
      <c r="JPO607" s="223"/>
      <c r="JPP607" s="224"/>
      <c r="JPQ607" s="222"/>
      <c r="JPR607" s="222"/>
      <c r="JPS607" s="222"/>
      <c r="JPT607" s="222"/>
      <c r="JPU607" s="222"/>
      <c r="JPV607" s="222"/>
      <c r="JPW607" s="223"/>
      <c r="JPX607" s="224"/>
      <c r="JPY607" s="222"/>
      <c r="JPZ607" s="222"/>
      <c r="JQA607" s="222"/>
      <c r="JQB607" s="222"/>
      <c r="JQC607" s="222"/>
      <c r="JQD607" s="222"/>
      <c r="JQE607" s="223"/>
      <c r="JQF607" s="224"/>
      <c r="JQG607" s="222"/>
      <c r="JQH607" s="222"/>
      <c r="JQI607" s="222"/>
      <c r="JQJ607" s="222"/>
      <c r="JQK607" s="222"/>
      <c r="JQL607" s="222"/>
      <c r="JQM607" s="223"/>
      <c r="JQN607" s="224"/>
      <c r="JQO607" s="222"/>
      <c r="JQP607" s="222"/>
      <c r="JQQ607" s="222"/>
      <c r="JQR607" s="222"/>
      <c r="JQS607" s="222"/>
      <c r="JQT607" s="222"/>
      <c r="JQU607" s="223"/>
      <c r="JQV607" s="224"/>
      <c r="JQW607" s="222"/>
      <c r="JQX607" s="222"/>
      <c r="JQY607" s="222"/>
      <c r="JQZ607" s="222"/>
      <c r="JRA607" s="222"/>
      <c r="JRB607" s="222"/>
      <c r="JRC607" s="223"/>
      <c r="JRD607" s="224"/>
      <c r="JRE607" s="222"/>
      <c r="JRF607" s="222"/>
      <c r="JRG607" s="222"/>
      <c r="JRH607" s="222"/>
      <c r="JRI607" s="222"/>
      <c r="JRJ607" s="222"/>
      <c r="JRK607" s="223"/>
      <c r="JRL607" s="224"/>
      <c r="JRM607" s="222"/>
      <c r="JRN607" s="222"/>
      <c r="JRO607" s="222"/>
      <c r="JRP607" s="222"/>
      <c r="JRQ607" s="222"/>
      <c r="JRR607" s="222"/>
      <c r="JRS607" s="223"/>
      <c r="JRT607" s="224"/>
      <c r="JRU607" s="222"/>
      <c r="JRV607" s="222"/>
      <c r="JRW607" s="222"/>
      <c r="JRX607" s="222"/>
      <c r="JRY607" s="222"/>
      <c r="JRZ607" s="222"/>
      <c r="JSA607" s="223"/>
      <c r="JSB607" s="224"/>
      <c r="JSC607" s="222"/>
      <c r="JSD607" s="222"/>
      <c r="JSE607" s="222"/>
      <c r="JSF607" s="222"/>
      <c r="JSG607" s="222"/>
      <c r="JSH607" s="222"/>
      <c r="JSI607" s="223"/>
      <c r="JSJ607" s="224"/>
      <c r="JSK607" s="222"/>
      <c r="JSL607" s="222"/>
      <c r="JSM607" s="222"/>
      <c r="JSN607" s="222"/>
      <c r="JSO607" s="222"/>
      <c r="JSP607" s="222"/>
      <c r="JSQ607" s="223"/>
      <c r="JSR607" s="224"/>
      <c r="JSS607" s="222"/>
      <c r="JST607" s="222"/>
      <c r="JSU607" s="222"/>
      <c r="JSV607" s="222"/>
      <c r="JSW607" s="222"/>
      <c r="JSX607" s="222"/>
      <c r="JSY607" s="223"/>
      <c r="JSZ607" s="224"/>
      <c r="JTA607" s="222"/>
      <c r="JTB607" s="222"/>
      <c r="JTC607" s="222"/>
      <c r="JTD607" s="222"/>
      <c r="JTE607" s="222"/>
      <c r="JTF607" s="222"/>
      <c r="JTG607" s="223"/>
      <c r="JTH607" s="224"/>
      <c r="JTI607" s="222"/>
      <c r="JTJ607" s="222"/>
      <c r="JTK607" s="222"/>
      <c r="JTL607" s="222"/>
      <c r="JTM607" s="222"/>
      <c r="JTN607" s="222"/>
      <c r="JTO607" s="223"/>
      <c r="JTP607" s="224"/>
      <c r="JTQ607" s="222"/>
      <c r="JTR607" s="222"/>
      <c r="JTS607" s="222"/>
      <c r="JTT607" s="222"/>
      <c r="JTU607" s="222"/>
      <c r="JTV607" s="222"/>
      <c r="JTW607" s="223"/>
      <c r="JTX607" s="224"/>
      <c r="JTY607" s="222"/>
      <c r="JTZ607" s="222"/>
      <c r="JUA607" s="222"/>
      <c r="JUB607" s="222"/>
      <c r="JUC607" s="222"/>
      <c r="JUD607" s="222"/>
      <c r="JUE607" s="223"/>
      <c r="JUF607" s="224"/>
      <c r="JUG607" s="222"/>
      <c r="JUH607" s="222"/>
      <c r="JUI607" s="222"/>
      <c r="JUJ607" s="222"/>
      <c r="JUK607" s="222"/>
      <c r="JUL607" s="222"/>
      <c r="JUM607" s="223"/>
      <c r="JUN607" s="224"/>
      <c r="JUO607" s="222"/>
      <c r="JUP607" s="222"/>
      <c r="JUQ607" s="222"/>
      <c r="JUR607" s="222"/>
      <c r="JUS607" s="222"/>
      <c r="JUT607" s="222"/>
      <c r="JUU607" s="223"/>
      <c r="JUV607" s="224"/>
      <c r="JUW607" s="222"/>
      <c r="JUX607" s="222"/>
      <c r="JUY607" s="222"/>
      <c r="JUZ607" s="222"/>
      <c r="JVA607" s="222"/>
      <c r="JVB607" s="222"/>
      <c r="JVC607" s="223"/>
      <c r="JVD607" s="224"/>
      <c r="JVE607" s="222"/>
      <c r="JVF607" s="222"/>
      <c r="JVG607" s="222"/>
      <c r="JVH607" s="222"/>
      <c r="JVI607" s="222"/>
      <c r="JVJ607" s="222"/>
      <c r="JVK607" s="223"/>
      <c r="JVL607" s="224"/>
      <c r="JVM607" s="222"/>
      <c r="JVN607" s="222"/>
      <c r="JVO607" s="222"/>
      <c r="JVP607" s="222"/>
      <c r="JVQ607" s="222"/>
      <c r="JVR607" s="222"/>
      <c r="JVS607" s="223"/>
      <c r="JVT607" s="224"/>
      <c r="JVU607" s="222"/>
      <c r="JVV607" s="222"/>
      <c r="JVW607" s="222"/>
      <c r="JVX607" s="222"/>
      <c r="JVY607" s="222"/>
      <c r="JVZ607" s="222"/>
      <c r="JWA607" s="223"/>
      <c r="JWB607" s="224"/>
      <c r="JWC607" s="222"/>
      <c r="JWD607" s="222"/>
      <c r="JWE607" s="222"/>
      <c r="JWF607" s="222"/>
      <c r="JWG607" s="222"/>
      <c r="JWH607" s="222"/>
      <c r="JWI607" s="223"/>
      <c r="JWJ607" s="224"/>
      <c r="JWK607" s="222"/>
      <c r="JWL607" s="222"/>
      <c r="JWM607" s="222"/>
      <c r="JWN607" s="222"/>
      <c r="JWO607" s="222"/>
      <c r="JWP607" s="222"/>
      <c r="JWQ607" s="223"/>
      <c r="JWR607" s="224"/>
      <c r="JWS607" s="222"/>
      <c r="JWT607" s="222"/>
      <c r="JWU607" s="222"/>
      <c r="JWV607" s="222"/>
      <c r="JWW607" s="222"/>
      <c r="JWX607" s="222"/>
      <c r="JWY607" s="223"/>
      <c r="JWZ607" s="224"/>
      <c r="JXA607" s="222"/>
      <c r="JXB607" s="222"/>
      <c r="JXC607" s="222"/>
      <c r="JXD607" s="222"/>
      <c r="JXE607" s="222"/>
      <c r="JXF607" s="222"/>
      <c r="JXG607" s="223"/>
      <c r="JXH607" s="224"/>
      <c r="JXI607" s="222"/>
      <c r="JXJ607" s="222"/>
      <c r="JXK607" s="222"/>
      <c r="JXL607" s="222"/>
      <c r="JXM607" s="222"/>
      <c r="JXN607" s="222"/>
      <c r="JXO607" s="223"/>
      <c r="JXP607" s="224"/>
      <c r="JXQ607" s="222"/>
      <c r="JXR607" s="222"/>
      <c r="JXS607" s="222"/>
      <c r="JXT607" s="222"/>
      <c r="JXU607" s="222"/>
      <c r="JXV607" s="222"/>
      <c r="JXW607" s="223"/>
      <c r="JXX607" s="224"/>
      <c r="JXY607" s="222"/>
      <c r="JXZ607" s="222"/>
      <c r="JYA607" s="222"/>
      <c r="JYB607" s="222"/>
      <c r="JYC607" s="222"/>
      <c r="JYD607" s="222"/>
      <c r="JYE607" s="223"/>
      <c r="JYF607" s="224"/>
      <c r="JYG607" s="222"/>
      <c r="JYH607" s="222"/>
      <c r="JYI607" s="222"/>
      <c r="JYJ607" s="222"/>
      <c r="JYK607" s="222"/>
      <c r="JYL607" s="222"/>
      <c r="JYM607" s="223"/>
      <c r="JYN607" s="224"/>
      <c r="JYO607" s="222"/>
      <c r="JYP607" s="222"/>
      <c r="JYQ607" s="222"/>
      <c r="JYR607" s="222"/>
      <c r="JYS607" s="222"/>
      <c r="JYT607" s="222"/>
      <c r="JYU607" s="223"/>
      <c r="JYV607" s="224"/>
      <c r="JYW607" s="222"/>
      <c r="JYX607" s="222"/>
      <c r="JYY607" s="222"/>
      <c r="JYZ607" s="222"/>
      <c r="JZA607" s="222"/>
      <c r="JZB607" s="222"/>
      <c r="JZC607" s="223"/>
      <c r="JZD607" s="224"/>
      <c r="JZE607" s="222"/>
      <c r="JZF607" s="222"/>
      <c r="JZG607" s="222"/>
      <c r="JZH607" s="222"/>
      <c r="JZI607" s="222"/>
      <c r="JZJ607" s="222"/>
      <c r="JZK607" s="223"/>
      <c r="JZL607" s="224"/>
      <c r="JZM607" s="222"/>
      <c r="JZN607" s="222"/>
      <c r="JZO607" s="222"/>
      <c r="JZP607" s="222"/>
      <c r="JZQ607" s="222"/>
      <c r="JZR607" s="222"/>
      <c r="JZS607" s="223"/>
      <c r="JZT607" s="224"/>
      <c r="JZU607" s="222"/>
      <c r="JZV607" s="222"/>
      <c r="JZW607" s="222"/>
      <c r="JZX607" s="222"/>
      <c r="JZY607" s="222"/>
      <c r="JZZ607" s="222"/>
      <c r="KAA607" s="223"/>
      <c r="KAB607" s="224"/>
      <c r="KAC607" s="222"/>
      <c r="KAD607" s="222"/>
      <c r="KAE607" s="222"/>
      <c r="KAF607" s="222"/>
      <c r="KAG607" s="222"/>
      <c r="KAH607" s="222"/>
      <c r="KAI607" s="223"/>
      <c r="KAJ607" s="224"/>
      <c r="KAK607" s="222"/>
      <c r="KAL607" s="222"/>
      <c r="KAM607" s="222"/>
      <c r="KAN607" s="222"/>
      <c r="KAO607" s="222"/>
      <c r="KAP607" s="222"/>
      <c r="KAQ607" s="223"/>
      <c r="KAR607" s="224"/>
      <c r="KAS607" s="222"/>
      <c r="KAT607" s="222"/>
      <c r="KAU607" s="222"/>
      <c r="KAV607" s="222"/>
      <c r="KAW607" s="222"/>
      <c r="KAX607" s="222"/>
      <c r="KAY607" s="223"/>
      <c r="KAZ607" s="224"/>
      <c r="KBA607" s="222"/>
      <c r="KBB607" s="222"/>
      <c r="KBC607" s="222"/>
      <c r="KBD607" s="222"/>
      <c r="KBE607" s="222"/>
      <c r="KBF607" s="222"/>
      <c r="KBG607" s="223"/>
      <c r="KBH607" s="224"/>
      <c r="KBI607" s="222"/>
      <c r="KBJ607" s="222"/>
      <c r="KBK607" s="222"/>
      <c r="KBL607" s="222"/>
      <c r="KBM607" s="222"/>
      <c r="KBN607" s="222"/>
      <c r="KBO607" s="223"/>
      <c r="KBP607" s="224"/>
      <c r="KBQ607" s="222"/>
      <c r="KBR607" s="222"/>
      <c r="KBS607" s="222"/>
      <c r="KBT607" s="222"/>
      <c r="KBU607" s="222"/>
      <c r="KBV607" s="222"/>
      <c r="KBW607" s="223"/>
      <c r="KBX607" s="224"/>
      <c r="KBY607" s="222"/>
      <c r="KBZ607" s="222"/>
      <c r="KCA607" s="222"/>
      <c r="KCB607" s="222"/>
      <c r="KCC607" s="222"/>
      <c r="KCD607" s="222"/>
      <c r="KCE607" s="223"/>
      <c r="KCF607" s="224"/>
      <c r="KCG607" s="222"/>
      <c r="KCH607" s="222"/>
      <c r="KCI607" s="222"/>
      <c r="KCJ607" s="222"/>
      <c r="KCK607" s="222"/>
      <c r="KCL607" s="222"/>
      <c r="KCM607" s="223"/>
      <c r="KCN607" s="224"/>
      <c r="KCO607" s="222"/>
      <c r="KCP607" s="222"/>
      <c r="KCQ607" s="222"/>
      <c r="KCR607" s="222"/>
      <c r="KCS607" s="222"/>
      <c r="KCT607" s="222"/>
      <c r="KCU607" s="223"/>
      <c r="KCV607" s="224"/>
      <c r="KCW607" s="222"/>
      <c r="KCX607" s="222"/>
      <c r="KCY607" s="222"/>
      <c r="KCZ607" s="222"/>
      <c r="KDA607" s="222"/>
      <c r="KDB607" s="222"/>
      <c r="KDC607" s="223"/>
      <c r="KDD607" s="224"/>
      <c r="KDE607" s="222"/>
      <c r="KDF607" s="222"/>
      <c r="KDG607" s="222"/>
      <c r="KDH607" s="222"/>
      <c r="KDI607" s="222"/>
      <c r="KDJ607" s="222"/>
      <c r="KDK607" s="223"/>
      <c r="KDL607" s="224"/>
      <c r="KDM607" s="222"/>
      <c r="KDN607" s="222"/>
      <c r="KDO607" s="222"/>
      <c r="KDP607" s="222"/>
      <c r="KDQ607" s="222"/>
      <c r="KDR607" s="222"/>
      <c r="KDS607" s="223"/>
      <c r="KDT607" s="224"/>
      <c r="KDU607" s="222"/>
      <c r="KDV607" s="222"/>
      <c r="KDW607" s="222"/>
      <c r="KDX607" s="222"/>
      <c r="KDY607" s="222"/>
      <c r="KDZ607" s="222"/>
      <c r="KEA607" s="223"/>
      <c r="KEB607" s="224"/>
      <c r="KEC607" s="222"/>
      <c r="KED607" s="222"/>
      <c r="KEE607" s="222"/>
      <c r="KEF607" s="222"/>
      <c r="KEG607" s="222"/>
      <c r="KEH607" s="222"/>
      <c r="KEI607" s="223"/>
      <c r="KEJ607" s="224"/>
      <c r="KEK607" s="222"/>
      <c r="KEL607" s="222"/>
      <c r="KEM607" s="222"/>
      <c r="KEN607" s="222"/>
      <c r="KEO607" s="222"/>
      <c r="KEP607" s="222"/>
      <c r="KEQ607" s="223"/>
      <c r="KER607" s="224"/>
      <c r="KES607" s="222"/>
      <c r="KET607" s="222"/>
      <c r="KEU607" s="222"/>
      <c r="KEV607" s="222"/>
      <c r="KEW607" s="222"/>
      <c r="KEX607" s="222"/>
      <c r="KEY607" s="223"/>
      <c r="KEZ607" s="224"/>
      <c r="KFA607" s="222"/>
      <c r="KFB607" s="222"/>
      <c r="KFC607" s="222"/>
      <c r="KFD607" s="222"/>
      <c r="KFE607" s="222"/>
      <c r="KFF607" s="222"/>
      <c r="KFG607" s="223"/>
      <c r="KFH607" s="224"/>
      <c r="KFI607" s="222"/>
      <c r="KFJ607" s="222"/>
      <c r="KFK607" s="222"/>
      <c r="KFL607" s="222"/>
      <c r="KFM607" s="222"/>
      <c r="KFN607" s="222"/>
      <c r="KFO607" s="223"/>
      <c r="KFP607" s="224"/>
      <c r="KFQ607" s="222"/>
      <c r="KFR607" s="222"/>
      <c r="KFS607" s="222"/>
      <c r="KFT607" s="222"/>
      <c r="KFU607" s="222"/>
      <c r="KFV607" s="222"/>
      <c r="KFW607" s="223"/>
      <c r="KFX607" s="224"/>
      <c r="KFY607" s="222"/>
      <c r="KFZ607" s="222"/>
      <c r="KGA607" s="222"/>
      <c r="KGB607" s="222"/>
      <c r="KGC607" s="222"/>
      <c r="KGD607" s="222"/>
      <c r="KGE607" s="223"/>
      <c r="KGF607" s="224"/>
      <c r="KGG607" s="222"/>
      <c r="KGH607" s="222"/>
      <c r="KGI607" s="222"/>
      <c r="KGJ607" s="222"/>
      <c r="KGK607" s="222"/>
      <c r="KGL607" s="222"/>
      <c r="KGM607" s="223"/>
      <c r="KGN607" s="224"/>
      <c r="KGO607" s="222"/>
      <c r="KGP607" s="222"/>
      <c r="KGQ607" s="222"/>
      <c r="KGR607" s="222"/>
      <c r="KGS607" s="222"/>
      <c r="KGT607" s="222"/>
      <c r="KGU607" s="223"/>
      <c r="KGV607" s="224"/>
      <c r="KGW607" s="222"/>
      <c r="KGX607" s="222"/>
      <c r="KGY607" s="222"/>
      <c r="KGZ607" s="222"/>
      <c r="KHA607" s="222"/>
      <c r="KHB607" s="222"/>
      <c r="KHC607" s="223"/>
      <c r="KHD607" s="224"/>
      <c r="KHE607" s="222"/>
      <c r="KHF607" s="222"/>
      <c r="KHG607" s="222"/>
      <c r="KHH607" s="222"/>
      <c r="KHI607" s="222"/>
      <c r="KHJ607" s="222"/>
      <c r="KHK607" s="223"/>
      <c r="KHL607" s="224"/>
      <c r="KHM607" s="222"/>
      <c r="KHN607" s="222"/>
      <c r="KHO607" s="222"/>
      <c r="KHP607" s="222"/>
      <c r="KHQ607" s="222"/>
      <c r="KHR607" s="222"/>
      <c r="KHS607" s="223"/>
      <c r="KHT607" s="224"/>
      <c r="KHU607" s="222"/>
      <c r="KHV607" s="222"/>
      <c r="KHW607" s="222"/>
      <c r="KHX607" s="222"/>
      <c r="KHY607" s="222"/>
      <c r="KHZ607" s="222"/>
      <c r="KIA607" s="223"/>
      <c r="KIB607" s="224"/>
      <c r="KIC607" s="222"/>
      <c r="KID607" s="222"/>
      <c r="KIE607" s="222"/>
      <c r="KIF607" s="222"/>
      <c r="KIG607" s="222"/>
      <c r="KIH607" s="222"/>
      <c r="KII607" s="223"/>
      <c r="KIJ607" s="224"/>
      <c r="KIK607" s="222"/>
      <c r="KIL607" s="222"/>
      <c r="KIM607" s="222"/>
      <c r="KIN607" s="222"/>
      <c r="KIO607" s="222"/>
      <c r="KIP607" s="222"/>
      <c r="KIQ607" s="223"/>
      <c r="KIR607" s="224"/>
      <c r="KIS607" s="222"/>
      <c r="KIT607" s="222"/>
      <c r="KIU607" s="222"/>
      <c r="KIV607" s="222"/>
      <c r="KIW607" s="222"/>
      <c r="KIX607" s="222"/>
      <c r="KIY607" s="223"/>
      <c r="KIZ607" s="224"/>
      <c r="KJA607" s="222"/>
      <c r="KJB607" s="222"/>
      <c r="KJC607" s="222"/>
      <c r="KJD607" s="222"/>
      <c r="KJE607" s="222"/>
      <c r="KJF607" s="222"/>
      <c r="KJG607" s="223"/>
      <c r="KJH607" s="224"/>
      <c r="KJI607" s="222"/>
      <c r="KJJ607" s="222"/>
      <c r="KJK607" s="222"/>
      <c r="KJL607" s="222"/>
      <c r="KJM607" s="222"/>
      <c r="KJN607" s="222"/>
      <c r="KJO607" s="223"/>
      <c r="KJP607" s="224"/>
      <c r="KJQ607" s="222"/>
      <c r="KJR607" s="222"/>
      <c r="KJS607" s="222"/>
      <c r="KJT607" s="222"/>
      <c r="KJU607" s="222"/>
      <c r="KJV607" s="222"/>
      <c r="KJW607" s="223"/>
      <c r="KJX607" s="224"/>
      <c r="KJY607" s="222"/>
      <c r="KJZ607" s="222"/>
      <c r="KKA607" s="222"/>
      <c r="KKB607" s="222"/>
      <c r="KKC607" s="222"/>
      <c r="KKD607" s="222"/>
      <c r="KKE607" s="223"/>
      <c r="KKF607" s="224"/>
      <c r="KKG607" s="222"/>
      <c r="KKH607" s="222"/>
      <c r="KKI607" s="222"/>
      <c r="KKJ607" s="222"/>
      <c r="KKK607" s="222"/>
      <c r="KKL607" s="222"/>
      <c r="KKM607" s="223"/>
      <c r="KKN607" s="224"/>
      <c r="KKO607" s="222"/>
      <c r="KKP607" s="222"/>
      <c r="KKQ607" s="222"/>
      <c r="KKR607" s="222"/>
      <c r="KKS607" s="222"/>
      <c r="KKT607" s="222"/>
      <c r="KKU607" s="223"/>
      <c r="KKV607" s="224"/>
      <c r="KKW607" s="222"/>
      <c r="KKX607" s="222"/>
      <c r="KKY607" s="222"/>
      <c r="KKZ607" s="222"/>
      <c r="KLA607" s="222"/>
      <c r="KLB607" s="222"/>
      <c r="KLC607" s="223"/>
      <c r="KLD607" s="224"/>
      <c r="KLE607" s="222"/>
      <c r="KLF607" s="222"/>
      <c r="KLG607" s="222"/>
      <c r="KLH607" s="222"/>
      <c r="KLI607" s="222"/>
      <c r="KLJ607" s="222"/>
      <c r="KLK607" s="223"/>
      <c r="KLL607" s="224"/>
      <c r="KLM607" s="222"/>
      <c r="KLN607" s="222"/>
      <c r="KLO607" s="222"/>
      <c r="KLP607" s="222"/>
      <c r="KLQ607" s="222"/>
      <c r="KLR607" s="222"/>
      <c r="KLS607" s="223"/>
      <c r="KLT607" s="224"/>
      <c r="KLU607" s="222"/>
      <c r="KLV607" s="222"/>
      <c r="KLW607" s="222"/>
      <c r="KLX607" s="222"/>
      <c r="KLY607" s="222"/>
      <c r="KLZ607" s="222"/>
      <c r="KMA607" s="223"/>
      <c r="KMB607" s="224"/>
      <c r="KMC607" s="222"/>
      <c r="KMD607" s="222"/>
      <c r="KME607" s="222"/>
      <c r="KMF607" s="222"/>
      <c r="KMG607" s="222"/>
      <c r="KMH607" s="222"/>
      <c r="KMI607" s="223"/>
      <c r="KMJ607" s="224"/>
      <c r="KMK607" s="222"/>
      <c r="KML607" s="222"/>
      <c r="KMM607" s="222"/>
      <c r="KMN607" s="222"/>
      <c r="KMO607" s="222"/>
      <c r="KMP607" s="222"/>
      <c r="KMQ607" s="223"/>
      <c r="KMR607" s="224"/>
      <c r="KMS607" s="222"/>
      <c r="KMT607" s="222"/>
      <c r="KMU607" s="222"/>
      <c r="KMV607" s="222"/>
      <c r="KMW607" s="222"/>
      <c r="KMX607" s="222"/>
      <c r="KMY607" s="223"/>
      <c r="KMZ607" s="224"/>
      <c r="KNA607" s="222"/>
      <c r="KNB607" s="222"/>
      <c r="KNC607" s="222"/>
      <c r="KND607" s="222"/>
      <c r="KNE607" s="222"/>
      <c r="KNF607" s="222"/>
      <c r="KNG607" s="223"/>
      <c r="KNH607" s="224"/>
      <c r="KNI607" s="222"/>
      <c r="KNJ607" s="222"/>
      <c r="KNK607" s="222"/>
      <c r="KNL607" s="222"/>
      <c r="KNM607" s="222"/>
      <c r="KNN607" s="222"/>
      <c r="KNO607" s="223"/>
      <c r="KNP607" s="224"/>
      <c r="KNQ607" s="222"/>
      <c r="KNR607" s="222"/>
      <c r="KNS607" s="222"/>
      <c r="KNT607" s="222"/>
      <c r="KNU607" s="222"/>
      <c r="KNV607" s="222"/>
      <c r="KNW607" s="223"/>
      <c r="KNX607" s="224"/>
      <c r="KNY607" s="222"/>
      <c r="KNZ607" s="222"/>
      <c r="KOA607" s="222"/>
      <c r="KOB607" s="222"/>
      <c r="KOC607" s="222"/>
      <c r="KOD607" s="222"/>
      <c r="KOE607" s="223"/>
      <c r="KOF607" s="224"/>
      <c r="KOG607" s="222"/>
      <c r="KOH607" s="222"/>
      <c r="KOI607" s="222"/>
      <c r="KOJ607" s="222"/>
      <c r="KOK607" s="222"/>
      <c r="KOL607" s="222"/>
      <c r="KOM607" s="223"/>
      <c r="KON607" s="224"/>
      <c r="KOO607" s="222"/>
      <c r="KOP607" s="222"/>
      <c r="KOQ607" s="222"/>
      <c r="KOR607" s="222"/>
      <c r="KOS607" s="222"/>
      <c r="KOT607" s="222"/>
      <c r="KOU607" s="223"/>
      <c r="KOV607" s="224"/>
      <c r="KOW607" s="222"/>
      <c r="KOX607" s="222"/>
      <c r="KOY607" s="222"/>
      <c r="KOZ607" s="222"/>
      <c r="KPA607" s="222"/>
      <c r="KPB607" s="222"/>
      <c r="KPC607" s="223"/>
      <c r="KPD607" s="224"/>
      <c r="KPE607" s="222"/>
      <c r="KPF607" s="222"/>
      <c r="KPG607" s="222"/>
      <c r="KPH607" s="222"/>
      <c r="KPI607" s="222"/>
      <c r="KPJ607" s="222"/>
      <c r="KPK607" s="223"/>
      <c r="KPL607" s="224"/>
      <c r="KPM607" s="222"/>
      <c r="KPN607" s="222"/>
      <c r="KPO607" s="222"/>
      <c r="KPP607" s="222"/>
      <c r="KPQ607" s="222"/>
      <c r="KPR607" s="222"/>
      <c r="KPS607" s="223"/>
      <c r="KPT607" s="224"/>
      <c r="KPU607" s="222"/>
      <c r="KPV607" s="222"/>
      <c r="KPW607" s="222"/>
      <c r="KPX607" s="222"/>
      <c r="KPY607" s="222"/>
      <c r="KPZ607" s="222"/>
      <c r="KQA607" s="223"/>
      <c r="KQB607" s="224"/>
      <c r="KQC607" s="222"/>
      <c r="KQD607" s="222"/>
      <c r="KQE607" s="222"/>
      <c r="KQF607" s="222"/>
      <c r="KQG607" s="222"/>
      <c r="KQH607" s="222"/>
      <c r="KQI607" s="223"/>
      <c r="KQJ607" s="224"/>
      <c r="KQK607" s="222"/>
      <c r="KQL607" s="222"/>
      <c r="KQM607" s="222"/>
      <c r="KQN607" s="222"/>
      <c r="KQO607" s="222"/>
      <c r="KQP607" s="222"/>
      <c r="KQQ607" s="223"/>
      <c r="KQR607" s="224"/>
      <c r="KQS607" s="222"/>
      <c r="KQT607" s="222"/>
      <c r="KQU607" s="222"/>
      <c r="KQV607" s="222"/>
      <c r="KQW607" s="222"/>
      <c r="KQX607" s="222"/>
      <c r="KQY607" s="223"/>
      <c r="KQZ607" s="224"/>
      <c r="KRA607" s="222"/>
      <c r="KRB607" s="222"/>
      <c r="KRC607" s="222"/>
      <c r="KRD607" s="222"/>
      <c r="KRE607" s="222"/>
      <c r="KRF607" s="222"/>
      <c r="KRG607" s="223"/>
      <c r="KRH607" s="224"/>
      <c r="KRI607" s="222"/>
      <c r="KRJ607" s="222"/>
      <c r="KRK607" s="222"/>
      <c r="KRL607" s="222"/>
      <c r="KRM607" s="222"/>
      <c r="KRN607" s="222"/>
      <c r="KRO607" s="223"/>
      <c r="KRP607" s="224"/>
      <c r="KRQ607" s="222"/>
      <c r="KRR607" s="222"/>
      <c r="KRS607" s="222"/>
      <c r="KRT607" s="222"/>
      <c r="KRU607" s="222"/>
      <c r="KRV607" s="222"/>
      <c r="KRW607" s="223"/>
      <c r="KRX607" s="224"/>
      <c r="KRY607" s="222"/>
      <c r="KRZ607" s="222"/>
      <c r="KSA607" s="222"/>
      <c r="KSB607" s="222"/>
      <c r="KSC607" s="222"/>
      <c r="KSD607" s="222"/>
      <c r="KSE607" s="223"/>
      <c r="KSF607" s="224"/>
      <c r="KSG607" s="222"/>
      <c r="KSH607" s="222"/>
      <c r="KSI607" s="222"/>
      <c r="KSJ607" s="222"/>
      <c r="KSK607" s="222"/>
      <c r="KSL607" s="222"/>
      <c r="KSM607" s="223"/>
      <c r="KSN607" s="224"/>
      <c r="KSO607" s="222"/>
      <c r="KSP607" s="222"/>
      <c r="KSQ607" s="222"/>
      <c r="KSR607" s="222"/>
      <c r="KSS607" s="222"/>
      <c r="KST607" s="222"/>
      <c r="KSU607" s="223"/>
      <c r="KSV607" s="224"/>
      <c r="KSW607" s="222"/>
      <c r="KSX607" s="222"/>
      <c r="KSY607" s="222"/>
      <c r="KSZ607" s="222"/>
      <c r="KTA607" s="222"/>
      <c r="KTB607" s="222"/>
      <c r="KTC607" s="223"/>
      <c r="KTD607" s="224"/>
      <c r="KTE607" s="222"/>
      <c r="KTF607" s="222"/>
      <c r="KTG607" s="222"/>
      <c r="KTH607" s="222"/>
      <c r="KTI607" s="222"/>
      <c r="KTJ607" s="222"/>
      <c r="KTK607" s="223"/>
      <c r="KTL607" s="224"/>
      <c r="KTM607" s="222"/>
      <c r="KTN607" s="222"/>
      <c r="KTO607" s="222"/>
      <c r="KTP607" s="222"/>
      <c r="KTQ607" s="222"/>
      <c r="KTR607" s="222"/>
      <c r="KTS607" s="223"/>
      <c r="KTT607" s="224"/>
      <c r="KTU607" s="222"/>
      <c r="KTV607" s="222"/>
      <c r="KTW607" s="222"/>
      <c r="KTX607" s="222"/>
      <c r="KTY607" s="222"/>
      <c r="KTZ607" s="222"/>
      <c r="KUA607" s="223"/>
      <c r="KUB607" s="224"/>
      <c r="KUC607" s="222"/>
      <c r="KUD607" s="222"/>
      <c r="KUE607" s="222"/>
      <c r="KUF607" s="222"/>
      <c r="KUG607" s="222"/>
      <c r="KUH607" s="222"/>
      <c r="KUI607" s="223"/>
      <c r="KUJ607" s="224"/>
      <c r="KUK607" s="222"/>
      <c r="KUL607" s="222"/>
      <c r="KUM607" s="222"/>
      <c r="KUN607" s="222"/>
      <c r="KUO607" s="222"/>
      <c r="KUP607" s="222"/>
      <c r="KUQ607" s="223"/>
      <c r="KUR607" s="224"/>
      <c r="KUS607" s="222"/>
      <c r="KUT607" s="222"/>
      <c r="KUU607" s="222"/>
      <c r="KUV607" s="222"/>
      <c r="KUW607" s="222"/>
      <c r="KUX607" s="222"/>
      <c r="KUY607" s="223"/>
      <c r="KUZ607" s="224"/>
      <c r="KVA607" s="222"/>
      <c r="KVB607" s="222"/>
      <c r="KVC607" s="222"/>
      <c r="KVD607" s="222"/>
      <c r="KVE607" s="222"/>
      <c r="KVF607" s="222"/>
      <c r="KVG607" s="223"/>
      <c r="KVH607" s="224"/>
      <c r="KVI607" s="222"/>
      <c r="KVJ607" s="222"/>
      <c r="KVK607" s="222"/>
      <c r="KVL607" s="222"/>
      <c r="KVM607" s="222"/>
      <c r="KVN607" s="222"/>
      <c r="KVO607" s="223"/>
      <c r="KVP607" s="224"/>
      <c r="KVQ607" s="222"/>
      <c r="KVR607" s="222"/>
      <c r="KVS607" s="222"/>
      <c r="KVT607" s="222"/>
      <c r="KVU607" s="222"/>
      <c r="KVV607" s="222"/>
      <c r="KVW607" s="223"/>
      <c r="KVX607" s="224"/>
      <c r="KVY607" s="222"/>
      <c r="KVZ607" s="222"/>
      <c r="KWA607" s="222"/>
      <c r="KWB607" s="222"/>
      <c r="KWC607" s="222"/>
      <c r="KWD607" s="222"/>
      <c r="KWE607" s="223"/>
      <c r="KWF607" s="224"/>
      <c r="KWG607" s="222"/>
      <c r="KWH607" s="222"/>
      <c r="KWI607" s="222"/>
      <c r="KWJ607" s="222"/>
      <c r="KWK607" s="222"/>
      <c r="KWL607" s="222"/>
      <c r="KWM607" s="223"/>
      <c r="KWN607" s="224"/>
      <c r="KWO607" s="222"/>
      <c r="KWP607" s="222"/>
      <c r="KWQ607" s="222"/>
      <c r="KWR607" s="222"/>
      <c r="KWS607" s="222"/>
      <c r="KWT607" s="222"/>
      <c r="KWU607" s="223"/>
      <c r="KWV607" s="224"/>
      <c r="KWW607" s="222"/>
      <c r="KWX607" s="222"/>
      <c r="KWY607" s="222"/>
      <c r="KWZ607" s="222"/>
      <c r="KXA607" s="222"/>
      <c r="KXB607" s="222"/>
      <c r="KXC607" s="223"/>
      <c r="KXD607" s="224"/>
      <c r="KXE607" s="222"/>
      <c r="KXF607" s="222"/>
      <c r="KXG607" s="222"/>
      <c r="KXH607" s="222"/>
      <c r="KXI607" s="222"/>
      <c r="KXJ607" s="222"/>
      <c r="KXK607" s="223"/>
      <c r="KXL607" s="224"/>
      <c r="KXM607" s="222"/>
      <c r="KXN607" s="222"/>
      <c r="KXO607" s="222"/>
      <c r="KXP607" s="222"/>
      <c r="KXQ607" s="222"/>
      <c r="KXR607" s="222"/>
      <c r="KXS607" s="223"/>
      <c r="KXT607" s="224"/>
      <c r="KXU607" s="222"/>
      <c r="KXV607" s="222"/>
      <c r="KXW607" s="222"/>
      <c r="KXX607" s="222"/>
      <c r="KXY607" s="222"/>
      <c r="KXZ607" s="222"/>
      <c r="KYA607" s="223"/>
      <c r="KYB607" s="224"/>
      <c r="KYC607" s="222"/>
      <c r="KYD607" s="222"/>
      <c r="KYE607" s="222"/>
      <c r="KYF607" s="222"/>
      <c r="KYG607" s="222"/>
      <c r="KYH607" s="222"/>
      <c r="KYI607" s="223"/>
      <c r="KYJ607" s="224"/>
      <c r="KYK607" s="222"/>
      <c r="KYL607" s="222"/>
      <c r="KYM607" s="222"/>
      <c r="KYN607" s="222"/>
      <c r="KYO607" s="222"/>
      <c r="KYP607" s="222"/>
      <c r="KYQ607" s="223"/>
      <c r="KYR607" s="224"/>
      <c r="KYS607" s="222"/>
      <c r="KYT607" s="222"/>
      <c r="KYU607" s="222"/>
      <c r="KYV607" s="222"/>
      <c r="KYW607" s="222"/>
      <c r="KYX607" s="222"/>
      <c r="KYY607" s="223"/>
      <c r="KYZ607" s="224"/>
      <c r="KZA607" s="222"/>
      <c r="KZB607" s="222"/>
      <c r="KZC607" s="222"/>
      <c r="KZD607" s="222"/>
      <c r="KZE607" s="222"/>
      <c r="KZF607" s="222"/>
      <c r="KZG607" s="223"/>
      <c r="KZH607" s="224"/>
      <c r="KZI607" s="222"/>
      <c r="KZJ607" s="222"/>
      <c r="KZK607" s="222"/>
      <c r="KZL607" s="222"/>
      <c r="KZM607" s="222"/>
      <c r="KZN607" s="222"/>
      <c r="KZO607" s="223"/>
      <c r="KZP607" s="224"/>
      <c r="KZQ607" s="222"/>
      <c r="KZR607" s="222"/>
      <c r="KZS607" s="222"/>
      <c r="KZT607" s="222"/>
      <c r="KZU607" s="222"/>
      <c r="KZV607" s="222"/>
      <c r="KZW607" s="223"/>
      <c r="KZX607" s="224"/>
      <c r="KZY607" s="222"/>
      <c r="KZZ607" s="222"/>
      <c r="LAA607" s="222"/>
      <c r="LAB607" s="222"/>
      <c r="LAC607" s="222"/>
      <c r="LAD607" s="222"/>
      <c r="LAE607" s="223"/>
      <c r="LAF607" s="224"/>
      <c r="LAG607" s="222"/>
      <c r="LAH607" s="222"/>
      <c r="LAI607" s="222"/>
      <c r="LAJ607" s="222"/>
      <c r="LAK607" s="222"/>
      <c r="LAL607" s="222"/>
      <c r="LAM607" s="223"/>
      <c r="LAN607" s="224"/>
      <c r="LAO607" s="222"/>
      <c r="LAP607" s="222"/>
      <c r="LAQ607" s="222"/>
      <c r="LAR607" s="222"/>
      <c r="LAS607" s="222"/>
      <c r="LAT607" s="222"/>
      <c r="LAU607" s="223"/>
      <c r="LAV607" s="224"/>
      <c r="LAW607" s="222"/>
      <c r="LAX607" s="222"/>
      <c r="LAY607" s="222"/>
      <c r="LAZ607" s="222"/>
      <c r="LBA607" s="222"/>
      <c r="LBB607" s="222"/>
      <c r="LBC607" s="223"/>
      <c r="LBD607" s="224"/>
      <c r="LBE607" s="222"/>
      <c r="LBF607" s="222"/>
      <c r="LBG607" s="222"/>
      <c r="LBH607" s="222"/>
      <c r="LBI607" s="222"/>
      <c r="LBJ607" s="222"/>
      <c r="LBK607" s="223"/>
      <c r="LBL607" s="224"/>
      <c r="LBM607" s="222"/>
      <c r="LBN607" s="222"/>
      <c r="LBO607" s="222"/>
      <c r="LBP607" s="222"/>
      <c r="LBQ607" s="222"/>
      <c r="LBR607" s="222"/>
      <c r="LBS607" s="223"/>
      <c r="LBT607" s="224"/>
      <c r="LBU607" s="222"/>
      <c r="LBV607" s="222"/>
      <c r="LBW607" s="222"/>
      <c r="LBX607" s="222"/>
      <c r="LBY607" s="222"/>
      <c r="LBZ607" s="222"/>
      <c r="LCA607" s="223"/>
      <c r="LCB607" s="224"/>
      <c r="LCC607" s="222"/>
      <c r="LCD607" s="222"/>
      <c r="LCE607" s="222"/>
      <c r="LCF607" s="222"/>
      <c r="LCG607" s="222"/>
      <c r="LCH607" s="222"/>
      <c r="LCI607" s="223"/>
      <c r="LCJ607" s="224"/>
      <c r="LCK607" s="222"/>
      <c r="LCL607" s="222"/>
      <c r="LCM607" s="222"/>
      <c r="LCN607" s="222"/>
      <c r="LCO607" s="222"/>
      <c r="LCP607" s="222"/>
      <c r="LCQ607" s="223"/>
      <c r="LCR607" s="224"/>
      <c r="LCS607" s="222"/>
      <c r="LCT607" s="222"/>
      <c r="LCU607" s="222"/>
      <c r="LCV607" s="222"/>
      <c r="LCW607" s="222"/>
      <c r="LCX607" s="222"/>
      <c r="LCY607" s="223"/>
      <c r="LCZ607" s="224"/>
      <c r="LDA607" s="222"/>
      <c r="LDB607" s="222"/>
      <c r="LDC607" s="222"/>
      <c r="LDD607" s="222"/>
      <c r="LDE607" s="222"/>
      <c r="LDF607" s="222"/>
      <c r="LDG607" s="223"/>
      <c r="LDH607" s="224"/>
      <c r="LDI607" s="222"/>
      <c r="LDJ607" s="222"/>
      <c r="LDK607" s="222"/>
      <c r="LDL607" s="222"/>
      <c r="LDM607" s="222"/>
      <c r="LDN607" s="222"/>
      <c r="LDO607" s="223"/>
      <c r="LDP607" s="224"/>
      <c r="LDQ607" s="222"/>
      <c r="LDR607" s="222"/>
      <c r="LDS607" s="222"/>
      <c r="LDT607" s="222"/>
      <c r="LDU607" s="222"/>
      <c r="LDV607" s="222"/>
      <c r="LDW607" s="223"/>
      <c r="LDX607" s="224"/>
      <c r="LDY607" s="222"/>
      <c r="LDZ607" s="222"/>
      <c r="LEA607" s="222"/>
      <c r="LEB607" s="222"/>
      <c r="LEC607" s="222"/>
      <c r="LED607" s="222"/>
      <c r="LEE607" s="223"/>
      <c r="LEF607" s="224"/>
      <c r="LEG607" s="222"/>
      <c r="LEH607" s="222"/>
      <c r="LEI607" s="222"/>
      <c r="LEJ607" s="222"/>
      <c r="LEK607" s="222"/>
      <c r="LEL607" s="222"/>
      <c r="LEM607" s="223"/>
      <c r="LEN607" s="224"/>
      <c r="LEO607" s="222"/>
      <c r="LEP607" s="222"/>
      <c r="LEQ607" s="222"/>
      <c r="LER607" s="222"/>
      <c r="LES607" s="222"/>
      <c r="LET607" s="222"/>
      <c r="LEU607" s="223"/>
      <c r="LEV607" s="224"/>
      <c r="LEW607" s="222"/>
      <c r="LEX607" s="222"/>
      <c r="LEY607" s="222"/>
      <c r="LEZ607" s="222"/>
      <c r="LFA607" s="222"/>
      <c r="LFB607" s="222"/>
      <c r="LFC607" s="223"/>
      <c r="LFD607" s="224"/>
      <c r="LFE607" s="222"/>
      <c r="LFF607" s="222"/>
      <c r="LFG607" s="222"/>
      <c r="LFH607" s="222"/>
      <c r="LFI607" s="222"/>
      <c r="LFJ607" s="222"/>
      <c r="LFK607" s="223"/>
      <c r="LFL607" s="224"/>
      <c r="LFM607" s="222"/>
      <c r="LFN607" s="222"/>
      <c r="LFO607" s="222"/>
      <c r="LFP607" s="222"/>
      <c r="LFQ607" s="222"/>
      <c r="LFR607" s="222"/>
      <c r="LFS607" s="223"/>
      <c r="LFT607" s="224"/>
      <c r="LFU607" s="222"/>
      <c r="LFV607" s="222"/>
      <c r="LFW607" s="222"/>
      <c r="LFX607" s="222"/>
      <c r="LFY607" s="222"/>
      <c r="LFZ607" s="222"/>
      <c r="LGA607" s="223"/>
      <c r="LGB607" s="224"/>
      <c r="LGC607" s="222"/>
      <c r="LGD607" s="222"/>
      <c r="LGE607" s="222"/>
      <c r="LGF607" s="222"/>
      <c r="LGG607" s="222"/>
      <c r="LGH607" s="222"/>
      <c r="LGI607" s="223"/>
      <c r="LGJ607" s="224"/>
      <c r="LGK607" s="222"/>
      <c r="LGL607" s="222"/>
      <c r="LGM607" s="222"/>
      <c r="LGN607" s="222"/>
      <c r="LGO607" s="222"/>
      <c r="LGP607" s="222"/>
      <c r="LGQ607" s="223"/>
      <c r="LGR607" s="224"/>
      <c r="LGS607" s="222"/>
      <c r="LGT607" s="222"/>
      <c r="LGU607" s="222"/>
      <c r="LGV607" s="222"/>
      <c r="LGW607" s="222"/>
      <c r="LGX607" s="222"/>
      <c r="LGY607" s="223"/>
      <c r="LGZ607" s="224"/>
      <c r="LHA607" s="222"/>
      <c r="LHB607" s="222"/>
      <c r="LHC607" s="222"/>
      <c r="LHD607" s="222"/>
      <c r="LHE607" s="222"/>
      <c r="LHF607" s="222"/>
      <c r="LHG607" s="223"/>
      <c r="LHH607" s="224"/>
      <c r="LHI607" s="222"/>
      <c r="LHJ607" s="222"/>
      <c r="LHK607" s="222"/>
      <c r="LHL607" s="222"/>
      <c r="LHM607" s="222"/>
      <c r="LHN607" s="222"/>
      <c r="LHO607" s="223"/>
      <c r="LHP607" s="224"/>
      <c r="LHQ607" s="222"/>
      <c r="LHR607" s="222"/>
      <c r="LHS607" s="222"/>
      <c r="LHT607" s="222"/>
      <c r="LHU607" s="222"/>
      <c r="LHV607" s="222"/>
      <c r="LHW607" s="223"/>
      <c r="LHX607" s="224"/>
      <c r="LHY607" s="222"/>
      <c r="LHZ607" s="222"/>
      <c r="LIA607" s="222"/>
      <c r="LIB607" s="222"/>
      <c r="LIC607" s="222"/>
      <c r="LID607" s="222"/>
      <c r="LIE607" s="223"/>
      <c r="LIF607" s="224"/>
      <c r="LIG607" s="222"/>
      <c r="LIH607" s="222"/>
      <c r="LII607" s="222"/>
      <c r="LIJ607" s="222"/>
      <c r="LIK607" s="222"/>
      <c r="LIL607" s="222"/>
      <c r="LIM607" s="223"/>
      <c r="LIN607" s="224"/>
      <c r="LIO607" s="222"/>
      <c r="LIP607" s="222"/>
      <c r="LIQ607" s="222"/>
      <c r="LIR607" s="222"/>
      <c r="LIS607" s="222"/>
      <c r="LIT607" s="222"/>
      <c r="LIU607" s="223"/>
      <c r="LIV607" s="224"/>
      <c r="LIW607" s="222"/>
      <c r="LIX607" s="222"/>
      <c r="LIY607" s="222"/>
      <c r="LIZ607" s="222"/>
      <c r="LJA607" s="222"/>
      <c r="LJB607" s="222"/>
      <c r="LJC607" s="223"/>
      <c r="LJD607" s="224"/>
      <c r="LJE607" s="222"/>
      <c r="LJF607" s="222"/>
      <c r="LJG607" s="222"/>
      <c r="LJH607" s="222"/>
      <c r="LJI607" s="222"/>
      <c r="LJJ607" s="222"/>
      <c r="LJK607" s="223"/>
      <c r="LJL607" s="224"/>
      <c r="LJM607" s="222"/>
      <c r="LJN607" s="222"/>
      <c r="LJO607" s="222"/>
      <c r="LJP607" s="222"/>
      <c r="LJQ607" s="222"/>
      <c r="LJR607" s="222"/>
      <c r="LJS607" s="223"/>
      <c r="LJT607" s="224"/>
      <c r="LJU607" s="222"/>
      <c r="LJV607" s="222"/>
      <c r="LJW607" s="222"/>
      <c r="LJX607" s="222"/>
      <c r="LJY607" s="222"/>
      <c r="LJZ607" s="222"/>
      <c r="LKA607" s="223"/>
      <c r="LKB607" s="224"/>
      <c r="LKC607" s="222"/>
      <c r="LKD607" s="222"/>
      <c r="LKE607" s="222"/>
      <c r="LKF607" s="222"/>
      <c r="LKG607" s="222"/>
      <c r="LKH607" s="222"/>
      <c r="LKI607" s="223"/>
      <c r="LKJ607" s="224"/>
      <c r="LKK607" s="222"/>
      <c r="LKL607" s="222"/>
      <c r="LKM607" s="222"/>
      <c r="LKN607" s="222"/>
      <c r="LKO607" s="222"/>
      <c r="LKP607" s="222"/>
      <c r="LKQ607" s="223"/>
      <c r="LKR607" s="224"/>
      <c r="LKS607" s="222"/>
      <c r="LKT607" s="222"/>
      <c r="LKU607" s="222"/>
      <c r="LKV607" s="222"/>
      <c r="LKW607" s="222"/>
      <c r="LKX607" s="222"/>
      <c r="LKY607" s="223"/>
      <c r="LKZ607" s="224"/>
      <c r="LLA607" s="222"/>
      <c r="LLB607" s="222"/>
      <c r="LLC607" s="222"/>
      <c r="LLD607" s="222"/>
      <c r="LLE607" s="222"/>
      <c r="LLF607" s="222"/>
      <c r="LLG607" s="223"/>
      <c r="LLH607" s="224"/>
      <c r="LLI607" s="222"/>
      <c r="LLJ607" s="222"/>
      <c r="LLK607" s="222"/>
      <c r="LLL607" s="222"/>
      <c r="LLM607" s="222"/>
      <c r="LLN607" s="222"/>
      <c r="LLO607" s="223"/>
      <c r="LLP607" s="224"/>
      <c r="LLQ607" s="222"/>
      <c r="LLR607" s="222"/>
      <c r="LLS607" s="222"/>
      <c r="LLT607" s="222"/>
      <c r="LLU607" s="222"/>
      <c r="LLV607" s="222"/>
      <c r="LLW607" s="223"/>
      <c r="LLX607" s="224"/>
      <c r="LLY607" s="222"/>
      <c r="LLZ607" s="222"/>
      <c r="LMA607" s="222"/>
      <c r="LMB607" s="222"/>
      <c r="LMC607" s="222"/>
      <c r="LMD607" s="222"/>
      <c r="LME607" s="223"/>
      <c r="LMF607" s="224"/>
      <c r="LMG607" s="222"/>
      <c r="LMH607" s="222"/>
      <c r="LMI607" s="222"/>
      <c r="LMJ607" s="222"/>
      <c r="LMK607" s="222"/>
      <c r="LML607" s="222"/>
      <c r="LMM607" s="223"/>
      <c r="LMN607" s="224"/>
      <c r="LMO607" s="222"/>
      <c r="LMP607" s="222"/>
      <c r="LMQ607" s="222"/>
      <c r="LMR607" s="222"/>
      <c r="LMS607" s="222"/>
      <c r="LMT607" s="222"/>
      <c r="LMU607" s="223"/>
      <c r="LMV607" s="224"/>
      <c r="LMW607" s="222"/>
      <c r="LMX607" s="222"/>
      <c r="LMY607" s="222"/>
      <c r="LMZ607" s="222"/>
      <c r="LNA607" s="222"/>
      <c r="LNB607" s="222"/>
      <c r="LNC607" s="223"/>
      <c r="LND607" s="224"/>
      <c r="LNE607" s="222"/>
      <c r="LNF607" s="222"/>
      <c r="LNG607" s="222"/>
      <c r="LNH607" s="222"/>
      <c r="LNI607" s="222"/>
      <c r="LNJ607" s="222"/>
      <c r="LNK607" s="223"/>
      <c r="LNL607" s="224"/>
      <c r="LNM607" s="222"/>
      <c r="LNN607" s="222"/>
      <c r="LNO607" s="222"/>
      <c r="LNP607" s="222"/>
      <c r="LNQ607" s="222"/>
      <c r="LNR607" s="222"/>
      <c r="LNS607" s="223"/>
      <c r="LNT607" s="224"/>
      <c r="LNU607" s="222"/>
      <c r="LNV607" s="222"/>
      <c r="LNW607" s="222"/>
      <c r="LNX607" s="222"/>
      <c r="LNY607" s="222"/>
      <c r="LNZ607" s="222"/>
      <c r="LOA607" s="223"/>
      <c r="LOB607" s="224"/>
      <c r="LOC607" s="222"/>
      <c r="LOD607" s="222"/>
      <c r="LOE607" s="222"/>
      <c r="LOF607" s="222"/>
      <c r="LOG607" s="222"/>
      <c r="LOH607" s="222"/>
      <c r="LOI607" s="223"/>
      <c r="LOJ607" s="224"/>
      <c r="LOK607" s="222"/>
      <c r="LOL607" s="222"/>
      <c r="LOM607" s="222"/>
      <c r="LON607" s="222"/>
      <c r="LOO607" s="222"/>
      <c r="LOP607" s="222"/>
      <c r="LOQ607" s="223"/>
      <c r="LOR607" s="224"/>
      <c r="LOS607" s="222"/>
      <c r="LOT607" s="222"/>
      <c r="LOU607" s="222"/>
      <c r="LOV607" s="222"/>
      <c r="LOW607" s="222"/>
      <c r="LOX607" s="222"/>
      <c r="LOY607" s="223"/>
      <c r="LOZ607" s="224"/>
      <c r="LPA607" s="222"/>
      <c r="LPB607" s="222"/>
      <c r="LPC607" s="222"/>
      <c r="LPD607" s="222"/>
      <c r="LPE607" s="222"/>
      <c r="LPF607" s="222"/>
      <c r="LPG607" s="223"/>
      <c r="LPH607" s="224"/>
      <c r="LPI607" s="222"/>
      <c r="LPJ607" s="222"/>
      <c r="LPK607" s="222"/>
      <c r="LPL607" s="222"/>
      <c r="LPM607" s="222"/>
      <c r="LPN607" s="222"/>
      <c r="LPO607" s="223"/>
      <c r="LPP607" s="224"/>
      <c r="LPQ607" s="222"/>
      <c r="LPR607" s="222"/>
      <c r="LPS607" s="222"/>
      <c r="LPT607" s="222"/>
      <c r="LPU607" s="222"/>
      <c r="LPV607" s="222"/>
      <c r="LPW607" s="223"/>
      <c r="LPX607" s="224"/>
      <c r="LPY607" s="222"/>
      <c r="LPZ607" s="222"/>
      <c r="LQA607" s="222"/>
      <c r="LQB607" s="222"/>
      <c r="LQC607" s="222"/>
      <c r="LQD607" s="222"/>
      <c r="LQE607" s="223"/>
      <c r="LQF607" s="224"/>
      <c r="LQG607" s="222"/>
      <c r="LQH607" s="222"/>
      <c r="LQI607" s="222"/>
      <c r="LQJ607" s="222"/>
      <c r="LQK607" s="222"/>
      <c r="LQL607" s="222"/>
      <c r="LQM607" s="223"/>
      <c r="LQN607" s="224"/>
      <c r="LQO607" s="222"/>
      <c r="LQP607" s="222"/>
      <c r="LQQ607" s="222"/>
      <c r="LQR607" s="222"/>
      <c r="LQS607" s="222"/>
      <c r="LQT607" s="222"/>
      <c r="LQU607" s="223"/>
      <c r="LQV607" s="224"/>
      <c r="LQW607" s="222"/>
      <c r="LQX607" s="222"/>
      <c r="LQY607" s="222"/>
      <c r="LQZ607" s="222"/>
      <c r="LRA607" s="222"/>
      <c r="LRB607" s="222"/>
      <c r="LRC607" s="223"/>
      <c r="LRD607" s="224"/>
      <c r="LRE607" s="222"/>
      <c r="LRF607" s="222"/>
      <c r="LRG607" s="222"/>
      <c r="LRH607" s="222"/>
      <c r="LRI607" s="222"/>
      <c r="LRJ607" s="222"/>
      <c r="LRK607" s="223"/>
      <c r="LRL607" s="224"/>
      <c r="LRM607" s="222"/>
      <c r="LRN607" s="222"/>
      <c r="LRO607" s="222"/>
      <c r="LRP607" s="222"/>
      <c r="LRQ607" s="222"/>
      <c r="LRR607" s="222"/>
      <c r="LRS607" s="223"/>
      <c r="LRT607" s="224"/>
      <c r="LRU607" s="222"/>
      <c r="LRV607" s="222"/>
      <c r="LRW607" s="222"/>
      <c r="LRX607" s="222"/>
      <c r="LRY607" s="222"/>
      <c r="LRZ607" s="222"/>
      <c r="LSA607" s="223"/>
      <c r="LSB607" s="224"/>
      <c r="LSC607" s="222"/>
      <c r="LSD607" s="222"/>
      <c r="LSE607" s="222"/>
      <c r="LSF607" s="222"/>
      <c r="LSG607" s="222"/>
      <c r="LSH607" s="222"/>
      <c r="LSI607" s="223"/>
      <c r="LSJ607" s="224"/>
      <c r="LSK607" s="222"/>
      <c r="LSL607" s="222"/>
      <c r="LSM607" s="222"/>
      <c r="LSN607" s="222"/>
      <c r="LSO607" s="222"/>
      <c r="LSP607" s="222"/>
      <c r="LSQ607" s="223"/>
      <c r="LSR607" s="224"/>
      <c r="LSS607" s="222"/>
      <c r="LST607" s="222"/>
      <c r="LSU607" s="222"/>
      <c r="LSV607" s="222"/>
      <c r="LSW607" s="222"/>
      <c r="LSX607" s="222"/>
      <c r="LSY607" s="223"/>
      <c r="LSZ607" s="224"/>
      <c r="LTA607" s="222"/>
      <c r="LTB607" s="222"/>
      <c r="LTC607" s="222"/>
      <c r="LTD607" s="222"/>
      <c r="LTE607" s="222"/>
      <c r="LTF607" s="222"/>
      <c r="LTG607" s="223"/>
      <c r="LTH607" s="224"/>
      <c r="LTI607" s="222"/>
      <c r="LTJ607" s="222"/>
      <c r="LTK607" s="222"/>
      <c r="LTL607" s="222"/>
      <c r="LTM607" s="222"/>
      <c r="LTN607" s="222"/>
      <c r="LTO607" s="223"/>
      <c r="LTP607" s="224"/>
      <c r="LTQ607" s="222"/>
      <c r="LTR607" s="222"/>
      <c r="LTS607" s="222"/>
      <c r="LTT607" s="222"/>
      <c r="LTU607" s="222"/>
      <c r="LTV607" s="222"/>
      <c r="LTW607" s="223"/>
      <c r="LTX607" s="224"/>
      <c r="LTY607" s="222"/>
      <c r="LTZ607" s="222"/>
      <c r="LUA607" s="222"/>
      <c r="LUB607" s="222"/>
      <c r="LUC607" s="222"/>
      <c r="LUD607" s="222"/>
      <c r="LUE607" s="223"/>
      <c r="LUF607" s="224"/>
      <c r="LUG607" s="222"/>
      <c r="LUH607" s="222"/>
      <c r="LUI607" s="222"/>
      <c r="LUJ607" s="222"/>
      <c r="LUK607" s="222"/>
      <c r="LUL607" s="222"/>
      <c r="LUM607" s="223"/>
      <c r="LUN607" s="224"/>
      <c r="LUO607" s="222"/>
      <c r="LUP607" s="222"/>
      <c r="LUQ607" s="222"/>
      <c r="LUR607" s="222"/>
      <c r="LUS607" s="222"/>
      <c r="LUT607" s="222"/>
      <c r="LUU607" s="223"/>
      <c r="LUV607" s="224"/>
      <c r="LUW607" s="222"/>
      <c r="LUX607" s="222"/>
      <c r="LUY607" s="222"/>
      <c r="LUZ607" s="222"/>
      <c r="LVA607" s="222"/>
      <c r="LVB607" s="222"/>
      <c r="LVC607" s="223"/>
      <c r="LVD607" s="224"/>
      <c r="LVE607" s="222"/>
      <c r="LVF607" s="222"/>
      <c r="LVG607" s="222"/>
      <c r="LVH607" s="222"/>
      <c r="LVI607" s="222"/>
      <c r="LVJ607" s="222"/>
      <c r="LVK607" s="223"/>
      <c r="LVL607" s="224"/>
      <c r="LVM607" s="222"/>
      <c r="LVN607" s="222"/>
      <c r="LVO607" s="222"/>
      <c r="LVP607" s="222"/>
      <c r="LVQ607" s="222"/>
      <c r="LVR607" s="222"/>
      <c r="LVS607" s="223"/>
      <c r="LVT607" s="224"/>
      <c r="LVU607" s="222"/>
      <c r="LVV607" s="222"/>
      <c r="LVW607" s="222"/>
      <c r="LVX607" s="222"/>
      <c r="LVY607" s="222"/>
      <c r="LVZ607" s="222"/>
      <c r="LWA607" s="223"/>
      <c r="LWB607" s="224"/>
      <c r="LWC607" s="222"/>
      <c r="LWD607" s="222"/>
      <c r="LWE607" s="222"/>
      <c r="LWF607" s="222"/>
      <c r="LWG607" s="222"/>
      <c r="LWH607" s="222"/>
      <c r="LWI607" s="223"/>
      <c r="LWJ607" s="224"/>
      <c r="LWK607" s="222"/>
      <c r="LWL607" s="222"/>
      <c r="LWM607" s="222"/>
      <c r="LWN607" s="222"/>
      <c r="LWO607" s="222"/>
      <c r="LWP607" s="222"/>
      <c r="LWQ607" s="223"/>
      <c r="LWR607" s="224"/>
      <c r="LWS607" s="222"/>
      <c r="LWT607" s="222"/>
      <c r="LWU607" s="222"/>
      <c r="LWV607" s="222"/>
      <c r="LWW607" s="222"/>
      <c r="LWX607" s="222"/>
      <c r="LWY607" s="223"/>
      <c r="LWZ607" s="224"/>
      <c r="LXA607" s="222"/>
      <c r="LXB607" s="222"/>
      <c r="LXC607" s="222"/>
      <c r="LXD607" s="222"/>
      <c r="LXE607" s="222"/>
      <c r="LXF607" s="222"/>
      <c r="LXG607" s="223"/>
      <c r="LXH607" s="224"/>
      <c r="LXI607" s="222"/>
      <c r="LXJ607" s="222"/>
      <c r="LXK607" s="222"/>
      <c r="LXL607" s="222"/>
      <c r="LXM607" s="222"/>
      <c r="LXN607" s="222"/>
      <c r="LXO607" s="223"/>
      <c r="LXP607" s="224"/>
      <c r="LXQ607" s="222"/>
      <c r="LXR607" s="222"/>
      <c r="LXS607" s="222"/>
      <c r="LXT607" s="222"/>
      <c r="LXU607" s="222"/>
      <c r="LXV607" s="222"/>
      <c r="LXW607" s="223"/>
      <c r="LXX607" s="224"/>
      <c r="LXY607" s="222"/>
      <c r="LXZ607" s="222"/>
      <c r="LYA607" s="222"/>
      <c r="LYB607" s="222"/>
      <c r="LYC607" s="222"/>
      <c r="LYD607" s="222"/>
      <c r="LYE607" s="223"/>
      <c r="LYF607" s="224"/>
      <c r="LYG607" s="222"/>
      <c r="LYH607" s="222"/>
      <c r="LYI607" s="222"/>
      <c r="LYJ607" s="222"/>
      <c r="LYK607" s="222"/>
      <c r="LYL607" s="222"/>
      <c r="LYM607" s="223"/>
      <c r="LYN607" s="224"/>
      <c r="LYO607" s="222"/>
      <c r="LYP607" s="222"/>
      <c r="LYQ607" s="222"/>
      <c r="LYR607" s="222"/>
      <c r="LYS607" s="222"/>
      <c r="LYT607" s="222"/>
      <c r="LYU607" s="223"/>
      <c r="LYV607" s="224"/>
      <c r="LYW607" s="222"/>
      <c r="LYX607" s="222"/>
      <c r="LYY607" s="222"/>
      <c r="LYZ607" s="222"/>
      <c r="LZA607" s="222"/>
      <c r="LZB607" s="222"/>
      <c r="LZC607" s="223"/>
      <c r="LZD607" s="224"/>
      <c r="LZE607" s="222"/>
      <c r="LZF607" s="222"/>
      <c r="LZG607" s="222"/>
      <c r="LZH607" s="222"/>
      <c r="LZI607" s="222"/>
      <c r="LZJ607" s="222"/>
      <c r="LZK607" s="223"/>
      <c r="LZL607" s="224"/>
      <c r="LZM607" s="222"/>
      <c r="LZN607" s="222"/>
      <c r="LZO607" s="222"/>
      <c r="LZP607" s="222"/>
      <c r="LZQ607" s="222"/>
      <c r="LZR607" s="222"/>
      <c r="LZS607" s="223"/>
      <c r="LZT607" s="224"/>
      <c r="LZU607" s="222"/>
      <c r="LZV607" s="222"/>
      <c r="LZW607" s="222"/>
      <c r="LZX607" s="222"/>
      <c r="LZY607" s="222"/>
      <c r="LZZ607" s="222"/>
      <c r="MAA607" s="223"/>
      <c r="MAB607" s="224"/>
      <c r="MAC607" s="222"/>
      <c r="MAD607" s="222"/>
      <c r="MAE607" s="222"/>
      <c r="MAF607" s="222"/>
      <c r="MAG607" s="222"/>
      <c r="MAH607" s="222"/>
      <c r="MAI607" s="223"/>
      <c r="MAJ607" s="224"/>
      <c r="MAK607" s="222"/>
      <c r="MAL607" s="222"/>
      <c r="MAM607" s="222"/>
      <c r="MAN607" s="222"/>
      <c r="MAO607" s="222"/>
      <c r="MAP607" s="222"/>
      <c r="MAQ607" s="223"/>
      <c r="MAR607" s="224"/>
      <c r="MAS607" s="222"/>
      <c r="MAT607" s="222"/>
      <c r="MAU607" s="222"/>
      <c r="MAV607" s="222"/>
      <c r="MAW607" s="222"/>
      <c r="MAX607" s="222"/>
      <c r="MAY607" s="223"/>
      <c r="MAZ607" s="224"/>
      <c r="MBA607" s="222"/>
      <c r="MBB607" s="222"/>
      <c r="MBC607" s="222"/>
      <c r="MBD607" s="222"/>
      <c r="MBE607" s="222"/>
      <c r="MBF607" s="222"/>
      <c r="MBG607" s="223"/>
      <c r="MBH607" s="224"/>
      <c r="MBI607" s="222"/>
      <c r="MBJ607" s="222"/>
      <c r="MBK607" s="222"/>
      <c r="MBL607" s="222"/>
      <c r="MBM607" s="222"/>
      <c r="MBN607" s="222"/>
      <c r="MBO607" s="223"/>
      <c r="MBP607" s="224"/>
      <c r="MBQ607" s="222"/>
      <c r="MBR607" s="222"/>
      <c r="MBS607" s="222"/>
      <c r="MBT607" s="222"/>
      <c r="MBU607" s="222"/>
      <c r="MBV607" s="222"/>
      <c r="MBW607" s="223"/>
      <c r="MBX607" s="224"/>
      <c r="MBY607" s="222"/>
      <c r="MBZ607" s="222"/>
      <c r="MCA607" s="222"/>
      <c r="MCB607" s="222"/>
      <c r="MCC607" s="222"/>
      <c r="MCD607" s="222"/>
      <c r="MCE607" s="223"/>
      <c r="MCF607" s="224"/>
      <c r="MCG607" s="222"/>
      <c r="MCH607" s="222"/>
      <c r="MCI607" s="222"/>
      <c r="MCJ607" s="222"/>
      <c r="MCK607" s="222"/>
      <c r="MCL607" s="222"/>
      <c r="MCM607" s="223"/>
      <c r="MCN607" s="224"/>
      <c r="MCO607" s="222"/>
      <c r="MCP607" s="222"/>
      <c r="MCQ607" s="222"/>
      <c r="MCR607" s="222"/>
      <c r="MCS607" s="222"/>
      <c r="MCT607" s="222"/>
      <c r="MCU607" s="223"/>
      <c r="MCV607" s="224"/>
      <c r="MCW607" s="222"/>
      <c r="MCX607" s="222"/>
      <c r="MCY607" s="222"/>
      <c r="MCZ607" s="222"/>
      <c r="MDA607" s="222"/>
      <c r="MDB607" s="222"/>
      <c r="MDC607" s="223"/>
      <c r="MDD607" s="224"/>
      <c r="MDE607" s="222"/>
      <c r="MDF607" s="222"/>
      <c r="MDG607" s="222"/>
      <c r="MDH607" s="222"/>
      <c r="MDI607" s="222"/>
      <c r="MDJ607" s="222"/>
      <c r="MDK607" s="223"/>
      <c r="MDL607" s="224"/>
      <c r="MDM607" s="222"/>
      <c r="MDN607" s="222"/>
      <c r="MDO607" s="222"/>
      <c r="MDP607" s="222"/>
      <c r="MDQ607" s="222"/>
      <c r="MDR607" s="222"/>
      <c r="MDS607" s="223"/>
      <c r="MDT607" s="224"/>
      <c r="MDU607" s="222"/>
      <c r="MDV607" s="222"/>
      <c r="MDW607" s="222"/>
      <c r="MDX607" s="222"/>
      <c r="MDY607" s="222"/>
      <c r="MDZ607" s="222"/>
      <c r="MEA607" s="223"/>
      <c r="MEB607" s="224"/>
      <c r="MEC607" s="222"/>
      <c r="MED607" s="222"/>
      <c r="MEE607" s="222"/>
      <c r="MEF607" s="222"/>
      <c r="MEG607" s="222"/>
      <c r="MEH607" s="222"/>
      <c r="MEI607" s="223"/>
      <c r="MEJ607" s="224"/>
      <c r="MEK607" s="222"/>
      <c r="MEL607" s="222"/>
      <c r="MEM607" s="222"/>
      <c r="MEN607" s="222"/>
      <c r="MEO607" s="222"/>
      <c r="MEP607" s="222"/>
      <c r="MEQ607" s="223"/>
      <c r="MER607" s="224"/>
      <c r="MES607" s="222"/>
      <c r="MET607" s="222"/>
      <c r="MEU607" s="222"/>
      <c r="MEV607" s="222"/>
      <c r="MEW607" s="222"/>
      <c r="MEX607" s="222"/>
      <c r="MEY607" s="223"/>
      <c r="MEZ607" s="224"/>
      <c r="MFA607" s="222"/>
      <c r="MFB607" s="222"/>
      <c r="MFC607" s="222"/>
      <c r="MFD607" s="222"/>
      <c r="MFE607" s="222"/>
      <c r="MFF607" s="222"/>
      <c r="MFG607" s="223"/>
      <c r="MFH607" s="224"/>
      <c r="MFI607" s="222"/>
      <c r="MFJ607" s="222"/>
      <c r="MFK607" s="222"/>
      <c r="MFL607" s="222"/>
      <c r="MFM607" s="222"/>
      <c r="MFN607" s="222"/>
      <c r="MFO607" s="223"/>
      <c r="MFP607" s="224"/>
      <c r="MFQ607" s="222"/>
      <c r="MFR607" s="222"/>
      <c r="MFS607" s="222"/>
      <c r="MFT607" s="222"/>
      <c r="MFU607" s="222"/>
      <c r="MFV607" s="222"/>
      <c r="MFW607" s="223"/>
      <c r="MFX607" s="224"/>
      <c r="MFY607" s="222"/>
      <c r="MFZ607" s="222"/>
      <c r="MGA607" s="222"/>
      <c r="MGB607" s="222"/>
      <c r="MGC607" s="222"/>
      <c r="MGD607" s="222"/>
      <c r="MGE607" s="223"/>
      <c r="MGF607" s="224"/>
      <c r="MGG607" s="222"/>
      <c r="MGH607" s="222"/>
      <c r="MGI607" s="222"/>
      <c r="MGJ607" s="222"/>
      <c r="MGK607" s="222"/>
      <c r="MGL607" s="222"/>
      <c r="MGM607" s="223"/>
      <c r="MGN607" s="224"/>
      <c r="MGO607" s="222"/>
      <c r="MGP607" s="222"/>
      <c r="MGQ607" s="222"/>
      <c r="MGR607" s="222"/>
      <c r="MGS607" s="222"/>
      <c r="MGT607" s="222"/>
      <c r="MGU607" s="223"/>
      <c r="MGV607" s="224"/>
      <c r="MGW607" s="222"/>
      <c r="MGX607" s="222"/>
      <c r="MGY607" s="222"/>
      <c r="MGZ607" s="222"/>
      <c r="MHA607" s="222"/>
      <c r="MHB607" s="222"/>
      <c r="MHC607" s="223"/>
      <c r="MHD607" s="224"/>
      <c r="MHE607" s="222"/>
      <c r="MHF607" s="222"/>
      <c r="MHG607" s="222"/>
      <c r="MHH607" s="222"/>
      <c r="MHI607" s="222"/>
      <c r="MHJ607" s="222"/>
      <c r="MHK607" s="223"/>
      <c r="MHL607" s="224"/>
      <c r="MHM607" s="222"/>
      <c r="MHN607" s="222"/>
      <c r="MHO607" s="222"/>
      <c r="MHP607" s="222"/>
      <c r="MHQ607" s="222"/>
      <c r="MHR607" s="222"/>
      <c r="MHS607" s="223"/>
      <c r="MHT607" s="224"/>
      <c r="MHU607" s="222"/>
      <c r="MHV607" s="222"/>
      <c r="MHW607" s="222"/>
      <c r="MHX607" s="222"/>
      <c r="MHY607" s="222"/>
      <c r="MHZ607" s="222"/>
      <c r="MIA607" s="223"/>
      <c r="MIB607" s="224"/>
      <c r="MIC607" s="222"/>
      <c r="MID607" s="222"/>
      <c r="MIE607" s="222"/>
      <c r="MIF607" s="222"/>
      <c r="MIG607" s="222"/>
      <c r="MIH607" s="222"/>
      <c r="MII607" s="223"/>
      <c r="MIJ607" s="224"/>
      <c r="MIK607" s="222"/>
      <c r="MIL607" s="222"/>
      <c r="MIM607" s="222"/>
      <c r="MIN607" s="222"/>
      <c r="MIO607" s="222"/>
      <c r="MIP607" s="222"/>
      <c r="MIQ607" s="223"/>
      <c r="MIR607" s="224"/>
      <c r="MIS607" s="222"/>
      <c r="MIT607" s="222"/>
      <c r="MIU607" s="222"/>
      <c r="MIV607" s="222"/>
      <c r="MIW607" s="222"/>
      <c r="MIX607" s="222"/>
      <c r="MIY607" s="223"/>
      <c r="MIZ607" s="224"/>
      <c r="MJA607" s="222"/>
      <c r="MJB607" s="222"/>
      <c r="MJC607" s="222"/>
      <c r="MJD607" s="222"/>
      <c r="MJE607" s="222"/>
      <c r="MJF607" s="222"/>
      <c r="MJG607" s="223"/>
      <c r="MJH607" s="224"/>
      <c r="MJI607" s="222"/>
      <c r="MJJ607" s="222"/>
      <c r="MJK607" s="222"/>
      <c r="MJL607" s="222"/>
      <c r="MJM607" s="222"/>
      <c r="MJN607" s="222"/>
      <c r="MJO607" s="223"/>
      <c r="MJP607" s="224"/>
      <c r="MJQ607" s="222"/>
      <c r="MJR607" s="222"/>
      <c r="MJS607" s="222"/>
      <c r="MJT607" s="222"/>
      <c r="MJU607" s="222"/>
      <c r="MJV607" s="222"/>
      <c r="MJW607" s="223"/>
      <c r="MJX607" s="224"/>
      <c r="MJY607" s="222"/>
      <c r="MJZ607" s="222"/>
      <c r="MKA607" s="222"/>
      <c r="MKB607" s="222"/>
      <c r="MKC607" s="222"/>
      <c r="MKD607" s="222"/>
      <c r="MKE607" s="223"/>
      <c r="MKF607" s="224"/>
      <c r="MKG607" s="222"/>
      <c r="MKH607" s="222"/>
      <c r="MKI607" s="222"/>
      <c r="MKJ607" s="222"/>
      <c r="MKK607" s="222"/>
      <c r="MKL607" s="222"/>
      <c r="MKM607" s="223"/>
      <c r="MKN607" s="224"/>
      <c r="MKO607" s="222"/>
      <c r="MKP607" s="222"/>
      <c r="MKQ607" s="222"/>
      <c r="MKR607" s="222"/>
      <c r="MKS607" s="222"/>
      <c r="MKT607" s="222"/>
      <c r="MKU607" s="223"/>
      <c r="MKV607" s="224"/>
      <c r="MKW607" s="222"/>
      <c r="MKX607" s="222"/>
      <c r="MKY607" s="222"/>
      <c r="MKZ607" s="222"/>
      <c r="MLA607" s="222"/>
      <c r="MLB607" s="222"/>
      <c r="MLC607" s="223"/>
      <c r="MLD607" s="224"/>
      <c r="MLE607" s="222"/>
      <c r="MLF607" s="222"/>
      <c r="MLG607" s="222"/>
      <c r="MLH607" s="222"/>
      <c r="MLI607" s="222"/>
      <c r="MLJ607" s="222"/>
      <c r="MLK607" s="223"/>
      <c r="MLL607" s="224"/>
      <c r="MLM607" s="222"/>
      <c r="MLN607" s="222"/>
      <c r="MLO607" s="222"/>
      <c r="MLP607" s="222"/>
      <c r="MLQ607" s="222"/>
      <c r="MLR607" s="222"/>
      <c r="MLS607" s="223"/>
      <c r="MLT607" s="224"/>
      <c r="MLU607" s="222"/>
      <c r="MLV607" s="222"/>
      <c r="MLW607" s="222"/>
      <c r="MLX607" s="222"/>
      <c r="MLY607" s="222"/>
      <c r="MLZ607" s="222"/>
      <c r="MMA607" s="223"/>
      <c r="MMB607" s="224"/>
      <c r="MMC607" s="222"/>
      <c r="MMD607" s="222"/>
      <c r="MME607" s="222"/>
      <c r="MMF607" s="222"/>
      <c r="MMG607" s="222"/>
      <c r="MMH607" s="222"/>
      <c r="MMI607" s="223"/>
      <c r="MMJ607" s="224"/>
      <c r="MMK607" s="222"/>
      <c r="MML607" s="222"/>
      <c r="MMM607" s="222"/>
      <c r="MMN607" s="222"/>
      <c r="MMO607" s="222"/>
      <c r="MMP607" s="222"/>
      <c r="MMQ607" s="223"/>
      <c r="MMR607" s="224"/>
      <c r="MMS607" s="222"/>
      <c r="MMT607" s="222"/>
      <c r="MMU607" s="222"/>
      <c r="MMV607" s="222"/>
      <c r="MMW607" s="222"/>
      <c r="MMX607" s="222"/>
      <c r="MMY607" s="223"/>
      <c r="MMZ607" s="224"/>
      <c r="MNA607" s="222"/>
      <c r="MNB607" s="222"/>
      <c r="MNC607" s="222"/>
      <c r="MND607" s="222"/>
      <c r="MNE607" s="222"/>
      <c r="MNF607" s="222"/>
      <c r="MNG607" s="223"/>
      <c r="MNH607" s="224"/>
      <c r="MNI607" s="222"/>
      <c r="MNJ607" s="222"/>
      <c r="MNK607" s="222"/>
      <c r="MNL607" s="222"/>
      <c r="MNM607" s="222"/>
      <c r="MNN607" s="222"/>
      <c r="MNO607" s="223"/>
      <c r="MNP607" s="224"/>
      <c r="MNQ607" s="222"/>
      <c r="MNR607" s="222"/>
      <c r="MNS607" s="222"/>
      <c r="MNT607" s="222"/>
      <c r="MNU607" s="222"/>
      <c r="MNV607" s="222"/>
      <c r="MNW607" s="223"/>
      <c r="MNX607" s="224"/>
      <c r="MNY607" s="222"/>
      <c r="MNZ607" s="222"/>
      <c r="MOA607" s="222"/>
      <c r="MOB607" s="222"/>
      <c r="MOC607" s="222"/>
      <c r="MOD607" s="222"/>
      <c r="MOE607" s="223"/>
      <c r="MOF607" s="224"/>
      <c r="MOG607" s="222"/>
      <c r="MOH607" s="222"/>
      <c r="MOI607" s="222"/>
      <c r="MOJ607" s="222"/>
      <c r="MOK607" s="222"/>
      <c r="MOL607" s="222"/>
      <c r="MOM607" s="223"/>
      <c r="MON607" s="224"/>
      <c r="MOO607" s="222"/>
      <c r="MOP607" s="222"/>
      <c r="MOQ607" s="222"/>
      <c r="MOR607" s="222"/>
      <c r="MOS607" s="222"/>
      <c r="MOT607" s="222"/>
      <c r="MOU607" s="223"/>
      <c r="MOV607" s="224"/>
      <c r="MOW607" s="222"/>
      <c r="MOX607" s="222"/>
      <c r="MOY607" s="222"/>
      <c r="MOZ607" s="222"/>
      <c r="MPA607" s="222"/>
      <c r="MPB607" s="222"/>
      <c r="MPC607" s="223"/>
      <c r="MPD607" s="224"/>
      <c r="MPE607" s="222"/>
      <c r="MPF607" s="222"/>
      <c r="MPG607" s="222"/>
      <c r="MPH607" s="222"/>
      <c r="MPI607" s="222"/>
      <c r="MPJ607" s="222"/>
      <c r="MPK607" s="223"/>
      <c r="MPL607" s="224"/>
      <c r="MPM607" s="222"/>
      <c r="MPN607" s="222"/>
      <c r="MPO607" s="222"/>
      <c r="MPP607" s="222"/>
      <c r="MPQ607" s="222"/>
      <c r="MPR607" s="222"/>
      <c r="MPS607" s="223"/>
      <c r="MPT607" s="224"/>
      <c r="MPU607" s="222"/>
      <c r="MPV607" s="222"/>
      <c r="MPW607" s="222"/>
      <c r="MPX607" s="222"/>
      <c r="MPY607" s="222"/>
      <c r="MPZ607" s="222"/>
      <c r="MQA607" s="223"/>
      <c r="MQB607" s="224"/>
      <c r="MQC607" s="222"/>
      <c r="MQD607" s="222"/>
      <c r="MQE607" s="222"/>
      <c r="MQF607" s="222"/>
      <c r="MQG607" s="222"/>
      <c r="MQH607" s="222"/>
      <c r="MQI607" s="223"/>
      <c r="MQJ607" s="224"/>
      <c r="MQK607" s="222"/>
      <c r="MQL607" s="222"/>
      <c r="MQM607" s="222"/>
      <c r="MQN607" s="222"/>
      <c r="MQO607" s="222"/>
      <c r="MQP607" s="222"/>
      <c r="MQQ607" s="223"/>
      <c r="MQR607" s="224"/>
      <c r="MQS607" s="222"/>
      <c r="MQT607" s="222"/>
      <c r="MQU607" s="222"/>
      <c r="MQV607" s="222"/>
      <c r="MQW607" s="222"/>
      <c r="MQX607" s="222"/>
      <c r="MQY607" s="223"/>
      <c r="MQZ607" s="224"/>
      <c r="MRA607" s="222"/>
      <c r="MRB607" s="222"/>
      <c r="MRC607" s="222"/>
      <c r="MRD607" s="222"/>
      <c r="MRE607" s="222"/>
      <c r="MRF607" s="222"/>
      <c r="MRG607" s="223"/>
      <c r="MRH607" s="224"/>
      <c r="MRI607" s="222"/>
      <c r="MRJ607" s="222"/>
      <c r="MRK607" s="222"/>
      <c r="MRL607" s="222"/>
      <c r="MRM607" s="222"/>
      <c r="MRN607" s="222"/>
      <c r="MRO607" s="223"/>
      <c r="MRP607" s="224"/>
      <c r="MRQ607" s="222"/>
      <c r="MRR607" s="222"/>
      <c r="MRS607" s="222"/>
      <c r="MRT607" s="222"/>
      <c r="MRU607" s="222"/>
      <c r="MRV607" s="222"/>
      <c r="MRW607" s="223"/>
      <c r="MRX607" s="224"/>
      <c r="MRY607" s="222"/>
      <c r="MRZ607" s="222"/>
      <c r="MSA607" s="222"/>
      <c r="MSB607" s="222"/>
      <c r="MSC607" s="222"/>
      <c r="MSD607" s="222"/>
      <c r="MSE607" s="223"/>
      <c r="MSF607" s="224"/>
      <c r="MSG607" s="222"/>
      <c r="MSH607" s="222"/>
      <c r="MSI607" s="222"/>
      <c r="MSJ607" s="222"/>
      <c r="MSK607" s="222"/>
      <c r="MSL607" s="222"/>
      <c r="MSM607" s="223"/>
      <c r="MSN607" s="224"/>
      <c r="MSO607" s="222"/>
      <c r="MSP607" s="222"/>
      <c r="MSQ607" s="222"/>
      <c r="MSR607" s="222"/>
      <c r="MSS607" s="222"/>
      <c r="MST607" s="222"/>
      <c r="MSU607" s="223"/>
      <c r="MSV607" s="224"/>
      <c r="MSW607" s="222"/>
      <c r="MSX607" s="222"/>
      <c r="MSY607" s="222"/>
      <c r="MSZ607" s="222"/>
      <c r="MTA607" s="222"/>
      <c r="MTB607" s="222"/>
      <c r="MTC607" s="223"/>
      <c r="MTD607" s="224"/>
      <c r="MTE607" s="222"/>
      <c r="MTF607" s="222"/>
      <c r="MTG607" s="222"/>
      <c r="MTH607" s="222"/>
      <c r="MTI607" s="222"/>
      <c r="MTJ607" s="222"/>
      <c r="MTK607" s="223"/>
      <c r="MTL607" s="224"/>
      <c r="MTM607" s="222"/>
      <c r="MTN607" s="222"/>
      <c r="MTO607" s="222"/>
      <c r="MTP607" s="222"/>
      <c r="MTQ607" s="222"/>
      <c r="MTR607" s="222"/>
      <c r="MTS607" s="223"/>
      <c r="MTT607" s="224"/>
      <c r="MTU607" s="222"/>
      <c r="MTV607" s="222"/>
      <c r="MTW607" s="222"/>
      <c r="MTX607" s="222"/>
      <c r="MTY607" s="222"/>
      <c r="MTZ607" s="222"/>
      <c r="MUA607" s="223"/>
      <c r="MUB607" s="224"/>
      <c r="MUC607" s="222"/>
      <c r="MUD607" s="222"/>
      <c r="MUE607" s="222"/>
      <c r="MUF607" s="222"/>
      <c r="MUG607" s="222"/>
      <c r="MUH607" s="222"/>
      <c r="MUI607" s="223"/>
      <c r="MUJ607" s="224"/>
      <c r="MUK607" s="222"/>
      <c r="MUL607" s="222"/>
      <c r="MUM607" s="222"/>
      <c r="MUN607" s="222"/>
      <c r="MUO607" s="222"/>
      <c r="MUP607" s="222"/>
      <c r="MUQ607" s="223"/>
      <c r="MUR607" s="224"/>
      <c r="MUS607" s="222"/>
      <c r="MUT607" s="222"/>
      <c r="MUU607" s="222"/>
      <c r="MUV607" s="222"/>
      <c r="MUW607" s="222"/>
      <c r="MUX607" s="222"/>
      <c r="MUY607" s="223"/>
      <c r="MUZ607" s="224"/>
      <c r="MVA607" s="222"/>
      <c r="MVB607" s="222"/>
      <c r="MVC607" s="222"/>
      <c r="MVD607" s="222"/>
      <c r="MVE607" s="222"/>
      <c r="MVF607" s="222"/>
      <c r="MVG607" s="223"/>
      <c r="MVH607" s="224"/>
      <c r="MVI607" s="222"/>
      <c r="MVJ607" s="222"/>
      <c r="MVK607" s="222"/>
      <c r="MVL607" s="222"/>
      <c r="MVM607" s="222"/>
      <c r="MVN607" s="222"/>
      <c r="MVO607" s="223"/>
      <c r="MVP607" s="224"/>
      <c r="MVQ607" s="222"/>
      <c r="MVR607" s="222"/>
      <c r="MVS607" s="222"/>
      <c r="MVT607" s="222"/>
      <c r="MVU607" s="222"/>
      <c r="MVV607" s="222"/>
      <c r="MVW607" s="223"/>
      <c r="MVX607" s="224"/>
      <c r="MVY607" s="222"/>
      <c r="MVZ607" s="222"/>
      <c r="MWA607" s="222"/>
      <c r="MWB607" s="222"/>
      <c r="MWC607" s="222"/>
      <c r="MWD607" s="222"/>
      <c r="MWE607" s="223"/>
      <c r="MWF607" s="224"/>
      <c r="MWG607" s="222"/>
      <c r="MWH607" s="222"/>
      <c r="MWI607" s="222"/>
      <c r="MWJ607" s="222"/>
      <c r="MWK607" s="222"/>
      <c r="MWL607" s="222"/>
      <c r="MWM607" s="223"/>
      <c r="MWN607" s="224"/>
      <c r="MWO607" s="222"/>
      <c r="MWP607" s="222"/>
      <c r="MWQ607" s="222"/>
      <c r="MWR607" s="222"/>
      <c r="MWS607" s="222"/>
      <c r="MWT607" s="222"/>
      <c r="MWU607" s="223"/>
      <c r="MWV607" s="224"/>
      <c r="MWW607" s="222"/>
      <c r="MWX607" s="222"/>
      <c r="MWY607" s="222"/>
      <c r="MWZ607" s="222"/>
      <c r="MXA607" s="222"/>
      <c r="MXB607" s="222"/>
      <c r="MXC607" s="223"/>
      <c r="MXD607" s="224"/>
      <c r="MXE607" s="222"/>
      <c r="MXF607" s="222"/>
      <c r="MXG607" s="222"/>
      <c r="MXH607" s="222"/>
      <c r="MXI607" s="222"/>
      <c r="MXJ607" s="222"/>
      <c r="MXK607" s="223"/>
      <c r="MXL607" s="224"/>
      <c r="MXM607" s="222"/>
      <c r="MXN607" s="222"/>
      <c r="MXO607" s="222"/>
      <c r="MXP607" s="222"/>
      <c r="MXQ607" s="222"/>
      <c r="MXR607" s="222"/>
      <c r="MXS607" s="223"/>
      <c r="MXT607" s="224"/>
      <c r="MXU607" s="222"/>
      <c r="MXV607" s="222"/>
      <c r="MXW607" s="222"/>
      <c r="MXX607" s="222"/>
      <c r="MXY607" s="222"/>
      <c r="MXZ607" s="222"/>
      <c r="MYA607" s="223"/>
      <c r="MYB607" s="224"/>
      <c r="MYC607" s="222"/>
      <c r="MYD607" s="222"/>
      <c r="MYE607" s="222"/>
      <c r="MYF607" s="222"/>
      <c r="MYG607" s="222"/>
      <c r="MYH607" s="222"/>
      <c r="MYI607" s="223"/>
      <c r="MYJ607" s="224"/>
      <c r="MYK607" s="222"/>
      <c r="MYL607" s="222"/>
      <c r="MYM607" s="222"/>
      <c r="MYN607" s="222"/>
      <c r="MYO607" s="222"/>
      <c r="MYP607" s="222"/>
      <c r="MYQ607" s="223"/>
      <c r="MYR607" s="224"/>
      <c r="MYS607" s="222"/>
      <c r="MYT607" s="222"/>
      <c r="MYU607" s="222"/>
      <c r="MYV607" s="222"/>
      <c r="MYW607" s="222"/>
      <c r="MYX607" s="222"/>
      <c r="MYY607" s="223"/>
      <c r="MYZ607" s="224"/>
      <c r="MZA607" s="222"/>
      <c r="MZB607" s="222"/>
      <c r="MZC607" s="222"/>
      <c r="MZD607" s="222"/>
      <c r="MZE607" s="222"/>
      <c r="MZF607" s="222"/>
      <c r="MZG607" s="223"/>
      <c r="MZH607" s="224"/>
      <c r="MZI607" s="222"/>
      <c r="MZJ607" s="222"/>
      <c r="MZK607" s="222"/>
      <c r="MZL607" s="222"/>
      <c r="MZM607" s="222"/>
      <c r="MZN607" s="222"/>
      <c r="MZO607" s="223"/>
      <c r="MZP607" s="224"/>
      <c r="MZQ607" s="222"/>
      <c r="MZR607" s="222"/>
      <c r="MZS607" s="222"/>
      <c r="MZT607" s="222"/>
      <c r="MZU607" s="222"/>
      <c r="MZV607" s="222"/>
      <c r="MZW607" s="223"/>
      <c r="MZX607" s="224"/>
      <c r="MZY607" s="222"/>
      <c r="MZZ607" s="222"/>
      <c r="NAA607" s="222"/>
      <c r="NAB607" s="222"/>
      <c r="NAC607" s="222"/>
      <c r="NAD607" s="222"/>
      <c r="NAE607" s="223"/>
      <c r="NAF607" s="224"/>
      <c r="NAG607" s="222"/>
      <c r="NAH607" s="222"/>
      <c r="NAI607" s="222"/>
      <c r="NAJ607" s="222"/>
      <c r="NAK607" s="222"/>
      <c r="NAL607" s="222"/>
      <c r="NAM607" s="223"/>
      <c r="NAN607" s="224"/>
      <c r="NAO607" s="222"/>
      <c r="NAP607" s="222"/>
      <c r="NAQ607" s="222"/>
      <c r="NAR607" s="222"/>
      <c r="NAS607" s="222"/>
      <c r="NAT607" s="222"/>
      <c r="NAU607" s="223"/>
      <c r="NAV607" s="224"/>
      <c r="NAW607" s="222"/>
      <c r="NAX607" s="222"/>
      <c r="NAY607" s="222"/>
      <c r="NAZ607" s="222"/>
      <c r="NBA607" s="222"/>
      <c r="NBB607" s="222"/>
      <c r="NBC607" s="223"/>
      <c r="NBD607" s="224"/>
      <c r="NBE607" s="222"/>
      <c r="NBF607" s="222"/>
      <c r="NBG607" s="222"/>
      <c r="NBH607" s="222"/>
      <c r="NBI607" s="222"/>
      <c r="NBJ607" s="222"/>
      <c r="NBK607" s="223"/>
      <c r="NBL607" s="224"/>
      <c r="NBM607" s="222"/>
      <c r="NBN607" s="222"/>
      <c r="NBO607" s="222"/>
      <c r="NBP607" s="222"/>
      <c r="NBQ607" s="222"/>
      <c r="NBR607" s="222"/>
      <c r="NBS607" s="223"/>
      <c r="NBT607" s="224"/>
      <c r="NBU607" s="222"/>
      <c r="NBV607" s="222"/>
      <c r="NBW607" s="222"/>
      <c r="NBX607" s="222"/>
      <c r="NBY607" s="222"/>
      <c r="NBZ607" s="222"/>
      <c r="NCA607" s="223"/>
      <c r="NCB607" s="224"/>
      <c r="NCC607" s="222"/>
      <c r="NCD607" s="222"/>
      <c r="NCE607" s="222"/>
      <c r="NCF607" s="222"/>
      <c r="NCG607" s="222"/>
      <c r="NCH607" s="222"/>
      <c r="NCI607" s="223"/>
      <c r="NCJ607" s="224"/>
      <c r="NCK607" s="222"/>
      <c r="NCL607" s="222"/>
      <c r="NCM607" s="222"/>
      <c r="NCN607" s="222"/>
      <c r="NCO607" s="222"/>
      <c r="NCP607" s="222"/>
      <c r="NCQ607" s="223"/>
      <c r="NCR607" s="224"/>
      <c r="NCS607" s="222"/>
      <c r="NCT607" s="222"/>
      <c r="NCU607" s="222"/>
      <c r="NCV607" s="222"/>
      <c r="NCW607" s="222"/>
      <c r="NCX607" s="222"/>
      <c r="NCY607" s="223"/>
      <c r="NCZ607" s="224"/>
      <c r="NDA607" s="222"/>
      <c r="NDB607" s="222"/>
      <c r="NDC607" s="222"/>
      <c r="NDD607" s="222"/>
      <c r="NDE607" s="222"/>
      <c r="NDF607" s="222"/>
      <c r="NDG607" s="223"/>
      <c r="NDH607" s="224"/>
      <c r="NDI607" s="222"/>
      <c r="NDJ607" s="222"/>
      <c r="NDK607" s="222"/>
      <c r="NDL607" s="222"/>
      <c r="NDM607" s="222"/>
      <c r="NDN607" s="222"/>
      <c r="NDO607" s="223"/>
      <c r="NDP607" s="224"/>
      <c r="NDQ607" s="222"/>
      <c r="NDR607" s="222"/>
      <c r="NDS607" s="222"/>
      <c r="NDT607" s="222"/>
      <c r="NDU607" s="222"/>
      <c r="NDV607" s="222"/>
      <c r="NDW607" s="223"/>
      <c r="NDX607" s="224"/>
      <c r="NDY607" s="222"/>
      <c r="NDZ607" s="222"/>
      <c r="NEA607" s="222"/>
      <c r="NEB607" s="222"/>
      <c r="NEC607" s="222"/>
      <c r="NED607" s="222"/>
      <c r="NEE607" s="223"/>
      <c r="NEF607" s="224"/>
      <c r="NEG607" s="222"/>
      <c r="NEH607" s="222"/>
      <c r="NEI607" s="222"/>
      <c r="NEJ607" s="222"/>
      <c r="NEK607" s="222"/>
      <c r="NEL607" s="222"/>
      <c r="NEM607" s="223"/>
      <c r="NEN607" s="224"/>
      <c r="NEO607" s="222"/>
      <c r="NEP607" s="222"/>
      <c r="NEQ607" s="222"/>
      <c r="NER607" s="222"/>
      <c r="NES607" s="222"/>
      <c r="NET607" s="222"/>
      <c r="NEU607" s="223"/>
      <c r="NEV607" s="224"/>
      <c r="NEW607" s="222"/>
      <c r="NEX607" s="222"/>
      <c r="NEY607" s="222"/>
      <c r="NEZ607" s="222"/>
      <c r="NFA607" s="222"/>
      <c r="NFB607" s="222"/>
      <c r="NFC607" s="223"/>
      <c r="NFD607" s="224"/>
      <c r="NFE607" s="222"/>
      <c r="NFF607" s="222"/>
      <c r="NFG607" s="222"/>
      <c r="NFH607" s="222"/>
      <c r="NFI607" s="222"/>
      <c r="NFJ607" s="222"/>
      <c r="NFK607" s="223"/>
      <c r="NFL607" s="224"/>
      <c r="NFM607" s="222"/>
      <c r="NFN607" s="222"/>
      <c r="NFO607" s="222"/>
      <c r="NFP607" s="222"/>
      <c r="NFQ607" s="222"/>
      <c r="NFR607" s="222"/>
      <c r="NFS607" s="223"/>
      <c r="NFT607" s="224"/>
      <c r="NFU607" s="222"/>
      <c r="NFV607" s="222"/>
      <c r="NFW607" s="222"/>
      <c r="NFX607" s="222"/>
      <c r="NFY607" s="222"/>
      <c r="NFZ607" s="222"/>
      <c r="NGA607" s="223"/>
      <c r="NGB607" s="224"/>
      <c r="NGC607" s="222"/>
      <c r="NGD607" s="222"/>
      <c r="NGE607" s="222"/>
      <c r="NGF607" s="222"/>
      <c r="NGG607" s="222"/>
      <c r="NGH607" s="222"/>
      <c r="NGI607" s="223"/>
      <c r="NGJ607" s="224"/>
      <c r="NGK607" s="222"/>
      <c r="NGL607" s="222"/>
      <c r="NGM607" s="222"/>
      <c r="NGN607" s="222"/>
      <c r="NGO607" s="222"/>
      <c r="NGP607" s="222"/>
      <c r="NGQ607" s="223"/>
      <c r="NGR607" s="224"/>
      <c r="NGS607" s="222"/>
      <c r="NGT607" s="222"/>
      <c r="NGU607" s="222"/>
      <c r="NGV607" s="222"/>
      <c r="NGW607" s="222"/>
      <c r="NGX607" s="222"/>
      <c r="NGY607" s="223"/>
      <c r="NGZ607" s="224"/>
      <c r="NHA607" s="222"/>
      <c r="NHB607" s="222"/>
      <c r="NHC607" s="222"/>
      <c r="NHD607" s="222"/>
      <c r="NHE607" s="222"/>
      <c r="NHF607" s="222"/>
      <c r="NHG607" s="223"/>
      <c r="NHH607" s="224"/>
      <c r="NHI607" s="222"/>
      <c r="NHJ607" s="222"/>
      <c r="NHK607" s="222"/>
      <c r="NHL607" s="222"/>
      <c r="NHM607" s="222"/>
      <c r="NHN607" s="222"/>
      <c r="NHO607" s="223"/>
      <c r="NHP607" s="224"/>
      <c r="NHQ607" s="222"/>
      <c r="NHR607" s="222"/>
      <c r="NHS607" s="222"/>
      <c r="NHT607" s="222"/>
      <c r="NHU607" s="222"/>
      <c r="NHV607" s="222"/>
      <c r="NHW607" s="223"/>
      <c r="NHX607" s="224"/>
      <c r="NHY607" s="222"/>
      <c r="NHZ607" s="222"/>
      <c r="NIA607" s="222"/>
      <c r="NIB607" s="222"/>
      <c r="NIC607" s="222"/>
      <c r="NID607" s="222"/>
      <c r="NIE607" s="223"/>
      <c r="NIF607" s="224"/>
      <c r="NIG607" s="222"/>
      <c r="NIH607" s="222"/>
      <c r="NII607" s="222"/>
      <c r="NIJ607" s="222"/>
      <c r="NIK607" s="222"/>
      <c r="NIL607" s="222"/>
      <c r="NIM607" s="223"/>
      <c r="NIN607" s="224"/>
      <c r="NIO607" s="222"/>
      <c r="NIP607" s="222"/>
      <c r="NIQ607" s="222"/>
      <c r="NIR607" s="222"/>
      <c r="NIS607" s="222"/>
      <c r="NIT607" s="222"/>
      <c r="NIU607" s="223"/>
      <c r="NIV607" s="224"/>
      <c r="NIW607" s="222"/>
      <c r="NIX607" s="222"/>
      <c r="NIY607" s="222"/>
      <c r="NIZ607" s="222"/>
      <c r="NJA607" s="222"/>
      <c r="NJB607" s="222"/>
      <c r="NJC607" s="223"/>
      <c r="NJD607" s="224"/>
      <c r="NJE607" s="222"/>
      <c r="NJF607" s="222"/>
      <c r="NJG607" s="222"/>
      <c r="NJH607" s="222"/>
      <c r="NJI607" s="222"/>
      <c r="NJJ607" s="222"/>
      <c r="NJK607" s="223"/>
      <c r="NJL607" s="224"/>
      <c r="NJM607" s="222"/>
      <c r="NJN607" s="222"/>
      <c r="NJO607" s="222"/>
      <c r="NJP607" s="222"/>
      <c r="NJQ607" s="222"/>
      <c r="NJR607" s="222"/>
      <c r="NJS607" s="223"/>
      <c r="NJT607" s="224"/>
      <c r="NJU607" s="222"/>
      <c r="NJV607" s="222"/>
      <c r="NJW607" s="222"/>
      <c r="NJX607" s="222"/>
      <c r="NJY607" s="222"/>
      <c r="NJZ607" s="222"/>
      <c r="NKA607" s="223"/>
      <c r="NKB607" s="224"/>
      <c r="NKC607" s="222"/>
      <c r="NKD607" s="222"/>
      <c r="NKE607" s="222"/>
      <c r="NKF607" s="222"/>
      <c r="NKG607" s="222"/>
      <c r="NKH607" s="222"/>
      <c r="NKI607" s="223"/>
      <c r="NKJ607" s="224"/>
      <c r="NKK607" s="222"/>
      <c r="NKL607" s="222"/>
      <c r="NKM607" s="222"/>
      <c r="NKN607" s="222"/>
      <c r="NKO607" s="222"/>
      <c r="NKP607" s="222"/>
      <c r="NKQ607" s="223"/>
      <c r="NKR607" s="224"/>
      <c r="NKS607" s="222"/>
      <c r="NKT607" s="222"/>
      <c r="NKU607" s="222"/>
      <c r="NKV607" s="222"/>
      <c r="NKW607" s="222"/>
      <c r="NKX607" s="222"/>
      <c r="NKY607" s="223"/>
      <c r="NKZ607" s="224"/>
      <c r="NLA607" s="222"/>
      <c r="NLB607" s="222"/>
      <c r="NLC607" s="222"/>
      <c r="NLD607" s="222"/>
      <c r="NLE607" s="222"/>
      <c r="NLF607" s="222"/>
      <c r="NLG607" s="223"/>
      <c r="NLH607" s="224"/>
      <c r="NLI607" s="222"/>
      <c r="NLJ607" s="222"/>
      <c r="NLK607" s="222"/>
      <c r="NLL607" s="222"/>
      <c r="NLM607" s="222"/>
      <c r="NLN607" s="222"/>
      <c r="NLO607" s="223"/>
      <c r="NLP607" s="224"/>
      <c r="NLQ607" s="222"/>
      <c r="NLR607" s="222"/>
      <c r="NLS607" s="222"/>
      <c r="NLT607" s="222"/>
      <c r="NLU607" s="222"/>
      <c r="NLV607" s="222"/>
      <c r="NLW607" s="223"/>
      <c r="NLX607" s="224"/>
      <c r="NLY607" s="222"/>
      <c r="NLZ607" s="222"/>
      <c r="NMA607" s="222"/>
      <c r="NMB607" s="222"/>
      <c r="NMC607" s="222"/>
      <c r="NMD607" s="222"/>
      <c r="NME607" s="223"/>
      <c r="NMF607" s="224"/>
      <c r="NMG607" s="222"/>
      <c r="NMH607" s="222"/>
      <c r="NMI607" s="222"/>
      <c r="NMJ607" s="222"/>
      <c r="NMK607" s="222"/>
      <c r="NML607" s="222"/>
      <c r="NMM607" s="223"/>
      <c r="NMN607" s="224"/>
      <c r="NMO607" s="222"/>
      <c r="NMP607" s="222"/>
      <c r="NMQ607" s="222"/>
      <c r="NMR607" s="222"/>
      <c r="NMS607" s="222"/>
      <c r="NMT607" s="222"/>
      <c r="NMU607" s="223"/>
      <c r="NMV607" s="224"/>
      <c r="NMW607" s="222"/>
      <c r="NMX607" s="222"/>
      <c r="NMY607" s="222"/>
      <c r="NMZ607" s="222"/>
      <c r="NNA607" s="222"/>
      <c r="NNB607" s="222"/>
      <c r="NNC607" s="223"/>
      <c r="NND607" s="224"/>
      <c r="NNE607" s="222"/>
      <c r="NNF607" s="222"/>
      <c r="NNG607" s="222"/>
      <c r="NNH607" s="222"/>
      <c r="NNI607" s="222"/>
      <c r="NNJ607" s="222"/>
      <c r="NNK607" s="223"/>
      <c r="NNL607" s="224"/>
      <c r="NNM607" s="222"/>
      <c r="NNN607" s="222"/>
      <c r="NNO607" s="222"/>
      <c r="NNP607" s="222"/>
      <c r="NNQ607" s="222"/>
      <c r="NNR607" s="222"/>
      <c r="NNS607" s="223"/>
      <c r="NNT607" s="224"/>
      <c r="NNU607" s="222"/>
      <c r="NNV607" s="222"/>
      <c r="NNW607" s="222"/>
      <c r="NNX607" s="222"/>
      <c r="NNY607" s="222"/>
      <c r="NNZ607" s="222"/>
      <c r="NOA607" s="223"/>
      <c r="NOB607" s="224"/>
      <c r="NOC607" s="222"/>
      <c r="NOD607" s="222"/>
      <c r="NOE607" s="222"/>
      <c r="NOF607" s="222"/>
      <c r="NOG607" s="222"/>
      <c r="NOH607" s="222"/>
      <c r="NOI607" s="223"/>
      <c r="NOJ607" s="224"/>
      <c r="NOK607" s="222"/>
      <c r="NOL607" s="222"/>
      <c r="NOM607" s="222"/>
      <c r="NON607" s="222"/>
      <c r="NOO607" s="222"/>
      <c r="NOP607" s="222"/>
      <c r="NOQ607" s="223"/>
      <c r="NOR607" s="224"/>
      <c r="NOS607" s="222"/>
      <c r="NOT607" s="222"/>
      <c r="NOU607" s="222"/>
      <c r="NOV607" s="222"/>
      <c r="NOW607" s="222"/>
      <c r="NOX607" s="222"/>
      <c r="NOY607" s="223"/>
      <c r="NOZ607" s="224"/>
      <c r="NPA607" s="222"/>
      <c r="NPB607" s="222"/>
      <c r="NPC607" s="222"/>
      <c r="NPD607" s="222"/>
      <c r="NPE607" s="222"/>
      <c r="NPF607" s="222"/>
      <c r="NPG607" s="223"/>
      <c r="NPH607" s="224"/>
      <c r="NPI607" s="222"/>
      <c r="NPJ607" s="222"/>
      <c r="NPK607" s="222"/>
      <c r="NPL607" s="222"/>
      <c r="NPM607" s="222"/>
      <c r="NPN607" s="222"/>
      <c r="NPO607" s="223"/>
      <c r="NPP607" s="224"/>
      <c r="NPQ607" s="222"/>
      <c r="NPR607" s="222"/>
      <c r="NPS607" s="222"/>
      <c r="NPT607" s="222"/>
      <c r="NPU607" s="222"/>
      <c r="NPV607" s="222"/>
      <c r="NPW607" s="223"/>
      <c r="NPX607" s="224"/>
      <c r="NPY607" s="222"/>
      <c r="NPZ607" s="222"/>
      <c r="NQA607" s="222"/>
      <c r="NQB607" s="222"/>
      <c r="NQC607" s="222"/>
      <c r="NQD607" s="222"/>
      <c r="NQE607" s="223"/>
      <c r="NQF607" s="224"/>
      <c r="NQG607" s="222"/>
      <c r="NQH607" s="222"/>
      <c r="NQI607" s="222"/>
      <c r="NQJ607" s="222"/>
      <c r="NQK607" s="222"/>
      <c r="NQL607" s="222"/>
      <c r="NQM607" s="223"/>
      <c r="NQN607" s="224"/>
      <c r="NQO607" s="222"/>
      <c r="NQP607" s="222"/>
      <c r="NQQ607" s="222"/>
      <c r="NQR607" s="222"/>
      <c r="NQS607" s="222"/>
      <c r="NQT607" s="222"/>
      <c r="NQU607" s="223"/>
      <c r="NQV607" s="224"/>
      <c r="NQW607" s="222"/>
      <c r="NQX607" s="222"/>
      <c r="NQY607" s="222"/>
      <c r="NQZ607" s="222"/>
      <c r="NRA607" s="222"/>
      <c r="NRB607" s="222"/>
      <c r="NRC607" s="223"/>
      <c r="NRD607" s="224"/>
      <c r="NRE607" s="222"/>
      <c r="NRF607" s="222"/>
      <c r="NRG607" s="222"/>
      <c r="NRH607" s="222"/>
      <c r="NRI607" s="222"/>
      <c r="NRJ607" s="222"/>
      <c r="NRK607" s="223"/>
      <c r="NRL607" s="224"/>
      <c r="NRM607" s="222"/>
      <c r="NRN607" s="222"/>
      <c r="NRO607" s="222"/>
      <c r="NRP607" s="222"/>
      <c r="NRQ607" s="222"/>
      <c r="NRR607" s="222"/>
      <c r="NRS607" s="223"/>
      <c r="NRT607" s="224"/>
      <c r="NRU607" s="222"/>
      <c r="NRV607" s="222"/>
      <c r="NRW607" s="222"/>
      <c r="NRX607" s="222"/>
      <c r="NRY607" s="222"/>
      <c r="NRZ607" s="222"/>
      <c r="NSA607" s="223"/>
      <c r="NSB607" s="224"/>
      <c r="NSC607" s="222"/>
      <c r="NSD607" s="222"/>
      <c r="NSE607" s="222"/>
      <c r="NSF607" s="222"/>
      <c r="NSG607" s="222"/>
      <c r="NSH607" s="222"/>
      <c r="NSI607" s="223"/>
      <c r="NSJ607" s="224"/>
      <c r="NSK607" s="222"/>
      <c r="NSL607" s="222"/>
      <c r="NSM607" s="222"/>
      <c r="NSN607" s="222"/>
      <c r="NSO607" s="222"/>
      <c r="NSP607" s="222"/>
      <c r="NSQ607" s="223"/>
      <c r="NSR607" s="224"/>
      <c r="NSS607" s="222"/>
      <c r="NST607" s="222"/>
      <c r="NSU607" s="222"/>
      <c r="NSV607" s="222"/>
      <c r="NSW607" s="222"/>
      <c r="NSX607" s="222"/>
      <c r="NSY607" s="223"/>
      <c r="NSZ607" s="224"/>
      <c r="NTA607" s="222"/>
      <c r="NTB607" s="222"/>
      <c r="NTC607" s="222"/>
      <c r="NTD607" s="222"/>
      <c r="NTE607" s="222"/>
      <c r="NTF607" s="222"/>
      <c r="NTG607" s="223"/>
      <c r="NTH607" s="224"/>
      <c r="NTI607" s="222"/>
      <c r="NTJ607" s="222"/>
      <c r="NTK607" s="222"/>
      <c r="NTL607" s="222"/>
      <c r="NTM607" s="222"/>
      <c r="NTN607" s="222"/>
      <c r="NTO607" s="223"/>
      <c r="NTP607" s="224"/>
      <c r="NTQ607" s="222"/>
      <c r="NTR607" s="222"/>
      <c r="NTS607" s="222"/>
      <c r="NTT607" s="222"/>
      <c r="NTU607" s="222"/>
      <c r="NTV607" s="222"/>
      <c r="NTW607" s="223"/>
      <c r="NTX607" s="224"/>
      <c r="NTY607" s="222"/>
      <c r="NTZ607" s="222"/>
      <c r="NUA607" s="222"/>
      <c r="NUB607" s="222"/>
      <c r="NUC607" s="222"/>
      <c r="NUD607" s="222"/>
      <c r="NUE607" s="223"/>
      <c r="NUF607" s="224"/>
      <c r="NUG607" s="222"/>
      <c r="NUH607" s="222"/>
      <c r="NUI607" s="222"/>
      <c r="NUJ607" s="222"/>
      <c r="NUK607" s="222"/>
      <c r="NUL607" s="222"/>
      <c r="NUM607" s="223"/>
      <c r="NUN607" s="224"/>
      <c r="NUO607" s="222"/>
      <c r="NUP607" s="222"/>
      <c r="NUQ607" s="222"/>
      <c r="NUR607" s="222"/>
      <c r="NUS607" s="222"/>
      <c r="NUT607" s="222"/>
      <c r="NUU607" s="223"/>
      <c r="NUV607" s="224"/>
      <c r="NUW607" s="222"/>
      <c r="NUX607" s="222"/>
      <c r="NUY607" s="222"/>
      <c r="NUZ607" s="222"/>
      <c r="NVA607" s="222"/>
      <c r="NVB607" s="222"/>
      <c r="NVC607" s="223"/>
      <c r="NVD607" s="224"/>
      <c r="NVE607" s="222"/>
      <c r="NVF607" s="222"/>
      <c r="NVG607" s="222"/>
      <c r="NVH607" s="222"/>
      <c r="NVI607" s="222"/>
      <c r="NVJ607" s="222"/>
      <c r="NVK607" s="223"/>
      <c r="NVL607" s="224"/>
      <c r="NVM607" s="222"/>
      <c r="NVN607" s="222"/>
      <c r="NVO607" s="222"/>
      <c r="NVP607" s="222"/>
      <c r="NVQ607" s="222"/>
      <c r="NVR607" s="222"/>
      <c r="NVS607" s="223"/>
      <c r="NVT607" s="224"/>
      <c r="NVU607" s="222"/>
      <c r="NVV607" s="222"/>
      <c r="NVW607" s="222"/>
      <c r="NVX607" s="222"/>
      <c r="NVY607" s="222"/>
      <c r="NVZ607" s="222"/>
      <c r="NWA607" s="223"/>
      <c r="NWB607" s="224"/>
      <c r="NWC607" s="222"/>
      <c r="NWD607" s="222"/>
      <c r="NWE607" s="222"/>
      <c r="NWF607" s="222"/>
      <c r="NWG607" s="222"/>
      <c r="NWH607" s="222"/>
      <c r="NWI607" s="223"/>
      <c r="NWJ607" s="224"/>
      <c r="NWK607" s="222"/>
      <c r="NWL607" s="222"/>
      <c r="NWM607" s="222"/>
      <c r="NWN607" s="222"/>
      <c r="NWO607" s="222"/>
      <c r="NWP607" s="222"/>
      <c r="NWQ607" s="223"/>
      <c r="NWR607" s="224"/>
      <c r="NWS607" s="222"/>
      <c r="NWT607" s="222"/>
      <c r="NWU607" s="222"/>
      <c r="NWV607" s="222"/>
      <c r="NWW607" s="222"/>
      <c r="NWX607" s="222"/>
      <c r="NWY607" s="223"/>
      <c r="NWZ607" s="224"/>
      <c r="NXA607" s="222"/>
      <c r="NXB607" s="222"/>
      <c r="NXC607" s="222"/>
      <c r="NXD607" s="222"/>
      <c r="NXE607" s="222"/>
      <c r="NXF607" s="222"/>
      <c r="NXG607" s="223"/>
      <c r="NXH607" s="224"/>
      <c r="NXI607" s="222"/>
      <c r="NXJ607" s="222"/>
      <c r="NXK607" s="222"/>
      <c r="NXL607" s="222"/>
      <c r="NXM607" s="222"/>
      <c r="NXN607" s="222"/>
      <c r="NXO607" s="223"/>
      <c r="NXP607" s="224"/>
      <c r="NXQ607" s="222"/>
      <c r="NXR607" s="222"/>
      <c r="NXS607" s="222"/>
      <c r="NXT607" s="222"/>
      <c r="NXU607" s="222"/>
      <c r="NXV607" s="222"/>
      <c r="NXW607" s="223"/>
      <c r="NXX607" s="224"/>
      <c r="NXY607" s="222"/>
      <c r="NXZ607" s="222"/>
      <c r="NYA607" s="222"/>
      <c r="NYB607" s="222"/>
      <c r="NYC607" s="222"/>
      <c r="NYD607" s="222"/>
      <c r="NYE607" s="223"/>
      <c r="NYF607" s="224"/>
      <c r="NYG607" s="222"/>
      <c r="NYH607" s="222"/>
      <c r="NYI607" s="222"/>
      <c r="NYJ607" s="222"/>
      <c r="NYK607" s="222"/>
      <c r="NYL607" s="222"/>
      <c r="NYM607" s="223"/>
      <c r="NYN607" s="224"/>
      <c r="NYO607" s="222"/>
      <c r="NYP607" s="222"/>
      <c r="NYQ607" s="222"/>
      <c r="NYR607" s="222"/>
      <c r="NYS607" s="222"/>
      <c r="NYT607" s="222"/>
      <c r="NYU607" s="223"/>
      <c r="NYV607" s="224"/>
      <c r="NYW607" s="222"/>
      <c r="NYX607" s="222"/>
      <c r="NYY607" s="222"/>
      <c r="NYZ607" s="222"/>
      <c r="NZA607" s="222"/>
      <c r="NZB607" s="222"/>
      <c r="NZC607" s="223"/>
      <c r="NZD607" s="224"/>
      <c r="NZE607" s="222"/>
      <c r="NZF607" s="222"/>
      <c r="NZG607" s="222"/>
      <c r="NZH607" s="222"/>
      <c r="NZI607" s="222"/>
      <c r="NZJ607" s="222"/>
      <c r="NZK607" s="223"/>
      <c r="NZL607" s="224"/>
      <c r="NZM607" s="222"/>
      <c r="NZN607" s="222"/>
      <c r="NZO607" s="222"/>
      <c r="NZP607" s="222"/>
      <c r="NZQ607" s="222"/>
      <c r="NZR607" s="222"/>
      <c r="NZS607" s="223"/>
      <c r="NZT607" s="224"/>
      <c r="NZU607" s="222"/>
      <c r="NZV607" s="222"/>
      <c r="NZW607" s="222"/>
      <c r="NZX607" s="222"/>
      <c r="NZY607" s="222"/>
      <c r="NZZ607" s="222"/>
      <c r="OAA607" s="223"/>
      <c r="OAB607" s="224"/>
      <c r="OAC607" s="222"/>
      <c r="OAD607" s="222"/>
      <c r="OAE607" s="222"/>
      <c r="OAF607" s="222"/>
      <c r="OAG607" s="222"/>
      <c r="OAH607" s="222"/>
      <c r="OAI607" s="223"/>
      <c r="OAJ607" s="224"/>
      <c r="OAK607" s="222"/>
      <c r="OAL607" s="222"/>
      <c r="OAM607" s="222"/>
      <c r="OAN607" s="222"/>
      <c r="OAO607" s="222"/>
      <c r="OAP607" s="222"/>
      <c r="OAQ607" s="223"/>
      <c r="OAR607" s="224"/>
      <c r="OAS607" s="222"/>
      <c r="OAT607" s="222"/>
      <c r="OAU607" s="222"/>
      <c r="OAV607" s="222"/>
      <c r="OAW607" s="222"/>
      <c r="OAX607" s="222"/>
      <c r="OAY607" s="223"/>
      <c r="OAZ607" s="224"/>
      <c r="OBA607" s="222"/>
      <c r="OBB607" s="222"/>
      <c r="OBC607" s="222"/>
      <c r="OBD607" s="222"/>
      <c r="OBE607" s="222"/>
      <c r="OBF607" s="222"/>
      <c r="OBG607" s="223"/>
      <c r="OBH607" s="224"/>
      <c r="OBI607" s="222"/>
      <c r="OBJ607" s="222"/>
      <c r="OBK607" s="222"/>
      <c r="OBL607" s="222"/>
      <c r="OBM607" s="222"/>
      <c r="OBN607" s="222"/>
      <c r="OBO607" s="223"/>
      <c r="OBP607" s="224"/>
      <c r="OBQ607" s="222"/>
      <c r="OBR607" s="222"/>
      <c r="OBS607" s="222"/>
      <c r="OBT607" s="222"/>
      <c r="OBU607" s="222"/>
      <c r="OBV607" s="222"/>
      <c r="OBW607" s="223"/>
      <c r="OBX607" s="224"/>
      <c r="OBY607" s="222"/>
      <c r="OBZ607" s="222"/>
      <c r="OCA607" s="222"/>
      <c r="OCB607" s="222"/>
      <c r="OCC607" s="222"/>
      <c r="OCD607" s="222"/>
      <c r="OCE607" s="223"/>
      <c r="OCF607" s="224"/>
      <c r="OCG607" s="222"/>
      <c r="OCH607" s="222"/>
      <c r="OCI607" s="222"/>
      <c r="OCJ607" s="222"/>
      <c r="OCK607" s="222"/>
      <c r="OCL607" s="222"/>
      <c r="OCM607" s="223"/>
      <c r="OCN607" s="224"/>
      <c r="OCO607" s="222"/>
      <c r="OCP607" s="222"/>
      <c r="OCQ607" s="222"/>
      <c r="OCR607" s="222"/>
      <c r="OCS607" s="222"/>
      <c r="OCT607" s="222"/>
      <c r="OCU607" s="223"/>
      <c r="OCV607" s="224"/>
      <c r="OCW607" s="222"/>
      <c r="OCX607" s="222"/>
      <c r="OCY607" s="222"/>
      <c r="OCZ607" s="222"/>
      <c r="ODA607" s="222"/>
      <c r="ODB607" s="222"/>
      <c r="ODC607" s="223"/>
      <c r="ODD607" s="224"/>
      <c r="ODE607" s="222"/>
      <c r="ODF607" s="222"/>
      <c r="ODG607" s="222"/>
      <c r="ODH607" s="222"/>
      <c r="ODI607" s="222"/>
      <c r="ODJ607" s="222"/>
      <c r="ODK607" s="223"/>
      <c r="ODL607" s="224"/>
      <c r="ODM607" s="222"/>
      <c r="ODN607" s="222"/>
      <c r="ODO607" s="222"/>
      <c r="ODP607" s="222"/>
      <c r="ODQ607" s="222"/>
      <c r="ODR607" s="222"/>
      <c r="ODS607" s="223"/>
      <c r="ODT607" s="224"/>
      <c r="ODU607" s="222"/>
      <c r="ODV607" s="222"/>
      <c r="ODW607" s="222"/>
      <c r="ODX607" s="222"/>
      <c r="ODY607" s="222"/>
      <c r="ODZ607" s="222"/>
      <c r="OEA607" s="223"/>
      <c r="OEB607" s="224"/>
      <c r="OEC607" s="222"/>
      <c r="OED607" s="222"/>
      <c r="OEE607" s="222"/>
      <c r="OEF607" s="222"/>
      <c r="OEG607" s="222"/>
      <c r="OEH607" s="222"/>
      <c r="OEI607" s="223"/>
      <c r="OEJ607" s="224"/>
      <c r="OEK607" s="222"/>
      <c r="OEL607" s="222"/>
      <c r="OEM607" s="222"/>
      <c r="OEN607" s="222"/>
      <c r="OEO607" s="222"/>
      <c r="OEP607" s="222"/>
      <c r="OEQ607" s="223"/>
      <c r="OER607" s="224"/>
      <c r="OES607" s="222"/>
      <c r="OET607" s="222"/>
      <c r="OEU607" s="222"/>
      <c r="OEV607" s="222"/>
      <c r="OEW607" s="222"/>
      <c r="OEX607" s="222"/>
      <c r="OEY607" s="223"/>
      <c r="OEZ607" s="224"/>
      <c r="OFA607" s="222"/>
      <c r="OFB607" s="222"/>
      <c r="OFC607" s="222"/>
      <c r="OFD607" s="222"/>
      <c r="OFE607" s="222"/>
      <c r="OFF607" s="222"/>
      <c r="OFG607" s="223"/>
      <c r="OFH607" s="224"/>
      <c r="OFI607" s="222"/>
      <c r="OFJ607" s="222"/>
      <c r="OFK607" s="222"/>
      <c r="OFL607" s="222"/>
      <c r="OFM607" s="222"/>
      <c r="OFN607" s="222"/>
      <c r="OFO607" s="223"/>
      <c r="OFP607" s="224"/>
      <c r="OFQ607" s="222"/>
      <c r="OFR607" s="222"/>
      <c r="OFS607" s="222"/>
      <c r="OFT607" s="222"/>
      <c r="OFU607" s="222"/>
      <c r="OFV607" s="222"/>
      <c r="OFW607" s="223"/>
      <c r="OFX607" s="224"/>
      <c r="OFY607" s="222"/>
      <c r="OFZ607" s="222"/>
      <c r="OGA607" s="222"/>
      <c r="OGB607" s="222"/>
      <c r="OGC607" s="222"/>
      <c r="OGD607" s="222"/>
      <c r="OGE607" s="223"/>
      <c r="OGF607" s="224"/>
      <c r="OGG607" s="222"/>
      <c r="OGH607" s="222"/>
      <c r="OGI607" s="222"/>
      <c r="OGJ607" s="222"/>
      <c r="OGK607" s="222"/>
      <c r="OGL607" s="222"/>
      <c r="OGM607" s="223"/>
      <c r="OGN607" s="224"/>
      <c r="OGO607" s="222"/>
      <c r="OGP607" s="222"/>
      <c r="OGQ607" s="222"/>
      <c r="OGR607" s="222"/>
      <c r="OGS607" s="222"/>
      <c r="OGT607" s="222"/>
      <c r="OGU607" s="223"/>
      <c r="OGV607" s="224"/>
      <c r="OGW607" s="222"/>
      <c r="OGX607" s="222"/>
      <c r="OGY607" s="222"/>
      <c r="OGZ607" s="222"/>
      <c r="OHA607" s="222"/>
      <c r="OHB607" s="222"/>
      <c r="OHC607" s="223"/>
      <c r="OHD607" s="224"/>
      <c r="OHE607" s="222"/>
      <c r="OHF607" s="222"/>
      <c r="OHG607" s="222"/>
      <c r="OHH607" s="222"/>
      <c r="OHI607" s="222"/>
      <c r="OHJ607" s="222"/>
      <c r="OHK607" s="223"/>
      <c r="OHL607" s="224"/>
      <c r="OHM607" s="222"/>
      <c r="OHN607" s="222"/>
      <c r="OHO607" s="222"/>
      <c r="OHP607" s="222"/>
      <c r="OHQ607" s="222"/>
      <c r="OHR607" s="222"/>
      <c r="OHS607" s="223"/>
      <c r="OHT607" s="224"/>
      <c r="OHU607" s="222"/>
      <c r="OHV607" s="222"/>
      <c r="OHW607" s="222"/>
      <c r="OHX607" s="222"/>
      <c r="OHY607" s="222"/>
      <c r="OHZ607" s="222"/>
      <c r="OIA607" s="223"/>
      <c r="OIB607" s="224"/>
      <c r="OIC607" s="222"/>
      <c r="OID607" s="222"/>
      <c r="OIE607" s="222"/>
      <c r="OIF607" s="222"/>
      <c r="OIG607" s="222"/>
      <c r="OIH607" s="222"/>
      <c r="OII607" s="223"/>
      <c r="OIJ607" s="224"/>
      <c r="OIK607" s="222"/>
      <c r="OIL607" s="222"/>
      <c r="OIM607" s="222"/>
      <c r="OIN607" s="222"/>
      <c r="OIO607" s="222"/>
      <c r="OIP607" s="222"/>
      <c r="OIQ607" s="223"/>
      <c r="OIR607" s="224"/>
      <c r="OIS607" s="222"/>
      <c r="OIT607" s="222"/>
      <c r="OIU607" s="222"/>
      <c r="OIV607" s="222"/>
      <c r="OIW607" s="222"/>
      <c r="OIX607" s="222"/>
      <c r="OIY607" s="223"/>
      <c r="OIZ607" s="224"/>
      <c r="OJA607" s="222"/>
      <c r="OJB607" s="222"/>
      <c r="OJC607" s="222"/>
      <c r="OJD607" s="222"/>
      <c r="OJE607" s="222"/>
      <c r="OJF607" s="222"/>
      <c r="OJG607" s="223"/>
      <c r="OJH607" s="224"/>
      <c r="OJI607" s="222"/>
      <c r="OJJ607" s="222"/>
      <c r="OJK607" s="222"/>
      <c r="OJL607" s="222"/>
      <c r="OJM607" s="222"/>
      <c r="OJN607" s="222"/>
      <c r="OJO607" s="223"/>
      <c r="OJP607" s="224"/>
      <c r="OJQ607" s="222"/>
      <c r="OJR607" s="222"/>
      <c r="OJS607" s="222"/>
      <c r="OJT607" s="222"/>
      <c r="OJU607" s="222"/>
      <c r="OJV607" s="222"/>
      <c r="OJW607" s="223"/>
      <c r="OJX607" s="224"/>
      <c r="OJY607" s="222"/>
      <c r="OJZ607" s="222"/>
      <c r="OKA607" s="222"/>
      <c r="OKB607" s="222"/>
      <c r="OKC607" s="222"/>
      <c r="OKD607" s="222"/>
      <c r="OKE607" s="223"/>
      <c r="OKF607" s="224"/>
      <c r="OKG607" s="222"/>
      <c r="OKH607" s="222"/>
      <c r="OKI607" s="222"/>
      <c r="OKJ607" s="222"/>
      <c r="OKK607" s="222"/>
      <c r="OKL607" s="222"/>
      <c r="OKM607" s="223"/>
      <c r="OKN607" s="224"/>
      <c r="OKO607" s="222"/>
      <c r="OKP607" s="222"/>
      <c r="OKQ607" s="222"/>
      <c r="OKR607" s="222"/>
      <c r="OKS607" s="222"/>
      <c r="OKT607" s="222"/>
      <c r="OKU607" s="223"/>
      <c r="OKV607" s="224"/>
      <c r="OKW607" s="222"/>
      <c r="OKX607" s="222"/>
      <c r="OKY607" s="222"/>
      <c r="OKZ607" s="222"/>
      <c r="OLA607" s="222"/>
      <c r="OLB607" s="222"/>
      <c r="OLC607" s="223"/>
      <c r="OLD607" s="224"/>
      <c r="OLE607" s="222"/>
      <c r="OLF607" s="222"/>
      <c r="OLG607" s="222"/>
      <c r="OLH607" s="222"/>
      <c r="OLI607" s="222"/>
      <c r="OLJ607" s="222"/>
      <c r="OLK607" s="223"/>
      <c r="OLL607" s="224"/>
      <c r="OLM607" s="222"/>
      <c r="OLN607" s="222"/>
      <c r="OLO607" s="222"/>
      <c r="OLP607" s="222"/>
      <c r="OLQ607" s="222"/>
      <c r="OLR607" s="222"/>
      <c r="OLS607" s="223"/>
      <c r="OLT607" s="224"/>
      <c r="OLU607" s="222"/>
      <c r="OLV607" s="222"/>
      <c r="OLW607" s="222"/>
      <c r="OLX607" s="222"/>
      <c r="OLY607" s="222"/>
      <c r="OLZ607" s="222"/>
      <c r="OMA607" s="223"/>
      <c r="OMB607" s="224"/>
      <c r="OMC607" s="222"/>
      <c r="OMD607" s="222"/>
      <c r="OME607" s="222"/>
      <c r="OMF607" s="222"/>
      <c r="OMG607" s="222"/>
      <c r="OMH607" s="222"/>
      <c r="OMI607" s="223"/>
      <c r="OMJ607" s="224"/>
      <c r="OMK607" s="222"/>
      <c r="OML607" s="222"/>
      <c r="OMM607" s="222"/>
      <c r="OMN607" s="222"/>
      <c r="OMO607" s="222"/>
      <c r="OMP607" s="222"/>
      <c r="OMQ607" s="223"/>
      <c r="OMR607" s="224"/>
      <c r="OMS607" s="222"/>
      <c r="OMT607" s="222"/>
      <c r="OMU607" s="222"/>
      <c r="OMV607" s="222"/>
      <c r="OMW607" s="222"/>
      <c r="OMX607" s="222"/>
      <c r="OMY607" s="223"/>
      <c r="OMZ607" s="224"/>
      <c r="ONA607" s="222"/>
      <c r="ONB607" s="222"/>
      <c r="ONC607" s="222"/>
      <c r="OND607" s="222"/>
      <c r="ONE607" s="222"/>
      <c r="ONF607" s="222"/>
      <c r="ONG607" s="223"/>
      <c r="ONH607" s="224"/>
      <c r="ONI607" s="222"/>
      <c r="ONJ607" s="222"/>
      <c r="ONK607" s="222"/>
      <c r="ONL607" s="222"/>
      <c r="ONM607" s="222"/>
      <c r="ONN607" s="222"/>
      <c r="ONO607" s="223"/>
      <c r="ONP607" s="224"/>
      <c r="ONQ607" s="222"/>
      <c r="ONR607" s="222"/>
      <c r="ONS607" s="222"/>
      <c r="ONT607" s="222"/>
      <c r="ONU607" s="222"/>
      <c r="ONV607" s="222"/>
      <c r="ONW607" s="223"/>
      <c r="ONX607" s="224"/>
      <c r="ONY607" s="222"/>
      <c r="ONZ607" s="222"/>
      <c r="OOA607" s="222"/>
      <c r="OOB607" s="222"/>
      <c r="OOC607" s="222"/>
      <c r="OOD607" s="222"/>
      <c r="OOE607" s="223"/>
      <c r="OOF607" s="224"/>
      <c r="OOG607" s="222"/>
      <c r="OOH607" s="222"/>
      <c r="OOI607" s="222"/>
      <c r="OOJ607" s="222"/>
      <c r="OOK607" s="222"/>
      <c r="OOL607" s="222"/>
      <c r="OOM607" s="223"/>
      <c r="OON607" s="224"/>
      <c r="OOO607" s="222"/>
      <c r="OOP607" s="222"/>
      <c r="OOQ607" s="222"/>
      <c r="OOR607" s="222"/>
      <c r="OOS607" s="222"/>
      <c r="OOT607" s="222"/>
      <c r="OOU607" s="223"/>
      <c r="OOV607" s="224"/>
      <c r="OOW607" s="222"/>
      <c r="OOX607" s="222"/>
      <c r="OOY607" s="222"/>
      <c r="OOZ607" s="222"/>
      <c r="OPA607" s="222"/>
      <c r="OPB607" s="222"/>
      <c r="OPC607" s="223"/>
      <c r="OPD607" s="224"/>
      <c r="OPE607" s="222"/>
      <c r="OPF607" s="222"/>
      <c r="OPG607" s="222"/>
      <c r="OPH607" s="222"/>
      <c r="OPI607" s="222"/>
      <c r="OPJ607" s="222"/>
      <c r="OPK607" s="223"/>
      <c r="OPL607" s="224"/>
      <c r="OPM607" s="222"/>
      <c r="OPN607" s="222"/>
      <c r="OPO607" s="222"/>
      <c r="OPP607" s="222"/>
      <c r="OPQ607" s="222"/>
      <c r="OPR607" s="222"/>
      <c r="OPS607" s="223"/>
      <c r="OPT607" s="224"/>
      <c r="OPU607" s="222"/>
      <c r="OPV607" s="222"/>
      <c r="OPW607" s="222"/>
      <c r="OPX607" s="222"/>
      <c r="OPY607" s="222"/>
      <c r="OPZ607" s="222"/>
      <c r="OQA607" s="223"/>
      <c r="OQB607" s="224"/>
      <c r="OQC607" s="222"/>
      <c r="OQD607" s="222"/>
      <c r="OQE607" s="222"/>
      <c r="OQF607" s="222"/>
      <c r="OQG607" s="222"/>
      <c r="OQH607" s="222"/>
      <c r="OQI607" s="223"/>
      <c r="OQJ607" s="224"/>
      <c r="OQK607" s="222"/>
      <c r="OQL607" s="222"/>
      <c r="OQM607" s="222"/>
      <c r="OQN607" s="222"/>
      <c r="OQO607" s="222"/>
      <c r="OQP607" s="222"/>
      <c r="OQQ607" s="223"/>
      <c r="OQR607" s="224"/>
      <c r="OQS607" s="222"/>
      <c r="OQT607" s="222"/>
      <c r="OQU607" s="222"/>
      <c r="OQV607" s="222"/>
      <c r="OQW607" s="222"/>
      <c r="OQX607" s="222"/>
      <c r="OQY607" s="223"/>
      <c r="OQZ607" s="224"/>
      <c r="ORA607" s="222"/>
      <c r="ORB607" s="222"/>
      <c r="ORC607" s="222"/>
      <c r="ORD607" s="222"/>
      <c r="ORE607" s="222"/>
      <c r="ORF607" s="222"/>
      <c r="ORG607" s="223"/>
      <c r="ORH607" s="224"/>
      <c r="ORI607" s="222"/>
      <c r="ORJ607" s="222"/>
      <c r="ORK607" s="222"/>
      <c r="ORL607" s="222"/>
      <c r="ORM607" s="222"/>
      <c r="ORN607" s="222"/>
      <c r="ORO607" s="223"/>
      <c r="ORP607" s="224"/>
      <c r="ORQ607" s="222"/>
      <c r="ORR607" s="222"/>
      <c r="ORS607" s="222"/>
      <c r="ORT607" s="222"/>
      <c r="ORU607" s="222"/>
      <c r="ORV607" s="222"/>
      <c r="ORW607" s="223"/>
      <c r="ORX607" s="224"/>
      <c r="ORY607" s="222"/>
      <c r="ORZ607" s="222"/>
      <c r="OSA607" s="222"/>
      <c r="OSB607" s="222"/>
      <c r="OSC607" s="222"/>
      <c r="OSD607" s="222"/>
      <c r="OSE607" s="223"/>
      <c r="OSF607" s="224"/>
      <c r="OSG607" s="222"/>
      <c r="OSH607" s="222"/>
      <c r="OSI607" s="222"/>
      <c r="OSJ607" s="222"/>
      <c r="OSK607" s="222"/>
      <c r="OSL607" s="222"/>
      <c r="OSM607" s="223"/>
      <c r="OSN607" s="224"/>
      <c r="OSO607" s="222"/>
      <c r="OSP607" s="222"/>
      <c r="OSQ607" s="222"/>
      <c r="OSR607" s="222"/>
      <c r="OSS607" s="222"/>
      <c r="OST607" s="222"/>
      <c r="OSU607" s="223"/>
      <c r="OSV607" s="224"/>
      <c r="OSW607" s="222"/>
      <c r="OSX607" s="222"/>
      <c r="OSY607" s="222"/>
      <c r="OSZ607" s="222"/>
      <c r="OTA607" s="222"/>
      <c r="OTB607" s="222"/>
      <c r="OTC607" s="223"/>
      <c r="OTD607" s="224"/>
      <c r="OTE607" s="222"/>
      <c r="OTF607" s="222"/>
      <c r="OTG607" s="222"/>
      <c r="OTH607" s="222"/>
      <c r="OTI607" s="222"/>
      <c r="OTJ607" s="222"/>
      <c r="OTK607" s="223"/>
      <c r="OTL607" s="224"/>
      <c r="OTM607" s="222"/>
      <c r="OTN607" s="222"/>
      <c r="OTO607" s="222"/>
      <c r="OTP607" s="222"/>
      <c r="OTQ607" s="222"/>
      <c r="OTR607" s="222"/>
      <c r="OTS607" s="223"/>
      <c r="OTT607" s="224"/>
      <c r="OTU607" s="222"/>
      <c r="OTV607" s="222"/>
      <c r="OTW607" s="222"/>
      <c r="OTX607" s="222"/>
      <c r="OTY607" s="222"/>
      <c r="OTZ607" s="222"/>
      <c r="OUA607" s="223"/>
      <c r="OUB607" s="224"/>
      <c r="OUC607" s="222"/>
      <c r="OUD607" s="222"/>
      <c r="OUE607" s="222"/>
      <c r="OUF607" s="222"/>
      <c r="OUG607" s="222"/>
      <c r="OUH607" s="222"/>
      <c r="OUI607" s="223"/>
      <c r="OUJ607" s="224"/>
      <c r="OUK607" s="222"/>
      <c r="OUL607" s="222"/>
      <c r="OUM607" s="222"/>
      <c r="OUN607" s="222"/>
      <c r="OUO607" s="222"/>
      <c r="OUP607" s="222"/>
      <c r="OUQ607" s="223"/>
      <c r="OUR607" s="224"/>
      <c r="OUS607" s="222"/>
      <c r="OUT607" s="222"/>
      <c r="OUU607" s="222"/>
      <c r="OUV607" s="222"/>
      <c r="OUW607" s="222"/>
      <c r="OUX607" s="222"/>
      <c r="OUY607" s="223"/>
      <c r="OUZ607" s="224"/>
      <c r="OVA607" s="222"/>
      <c r="OVB607" s="222"/>
      <c r="OVC607" s="222"/>
      <c r="OVD607" s="222"/>
      <c r="OVE607" s="222"/>
      <c r="OVF607" s="222"/>
      <c r="OVG607" s="223"/>
      <c r="OVH607" s="224"/>
      <c r="OVI607" s="222"/>
      <c r="OVJ607" s="222"/>
      <c r="OVK607" s="222"/>
      <c r="OVL607" s="222"/>
      <c r="OVM607" s="222"/>
      <c r="OVN607" s="222"/>
      <c r="OVO607" s="223"/>
      <c r="OVP607" s="224"/>
      <c r="OVQ607" s="222"/>
      <c r="OVR607" s="222"/>
      <c r="OVS607" s="222"/>
      <c r="OVT607" s="222"/>
      <c r="OVU607" s="222"/>
      <c r="OVV607" s="222"/>
      <c r="OVW607" s="223"/>
      <c r="OVX607" s="224"/>
      <c r="OVY607" s="222"/>
      <c r="OVZ607" s="222"/>
      <c r="OWA607" s="222"/>
      <c r="OWB607" s="222"/>
      <c r="OWC607" s="222"/>
      <c r="OWD607" s="222"/>
      <c r="OWE607" s="223"/>
      <c r="OWF607" s="224"/>
      <c r="OWG607" s="222"/>
      <c r="OWH607" s="222"/>
      <c r="OWI607" s="222"/>
      <c r="OWJ607" s="222"/>
      <c r="OWK607" s="222"/>
      <c r="OWL607" s="222"/>
      <c r="OWM607" s="223"/>
      <c r="OWN607" s="224"/>
      <c r="OWO607" s="222"/>
      <c r="OWP607" s="222"/>
      <c r="OWQ607" s="222"/>
      <c r="OWR607" s="222"/>
      <c r="OWS607" s="222"/>
      <c r="OWT607" s="222"/>
      <c r="OWU607" s="223"/>
      <c r="OWV607" s="224"/>
      <c r="OWW607" s="222"/>
      <c r="OWX607" s="222"/>
      <c r="OWY607" s="222"/>
      <c r="OWZ607" s="222"/>
      <c r="OXA607" s="222"/>
      <c r="OXB607" s="222"/>
      <c r="OXC607" s="223"/>
      <c r="OXD607" s="224"/>
      <c r="OXE607" s="222"/>
      <c r="OXF607" s="222"/>
      <c r="OXG607" s="222"/>
      <c r="OXH607" s="222"/>
      <c r="OXI607" s="222"/>
      <c r="OXJ607" s="222"/>
      <c r="OXK607" s="223"/>
      <c r="OXL607" s="224"/>
      <c r="OXM607" s="222"/>
      <c r="OXN607" s="222"/>
      <c r="OXO607" s="222"/>
      <c r="OXP607" s="222"/>
      <c r="OXQ607" s="222"/>
      <c r="OXR607" s="222"/>
      <c r="OXS607" s="223"/>
      <c r="OXT607" s="224"/>
      <c r="OXU607" s="222"/>
      <c r="OXV607" s="222"/>
      <c r="OXW607" s="222"/>
      <c r="OXX607" s="222"/>
      <c r="OXY607" s="222"/>
      <c r="OXZ607" s="222"/>
      <c r="OYA607" s="223"/>
      <c r="OYB607" s="224"/>
      <c r="OYC607" s="222"/>
      <c r="OYD607" s="222"/>
      <c r="OYE607" s="222"/>
      <c r="OYF607" s="222"/>
      <c r="OYG607" s="222"/>
      <c r="OYH607" s="222"/>
      <c r="OYI607" s="223"/>
      <c r="OYJ607" s="224"/>
      <c r="OYK607" s="222"/>
      <c r="OYL607" s="222"/>
      <c r="OYM607" s="222"/>
      <c r="OYN607" s="222"/>
      <c r="OYO607" s="222"/>
      <c r="OYP607" s="222"/>
      <c r="OYQ607" s="223"/>
      <c r="OYR607" s="224"/>
      <c r="OYS607" s="222"/>
      <c r="OYT607" s="222"/>
      <c r="OYU607" s="222"/>
      <c r="OYV607" s="222"/>
      <c r="OYW607" s="222"/>
      <c r="OYX607" s="222"/>
      <c r="OYY607" s="223"/>
      <c r="OYZ607" s="224"/>
      <c r="OZA607" s="222"/>
      <c r="OZB607" s="222"/>
      <c r="OZC607" s="222"/>
      <c r="OZD607" s="222"/>
      <c r="OZE607" s="222"/>
      <c r="OZF607" s="222"/>
      <c r="OZG607" s="223"/>
      <c r="OZH607" s="224"/>
      <c r="OZI607" s="222"/>
      <c r="OZJ607" s="222"/>
      <c r="OZK607" s="222"/>
      <c r="OZL607" s="222"/>
      <c r="OZM607" s="222"/>
      <c r="OZN607" s="222"/>
      <c r="OZO607" s="223"/>
      <c r="OZP607" s="224"/>
      <c r="OZQ607" s="222"/>
      <c r="OZR607" s="222"/>
      <c r="OZS607" s="222"/>
      <c r="OZT607" s="222"/>
      <c r="OZU607" s="222"/>
      <c r="OZV607" s="222"/>
      <c r="OZW607" s="223"/>
      <c r="OZX607" s="224"/>
      <c r="OZY607" s="222"/>
      <c r="OZZ607" s="222"/>
      <c r="PAA607" s="222"/>
      <c r="PAB607" s="222"/>
      <c r="PAC607" s="222"/>
      <c r="PAD607" s="222"/>
      <c r="PAE607" s="223"/>
      <c r="PAF607" s="224"/>
      <c r="PAG607" s="222"/>
      <c r="PAH607" s="222"/>
      <c r="PAI607" s="222"/>
      <c r="PAJ607" s="222"/>
      <c r="PAK607" s="222"/>
      <c r="PAL607" s="222"/>
      <c r="PAM607" s="223"/>
      <c r="PAN607" s="224"/>
      <c r="PAO607" s="222"/>
      <c r="PAP607" s="222"/>
      <c r="PAQ607" s="222"/>
      <c r="PAR607" s="222"/>
      <c r="PAS607" s="222"/>
      <c r="PAT607" s="222"/>
      <c r="PAU607" s="223"/>
      <c r="PAV607" s="224"/>
      <c r="PAW607" s="222"/>
      <c r="PAX607" s="222"/>
      <c r="PAY607" s="222"/>
      <c r="PAZ607" s="222"/>
      <c r="PBA607" s="222"/>
      <c r="PBB607" s="222"/>
      <c r="PBC607" s="223"/>
      <c r="PBD607" s="224"/>
      <c r="PBE607" s="222"/>
      <c r="PBF607" s="222"/>
      <c r="PBG607" s="222"/>
      <c r="PBH607" s="222"/>
      <c r="PBI607" s="222"/>
      <c r="PBJ607" s="222"/>
      <c r="PBK607" s="223"/>
      <c r="PBL607" s="224"/>
      <c r="PBM607" s="222"/>
      <c r="PBN607" s="222"/>
      <c r="PBO607" s="222"/>
      <c r="PBP607" s="222"/>
      <c r="PBQ607" s="222"/>
      <c r="PBR607" s="222"/>
      <c r="PBS607" s="223"/>
      <c r="PBT607" s="224"/>
      <c r="PBU607" s="222"/>
      <c r="PBV607" s="222"/>
      <c r="PBW607" s="222"/>
      <c r="PBX607" s="222"/>
      <c r="PBY607" s="222"/>
      <c r="PBZ607" s="222"/>
      <c r="PCA607" s="223"/>
      <c r="PCB607" s="224"/>
      <c r="PCC607" s="222"/>
      <c r="PCD607" s="222"/>
      <c r="PCE607" s="222"/>
      <c r="PCF607" s="222"/>
      <c r="PCG607" s="222"/>
      <c r="PCH607" s="222"/>
      <c r="PCI607" s="223"/>
      <c r="PCJ607" s="224"/>
      <c r="PCK607" s="222"/>
      <c r="PCL607" s="222"/>
      <c r="PCM607" s="222"/>
      <c r="PCN607" s="222"/>
      <c r="PCO607" s="222"/>
      <c r="PCP607" s="222"/>
      <c r="PCQ607" s="223"/>
      <c r="PCR607" s="224"/>
      <c r="PCS607" s="222"/>
      <c r="PCT607" s="222"/>
      <c r="PCU607" s="222"/>
      <c r="PCV607" s="222"/>
      <c r="PCW607" s="222"/>
      <c r="PCX607" s="222"/>
      <c r="PCY607" s="223"/>
      <c r="PCZ607" s="224"/>
      <c r="PDA607" s="222"/>
      <c r="PDB607" s="222"/>
      <c r="PDC607" s="222"/>
      <c r="PDD607" s="222"/>
      <c r="PDE607" s="222"/>
      <c r="PDF607" s="222"/>
      <c r="PDG607" s="223"/>
      <c r="PDH607" s="224"/>
      <c r="PDI607" s="222"/>
      <c r="PDJ607" s="222"/>
      <c r="PDK607" s="222"/>
      <c r="PDL607" s="222"/>
      <c r="PDM607" s="222"/>
      <c r="PDN607" s="222"/>
      <c r="PDO607" s="223"/>
      <c r="PDP607" s="224"/>
      <c r="PDQ607" s="222"/>
      <c r="PDR607" s="222"/>
      <c r="PDS607" s="222"/>
      <c r="PDT607" s="222"/>
      <c r="PDU607" s="222"/>
      <c r="PDV607" s="222"/>
      <c r="PDW607" s="223"/>
      <c r="PDX607" s="224"/>
      <c r="PDY607" s="222"/>
      <c r="PDZ607" s="222"/>
      <c r="PEA607" s="222"/>
      <c r="PEB607" s="222"/>
      <c r="PEC607" s="222"/>
      <c r="PED607" s="222"/>
      <c r="PEE607" s="223"/>
      <c r="PEF607" s="224"/>
      <c r="PEG607" s="222"/>
      <c r="PEH607" s="222"/>
      <c r="PEI607" s="222"/>
      <c r="PEJ607" s="222"/>
      <c r="PEK607" s="222"/>
      <c r="PEL607" s="222"/>
      <c r="PEM607" s="223"/>
      <c r="PEN607" s="224"/>
      <c r="PEO607" s="222"/>
      <c r="PEP607" s="222"/>
      <c r="PEQ607" s="222"/>
      <c r="PER607" s="222"/>
      <c r="PES607" s="222"/>
      <c r="PET607" s="222"/>
      <c r="PEU607" s="223"/>
      <c r="PEV607" s="224"/>
      <c r="PEW607" s="222"/>
      <c r="PEX607" s="222"/>
      <c r="PEY607" s="222"/>
      <c r="PEZ607" s="222"/>
      <c r="PFA607" s="222"/>
      <c r="PFB607" s="222"/>
      <c r="PFC607" s="223"/>
      <c r="PFD607" s="224"/>
      <c r="PFE607" s="222"/>
      <c r="PFF607" s="222"/>
      <c r="PFG607" s="222"/>
      <c r="PFH607" s="222"/>
      <c r="PFI607" s="222"/>
      <c r="PFJ607" s="222"/>
      <c r="PFK607" s="223"/>
      <c r="PFL607" s="224"/>
      <c r="PFM607" s="222"/>
      <c r="PFN607" s="222"/>
      <c r="PFO607" s="222"/>
      <c r="PFP607" s="222"/>
      <c r="PFQ607" s="222"/>
      <c r="PFR607" s="222"/>
      <c r="PFS607" s="223"/>
      <c r="PFT607" s="224"/>
      <c r="PFU607" s="222"/>
      <c r="PFV607" s="222"/>
      <c r="PFW607" s="222"/>
      <c r="PFX607" s="222"/>
      <c r="PFY607" s="222"/>
      <c r="PFZ607" s="222"/>
      <c r="PGA607" s="223"/>
      <c r="PGB607" s="224"/>
      <c r="PGC607" s="222"/>
      <c r="PGD607" s="222"/>
      <c r="PGE607" s="222"/>
      <c r="PGF607" s="222"/>
      <c r="PGG607" s="222"/>
      <c r="PGH607" s="222"/>
      <c r="PGI607" s="223"/>
      <c r="PGJ607" s="224"/>
      <c r="PGK607" s="222"/>
      <c r="PGL607" s="222"/>
      <c r="PGM607" s="222"/>
      <c r="PGN607" s="222"/>
      <c r="PGO607" s="222"/>
      <c r="PGP607" s="222"/>
      <c r="PGQ607" s="223"/>
      <c r="PGR607" s="224"/>
      <c r="PGS607" s="222"/>
      <c r="PGT607" s="222"/>
      <c r="PGU607" s="222"/>
      <c r="PGV607" s="222"/>
      <c r="PGW607" s="222"/>
      <c r="PGX607" s="222"/>
      <c r="PGY607" s="223"/>
      <c r="PGZ607" s="224"/>
      <c r="PHA607" s="222"/>
      <c r="PHB607" s="222"/>
      <c r="PHC607" s="222"/>
      <c r="PHD607" s="222"/>
      <c r="PHE607" s="222"/>
      <c r="PHF607" s="222"/>
      <c r="PHG607" s="223"/>
      <c r="PHH607" s="224"/>
      <c r="PHI607" s="222"/>
      <c r="PHJ607" s="222"/>
      <c r="PHK607" s="222"/>
      <c r="PHL607" s="222"/>
      <c r="PHM607" s="222"/>
      <c r="PHN607" s="222"/>
      <c r="PHO607" s="223"/>
      <c r="PHP607" s="224"/>
      <c r="PHQ607" s="222"/>
      <c r="PHR607" s="222"/>
      <c r="PHS607" s="222"/>
      <c r="PHT607" s="222"/>
      <c r="PHU607" s="222"/>
      <c r="PHV607" s="222"/>
      <c r="PHW607" s="223"/>
      <c r="PHX607" s="224"/>
      <c r="PHY607" s="222"/>
      <c r="PHZ607" s="222"/>
      <c r="PIA607" s="222"/>
      <c r="PIB607" s="222"/>
      <c r="PIC607" s="222"/>
      <c r="PID607" s="222"/>
      <c r="PIE607" s="223"/>
      <c r="PIF607" s="224"/>
      <c r="PIG607" s="222"/>
      <c r="PIH607" s="222"/>
      <c r="PII607" s="222"/>
      <c r="PIJ607" s="222"/>
      <c r="PIK607" s="222"/>
      <c r="PIL607" s="222"/>
      <c r="PIM607" s="223"/>
      <c r="PIN607" s="224"/>
      <c r="PIO607" s="222"/>
      <c r="PIP607" s="222"/>
      <c r="PIQ607" s="222"/>
      <c r="PIR607" s="222"/>
      <c r="PIS607" s="222"/>
      <c r="PIT607" s="222"/>
      <c r="PIU607" s="223"/>
      <c r="PIV607" s="224"/>
      <c r="PIW607" s="222"/>
      <c r="PIX607" s="222"/>
      <c r="PIY607" s="222"/>
      <c r="PIZ607" s="222"/>
      <c r="PJA607" s="222"/>
      <c r="PJB607" s="222"/>
      <c r="PJC607" s="223"/>
      <c r="PJD607" s="224"/>
      <c r="PJE607" s="222"/>
      <c r="PJF607" s="222"/>
      <c r="PJG607" s="222"/>
      <c r="PJH607" s="222"/>
      <c r="PJI607" s="222"/>
      <c r="PJJ607" s="222"/>
      <c r="PJK607" s="223"/>
      <c r="PJL607" s="224"/>
      <c r="PJM607" s="222"/>
      <c r="PJN607" s="222"/>
      <c r="PJO607" s="222"/>
      <c r="PJP607" s="222"/>
      <c r="PJQ607" s="222"/>
      <c r="PJR607" s="222"/>
      <c r="PJS607" s="223"/>
      <c r="PJT607" s="224"/>
      <c r="PJU607" s="222"/>
      <c r="PJV607" s="222"/>
      <c r="PJW607" s="222"/>
      <c r="PJX607" s="222"/>
      <c r="PJY607" s="222"/>
      <c r="PJZ607" s="222"/>
      <c r="PKA607" s="223"/>
      <c r="PKB607" s="224"/>
      <c r="PKC607" s="222"/>
      <c r="PKD607" s="222"/>
      <c r="PKE607" s="222"/>
      <c r="PKF607" s="222"/>
      <c r="PKG607" s="222"/>
      <c r="PKH607" s="222"/>
      <c r="PKI607" s="223"/>
      <c r="PKJ607" s="224"/>
      <c r="PKK607" s="222"/>
      <c r="PKL607" s="222"/>
      <c r="PKM607" s="222"/>
      <c r="PKN607" s="222"/>
      <c r="PKO607" s="222"/>
      <c r="PKP607" s="222"/>
      <c r="PKQ607" s="223"/>
      <c r="PKR607" s="224"/>
      <c r="PKS607" s="222"/>
      <c r="PKT607" s="222"/>
      <c r="PKU607" s="222"/>
      <c r="PKV607" s="222"/>
      <c r="PKW607" s="222"/>
      <c r="PKX607" s="222"/>
      <c r="PKY607" s="223"/>
      <c r="PKZ607" s="224"/>
      <c r="PLA607" s="222"/>
      <c r="PLB607" s="222"/>
      <c r="PLC607" s="222"/>
      <c r="PLD607" s="222"/>
      <c r="PLE607" s="222"/>
      <c r="PLF607" s="222"/>
      <c r="PLG607" s="223"/>
      <c r="PLH607" s="224"/>
      <c r="PLI607" s="222"/>
      <c r="PLJ607" s="222"/>
      <c r="PLK607" s="222"/>
      <c r="PLL607" s="222"/>
      <c r="PLM607" s="222"/>
      <c r="PLN607" s="222"/>
      <c r="PLO607" s="223"/>
      <c r="PLP607" s="224"/>
      <c r="PLQ607" s="222"/>
      <c r="PLR607" s="222"/>
      <c r="PLS607" s="222"/>
      <c r="PLT607" s="222"/>
      <c r="PLU607" s="222"/>
      <c r="PLV607" s="222"/>
      <c r="PLW607" s="223"/>
      <c r="PLX607" s="224"/>
      <c r="PLY607" s="222"/>
      <c r="PLZ607" s="222"/>
      <c r="PMA607" s="222"/>
      <c r="PMB607" s="222"/>
      <c r="PMC607" s="222"/>
      <c r="PMD607" s="222"/>
      <c r="PME607" s="223"/>
      <c r="PMF607" s="224"/>
      <c r="PMG607" s="222"/>
      <c r="PMH607" s="222"/>
      <c r="PMI607" s="222"/>
      <c r="PMJ607" s="222"/>
      <c r="PMK607" s="222"/>
      <c r="PML607" s="222"/>
      <c r="PMM607" s="223"/>
      <c r="PMN607" s="224"/>
      <c r="PMO607" s="222"/>
      <c r="PMP607" s="222"/>
      <c r="PMQ607" s="222"/>
      <c r="PMR607" s="222"/>
      <c r="PMS607" s="222"/>
      <c r="PMT607" s="222"/>
      <c r="PMU607" s="223"/>
      <c r="PMV607" s="224"/>
      <c r="PMW607" s="222"/>
      <c r="PMX607" s="222"/>
      <c r="PMY607" s="222"/>
      <c r="PMZ607" s="222"/>
      <c r="PNA607" s="222"/>
      <c r="PNB607" s="222"/>
      <c r="PNC607" s="223"/>
      <c r="PND607" s="224"/>
      <c r="PNE607" s="222"/>
      <c r="PNF607" s="222"/>
      <c r="PNG607" s="222"/>
      <c r="PNH607" s="222"/>
      <c r="PNI607" s="222"/>
      <c r="PNJ607" s="222"/>
      <c r="PNK607" s="223"/>
      <c r="PNL607" s="224"/>
      <c r="PNM607" s="222"/>
      <c r="PNN607" s="222"/>
      <c r="PNO607" s="222"/>
      <c r="PNP607" s="222"/>
      <c r="PNQ607" s="222"/>
      <c r="PNR607" s="222"/>
      <c r="PNS607" s="223"/>
      <c r="PNT607" s="224"/>
      <c r="PNU607" s="222"/>
      <c r="PNV607" s="222"/>
      <c r="PNW607" s="222"/>
      <c r="PNX607" s="222"/>
      <c r="PNY607" s="222"/>
      <c r="PNZ607" s="222"/>
      <c r="POA607" s="223"/>
      <c r="POB607" s="224"/>
      <c r="POC607" s="222"/>
      <c r="POD607" s="222"/>
      <c r="POE607" s="222"/>
      <c r="POF607" s="222"/>
      <c r="POG607" s="222"/>
      <c r="POH607" s="222"/>
      <c r="POI607" s="223"/>
      <c r="POJ607" s="224"/>
      <c r="POK607" s="222"/>
      <c r="POL607" s="222"/>
      <c r="POM607" s="222"/>
      <c r="PON607" s="222"/>
      <c r="POO607" s="222"/>
      <c r="POP607" s="222"/>
      <c r="POQ607" s="223"/>
      <c r="POR607" s="224"/>
      <c r="POS607" s="222"/>
      <c r="POT607" s="222"/>
      <c r="POU607" s="222"/>
      <c r="POV607" s="222"/>
      <c r="POW607" s="222"/>
      <c r="POX607" s="222"/>
      <c r="POY607" s="223"/>
      <c r="POZ607" s="224"/>
      <c r="PPA607" s="222"/>
      <c r="PPB607" s="222"/>
      <c r="PPC607" s="222"/>
      <c r="PPD607" s="222"/>
      <c r="PPE607" s="222"/>
      <c r="PPF607" s="222"/>
      <c r="PPG607" s="223"/>
      <c r="PPH607" s="224"/>
      <c r="PPI607" s="222"/>
      <c r="PPJ607" s="222"/>
      <c r="PPK607" s="222"/>
      <c r="PPL607" s="222"/>
      <c r="PPM607" s="222"/>
      <c r="PPN607" s="222"/>
      <c r="PPO607" s="223"/>
      <c r="PPP607" s="224"/>
      <c r="PPQ607" s="222"/>
      <c r="PPR607" s="222"/>
      <c r="PPS607" s="222"/>
      <c r="PPT607" s="222"/>
      <c r="PPU607" s="222"/>
      <c r="PPV607" s="222"/>
      <c r="PPW607" s="223"/>
      <c r="PPX607" s="224"/>
      <c r="PPY607" s="222"/>
      <c r="PPZ607" s="222"/>
      <c r="PQA607" s="222"/>
      <c r="PQB607" s="222"/>
      <c r="PQC607" s="222"/>
      <c r="PQD607" s="222"/>
      <c r="PQE607" s="223"/>
      <c r="PQF607" s="224"/>
      <c r="PQG607" s="222"/>
      <c r="PQH607" s="222"/>
      <c r="PQI607" s="222"/>
      <c r="PQJ607" s="222"/>
      <c r="PQK607" s="222"/>
      <c r="PQL607" s="222"/>
      <c r="PQM607" s="223"/>
      <c r="PQN607" s="224"/>
      <c r="PQO607" s="222"/>
      <c r="PQP607" s="222"/>
      <c r="PQQ607" s="222"/>
      <c r="PQR607" s="222"/>
      <c r="PQS607" s="222"/>
      <c r="PQT607" s="222"/>
      <c r="PQU607" s="223"/>
      <c r="PQV607" s="224"/>
      <c r="PQW607" s="222"/>
      <c r="PQX607" s="222"/>
      <c r="PQY607" s="222"/>
      <c r="PQZ607" s="222"/>
      <c r="PRA607" s="222"/>
      <c r="PRB607" s="222"/>
      <c r="PRC607" s="223"/>
      <c r="PRD607" s="224"/>
      <c r="PRE607" s="222"/>
      <c r="PRF607" s="222"/>
      <c r="PRG607" s="222"/>
      <c r="PRH607" s="222"/>
      <c r="PRI607" s="222"/>
      <c r="PRJ607" s="222"/>
      <c r="PRK607" s="223"/>
      <c r="PRL607" s="224"/>
      <c r="PRM607" s="222"/>
      <c r="PRN607" s="222"/>
      <c r="PRO607" s="222"/>
      <c r="PRP607" s="222"/>
      <c r="PRQ607" s="222"/>
      <c r="PRR607" s="222"/>
      <c r="PRS607" s="223"/>
      <c r="PRT607" s="224"/>
      <c r="PRU607" s="222"/>
      <c r="PRV607" s="222"/>
      <c r="PRW607" s="222"/>
      <c r="PRX607" s="222"/>
      <c r="PRY607" s="222"/>
      <c r="PRZ607" s="222"/>
      <c r="PSA607" s="223"/>
      <c r="PSB607" s="224"/>
      <c r="PSC607" s="222"/>
      <c r="PSD607" s="222"/>
      <c r="PSE607" s="222"/>
      <c r="PSF607" s="222"/>
      <c r="PSG607" s="222"/>
      <c r="PSH607" s="222"/>
      <c r="PSI607" s="223"/>
      <c r="PSJ607" s="224"/>
      <c r="PSK607" s="222"/>
      <c r="PSL607" s="222"/>
      <c r="PSM607" s="222"/>
      <c r="PSN607" s="222"/>
      <c r="PSO607" s="222"/>
      <c r="PSP607" s="222"/>
      <c r="PSQ607" s="223"/>
      <c r="PSR607" s="224"/>
      <c r="PSS607" s="222"/>
      <c r="PST607" s="222"/>
      <c r="PSU607" s="222"/>
      <c r="PSV607" s="222"/>
      <c r="PSW607" s="222"/>
      <c r="PSX607" s="222"/>
      <c r="PSY607" s="223"/>
      <c r="PSZ607" s="224"/>
      <c r="PTA607" s="222"/>
      <c r="PTB607" s="222"/>
      <c r="PTC607" s="222"/>
      <c r="PTD607" s="222"/>
      <c r="PTE607" s="222"/>
      <c r="PTF607" s="222"/>
      <c r="PTG607" s="223"/>
      <c r="PTH607" s="224"/>
      <c r="PTI607" s="222"/>
      <c r="PTJ607" s="222"/>
      <c r="PTK607" s="222"/>
      <c r="PTL607" s="222"/>
      <c r="PTM607" s="222"/>
      <c r="PTN607" s="222"/>
      <c r="PTO607" s="223"/>
      <c r="PTP607" s="224"/>
      <c r="PTQ607" s="222"/>
      <c r="PTR607" s="222"/>
      <c r="PTS607" s="222"/>
      <c r="PTT607" s="222"/>
      <c r="PTU607" s="222"/>
      <c r="PTV607" s="222"/>
      <c r="PTW607" s="223"/>
      <c r="PTX607" s="224"/>
      <c r="PTY607" s="222"/>
      <c r="PTZ607" s="222"/>
      <c r="PUA607" s="222"/>
      <c r="PUB607" s="222"/>
      <c r="PUC607" s="222"/>
      <c r="PUD607" s="222"/>
      <c r="PUE607" s="223"/>
      <c r="PUF607" s="224"/>
      <c r="PUG607" s="222"/>
      <c r="PUH607" s="222"/>
      <c r="PUI607" s="222"/>
      <c r="PUJ607" s="222"/>
      <c r="PUK607" s="222"/>
      <c r="PUL607" s="222"/>
      <c r="PUM607" s="223"/>
      <c r="PUN607" s="224"/>
      <c r="PUO607" s="222"/>
      <c r="PUP607" s="222"/>
      <c r="PUQ607" s="222"/>
      <c r="PUR607" s="222"/>
      <c r="PUS607" s="222"/>
      <c r="PUT607" s="222"/>
      <c r="PUU607" s="223"/>
      <c r="PUV607" s="224"/>
      <c r="PUW607" s="222"/>
      <c r="PUX607" s="222"/>
      <c r="PUY607" s="222"/>
      <c r="PUZ607" s="222"/>
      <c r="PVA607" s="222"/>
      <c r="PVB607" s="222"/>
      <c r="PVC607" s="223"/>
      <c r="PVD607" s="224"/>
      <c r="PVE607" s="222"/>
      <c r="PVF607" s="222"/>
      <c r="PVG607" s="222"/>
      <c r="PVH607" s="222"/>
      <c r="PVI607" s="222"/>
      <c r="PVJ607" s="222"/>
      <c r="PVK607" s="223"/>
      <c r="PVL607" s="224"/>
      <c r="PVM607" s="222"/>
      <c r="PVN607" s="222"/>
      <c r="PVO607" s="222"/>
      <c r="PVP607" s="222"/>
      <c r="PVQ607" s="222"/>
      <c r="PVR607" s="222"/>
      <c r="PVS607" s="223"/>
      <c r="PVT607" s="224"/>
      <c r="PVU607" s="222"/>
      <c r="PVV607" s="222"/>
      <c r="PVW607" s="222"/>
      <c r="PVX607" s="222"/>
      <c r="PVY607" s="222"/>
      <c r="PVZ607" s="222"/>
      <c r="PWA607" s="223"/>
      <c r="PWB607" s="224"/>
      <c r="PWC607" s="222"/>
      <c r="PWD607" s="222"/>
      <c r="PWE607" s="222"/>
      <c r="PWF607" s="222"/>
      <c r="PWG607" s="222"/>
      <c r="PWH607" s="222"/>
      <c r="PWI607" s="223"/>
      <c r="PWJ607" s="224"/>
      <c r="PWK607" s="222"/>
      <c r="PWL607" s="222"/>
      <c r="PWM607" s="222"/>
      <c r="PWN607" s="222"/>
      <c r="PWO607" s="222"/>
      <c r="PWP607" s="222"/>
      <c r="PWQ607" s="223"/>
      <c r="PWR607" s="224"/>
      <c r="PWS607" s="222"/>
      <c r="PWT607" s="222"/>
      <c r="PWU607" s="222"/>
      <c r="PWV607" s="222"/>
      <c r="PWW607" s="222"/>
      <c r="PWX607" s="222"/>
      <c r="PWY607" s="223"/>
      <c r="PWZ607" s="224"/>
      <c r="PXA607" s="222"/>
      <c r="PXB607" s="222"/>
      <c r="PXC607" s="222"/>
      <c r="PXD607" s="222"/>
      <c r="PXE607" s="222"/>
      <c r="PXF607" s="222"/>
      <c r="PXG607" s="223"/>
      <c r="PXH607" s="224"/>
      <c r="PXI607" s="222"/>
      <c r="PXJ607" s="222"/>
      <c r="PXK607" s="222"/>
      <c r="PXL607" s="222"/>
      <c r="PXM607" s="222"/>
      <c r="PXN607" s="222"/>
      <c r="PXO607" s="223"/>
      <c r="PXP607" s="224"/>
      <c r="PXQ607" s="222"/>
      <c r="PXR607" s="222"/>
      <c r="PXS607" s="222"/>
      <c r="PXT607" s="222"/>
      <c r="PXU607" s="222"/>
      <c r="PXV607" s="222"/>
      <c r="PXW607" s="223"/>
      <c r="PXX607" s="224"/>
      <c r="PXY607" s="222"/>
      <c r="PXZ607" s="222"/>
      <c r="PYA607" s="222"/>
      <c r="PYB607" s="222"/>
      <c r="PYC607" s="222"/>
      <c r="PYD607" s="222"/>
      <c r="PYE607" s="223"/>
      <c r="PYF607" s="224"/>
      <c r="PYG607" s="222"/>
      <c r="PYH607" s="222"/>
      <c r="PYI607" s="222"/>
      <c r="PYJ607" s="222"/>
      <c r="PYK607" s="222"/>
      <c r="PYL607" s="222"/>
      <c r="PYM607" s="223"/>
      <c r="PYN607" s="224"/>
      <c r="PYO607" s="222"/>
      <c r="PYP607" s="222"/>
      <c r="PYQ607" s="222"/>
      <c r="PYR607" s="222"/>
      <c r="PYS607" s="222"/>
      <c r="PYT607" s="222"/>
      <c r="PYU607" s="223"/>
      <c r="PYV607" s="224"/>
      <c r="PYW607" s="222"/>
      <c r="PYX607" s="222"/>
      <c r="PYY607" s="222"/>
      <c r="PYZ607" s="222"/>
      <c r="PZA607" s="222"/>
      <c r="PZB607" s="222"/>
      <c r="PZC607" s="223"/>
      <c r="PZD607" s="224"/>
      <c r="PZE607" s="222"/>
      <c r="PZF607" s="222"/>
      <c r="PZG607" s="222"/>
      <c r="PZH607" s="222"/>
      <c r="PZI607" s="222"/>
      <c r="PZJ607" s="222"/>
      <c r="PZK607" s="223"/>
      <c r="PZL607" s="224"/>
      <c r="PZM607" s="222"/>
      <c r="PZN607" s="222"/>
      <c r="PZO607" s="222"/>
      <c r="PZP607" s="222"/>
      <c r="PZQ607" s="222"/>
      <c r="PZR607" s="222"/>
      <c r="PZS607" s="223"/>
      <c r="PZT607" s="224"/>
      <c r="PZU607" s="222"/>
      <c r="PZV607" s="222"/>
      <c r="PZW607" s="222"/>
      <c r="PZX607" s="222"/>
      <c r="PZY607" s="222"/>
      <c r="PZZ607" s="222"/>
      <c r="QAA607" s="223"/>
      <c r="QAB607" s="224"/>
      <c r="QAC607" s="222"/>
      <c r="QAD607" s="222"/>
      <c r="QAE607" s="222"/>
      <c r="QAF607" s="222"/>
      <c r="QAG607" s="222"/>
      <c r="QAH607" s="222"/>
      <c r="QAI607" s="223"/>
      <c r="QAJ607" s="224"/>
      <c r="QAK607" s="222"/>
      <c r="QAL607" s="222"/>
      <c r="QAM607" s="222"/>
      <c r="QAN607" s="222"/>
      <c r="QAO607" s="222"/>
      <c r="QAP607" s="222"/>
      <c r="QAQ607" s="223"/>
      <c r="QAR607" s="224"/>
      <c r="QAS607" s="222"/>
      <c r="QAT607" s="222"/>
      <c r="QAU607" s="222"/>
      <c r="QAV607" s="222"/>
      <c r="QAW607" s="222"/>
      <c r="QAX607" s="222"/>
      <c r="QAY607" s="223"/>
      <c r="QAZ607" s="224"/>
      <c r="QBA607" s="222"/>
      <c r="QBB607" s="222"/>
      <c r="QBC607" s="222"/>
      <c r="QBD607" s="222"/>
      <c r="QBE607" s="222"/>
      <c r="QBF607" s="222"/>
      <c r="QBG607" s="223"/>
      <c r="QBH607" s="224"/>
      <c r="QBI607" s="222"/>
      <c r="QBJ607" s="222"/>
      <c r="QBK607" s="222"/>
      <c r="QBL607" s="222"/>
      <c r="QBM607" s="222"/>
      <c r="QBN607" s="222"/>
      <c r="QBO607" s="223"/>
      <c r="QBP607" s="224"/>
      <c r="QBQ607" s="222"/>
      <c r="QBR607" s="222"/>
      <c r="QBS607" s="222"/>
      <c r="QBT607" s="222"/>
      <c r="QBU607" s="222"/>
      <c r="QBV607" s="222"/>
      <c r="QBW607" s="223"/>
      <c r="QBX607" s="224"/>
      <c r="QBY607" s="222"/>
      <c r="QBZ607" s="222"/>
      <c r="QCA607" s="222"/>
      <c r="QCB607" s="222"/>
      <c r="QCC607" s="222"/>
      <c r="QCD607" s="222"/>
      <c r="QCE607" s="223"/>
      <c r="QCF607" s="224"/>
      <c r="QCG607" s="222"/>
      <c r="QCH607" s="222"/>
      <c r="QCI607" s="222"/>
      <c r="QCJ607" s="222"/>
      <c r="QCK607" s="222"/>
      <c r="QCL607" s="222"/>
      <c r="QCM607" s="223"/>
      <c r="QCN607" s="224"/>
      <c r="QCO607" s="222"/>
      <c r="QCP607" s="222"/>
      <c r="QCQ607" s="222"/>
      <c r="QCR607" s="222"/>
      <c r="QCS607" s="222"/>
      <c r="QCT607" s="222"/>
      <c r="QCU607" s="223"/>
      <c r="QCV607" s="224"/>
      <c r="QCW607" s="222"/>
      <c r="QCX607" s="222"/>
      <c r="QCY607" s="222"/>
      <c r="QCZ607" s="222"/>
      <c r="QDA607" s="222"/>
      <c r="QDB607" s="222"/>
      <c r="QDC607" s="223"/>
      <c r="QDD607" s="224"/>
      <c r="QDE607" s="222"/>
      <c r="QDF607" s="222"/>
      <c r="QDG607" s="222"/>
      <c r="QDH607" s="222"/>
      <c r="QDI607" s="222"/>
      <c r="QDJ607" s="222"/>
      <c r="QDK607" s="223"/>
      <c r="QDL607" s="224"/>
      <c r="QDM607" s="222"/>
      <c r="QDN607" s="222"/>
      <c r="QDO607" s="222"/>
      <c r="QDP607" s="222"/>
      <c r="QDQ607" s="222"/>
      <c r="QDR607" s="222"/>
      <c r="QDS607" s="223"/>
      <c r="QDT607" s="224"/>
      <c r="QDU607" s="222"/>
      <c r="QDV607" s="222"/>
      <c r="QDW607" s="222"/>
      <c r="QDX607" s="222"/>
      <c r="QDY607" s="222"/>
      <c r="QDZ607" s="222"/>
      <c r="QEA607" s="223"/>
      <c r="QEB607" s="224"/>
      <c r="QEC607" s="222"/>
      <c r="QED607" s="222"/>
      <c r="QEE607" s="222"/>
      <c r="QEF607" s="222"/>
      <c r="QEG607" s="222"/>
      <c r="QEH607" s="222"/>
      <c r="QEI607" s="223"/>
      <c r="QEJ607" s="224"/>
      <c r="QEK607" s="222"/>
      <c r="QEL607" s="222"/>
      <c r="QEM607" s="222"/>
      <c r="QEN607" s="222"/>
      <c r="QEO607" s="222"/>
      <c r="QEP607" s="222"/>
      <c r="QEQ607" s="223"/>
      <c r="QER607" s="224"/>
      <c r="QES607" s="222"/>
      <c r="QET607" s="222"/>
      <c r="QEU607" s="222"/>
      <c r="QEV607" s="222"/>
      <c r="QEW607" s="222"/>
      <c r="QEX607" s="222"/>
      <c r="QEY607" s="223"/>
      <c r="QEZ607" s="224"/>
      <c r="QFA607" s="222"/>
      <c r="QFB607" s="222"/>
      <c r="QFC607" s="222"/>
      <c r="QFD607" s="222"/>
      <c r="QFE607" s="222"/>
      <c r="QFF607" s="222"/>
      <c r="QFG607" s="223"/>
      <c r="QFH607" s="224"/>
      <c r="QFI607" s="222"/>
      <c r="QFJ607" s="222"/>
      <c r="QFK607" s="222"/>
      <c r="QFL607" s="222"/>
      <c r="QFM607" s="222"/>
      <c r="QFN607" s="222"/>
      <c r="QFO607" s="223"/>
      <c r="QFP607" s="224"/>
      <c r="QFQ607" s="222"/>
      <c r="QFR607" s="222"/>
      <c r="QFS607" s="222"/>
      <c r="QFT607" s="222"/>
      <c r="QFU607" s="222"/>
      <c r="QFV607" s="222"/>
      <c r="QFW607" s="223"/>
      <c r="QFX607" s="224"/>
      <c r="QFY607" s="222"/>
      <c r="QFZ607" s="222"/>
      <c r="QGA607" s="222"/>
      <c r="QGB607" s="222"/>
      <c r="QGC607" s="222"/>
      <c r="QGD607" s="222"/>
      <c r="QGE607" s="223"/>
      <c r="QGF607" s="224"/>
      <c r="QGG607" s="222"/>
      <c r="QGH607" s="222"/>
      <c r="QGI607" s="222"/>
      <c r="QGJ607" s="222"/>
      <c r="QGK607" s="222"/>
      <c r="QGL607" s="222"/>
      <c r="QGM607" s="223"/>
      <c r="QGN607" s="224"/>
      <c r="QGO607" s="222"/>
      <c r="QGP607" s="222"/>
      <c r="QGQ607" s="222"/>
      <c r="QGR607" s="222"/>
      <c r="QGS607" s="222"/>
      <c r="QGT607" s="222"/>
      <c r="QGU607" s="223"/>
      <c r="QGV607" s="224"/>
      <c r="QGW607" s="222"/>
      <c r="QGX607" s="222"/>
      <c r="QGY607" s="222"/>
      <c r="QGZ607" s="222"/>
      <c r="QHA607" s="222"/>
      <c r="QHB607" s="222"/>
      <c r="QHC607" s="223"/>
      <c r="QHD607" s="224"/>
      <c r="QHE607" s="222"/>
      <c r="QHF607" s="222"/>
      <c r="QHG607" s="222"/>
      <c r="QHH607" s="222"/>
      <c r="QHI607" s="222"/>
      <c r="QHJ607" s="222"/>
      <c r="QHK607" s="223"/>
      <c r="QHL607" s="224"/>
      <c r="QHM607" s="222"/>
      <c r="QHN607" s="222"/>
      <c r="QHO607" s="222"/>
      <c r="QHP607" s="222"/>
      <c r="QHQ607" s="222"/>
      <c r="QHR607" s="222"/>
      <c r="QHS607" s="223"/>
      <c r="QHT607" s="224"/>
      <c r="QHU607" s="222"/>
      <c r="QHV607" s="222"/>
      <c r="QHW607" s="222"/>
      <c r="QHX607" s="222"/>
      <c r="QHY607" s="222"/>
      <c r="QHZ607" s="222"/>
      <c r="QIA607" s="223"/>
      <c r="QIB607" s="224"/>
      <c r="QIC607" s="222"/>
      <c r="QID607" s="222"/>
      <c r="QIE607" s="222"/>
      <c r="QIF607" s="222"/>
      <c r="QIG607" s="222"/>
      <c r="QIH607" s="222"/>
      <c r="QII607" s="223"/>
      <c r="QIJ607" s="224"/>
      <c r="QIK607" s="222"/>
      <c r="QIL607" s="222"/>
      <c r="QIM607" s="222"/>
      <c r="QIN607" s="222"/>
      <c r="QIO607" s="222"/>
      <c r="QIP607" s="222"/>
      <c r="QIQ607" s="223"/>
      <c r="QIR607" s="224"/>
      <c r="QIS607" s="222"/>
      <c r="QIT607" s="222"/>
      <c r="QIU607" s="222"/>
      <c r="QIV607" s="222"/>
      <c r="QIW607" s="222"/>
      <c r="QIX607" s="222"/>
      <c r="QIY607" s="223"/>
      <c r="QIZ607" s="224"/>
      <c r="QJA607" s="222"/>
      <c r="QJB607" s="222"/>
      <c r="QJC607" s="222"/>
      <c r="QJD607" s="222"/>
      <c r="QJE607" s="222"/>
      <c r="QJF607" s="222"/>
      <c r="QJG607" s="223"/>
      <c r="QJH607" s="224"/>
      <c r="QJI607" s="222"/>
      <c r="QJJ607" s="222"/>
      <c r="QJK607" s="222"/>
      <c r="QJL607" s="222"/>
      <c r="QJM607" s="222"/>
      <c r="QJN607" s="222"/>
      <c r="QJO607" s="223"/>
      <c r="QJP607" s="224"/>
      <c r="QJQ607" s="222"/>
      <c r="QJR607" s="222"/>
      <c r="QJS607" s="222"/>
      <c r="QJT607" s="222"/>
      <c r="QJU607" s="222"/>
      <c r="QJV607" s="222"/>
      <c r="QJW607" s="223"/>
      <c r="QJX607" s="224"/>
      <c r="QJY607" s="222"/>
      <c r="QJZ607" s="222"/>
      <c r="QKA607" s="222"/>
      <c r="QKB607" s="222"/>
      <c r="QKC607" s="222"/>
      <c r="QKD607" s="222"/>
      <c r="QKE607" s="223"/>
      <c r="QKF607" s="224"/>
      <c r="QKG607" s="222"/>
      <c r="QKH607" s="222"/>
      <c r="QKI607" s="222"/>
      <c r="QKJ607" s="222"/>
      <c r="QKK607" s="222"/>
      <c r="QKL607" s="222"/>
      <c r="QKM607" s="223"/>
      <c r="QKN607" s="224"/>
      <c r="QKO607" s="222"/>
      <c r="QKP607" s="222"/>
      <c r="QKQ607" s="222"/>
      <c r="QKR607" s="222"/>
      <c r="QKS607" s="222"/>
      <c r="QKT607" s="222"/>
      <c r="QKU607" s="223"/>
      <c r="QKV607" s="224"/>
      <c r="QKW607" s="222"/>
      <c r="QKX607" s="222"/>
      <c r="QKY607" s="222"/>
      <c r="QKZ607" s="222"/>
      <c r="QLA607" s="222"/>
      <c r="QLB607" s="222"/>
      <c r="QLC607" s="223"/>
      <c r="QLD607" s="224"/>
      <c r="QLE607" s="222"/>
      <c r="QLF607" s="222"/>
      <c r="QLG607" s="222"/>
      <c r="QLH607" s="222"/>
      <c r="QLI607" s="222"/>
      <c r="QLJ607" s="222"/>
      <c r="QLK607" s="223"/>
      <c r="QLL607" s="224"/>
      <c r="QLM607" s="222"/>
      <c r="QLN607" s="222"/>
      <c r="QLO607" s="222"/>
      <c r="QLP607" s="222"/>
      <c r="QLQ607" s="222"/>
      <c r="QLR607" s="222"/>
      <c r="QLS607" s="223"/>
      <c r="QLT607" s="224"/>
      <c r="QLU607" s="222"/>
      <c r="QLV607" s="222"/>
      <c r="QLW607" s="222"/>
      <c r="QLX607" s="222"/>
      <c r="QLY607" s="222"/>
      <c r="QLZ607" s="222"/>
      <c r="QMA607" s="223"/>
      <c r="QMB607" s="224"/>
      <c r="QMC607" s="222"/>
      <c r="QMD607" s="222"/>
      <c r="QME607" s="222"/>
      <c r="QMF607" s="222"/>
      <c r="QMG607" s="222"/>
      <c r="QMH607" s="222"/>
      <c r="QMI607" s="223"/>
      <c r="QMJ607" s="224"/>
      <c r="QMK607" s="222"/>
      <c r="QML607" s="222"/>
      <c r="QMM607" s="222"/>
      <c r="QMN607" s="222"/>
      <c r="QMO607" s="222"/>
      <c r="QMP607" s="222"/>
      <c r="QMQ607" s="223"/>
      <c r="QMR607" s="224"/>
      <c r="QMS607" s="222"/>
      <c r="QMT607" s="222"/>
      <c r="QMU607" s="222"/>
      <c r="QMV607" s="222"/>
      <c r="QMW607" s="222"/>
      <c r="QMX607" s="222"/>
      <c r="QMY607" s="223"/>
      <c r="QMZ607" s="224"/>
      <c r="QNA607" s="222"/>
      <c r="QNB607" s="222"/>
      <c r="QNC607" s="222"/>
      <c r="QND607" s="222"/>
      <c r="QNE607" s="222"/>
      <c r="QNF607" s="222"/>
      <c r="QNG607" s="223"/>
      <c r="QNH607" s="224"/>
      <c r="QNI607" s="222"/>
      <c r="QNJ607" s="222"/>
      <c r="QNK607" s="222"/>
      <c r="QNL607" s="222"/>
      <c r="QNM607" s="222"/>
      <c r="QNN607" s="222"/>
      <c r="QNO607" s="223"/>
      <c r="QNP607" s="224"/>
      <c r="QNQ607" s="222"/>
      <c r="QNR607" s="222"/>
      <c r="QNS607" s="222"/>
      <c r="QNT607" s="222"/>
      <c r="QNU607" s="222"/>
      <c r="QNV607" s="222"/>
      <c r="QNW607" s="223"/>
      <c r="QNX607" s="224"/>
      <c r="QNY607" s="222"/>
      <c r="QNZ607" s="222"/>
      <c r="QOA607" s="222"/>
      <c r="QOB607" s="222"/>
      <c r="QOC607" s="222"/>
      <c r="QOD607" s="222"/>
      <c r="QOE607" s="223"/>
      <c r="QOF607" s="224"/>
      <c r="QOG607" s="222"/>
      <c r="QOH607" s="222"/>
      <c r="QOI607" s="222"/>
      <c r="QOJ607" s="222"/>
      <c r="QOK607" s="222"/>
      <c r="QOL607" s="222"/>
      <c r="QOM607" s="223"/>
      <c r="QON607" s="224"/>
      <c r="QOO607" s="222"/>
      <c r="QOP607" s="222"/>
      <c r="QOQ607" s="222"/>
      <c r="QOR607" s="222"/>
      <c r="QOS607" s="222"/>
      <c r="QOT607" s="222"/>
      <c r="QOU607" s="223"/>
      <c r="QOV607" s="224"/>
      <c r="QOW607" s="222"/>
      <c r="QOX607" s="222"/>
      <c r="QOY607" s="222"/>
      <c r="QOZ607" s="222"/>
      <c r="QPA607" s="222"/>
      <c r="QPB607" s="222"/>
      <c r="QPC607" s="223"/>
      <c r="QPD607" s="224"/>
      <c r="QPE607" s="222"/>
      <c r="QPF607" s="222"/>
      <c r="QPG607" s="222"/>
      <c r="QPH607" s="222"/>
      <c r="QPI607" s="222"/>
      <c r="QPJ607" s="222"/>
      <c r="QPK607" s="223"/>
      <c r="QPL607" s="224"/>
      <c r="QPM607" s="222"/>
      <c r="QPN607" s="222"/>
      <c r="QPO607" s="222"/>
      <c r="QPP607" s="222"/>
      <c r="QPQ607" s="222"/>
      <c r="QPR607" s="222"/>
      <c r="QPS607" s="223"/>
      <c r="QPT607" s="224"/>
      <c r="QPU607" s="222"/>
      <c r="QPV607" s="222"/>
      <c r="QPW607" s="222"/>
      <c r="QPX607" s="222"/>
      <c r="QPY607" s="222"/>
      <c r="QPZ607" s="222"/>
      <c r="QQA607" s="223"/>
      <c r="QQB607" s="224"/>
      <c r="QQC607" s="222"/>
      <c r="QQD607" s="222"/>
      <c r="QQE607" s="222"/>
      <c r="QQF607" s="222"/>
      <c r="QQG607" s="222"/>
      <c r="QQH607" s="222"/>
      <c r="QQI607" s="223"/>
      <c r="QQJ607" s="224"/>
      <c r="QQK607" s="222"/>
      <c r="QQL607" s="222"/>
      <c r="QQM607" s="222"/>
      <c r="QQN607" s="222"/>
      <c r="QQO607" s="222"/>
      <c r="QQP607" s="222"/>
      <c r="QQQ607" s="223"/>
      <c r="QQR607" s="224"/>
      <c r="QQS607" s="222"/>
      <c r="QQT607" s="222"/>
      <c r="QQU607" s="222"/>
      <c r="QQV607" s="222"/>
      <c r="QQW607" s="222"/>
      <c r="QQX607" s="222"/>
      <c r="QQY607" s="223"/>
      <c r="QQZ607" s="224"/>
      <c r="QRA607" s="222"/>
      <c r="QRB607" s="222"/>
      <c r="QRC607" s="222"/>
      <c r="QRD607" s="222"/>
      <c r="QRE607" s="222"/>
      <c r="QRF607" s="222"/>
      <c r="QRG607" s="223"/>
      <c r="QRH607" s="224"/>
      <c r="QRI607" s="222"/>
      <c r="QRJ607" s="222"/>
      <c r="QRK607" s="222"/>
      <c r="QRL607" s="222"/>
      <c r="QRM607" s="222"/>
      <c r="QRN607" s="222"/>
      <c r="QRO607" s="223"/>
      <c r="QRP607" s="224"/>
      <c r="QRQ607" s="222"/>
      <c r="QRR607" s="222"/>
      <c r="QRS607" s="222"/>
      <c r="QRT607" s="222"/>
      <c r="QRU607" s="222"/>
      <c r="QRV607" s="222"/>
      <c r="QRW607" s="223"/>
      <c r="QRX607" s="224"/>
      <c r="QRY607" s="222"/>
      <c r="QRZ607" s="222"/>
      <c r="QSA607" s="222"/>
      <c r="QSB607" s="222"/>
      <c r="QSC607" s="222"/>
      <c r="QSD607" s="222"/>
      <c r="QSE607" s="223"/>
      <c r="QSF607" s="224"/>
      <c r="QSG607" s="222"/>
      <c r="QSH607" s="222"/>
      <c r="QSI607" s="222"/>
      <c r="QSJ607" s="222"/>
      <c r="QSK607" s="222"/>
      <c r="QSL607" s="222"/>
      <c r="QSM607" s="223"/>
      <c r="QSN607" s="224"/>
      <c r="QSO607" s="222"/>
      <c r="QSP607" s="222"/>
      <c r="QSQ607" s="222"/>
      <c r="QSR607" s="222"/>
      <c r="QSS607" s="222"/>
      <c r="QST607" s="222"/>
      <c r="QSU607" s="223"/>
      <c r="QSV607" s="224"/>
      <c r="QSW607" s="222"/>
      <c r="QSX607" s="222"/>
      <c r="QSY607" s="222"/>
      <c r="QSZ607" s="222"/>
      <c r="QTA607" s="222"/>
      <c r="QTB607" s="222"/>
      <c r="QTC607" s="223"/>
      <c r="QTD607" s="224"/>
      <c r="QTE607" s="222"/>
      <c r="QTF607" s="222"/>
      <c r="QTG607" s="222"/>
      <c r="QTH607" s="222"/>
      <c r="QTI607" s="222"/>
      <c r="QTJ607" s="222"/>
      <c r="QTK607" s="223"/>
      <c r="QTL607" s="224"/>
      <c r="QTM607" s="222"/>
      <c r="QTN607" s="222"/>
      <c r="QTO607" s="222"/>
      <c r="QTP607" s="222"/>
      <c r="QTQ607" s="222"/>
      <c r="QTR607" s="222"/>
      <c r="QTS607" s="223"/>
      <c r="QTT607" s="224"/>
      <c r="QTU607" s="222"/>
      <c r="QTV607" s="222"/>
      <c r="QTW607" s="222"/>
      <c r="QTX607" s="222"/>
      <c r="QTY607" s="222"/>
      <c r="QTZ607" s="222"/>
      <c r="QUA607" s="223"/>
      <c r="QUB607" s="224"/>
      <c r="QUC607" s="222"/>
      <c r="QUD607" s="222"/>
      <c r="QUE607" s="222"/>
      <c r="QUF607" s="222"/>
      <c r="QUG607" s="222"/>
      <c r="QUH607" s="222"/>
      <c r="QUI607" s="223"/>
      <c r="QUJ607" s="224"/>
      <c r="QUK607" s="222"/>
      <c r="QUL607" s="222"/>
      <c r="QUM607" s="222"/>
      <c r="QUN607" s="222"/>
      <c r="QUO607" s="222"/>
      <c r="QUP607" s="222"/>
      <c r="QUQ607" s="223"/>
      <c r="QUR607" s="224"/>
      <c r="QUS607" s="222"/>
      <c r="QUT607" s="222"/>
      <c r="QUU607" s="222"/>
      <c r="QUV607" s="222"/>
      <c r="QUW607" s="222"/>
      <c r="QUX607" s="222"/>
      <c r="QUY607" s="223"/>
      <c r="QUZ607" s="224"/>
      <c r="QVA607" s="222"/>
      <c r="QVB607" s="222"/>
      <c r="QVC607" s="222"/>
      <c r="QVD607" s="222"/>
      <c r="QVE607" s="222"/>
      <c r="QVF607" s="222"/>
      <c r="QVG607" s="223"/>
      <c r="QVH607" s="224"/>
      <c r="QVI607" s="222"/>
      <c r="QVJ607" s="222"/>
      <c r="QVK607" s="222"/>
      <c r="QVL607" s="222"/>
      <c r="QVM607" s="222"/>
      <c r="QVN607" s="222"/>
      <c r="QVO607" s="223"/>
      <c r="QVP607" s="224"/>
      <c r="QVQ607" s="222"/>
      <c r="QVR607" s="222"/>
      <c r="QVS607" s="222"/>
      <c r="QVT607" s="222"/>
      <c r="QVU607" s="222"/>
      <c r="QVV607" s="222"/>
      <c r="QVW607" s="223"/>
      <c r="QVX607" s="224"/>
      <c r="QVY607" s="222"/>
      <c r="QVZ607" s="222"/>
      <c r="QWA607" s="222"/>
      <c r="QWB607" s="222"/>
      <c r="QWC607" s="222"/>
      <c r="QWD607" s="222"/>
      <c r="QWE607" s="223"/>
      <c r="QWF607" s="224"/>
      <c r="QWG607" s="222"/>
      <c r="QWH607" s="222"/>
      <c r="QWI607" s="222"/>
      <c r="QWJ607" s="222"/>
      <c r="QWK607" s="222"/>
      <c r="QWL607" s="222"/>
      <c r="QWM607" s="223"/>
      <c r="QWN607" s="224"/>
      <c r="QWO607" s="222"/>
      <c r="QWP607" s="222"/>
      <c r="QWQ607" s="222"/>
      <c r="QWR607" s="222"/>
      <c r="QWS607" s="222"/>
      <c r="QWT607" s="222"/>
      <c r="QWU607" s="223"/>
      <c r="QWV607" s="224"/>
      <c r="QWW607" s="222"/>
      <c r="QWX607" s="222"/>
      <c r="QWY607" s="222"/>
      <c r="QWZ607" s="222"/>
      <c r="QXA607" s="222"/>
      <c r="QXB607" s="222"/>
      <c r="QXC607" s="223"/>
      <c r="QXD607" s="224"/>
      <c r="QXE607" s="222"/>
      <c r="QXF607" s="222"/>
      <c r="QXG607" s="222"/>
      <c r="QXH607" s="222"/>
      <c r="QXI607" s="222"/>
      <c r="QXJ607" s="222"/>
      <c r="QXK607" s="223"/>
      <c r="QXL607" s="224"/>
      <c r="QXM607" s="222"/>
      <c r="QXN607" s="222"/>
      <c r="QXO607" s="222"/>
      <c r="QXP607" s="222"/>
      <c r="QXQ607" s="222"/>
      <c r="QXR607" s="222"/>
      <c r="QXS607" s="223"/>
      <c r="QXT607" s="224"/>
      <c r="QXU607" s="222"/>
      <c r="QXV607" s="222"/>
      <c r="QXW607" s="222"/>
      <c r="QXX607" s="222"/>
      <c r="QXY607" s="222"/>
      <c r="QXZ607" s="222"/>
      <c r="QYA607" s="223"/>
      <c r="QYB607" s="224"/>
      <c r="QYC607" s="222"/>
      <c r="QYD607" s="222"/>
      <c r="QYE607" s="222"/>
      <c r="QYF607" s="222"/>
      <c r="QYG607" s="222"/>
      <c r="QYH607" s="222"/>
      <c r="QYI607" s="223"/>
      <c r="QYJ607" s="224"/>
      <c r="QYK607" s="222"/>
      <c r="QYL607" s="222"/>
      <c r="QYM607" s="222"/>
      <c r="QYN607" s="222"/>
      <c r="QYO607" s="222"/>
      <c r="QYP607" s="222"/>
      <c r="QYQ607" s="223"/>
      <c r="QYR607" s="224"/>
      <c r="QYS607" s="222"/>
      <c r="QYT607" s="222"/>
      <c r="QYU607" s="222"/>
      <c r="QYV607" s="222"/>
      <c r="QYW607" s="222"/>
      <c r="QYX607" s="222"/>
      <c r="QYY607" s="223"/>
      <c r="QYZ607" s="224"/>
      <c r="QZA607" s="222"/>
      <c r="QZB607" s="222"/>
      <c r="QZC607" s="222"/>
      <c r="QZD607" s="222"/>
      <c r="QZE607" s="222"/>
      <c r="QZF607" s="222"/>
      <c r="QZG607" s="223"/>
      <c r="QZH607" s="224"/>
      <c r="QZI607" s="222"/>
      <c r="QZJ607" s="222"/>
      <c r="QZK607" s="222"/>
      <c r="QZL607" s="222"/>
      <c r="QZM607" s="222"/>
      <c r="QZN607" s="222"/>
      <c r="QZO607" s="223"/>
      <c r="QZP607" s="224"/>
      <c r="QZQ607" s="222"/>
      <c r="QZR607" s="222"/>
      <c r="QZS607" s="222"/>
      <c r="QZT607" s="222"/>
      <c r="QZU607" s="222"/>
      <c r="QZV607" s="222"/>
      <c r="QZW607" s="223"/>
      <c r="QZX607" s="224"/>
      <c r="QZY607" s="222"/>
      <c r="QZZ607" s="222"/>
      <c r="RAA607" s="222"/>
      <c r="RAB607" s="222"/>
      <c r="RAC607" s="222"/>
      <c r="RAD607" s="222"/>
      <c r="RAE607" s="223"/>
      <c r="RAF607" s="224"/>
      <c r="RAG607" s="222"/>
      <c r="RAH607" s="222"/>
      <c r="RAI607" s="222"/>
      <c r="RAJ607" s="222"/>
      <c r="RAK607" s="222"/>
      <c r="RAL607" s="222"/>
      <c r="RAM607" s="223"/>
      <c r="RAN607" s="224"/>
      <c r="RAO607" s="222"/>
      <c r="RAP607" s="222"/>
      <c r="RAQ607" s="222"/>
      <c r="RAR607" s="222"/>
      <c r="RAS607" s="222"/>
      <c r="RAT607" s="222"/>
      <c r="RAU607" s="223"/>
      <c r="RAV607" s="224"/>
      <c r="RAW607" s="222"/>
      <c r="RAX607" s="222"/>
      <c r="RAY607" s="222"/>
      <c r="RAZ607" s="222"/>
      <c r="RBA607" s="222"/>
      <c r="RBB607" s="222"/>
      <c r="RBC607" s="223"/>
      <c r="RBD607" s="224"/>
      <c r="RBE607" s="222"/>
      <c r="RBF607" s="222"/>
      <c r="RBG607" s="222"/>
      <c r="RBH607" s="222"/>
      <c r="RBI607" s="222"/>
      <c r="RBJ607" s="222"/>
      <c r="RBK607" s="223"/>
      <c r="RBL607" s="224"/>
      <c r="RBM607" s="222"/>
      <c r="RBN607" s="222"/>
      <c r="RBO607" s="222"/>
      <c r="RBP607" s="222"/>
      <c r="RBQ607" s="222"/>
      <c r="RBR607" s="222"/>
      <c r="RBS607" s="223"/>
      <c r="RBT607" s="224"/>
      <c r="RBU607" s="222"/>
      <c r="RBV607" s="222"/>
      <c r="RBW607" s="222"/>
      <c r="RBX607" s="222"/>
      <c r="RBY607" s="222"/>
      <c r="RBZ607" s="222"/>
      <c r="RCA607" s="223"/>
      <c r="RCB607" s="224"/>
      <c r="RCC607" s="222"/>
      <c r="RCD607" s="222"/>
      <c r="RCE607" s="222"/>
      <c r="RCF607" s="222"/>
      <c r="RCG607" s="222"/>
      <c r="RCH607" s="222"/>
      <c r="RCI607" s="223"/>
      <c r="RCJ607" s="224"/>
      <c r="RCK607" s="222"/>
      <c r="RCL607" s="222"/>
      <c r="RCM607" s="222"/>
      <c r="RCN607" s="222"/>
      <c r="RCO607" s="222"/>
      <c r="RCP607" s="222"/>
      <c r="RCQ607" s="223"/>
      <c r="RCR607" s="224"/>
      <c r="RCS607" s="222"/>
      <c r="RCT607" s="222"/>
      <c r="RCU607" s="222"/>
      <c r="RCV607" s="222"/>
      <c r="RCW607" s="222"/>
      <c r="RCX607" s="222"/>
      <c r="RCY607" s="223"/>
      <c r="RCZ607" s="224"/>
      <c r="RDA607" s="222"/>
      <c r="RDB607" s="222"/>
      <c r="RDC607" s="222"/>
      <c r="RDD607" s="222"/>
      <c r="RDE607" s="222"/>
      <c r="RDF607" s="222"/>
      <c r="RDG607" s="223"/>
      <c r="RDH607" s="224"/>
      <c r="RDI607" s="222"/>
      <c r="RDJ607" s="222"/>
      <c r="RDK607" s="222"/>
      <c r="RDL607" s="222"/>
      <c r="RDM607" s="222"/>
      <c r="RDN607" s="222"/>
      <c r="RDO607" s="223"/>
      <c r="RDP607" s="224"/>
      <c r="RDQ607" s="222"/>
      <c r="RDR607" s="222"/>
      <c r="RDS607" s="222"/>
      <c r="RDT607" s="222"/>
      <c r="RDU607" s="222"/>
      <c r="RDV607" s="222"/>
      <c r="RDW607" s="223"/>
      <c r="RDX607" s="224"/>
      <c r="RDY607" s="222"/>
      <c r="RDZ607" s="222"/>
      <c r="REA607" s="222"/>
      <c r="REB607" s="222"/>
      <c r="REC607" s="222"/>
      <c r="RED607" s="222"/>
      <c r="REE607" s="223"/>
      <c r="REF607" s="224"/>
      <c r="REG607" s="222"/>
      <c r="REH607" s="222"/>
      <c r="REI607" s="222"/>
      <c r="REJ607" s="222"/>
      <c r="REK607" s="222"/>
      <c r="REL607" s="222"/>
      <c r="REM607" s="223"/>
      <c r="REN607" s="224"/>
      <c r="REO607" s="222"/>
      <c r="REP607" s="222"/>
      <c r="REQ607" s="222"/>
      <c r="RER607" s="222"/>
      <c r="RES607" s="222"/>
      <c r="RET607" s="222"/>
      <c r="REU607" s="223"/>
      <c r="REV607" s="224"/>
      <c r="REW607" s="222"/>
      <c r="REX607" s="222"/>
      <c r="REY607" s="222"/>
      <c r="REZ607" s="222"/>
      <c r="RFA607" s="222"/>
      <c r="RFB607" s="222"/>
      <c r="RFC607" s="223"/>
      <c r="RFD607" s="224"/>
      <c r="RFE607" s="222"/>
      <c r="RFF607" s="222"/>
      <c r="RFG607" s="222"/>
      <c r="RFH607" s="222"/>
      <c r="RFI607" s="222"/>
      <c r="RFJ607" s="222"/>
      <c r="RFK607" s="223"/>
      <c r="RFL607" s="224"/>
      <c r="RFM607" s="222"/>
      <c r="RFN607" s="222"/>
      <c r="RFO607" s="222"/>
      <c r="RFP607" s="222"/>
      <c r="RFQ607" s="222"/>
      <c r="RFR607" s="222"/>
      <c r="RFS607" s="223"/>
      <c r="RFT607" s="224"/>
      <c r="RFU607" s="222"/>
      <c r="RFV607" s="222"/>
      <c r="RFW607" s="222"/>
      <c r="RFX607" s="222"/>
      <c r="RFY607" s="222"/>
      <c r="RFZ607" s="222"/>
      <c r="RGA607" s="223"/>
      <c r="RGB607" s="224"/>
      <c r="RGC607" s="222"/>
      <c r="RGD607" s="222"/>
      <c r="RGE607" s="222"/>
      <c r="RGF607" s="222"/>
      <c r="RGG607" s="222"/>
      <c r="RGH607" s="222"/>
      <c r="RGI607" s="223"/>
      <c r="RGJ607" s="224"/>
      <c r="RGK607" s="222"/>
      <c r="RGL607" s="222"/>
      <c r="RGM607" s="222"/>
      <c r="RGN607" s="222"/>
      <c r="RGO607" s="222"/>
      <c r="RGP607" s="222"/>
      <c r="RGQ607" s="223"/>
      <c r="RGR607" s="224"/>
      <c r="RGS607" s="222"/>
      <c r="RGT607" s="222"/>
      <c r="RGU607" s="222"/>
      <c r="RGV607" s="222"/>
      <c r="RGW607" s="222"/>
      <c r="RGX607" s="222"/>
      <c r="RGY607" s="223"/>
      <c r="RGZ607" s="224"/>
      <c r="RHA607" s="222"/>
      <c r="RHB607" s="222"/>
      <c r="RHC607" s="222"/>
      <c r="RHD607" s="222"/>
      <c r="RHE607" s="222"/>
      <c r="RHF607" s="222"/>
      <c r="RHG607" s="223"/>
      <c r="RHH607" s="224"/>
      <c r="RHI607" s="222"/>
      <c r="RHJ607" s="222"/>
      <c r="RHK607" s="222"/>
      <c r="RHL607" s="222"/>
      <c r="RHM607" s="222"/>
      <c r="RHN607" s="222"/>
      <c r="RHO607" s="223"/>
      <c r="RHP607" s="224"/>
      <c r="RHQ607" s="222"/>
      <c r="RHR607" s="222"/>
      <c r="RHS607" s="222"/>
      <c r="RHT607" s="222"/>
      <c r="RHU607" s="222"/>
      <c r="RHV607" s="222"/>
      <c r="RHW607" s="223"/>
      <c r="RHX607" s="224"/>
      <c r="RHY607" s="222"/>
      <c r="RHZ607" s="222"/>
      <c r="RIA607" s="222"/>
      <c r="RIB607" s="222"/>
      <c r="RIC607" s="222"/>
      <c r="RID607" s="222"/>
      <c r="RIE607" s="223"/>
      <c r="RIF607" s="224"/>
      <c r="RIG607" s="222"/>
      <c r="RIH607" s="222"/>
      <c r="RII607" s="222"/>
      <c r="RIJ607" s="222"/>
      <c r="RIK607" s="222"/>
      <c r="RIL607" s="222"/>
      <c r="RIM607" s="223"/>
      <c r="RIN607" s="224"/>
      <c r="RIO607" s="222"/>
      <c r="RIP607" s="222"/>
      <c r="RIQ607" s="222"/>
      <c r="RIR607" s="222"/>
      <c r="RIS607" s="222"/>
      <c r="RIT607" s="222"/>
      <c r="RIU607" s="223"/>
      <c r="RIV607" s="224"/>
      <c r="RIW607" s="222"/>
      <c r="RIX607" s="222"/>
      <c r="RIY607" s="222"/>
      <c r="RIZ607" s="222"/>
      <c r="RJA607" s="222"/>
      <c r="RJB607" s="222"/>
      <c r="RJC607" s="223"/>
      <c r="RJD607" s="224"/>
      <c r="RJE607" s="222"/>
      <c r="RJF607" s="222"/>
      <c r="RJG607" s="222"/>
      <c r="RJH607" s="222"/>
      <c r="RJI607" s="222"/>
      <c r="RJJ607" s="222"/>
      <c r="RJK607" s="223"/>
      <c r="RJL607" s="224"/>
      <c r="RJM607" s="222"/>
      <c r="RJN607" s="222"/>
      <c r="RJO607" s="222"/>
      <c r="RJP607" s="222"/>
      <c r="RJQ607" s="222"/>
      <c r="RJR607" s="222"/>
      <c r="RJS607" s="223"/>
      <c r="RJT607" s="224"/>
      <c r="RJU607" s="222"/>
      <c r="RJV607" s="222"/>
      <c r="RJW607" s="222"/>
      <c r="RJX607" s="222"/>
      <c r="RJY607" s="222"/>
      <c r="RJZ607" s="222"/>
      <c r="RKA607" s="223"/>
      <c r="RKB607" s="224"/>
      <c r="RKC607" s="222"/>
      <c r="RKD607" s="222"/>
      <c r="RKE607" s="222"/>
      <c r="RKF607" s="222"/>
      <c r="RKG607" s="222"/>
      <c r="RKH607" s="222"/>
      <c r="RKI607" s="223"/>
      <c r="RKJ607" s="224"/>
      <c r="RKK607" s="222"/>
      <c r="RKL607" s="222"/>
      <c r="RKM607" s="222"/>
      <c r="RKN607" s="222"/>
      <c r="RKO607" s="222"/>
      <c r="RKP607" s="222"/>
      <c r="RKQ607" s="223"/>
      <c r="RKR607" s="224"/>
      <c r="RKS607" s="222"/>
      <c r="RKT607" s="222"/>
      <c r="RKU607" s="222"/>
      <c r="RKV607" s="222"/>
      <c r="RKW607" s="222"/>
      <c r="RKX607" s="222"/>
      <c r="RKY607" s="223"/>
      <c r="RKZ607" s="224"/>
      <c r="RLA607" s="222"/>
      <c r="RLB607" s="222"/>
      <c r="RLC607" s="222"/>
      <c r="RLD607" s="222"/>
      <c r="RLE607" s="222"/>
      <c r="RLF607" s="222"/>
      <c r="RLG607" s="223"/>
      <c r="RLH607" s="224"/>
      <c r="RLI607" s="222"/>
      <c r="RLJ607" s="222"/>
      <c r="RLK607" s="222"/>
      <c r="RLL607" s="222"/>
      <c r="RLM607" s="222"/>
      <c r="RLN607" s="222"/>
      <c r="RLO607" s="223"/>
      <c r="RLP607" s="224"/>
      <c r="RLQ607" s="222"/>
      <c r="RLR607" s="222"/>
      <c r="RLS607" s="222"/>
      <c r="RLT607" s="222"/>
      <c r="RLU607" s="222"/>
      <c r="RLV607" s="222"/>
      <c r="RLW607" s="223"/>
      <c r="RLX607" s="224"/>
      <c r="RLY607" s="222"/>
      <c r="RLZ607" s="222"/>
      <c r="RMA607" s="222"/>
      <c r="RMB607" s="222"/>
      <c r="RMC607" s="222"/>
      <c r="RMD607" s="222"/>
      <c r="RME607" s="223"/>
      <c r="RMF607" s="224"/>
      <c r="RMG607" s="222"/>
      <c r="RMH607" s="222"/>
      <c r="RMI607" s="222"/>
      <c r="RMJ607" s="222"/>
      <c r="RMK607" s="222"/>
      <c r="RML607" s="222"/>
      <c r="RMM607" s="223"/>
      <c r="RMN607" s="224"/>
      <c r="RMO607" s="222"/>
      <c r="RMP607" s="222"/>
      <c r="RMQ607" s="222"/>
      <c r="RMR607" s="222"/>
      <c r="RMS607" s="222"/>
      <c r="RMT607" s="222"/>
      <c r="RMU607" s="223"/>
      <c r="RMV607" s="224"/>
      <c r="RMW607" s="222"/>
      <c r="RMX607" s="222"/>
      <c r="RMY607" s="222"/>
      <c r="RMZ607" s="222"/>
      <c r="RNA607" s="222"/>
      <c r="RNB607" s="222"/>
      <c r="RNC607" s="223"/>
      <c r="RND607" s="224"/>
      <c r="RNE607" s="222"/>
      <c r="RNF607" s="222"/>
      <c r="RNG607" s="222"/>
      <c r="RNH607" s="222"/>
      <c r="RNI607" s="222"/>
      <c r="RNJ607" s="222"/>
      <c r="RNK607" s="223"/>
      <c r="RNL607" s="224"/>
      <c r="RNM607" s="222"/>
      <c r="RNN607" s="222"/>
      <c r="RNO607" s="222"/>
      <c r="RNP607" s="222"/>
      <c r="RNQ607" s="222"/>
      <c r="RNR607" s="222"/>
      <c r="RNS607" s="223"/>
      <c r="RNT607" s="224"/>
      <c r="RNU607" s="222"/>
      <c r="RNV607" s="222"/>
      <c r="RNW607" s="222"/>
      <c r="RNX607" s="222"/>
      <c r="RNY607" s="222"/>
      <c r="RNZ607" s="222"/>
      <c r="ROA607" s="223"/>
      <c r="ROB607" s="224"/>
      <c r="ROC607" s="222"/>
      <c r="ROD607" s="222"/>
      <c r="ROE607" s="222"/>
      <c r="ROF607" s="222"/>
      <c r="ROG607" s="222"/>
      <c r="ROH607" s="222"/>
      <c r="ROI607" s="223"/>
      <c r="ROJ607" s="224"/>
      <c r="ROK607" s="222"/>
      <c r="ROL607" s="222"/>
      <c r="ROM607" s="222"/>
      <c r="RON607" s="222"/>
      <c r="ROO607" s="222"/>
      <c r="ROP607" s="222"/>
      <c r="ROQ607" s="223"/>
      <c r="ROR607" s="224"/>
      <c r="ROS607" s="222"/>
      <c r="ROT607" s="222"/>
      <c r="ROU607" s="222"/>
      <c r="ROV607" s="222"/>
      <c r="ROW607" s="222"/>
      <c r="ROX607" s="222"/>
      <c r="ROY607" s="223"/>
      <c r="ROZ607" s="224"/>
      <c r="RPA607" s="222"/>
      <c r="RPB607" s="222"/>
      <c r="RPC607" s="222"/>
      <c r="RPD607" s="222"/>
      <c r="RPE607" s="222"/>
      <c r="RPF607" s="222"/>
      <c r="RPG607" s="223"/>
      <c r="RPH607" s="224"/>
      <c r="RPI607" s="222"/>
      <c r="RPJ607" s="222"/>
      <c r="RPK607" s="222"/>
      <c r="RPL607" s="222"/>
      <c r="RPM607" s="222"/>
      <c r="RPN607" s="222"/>
      <c r="RPO607" s="223"/>
      <c r="RPP607" s="224"/>
      <c r="RPQ607" s="222"/>
      <c r="RPR607" s="222"/>
      <c r="RPS607" s="222"/>
      <c r="RPT607" s="222"/>
      <c r="RPU607" s="222"/>
      <c r="RPV607" s="222"/>
      <c r="RPW607" s="223"/>
      <c r="RPX607" s="224"/>
      <c r="RPY607" s="222"/>
      <c r="RPZ607" s="222"/>
      <c r="RQA607" s="222"/>
      <c r="RQB607" s="222"/>
      <c r="RQC607" s="222"/>
      <c r="RQD607" s="222"/>
      <c r="RQE607" s="223"/>
      <c r="RQF607" s="224"/>
      <c r="RQG607" s="222"/>
      <c r="RQH607" s="222"/>
      <c r="RQI607" s="222"/>
      <c r="RQJ607" s="222"/>
      <c r="RQK607" s="222"/>
      <c r="RQL607" s="222"/>
      <c r="RQM607" s="223"/>
      <c r="RQN607" s="224"/>
      <c r="RQO607" s="222"/>
      <c r="RQP607" s="222"/>
      <c r="RQQ607" s="222"/>
      <c r="RQR607" s="222"/>
      <c r="RQS607" s="222"/>
      <c r="RQT607" s="222"/>
      <c r="RQU607" s="223"/>
      <c r="RQV607" s="224"/>
      <c r="RQW607" s="222"/>
      <c r="RQX607" s="222"/>
      <c r="RQY607" s="222"/>
      <c r="RQZ607" s="222"/>
      <c r="RRA607" s="222"/>
      <c r="RRB607" s="222"/>
      <c r="RRC607" s="223"/>
      <c r="RRD607" s="224"/>
      <c r="RRE607" s="222"/>
      <c r="RRF607" s="222"/>
      <c r="RRG607" s="222"/>
      <c r="RRH607" s="222"/>
      <c r="RRI607" s="222"/>
      <c r="RRJ607" s="222"/>
      <c r="RRK607" s="223"/>
      <c r="RRL607" s="224"/>
      <c r="RRM607" s="222"/>
      <c r="RRN607" s="222"/>
      <c r="RRO607" s="222"/>
      <c r="RRP607" s="222"/>
      <c r="RRQ607" s="222"/>
      <c r="RRR607" s="222"/>
      <c r="RRS607" s="223"/>
      <c r="RRT607" s="224"/>
      <c r="RRU607" s="222"/>
      <c r="RRV607" s="222"/>
      <c r="RRW607" s="222"/>
      <c r="RRX607" s="222"/>
      <c r="RRY607" s="222"/>
      <c r="RRZ607" s="222"/>
      <c r="RSA607" s="223"/>
      <c r="RSB607" s="224"/>
      <c r="RSC607" s="222"/>
      <c r="RSD607" s="222"/>
      <c r="RSE607" s="222"/>
      <c r="RSF607" s="222"/>
      <c r="RSG607" s="222"/>
      <c r="RSH607" s="222"/>
      <c r="RSI607" s="223"/>
      <c r="RSJ607" s="224"/>
      <c r="RSK607" s="222"/>
      <c r="RSL607" s="222"/>
      <c r="RSM607" s="222"/>
      <c r="RSN607" s="222"/>
      <c r="RSO607" s="222"/>
      <c r="RSP607" s="222"/>
      <c r="RSQ607" s="223"/>
      <c r="RSR607" s="224"/>
      <c r="RSS607" s="222"/>
      <c r="RST607" s="222"/>
      <c r="RSU607" s="222"/>
      <c r="RSV607" s="222"/>
      <c r="RSW607" s="222"/>
      <c r="RSX607" s="222"/>
      <c r="RSY607" s="223"/>
      <c r="RSZ607" s="224"/>
      <c r="RTA607" s="222"/>
      <c r="RTB607" s="222"/>
      <c r="RTC607" s="222"/>
      <c r="RTD607" s="222"/>
      <c r="RTE607" s="222"/>
      <c r="RTF607" s="222"/>
      <c r="RTG607" s="223"/>
      <c r="RTH607" s="224"/>
      <c r="RTI607" s="222"/>
      <c r="RTJ607" s="222"/>
      <c r="RTK607" s="222"/>
      <c r="RTL607" s="222"/>
      <c r="RTM607" s="222"/>
      <c r="RTN607" s="222"/>
      <c r="RTO607" s="223"/>
      <c r="RTP607" s="224"/>
      <c r="RTQ607" s="222"/>
      <c r="RTR607" s="222"/>
      <c r="RTS607" s="222"/>
      <c r="RTT607" s="222"/>
      <c r="RTU607" s="222"/>
      <c r="RTV607" s="222"/>
      <c r="RTW607" s="223"/>
      <c r="RTX607" s="224"/>
      <c r="RTY607" s="222"/>
      <c r="RTZ607" s="222"/>
      <c r="RUA607" s="222"/>
      <c r="RUB607" s="222"/>
      <c r="RUC607" s="222"/>
      <c r="RUD607" s="222"/>
      <c r="RUE607" s="223"/>
      <c r="RUF607" s="224"/>
      <c r="RUG607" s="222"/>
      <c r="RUH607" s="222"/>
      <c r="RUI607" s="222"/>
      <c r="RUJ607" s="222"/>
      <c r="RUK607" s="222"/>
      <c r="RUL607" s="222"/>
      <c r="RUM607" s="223"/>
      <c r="RUN607" s="224"/>
      <c r="RUO607" s="222"/>
      <c r="RUP607" s="222"/>
      <c r="RUQ607" s="222"/>
      <c r="RUR607" s="222"/>
      <c r="RUS607" s="222"/>
      <c r="RUT607" s="222"/>
      <c r="RUU607" s="223"/>
      <c r="RUV607" s="224"/>
      <c r="RUW607" s="222"/>
      <c r="RUX607" s="222"/>
      <c r="RUY607" s="222"/>
      <c r="RUZ607" s="222"/>
      <c r="RVA607" s="222"/>
      <c r="RVB607" s="222"/>
      <c r="RVC607" s="223"/>
      <c r="RVD607" s="224"/>
      <c r="RVE607" s="222"/>
      <c r="RVF607" s="222"/>
      <c r="RVG607" s="222"/>
      <c r="RVH607" s="222"/>
      <c r="RVI607" s="222"/>
      <c r="RVJ607" s="222"/>
      <c r="RVK607" s="223"/>
      <c r="RVL607" s="224"/>
      <c r="RVM607" s="222"/>
      <c r="RVN607" s="222"/>
      <c r="RVO607" s="222"/>
      <c r="RVP607" s="222"/>
      <c r="RVQ607" s="222"/>
      <c r="RVR607" s="222"/>
      <c r="RVS607" s="223"/>
      <c r="RVT607" s="224"/>
      <c r="RVU607" s="222"/>
      <c r="RVV607" s="222"/>
      <c r="RVW607" s="222"/>
      <c r="RVX607" s="222"/>
      <c r="RVY607" s="222"/>
      <c r="RVZ607" s="222"/>
      <c r="RWA607" s="223"/>
      <c r="RWB607" s="224"/>
      <c r="RWC607" s="222"/>
      <c r="RWD607" s="222"/>
      <c r="RWE607" s="222"/>
      <c r="RWF607" s="222"/>
      <c r="RWG607" s="222"/>
      <c r="RWH607" s="222"/>
      <c r="RWI607" s="223"/>
      <c r="RWJ607" s="224"/>
      <c r="RWK607" s="222"/>
      <c r="RWL607" s="222"/>
      <c r="RWM607" s="222"/>
      <c r="RWN607" s="222"/>
      <c r="RWO607" s="222"/>
      <c r="RWP607" s="222"/>
      <c r="RWQ607" s="223"/>
      <c r="RWR607" s="224"/>
      <c r="RWS607" s="222"/>
      <c r="RWT607" s="222"/>
      <c r="RWU607" s="222"/>
      <c r="RWV607" s="222"/>
      <c r="RWW607" s="222"/>
      <c r="RWX607" s="222"/>
      <c r="RWY607" s="223"/>
      <c r="RWZ607" s="224"/>
      <c r="RXA607" s="222"/>
      <c r="RXB607" s="222"/>
      <c r="RXC607" s="222"/>
      <c r="RXD607" s="222"/>
      <c r="RXE607" s="222"/>
      <c r="RXF607" s="222"/>
      <c r="RXG607" s="223"/>
      <c r="RXH607" s="224"/>
      <c r="RXI607" s="222"/>
      <c r="RXJ607" s="222"/>
      <c r="RXK607" s="222"/>
      <c r="RXL607" s="222"/>
      <c r="RXM607" s="222"/>
      <c r="RXN607" s="222"/>
      <c r="RXO607" s="223"/>
      <c r="RXP607" s="224"/>
      <c r="RXQ607" s="222"/>
      <c r="RXR607" s="222"/>
      <c r="RXS607" s="222"/>
      <c r="RXT607" s="222"/>
      <c r="RXU607" s="222"/>
      <c r="RXV607" s="222"/>
      <c r="RXW607" s="223"/>
      <c r="RXX607" s="224"/>
      <c r="RXY607" s="222"/>
      <c r="RXZ607" s="222"/>
      <c r="RYA607" s="222"/>
      <c r="RYB607" s="222"/>
      <c r="RYC607" s="222"/>
      <c r="RYD607" s="222"/>
      <c r="RYE607" s="223"/>
      <c r="RYF607" s="224"/>
      <c r="RYG607" s="222"/>
      <c r="RYH607" s="222"/>
      <c r="RYI607" s="222"/>
      <c r="RYJ607" s="222"/>
      <c r="RYK607" s="222"/>
      <c r="RYL607" s="222"/>
      <c r="RYM607" s="223"/>
      <c r="RYN607" s="224"/>
      <c r="RYO607" s="222"/>
      <c r="RYP607" s="222"/>
      <c r="RYQ607" s="222"/>
      <c r="RYR607" s="222"/>
      <c r="RYS607" s="222"/>
      <c r="RYT607" s="222"/>
      <c r="RYU607" s="223"/>
      <c r="RYV607" s="224"/>
      <c r="RYW607" s="222"/>
      <c r="RYX607" s="222"/>
      <c r="RYY607" s="222"/>
      <c r="RYZ607" s="222"/>
      <c r="RZA607" s="222"/>
      <c r="RZB607" s="222"/>
      <c r="RZC607" s="223"/>
      <c r="RZD607" s="224"/>
      <c r="RZE607" s="222"/>
      <c r="RZF607" s="222"/>
      <c r="RZG607" s="222"/>
      <c r="RZH607" s="222"/>
      <c r="RZI607" s="222"/>
      <c r="RZJ607" s="222"/>
      <c r="RZK607" s="223"/>
      <c r="RZL607" s="224"/>
      <c r="RZM607" s="222"/>
      <c r="RZN607" s="222"/>
      <c r="RZO607" s="222"/>
      <c r="RZP607" s="222"/>
      <c r="RZQ607" s="222"/>
      <c r="RZR607" s="222"/>
      <c r="RZS607" s="223"/>
      <c r="RZT607" s="224"/>
      <c r="RZU607" s="222"/>
      <c r="RZV607" s="222"/>
      <c r="RZW607" s="222"/>
      <c r="RZX607" s="222"/>
      <c r="RZY607" s="222"/>
      <c r="RZZ607" s="222"/>
      <c r="SAA607" s="223"/>
      <c r="SAB607" s="224"/>
      <c r="SAC607" s="222"/>
      <c r="SAD607" s="222"/>
      <c r="SAE607" s="222"/>
      <c r="SAF607" s="222"/>
      <c r="SAG607" s="222"/>
      <c r="SAH607" s="222"/>
      <c r="SAI607" s="223"/>
      <c r="SAJ607" s="224"/>
      <c r="SAK607" s="222"/>
      <c r="SAL607" s="222"/>
      <c r="SAM607" s="222"/>
      <c r="SAN607" s="222"/>
      <c r="SAO607" s="222"/>
      <c r="SAP607" s="222"/>
      <c r="SAQ607" s="223"/>
      <c r="SAR607" s="224"/>
      <c r="SAS607" s="222"/>
      <c r="SAT607" s="222"/>
      <c r="SAU607" s="222"/>
      <c r="SAV607" s="222"/>
      <c r="SAW607" s="222"/>
      <c r="SAX607" s="222"/>
      <c r="SAY607" s="223"/>
      <c r="SAZ607" s="224"/>
      <c r="SBA607" s="222"/>
      <c r="SBB607" s="222"/>
      <c r="SBC607" s="222"/>
      <c r="SBD607" s="222"/>
      <c r="SBE607" s="222"/>
      <c r="SBF607" s="222"/>
      <c r="SBG607" s="223"/>
      <c r="SBH607" s="224"/>
      <c r="SBI607" s="222"/>
      <c r="SBJ607" s="222"/>
      <c r="SBK607" s="222"/>
      <c r="SBL607" s="222"/>
      <c r="SBM607" s="222"/>
      <c r="SBN607" s="222"/>
      <c r="SBO607" s="223"/>
      <c r="SBP607" s="224"/>
      <c r="SBQ607" s="222"/>
      <c r="SBR607" s="222"/>
      <c r="SBS607" s="222"/>
      <c r="SBT607" s="222"/>
      <c r="SBU607" s="222"/>
      <c r="SBV607" s="222"/>
      <c r="SBW607" s="223"/>
      <c r="SBX607" s="224"/>
      <c r="SBY607" s="222"/>
      <c r="SBZ607" s="222"/>
      <c r="SCA607" s="222"/>
      <c r="SCB607" s="222"/>
      <c r="SCC607" s="222"/>
      <c r="SCD607" s="222"/>
      <c r="SCE607" s="223"/>
      <c r="SCF607" s="224"/>
      <c r="SCG607" s="222"/>
      <c r="SCH607" s="222"/>
      <c r="SCI607" s="222"/>
      <c r="SCJ607" s="222"/>
      <c r="SCK607" s="222"/>
      <c r="SCL607" s="222"/>
      <c r="SCM607" s="223"/>
      <c r="SCN607" s="224"/>
      <c r="SCO607" s="222"/>
      <c r="SCP607" s="222"/>
      <c r="SCQ607" s="222"/>
      <c r="SCR607" s="222"/>
      <c r="SCS607" s="222"/>
      <c r="SCT607" s="222"/>
      <c r="SCU607" s="223"/>
      <c r="SCV607" s="224"/>
      <c r="SCW607" s="222"/>
      <c r="SCX607" s="222"/>
      <c r="SCY607" s="222"/>
      <c r="SCZ607" s="222"/>
      <c r="SDA607" s="222"/>
      <c r="SDB607" s="222"/>
      <c r="SDC607" s="223"/>
      <c r="SDD607" s="224"/>
      <c r="SDE607" s="222"/>
      <c r="SDF607" s="222"/>
      <c r="SDG607" s="222"/>
      <c r="SDH607" s="222"/>
      <c r="SDI607" s="222"/>
      <c r="SDJ607" s="222"/>
      <c r="SDK607" s="223"/>
      <c r="SDL607" s="224"/>
      <c r="SDM607" s="222"/>
      <c r="SDN607" s="222"/>
      <c r="SDO607" s="222"/>
      <c r="SDP607" s="222"/>
      <c r="SDQ607" s="222"/>
      <c r="SDR607" s="222"/>
      <c r="SDS607" s="223"/>
      <c r="SDT607" s="224"/>
      <c r="SDU607" s="222"/>
      <c r="SDV607" s="222"/>
      <c r="SDW607" s="222"/>
      <c r="SDX607" s="222"/>
      <c r="SDY607" s="222"/>
      <c r="SDZ607" s="222"/>
      <c r="SEA607" s="223"/>
      <c r="SEB607" s="224"/>
      <c r="SEC607" s="222"/>
      <c r="SED607" s="222"/>
      <c r="SEE607" s="222"/>
      <c r="SEF607" s="222"/>
      <c r="SEG607" s="222"/>
      <c r="SEH607" s="222"/>
      <c r="SEI607" s="223"/>
      <c r="SEJ607" s="224"/>
      <c r="SEK607" s="222"/>
      <c r="SEL607" s="222"/>
      <c r="SEM607" s="222"/>
      <c r="SEN607" s="222"/>
      <c r="SEO607" s="222"/>
      <c r="SEP607" s="222"/>
      <c r="SEQ607" s="223"/>
      <c r="SER607" s="224"/>
      <c r="SES607" s="222"/>
      <c r="SET607" s="222"/>
      <c r="SEU607" s="222"/>
      <c r="SEV607" s="222"/>
      <c r="SEW607" s="222"/>
      <c r="SEX607" s="222"/>
      <c r="SEY607" s="223"/>
      <c r="SEZ607" s="224"/>
      <c r="SFA607" s="222"/>
      <c r="SFB607" s="222"/>
      <c r="SFC607" s="222"/>
      <c r="SFD607" s="222"/>
      <c r="SFE607" s="222"/>
      <c r="SFF607" s="222"/>
      <c r="SFG607" s="223"/>
      <c r="SFH607" s="224"/>
      <c r="SFI607" s="222"/>
      <c r="SFJ607" s="222"/>
      <c r="SFK607" s="222"/>
      <c r="SFL607" s="222"/>
      <c r="SFM607" s="222"/>
      <c r="SFN607" s="222"/>
      <c r="SFO607" s="223"/>
      <c r="SFP607" s="224"/>
      <c r="SFQ607" s="222"/>
      <c r="SFR607" s="222"/>
      <c r="SFS607" s="222"/>
      <c r="SFT607" s="222"/>
      <c r="SFU607" s="222"/>
      <c r="SFV607" s="222"/>
      <c r="SFW607" s="223"/>
      <c r="SFX607" s="224"/>
      <c r="SFY607" s="222"/>
      <c r="SFZ607" s="222"/>
      <c r="SGA607" s="222"/>
      <c r="SGB607" s="222"/>
      <c r="SGC607" s="222"/>
      <c r="SGD607" s="222"/>
      <c r="SGE607" s="223"/>
      <c r="SGF607" s="224"/>
      <c r="SGG607" s="222"/>
      <c r="SGH607" s="222"/>
      <c r="SGI607" s="222"/>
      <c r="SGJ607" s="222"/>
      <c r="SGK607" s="222"/>
      <c r="SGL607" s="222"/>
      <c r="SGM607" s="223"/>
      <c r="SGN607" s="224"/>
      <c r="SGO607" s="222"/>
      <c r="SGP607" s="222"/>
      <c r="SGQ607" s="222"/>
      <c r="SGR607" s="222"/>
      <c r="SGS607" s="222"/>
      <c r="SGT607" s="222"/>
      <c r="SGU607" s="223"/>
      <c r="SGV607" s="224"/>
      <c r="SGW607" s="222"/>
      <c r="SGX607" s="222"/>
      <c r="SGY607" s="222"/>
      <c r="SGZ607" s="222"/>
      <c r="SHA607" s="222"/>
      <c r="SHB607" s="222"/>
      <c r="SHC607" s="223"/>
      <c r="SHD607" s="224"/>
      <c r="SHE607" s="222"/>
      <c r="SHF607" s="222"/>
      <c r="SHG607" s="222"/>
      <c r="SHH607" s="222"/>
      <c r="SHI607" s="222"/>
      <c r="SHJ607" s="222"/>
      <c r="SHK607" s="223"/>
      <c r="SHL607" s="224"/>
      <c r="SHM607" s="222"/>
      <c r="SHN607" s="222"/>
      <c r="SHO607" s="222"/>
      <c r="SHP607" s="222"/>
      <c r="SHQ607" s="222"/>
      <c r="SHR607" s="222"/>
      <c r="SHS607" s="223"/>
      <c r="SHT607" s="224"/>
      <c r="SHU607" s="222"/>
      <c r="SHV607" s="222"/>
      <c r="SHW607" s="222"/>
      <c r="SHX607" s="222"/>
      <c r="SHY607" s="222"/>
      <c r="SHZ607" s="222"/>
      <c r="SIA607" s="223"/>
      <c r="SIB607" s="224"/>
      <c r="SIC607" s="222"/>
      <c r="SID607" s="222"/>
      <c r="SIE607" s="222"/>
      <c r="SIF607" s="222"/>
      <c r="SIG607" s="222"/>
      <c r="SIH607" s="222"/>
      <c r="SII607" s="223"/>
      <c r="SIJ607" s="224"/>
      <c r="SIK607" s="222"/>
      <c r="SIL607" s="222"/>
      <c r="SIM607" s="222"/>
      <c r="SIN607" s="222"/>
      <c r="SIO607" s="222"/>
      <c r="SIP607" s="222"/>
      <c r="SIQ607" s="223"/>
      <c r="SIR607" s="224"/>
      <c r="SIS607" s="222"/>
      <c r="SIT607" s="222"/>
      <c r="SIU607" s="222"/>
      <c r="SIV607" s="222"/>
      <c r="SIW607" s="222"/>
      <c r="SIX607" s="222"/>
      <c r="SIY607" s="223"/>
      <c r="SIZ607" s="224"/>
      <c r="SJA607" s="222"/>
      <c r="SJB607" s="222"/>
      <c r="SJC607" s="222"/>
      <c r="SJD607" s="222"/>
      <c r="SJE607" s="222"/>
      <c r="SJF607" s="222"/>
      <c r="SJG607" s="223"/>
      <c r="SJH607" s="224"/>
      <c r="SJI607" s="222"/>
      <c r="SJJ607" s="222"/>
      <c r="SJK607" s="222"/>
      <c r="SJL607" s="222"/>
      <c r="SJM607" s="222"/>
      <c r="SJN607" s="222"/>
      <c r="SJO607" s="223"/>
      <c r="SJP607" s="224"/>
      <c r="SJQ607" s="222"/>
      <c r="SJR607" s="222"/>
      <c r="SJS607" s="222"/>
      <c r="SJT607" s="222"/>
      <c r="SJU607" s="222"/>
      <c r="SJV607" s="222"/>
      <c r="SJW607" s="223"/>
      <c r="SJX607" s="224"/>
      <c r="SJY607" s="222"/>
      <c r="SJZ607" s="222"/>
      <c r="SKA607" s="222"/>
      <c r="SKB607" s="222"/>
      <c r="SKC607" s="222"/>
      <c r="SKD607" s="222"/>
      <c r="SKE607" s="223"/>
      <c r="SKF607" s="224"/>
      <c r="SKG607" s="222"/>
      <c r="SKH607" s="222"/>
      <c r="SKI607" s="222"/>
      <c r="SKJ607" s="222"/>
      <c r="SKK607" s="222"/>
      <c r="SKL607" s="222"/>
      <c r="SKM607" s="223"/>
      <c r="SKN607" s="224"/>
      <c r="SKO607" s="222"/>
      <c r="SKP607" s="222"/>
      <c r="SKQ607" s="222"/>
      <c r="SKR607" s="222"/>
      <c r="SKS607" s="222"/>
      <c r="SKT607" s="222"/>
      <c r="SKU607" s="223"/>
      <c r="SKV607" s="224"/>
      <c r="SKW607" s="222"/>
      <c r="SKX607" s="222"/>
      <c r="SKY607" s="222"/>
      <c r="SKZ607" s="222"/>
      <c r="SLA607" s="222"/>
      <c r="SLB607" s="222"/>
      <c r="SLC607" s="223"/>
      <c r="SLD607" s="224"/>
      <c r="SLE607" s="222"/>
      <c r="SLF607" s="222"/>
      <c r="SLG607" s="222"/>
      <c r="SLH607" s="222"/>
      <c r="SLI607" s="222"/>
      <c r="SLJ607" s="222"/>
      <c r="SLK607" s="223"/>
      <c r="SLL607" s="224"/>
      <c r="SLM607" s="222"/>
      <c r="SLN607" s="222"/>
      <c r="SLO607" s="222"/>
      <c r="SLP607" s="222"/>
      <c r="SLQ607" s="222"/>
      <c r="SLR607" s="222"/>
      <c r="SLS607" s="223"/>
      <c r="SLT607" s="224"/>
      <c r="SLU607" s="222"/>
      <c r="SLV607" s="222"/>
      <c r="SLW607" s="222"/>
      <c r="SLX607" s="222"/>
      <c r="SLY607" s="222"/>
      <c r="SLZ607" s="222"/>
      <c r="SMA607" s="223"/>
      <c r="SMB607" s="224"/>
      <c r="SMC607" s="222"/>
      <c r="SMD607" s="222"/>
      <c r="SME607" s="222"/>
      <c r="SMF607" s="222"/>
      <c r="SMG607" s="222"/>
      <c r="SMH607" s="222"/>
      <c r="SMI607" s="223"/>
      <c r="SMJ607" s="224"/>
      <c r="SMK607" s="222"/>
      <c r="SML607" s="222"/>
      <c r="SMM607" s="222"/>
      <c r="SMN607" s="222"/>
      <c r="SMO607" s="222"/>
      <c r="SMP607" s="222"/>
      <c r="SMQ607" s="223"/>
      <c r="SMR607" s="224"/>
      <c r="SMS607" s="222"/>
      <c r="SMT607" s="222"/>
      <c r="SMU607" s="222"/>
      <c r="SMV607" s="222"/>
      <c r="SMW607" s="222"/>
      <c r="SMX607" s="222"/>
      <c r="SMY607" s="223"/>
      <c r="SMZ607" s="224"/>
      <c r="SNA607" s="222"/>
      <c r="SNB607" s="222"/>
      <c r="SNC607" s="222"/>
      <c r="SND607" s="222"/>
      <c r="SNE607" s="222"/>
      <c r="SNF607" s="222"/>
      <c r="SNG607" s="223"/>
      <c r="SNH607" s="224"/>
      <c r="SNI607" s="222"/>
      <c r="SNJ607" s="222"/>
      <c r="SNK607" s="222"/>
      <c r="SNL607" s="222"/>
      <c r="SNM607" s="222"/>
      <c r="SNN607" s="222"/>
      <c r="SNO607" s="223"/>
      <c r="SNP607" s="224"/>
      <c r="SNQ607" s="222"/>
      <c r="SNR607" s="222"/>
      <c r="SNS607" s="222"/>
      <c r="SNT607" s="222"/>
      <c r="SNU607" s="222"/>
      <c r="SNV607" s="222"/>
      <c r="SNW607" s="223"/>
      <c r="SNX607" s="224"/>
      <c r="SNY607" s="222"/>
      <c r="SNZ607" s="222"/>
      <c r="SOA607" s="222"/>
      <c r="SOB607" s="222"/>
      <c r="SOC607" s="222"/>
      <c r="SOD607" s="222"/>
      <c r="SOE607" s="223"/>
      <c r="SOF607" s="224"/>
      <c r="SOG607" s="222"/>
      <c r="SOH607" s="222"/>
      <c r="SOI607" s="222"/>
      <c r="SOJ607" s="222"/>
      <c r="SOK607" s="222"/>
      <c r="SOL607" s="222"/>
      <c r="SOM607" s="223"/>
      <c r="SON607" s="224"/>
      <c r="SOO607" s="222"/>
      <c r="SOP607" s="222"/>
      <c r="SOQ607" s="222"/>
      <c r="SOR607" s="222"/>
      <c r="SOS607" s="222"/>
      <c r="SOT607" s="222"/>
      <c r="SOU607" s="223"/>
      <c r="SOV607" s="224"/>
      <c r="SOW607" s="222"/>
      <c r="SOX607" s="222"/>
      <c r="SOY607" s="222"/>
      <c r="SOZ607" s="222"/>
      <c r="SPA607" s="222"/>
      <c r="SPB607" s="222"/>
      <c r="SPC607" s="223"/>
      <c r="SPD607" s="224"/>
      <c r="SPE607" s="222"/>
      <c r="SPF607" s="222"/>
      <c r="SPG607" s="222"/>
      <c r="SPH607" s="222"/>
      <c r="SPI607" s="222"/>
      <c r="SPJ607" s="222"/>
      <c r="SPK607" s="223"/>
      <c r="SPL607" s="224"/>
      <c r="SPM607" s="222"/>
      <c r="SPN607" s="222"/>
      <c r="SPO607" s="222"/>
      <c r="SPP607" s="222"/>
      <c r="SPQ607" s="222"/>
      <c r="SPR607" s="222"/>
      <c r="SPS607" s="223"/>
      <c r="SPT607" s="224"/>
      <c r="SPU607" s="222"/>
      <c r="SPV607" s="222"/>
      <c r="SPW607" s="222"/>
      <c r="SPX607" s="222"/>
      <c r="SPY607" s="222"/>
      <c r="SPZ607" s="222"/>
      <c r="SQA607" s="223"/>
      <c r="SQB607" s="224"/>
      <c r="SQC607" s="222"/>
      <c r="SQD607" s="222"/>
      <c r="SQE607" s="222"/>
      <c r="SQF607" s="222"/>
      <c r="SQG607" s="222"/>
      <c r="SQH607" s="222"/>
      <c r="SQI607" s="223"/>
      <c r="SQJ607" s="224"/>
      <c r="SQK607" s="222"/>
      <c r="SQL607" s="222"/>
      <c r="SQM607" s="222"/>
      <c r="SQN607" s="222"/>
      <c r="SQO607" s="222"/>
      <c r="SQP607" s="222"/>
      <c r="SQQ607" s="223"/>
      <c r="SQR607" s="224"/>
      <c r="SQS607" s="222"/>
      <c r="SQT607" s="222"/>
      <c r="SQU607" s="222"/>
      <c r="SQV607" s="222"/>
      <c r="SQW607" s="222"/>
      <c r="SQX607" s="222"/>
      <c r="SQY607" s="223"/>
      <c r="SQZ607" s="224"/>
      <c r="SRA607" s="222"/>
      <c r="SRB607" s="222"/>
      <c r="SRC607" s="222"/>
      <c r="SRD607" s="222"/>
      <c r="SRE607" s="222"/>
      <c r="SRF607" s="222"/>
      <c r="SRG607" s="223"/>
      <c r="SRH607" s="224"/>
      <c r="SRI607" s="222"/>
      <c r="SRJ607" s="222"/>
      <c r="SRK607" s="222"/>
      <c r="SRL607" s="222"/>
      <c r="SRM607" s="222"/>
      <c r="SRN607" s="222"/>
      <c r="SRO607" s="223"/>
      <c r="SRP607" s="224"/>
      <c r="SRQ607" s="222"/>
      <c r="SRR607" s="222"/>
      <c r="SRS607" s="222"/>
      <c r="SRT607" s="222"/>
      <c r="SRU607" s="222"/>
      <c r="SRV607" s="222"/>
      <c r="SRW607" s="223"/>
      <c r="SRX607" s="224"/>
      <c r="SRY607" s="222"/>
      <c r="SRZ607" s="222"/>
      <c r="SSA607" s="222"/>
      <c r="SSB607" s="222"/>
      <c r="SSC607" s="222"/>
      <c r="SSD607" s="222"/>
      <c r="SSE607" s="223"/>
      <c r="SSF607" s="224"/>
      <c r="SSG607" s="222"/>
      <c r="SSH607" s="222"/>
      <c r="SSI607" s="222"/>
      <c r="SSJ607" s="222"/>
      <c r="SSK607" s="222"/>
      <c r="SSL607" s="222"/>
      <c r="SSM607" s="223"/>
      <c r="SSN607" s="224"/>
      <c r="SSO607" s="222"/>
      <c r="SSP607" s="222"/>
      <c r="SSQ607" s="222"/>
      <c r="SSR607" s="222"/>
      <c r="SSS607" s="222"/>
      <c r="SST607" s="222"/>
      <c r="SSU607" s="223"/>
      <c r="SSV607" s="224"/>
      <c r="SSW607" s="222"/>
      <c r="SSX607" s="222"/>
      <c r="SSY607" s="222"/>
      <c r="SSZ607" s="222"/>
      <c r="STA607" s="222"/>
      <c r="STB607" s="222"/>
      <c r="STC607" s="223"/>
      <c r="STD607" s="224"/>
      <c r="STE607" s="222"/>
      <c r="STF607" s="222"/>
      <c r="STG607" s="222"/>
      <c r="STH607" s="222"/>
      <c r="STI607" s="222"/>
      <c r="STJ607" s="222"/>
      <c r="STK607" s="223"/>
      <c r="STL607" s="224"/>
      <c r="STM607" s="222"/>
      <c r="STN607" s="222"/>
      <c r="STO607" s="222"/>
      <c r="STP607" s="222"/>
      <c r="STQ607" s="222"/>
      <c r="STR607" s="222"/>
      <c r="STS607" s="223"/>
      <c r="STT607" s="224"/>
      <c r="STU607" s="222"/>
      <c r="STV607" s="222"/>
      <c r="STW607" s="222"/>
      <c r="STX607" s="222"/>
      <c r="STY607" s="222"/>
      <c r="STZ607" s="222"/>
      <c r="SUA607" s="223"/>
      <c r="SUB607" s="224"/>
      <c r="SUC607" s="222"/>
      <c r="SUD607" s="222"/>
      <c r="SUE607" s="222"/>
      <c r="SUF607" s="222"/>
      <c r="SUG607" s="222"/>
      <c r="SUH607" s="222"/>
      <c r="SUI607" s="223"/>
      <c r="SUJ607" s="224"/>
      <c r="SUK607" s="222"/>
      <c r="SUL607" s="222"/>
      <c r="SUM607" s="222"/>
      <c r="SUN607" s="222"/>
      <c r="SUO607" s="222"/>
      <c r="SUP607" s="222"/>
      <c r="SUQ607" s="223"/>
      <c r="SUR607" s="224"/>
      <c r="SUS607" s="222"/>
      <c r="SUT607" s="222"/>
      <c r="SUU607" s="222"/>
      <c r="SUV607" s="222"/>
      <c r="SUW607" s="222"/>
      <c r="SUX607" s="222"/>
      <c r="SUY607" s="223"/>
      <c r="SUZ607" s="224"/>
      <c r="SVA607" s="222"/>
      <c r="SVB607" s="222"/>
      <c r="SVC607" s="222"/>
      <c r="SVD607" s="222"/>
      <c r="SVE607" s="222"/>
      <c r="SVF607" s="222"/>
      <c r="SVG607" s="223"/>
      <c r="SVH607" s="224"/>
      <c r="SVI607" s="222"/>
      <c r="SVJ607" s="222"/>
      <c r="SVK607" s="222"/>
      <c r="SVL607" s="222"/>
      <c r="SVM607" s="222"/>
      <c r="SVN607" s="222"/>
      <c r="SVO607" s="223"/>
      <c r="SVP607" s="224"/>
      <c r="SVQ607" s="222"/>
      <c r="SVR607" s="222"/>
      <c r="SVS607" s="222"/>
      <c r="SVT607" s="222"/>
      <c r="SVU607" s="222"/>
      <c r="SVV607" s="222"/>
      <c r="SVW607" s="223"/>
      <c r="SVX607" s="224"/>
      <c r="SVY607" s="222"/>
      <c r="SVZ607" s="222"/>
      <c r="SWA607" s="222"/>
      <c r="SWB607" s="222"/>
      <c r="SWC607" s="222"/>
      <c r="SWD607" s="222"/>
      <c r="SWE607" s="223"/>
      <c r="SWF607" s="224"/>
      <c r="SWG607" s="222"/>
      <c r="SWH607" s="222"/>
      <c r="SWI607" s="222"/>
      <c r="SWJ607" s="222"/>
      <c r="SWK607" s="222"/>
      <c r="SWL607" s="222"/>
      <c r="SWM607" s="223"/>
      <c r="SWN607" s="224"/>
      <c r="SWO607" s="222"/>
      <c r="SWP607" s="222"/>
      <c r="SWQ607" s="222"/>
      <c r="SWR607" s="222"/>
      <c r="SWS607" s="222"/>
      <c r="SWT607" s="222"/>
      <c r="SWU607" s="223"/>
      <c r="SWV607" s="224"/>
      <c r="SWW607" s="222"/>
      <c r="SWX607" s="222"/>
      <c r="SWY607" s="222"/>
      <c r="SWZ607" s="222"/>
      <c r="SXA607" s="222"/>
      <c r="SXB607" s="222"/>
      <c r="SXC607" s="223"/>
      <c r="SXD607" s="224"/>
      <c r="SXE607" s="222"/>
      <c r="SXF607" s="222"/>
      <c r="SXG607" s="222"/>
      <c r="SXH607" s="222"/>
      <c r="SXI607" s="222"/>
      <c r="SXJ607" s="222"/>
      <c r="SXK607" s="223"/>
      <c r="SXL607" s="224"/>
      <c r="SXM607" s="222"/>
      <c r="SXN607" s="222"/>
      <c r="SXO607" s="222"/>
      <c r="SXP607" s="222"/>
      <c r="SXQ607" s="222"/>
      <c r="SXR607" s="222"/>
      <c r="SXS607" s="223"/>
      <c r="SXT607" s="224"/>
      <c r="SXU607" s="222"/>
      <c r="SXV607" s="222"/>
      <c r="SXW607" s="222"/>
      <c r="SXX607" s="222"/>
      <c r="SXY607" s="222"/>
      <c r="SXZ607" s="222"/>
      <c r="SYA607" s="223"/>
      <c r="SYB607" s="224"/>
      <c r="SYC607" s="222"/>
      <c r="SYD607" s="222"/>
      <c r="SYE607" s="222"/>
      <c r="SYF607" s="222"/>
      <c r="SYG607" s="222"/>
      <c r="SYH607" s="222"/>
      <c r="SYI607" s="223"/>
      <c r="SYJ607" s="224"/>
      <c r="SYK607" s="222"/>
      <c r="SYL607" s="222"/>
      <c r="SYM607" s="222"/>
      <c r="SYN607" s="222"/>
      <c r="SYO607" s="222"/>
      <c r="SYP607" s="222"/>
      <c r="SYQ607" s="223"/>
      <c r="SYR607" s="224"/>
      <c r="SYS607" s="222"/>
      <c r="SYT607" s="222"/>
      <c r="SYU607" s="222"/>
      <c r="SYV607" s="222"/>
      <c r="SYW607" s="222"/>
      <c r="SYX607" s="222"/>
      <c r="SYY607" s="223"/>
      <c r="SYZ607" s="224"/>
      <c r="SZA607" s="222"/>
      <c r="SZB607" s="222"/>
      <c r="SZC607" s="222"/>
      <c r="SZD607" s="222"/>
      <c r="SZE607" s="222"/>
      <c r="SZF607" s="222"/>
      <c r="SZG607" s="223"/>
      <c r="SZH607" s="224"/>
      <c r="SZI607" s="222"/>
      <c r="SZJ607" s="222"/>
      <c r="SZK607" s="222"/>
      <c r="SZL607" s="222"/>
      <c r="SZM607" s="222"/>
      <c r="SZN607" s="222"/>
      <c r="SZO607" s="223"/>
      <c r="SZP607" s="224"/>
      <c r="SZQ607" s="222"/>
      <c r="SZR607" s="222"/>
      <c r="SZS607" s="222"/>
      <c r="SZT607" s="222"/>
      <c r="SZU607" s="222"/>
      <c r="SZV607" s="222"/>
      <c r="SZW607" s="223"/>
      <c r="SZX607" s="224"/>
      <c r="SZY607" s="222"/>
      <c r="SZZ607" s="222"/>
      <c r="TAA607" s="222"/>
      <c r="TAB607" s="222"/>
      <c r="TAC607" s="222"/>
      <c r="TAD607" s="222"/>
      <c r="TAE607" s="223"/>
      <c r="TAF607" s="224"/>
      <c r="TAG607" s="222"/>
      <c r="TAH607" s="222"/>
      <c r="TAI607" s="222"/>
      <c r="TAJ607" s="222"/>
      <c r="TAK607" s="222"/>
      <c r="TAL607" s="222"/>
      <c r="TAM607" s="223"/>
      <c r="TAN607" s="224"/>
      <c r="TAO607" s="222"/>
      <c r="TAP607" s="222"/>
      <c r="TAQ607" s="222"/>
      <c r="TAR607" s="222"/>
      <c r="TAS607" s="222"/>
      <c r="TAT607" s="222"/>
      <c r="TAU607" s="223"/>
      <c r="TAV607" s="224"/>
      <c r="TAW607" s="222"/>
      <c r="TAX607" s="222"/>
      <c r="TAY607" s="222"/>
      <c r="TAZ607" s="222"/>
      <c r="TBA607" s="222"/>
      <c r="TBB607" s="222"/>
      <c r="TBC607" s="223"/>
      <c r="TBD607" s="224"/>
      <c r="TBE607" s="222"/>
      <c r="TBF607" s="222"/>
      <c r="TBG607" s="222"/>
      <c r="TBH607" s="222"/>
      <c r="TBI607" s="222"/>
      <c r="TBJ607" s="222"/>
      <c r="TBK607" s="223"/>
      <c r="TBL607" s="224"/>
      <c r="TBM607" s="222"/>
      <c r="TBN607" s="222"/>
      <c r="TBO607" s="222"/>
      <c r="TBP607" s="222"/>
      <c r="TBQ607" s="222"/>
      <c r="TBR607" s="222"/>
      <c r="TBS607" s="223"/>
      <c r="TBT607" s="224"/>
      <c r="TBU607" s="222"/>
      <c r="TBV607" s="222"/>
      <c r="TBW607" s="222"/>
      <c r="TBX607" s="222"/>
      <c r="TBY607" s="222"/>
      <c r="TBZ607" s="222"/>
      <c r="TCA607" s="223"/>
      <c r="TCB607" s="224"/>
      <c r="TCC607" s="222"/>
      <c r="TCD607" s="222"/>
      <c r="TCE607" s="222"/>
      <c r="TCF607" s="222"/>
      <c r="TCG607" s="222"/>
      <c r="TCH607" s="222"/>
      <c r="TCI607" s="223"/>
      <c r="TCJ607" s="224"/>
      <c r="TCK607" s="222"/>
      <c r="TCL607" s="222"/>
      <c r="TCM607" s="222"/>
      <c r="TCN607" s="222"/>
      <c r="TCO607" s="222"/>
      <c r="TCP607" s="222"/>
      <c r="TCQ607" s="223"/>
      <c r="TCR607" s="224"/>
      <c r="TCS607" s="222"/>
      <c r="TCT607" s="222"/>
      <c r="TCU607" s="222"/>
      <c r="TCV607" s="222"/>
      <c r="TCW607" s="222"/>
      <c r="TCX607" s="222"/>
      <c r="TCY607" s="223"/>
      <c r="TCZ607" s="224"/>
      <c r="TDA607" s="222"/>
      <c r="TDB607" s="222"/>
      <c r="TDC607" s="222"/>
      <c r="TDD607" s="222"/>
      <c r="TDE607" s="222"/>
      <c r="TDF607" s="222"/>
      <c r="TDG607" s="223"/>
      <c r="TDH607" s="224"/>
      <c r="TDI607" s="222"/>
      <c r="TDJ607" s="222"/>
      <c r="TDK607" s="222"/>
      <c r="TDL607" s="222"/>
      <c r="TDM607" s="222"/>
      <c r="TDN607" s="222"/>
      <c r="TDO607" s="223"/>
      <c r="TDP607" s="224"/>
      <c r="TDQ607" s="222"/>
      <c r="TDR607" s="222"/>
      <c r="TDS607" s="222"/>
      <c r="TDT607" s="222"/>
      <c r="TDU607" s="222"/>
      <c r="TDV607" s="222"/>
      <c r="TDW607" s="223"/>
      <c r="TDX607" s="224"/>
      <c r="TDY607" s="222"/>
      <c r="TDZ607" s="222"/>
      <c r="TEA607" s="222"/>
      <c r="TEB607" s="222"/>
      <c r="TEC607" s="222"/>
      <c r="TED607" s="222"/>
      <c r="TEE607" s="223"/>
      <c r="TEF607" s="224"/>
      <c r="TEG607" s="222"/>
      <c r="TEH607" s="222"/>
      <c r="TEI607" s="222"/>
      <c r="TEJ607" s="222"/>
      <c r="TEK607" s="222"/>
      <c r="TEL607" s="222"/>
      <c r="TEM607" s="223"/>
      <c r="TEN607" s="224"/>
      <c r="TEO607" s="222"/>
      <c r="TEP607" s="222"/>
      <c r="TEQ607" s="222"/>
      <c r="TER607" s="222"/>
      <c r="TES607" s="222"/>
      <c r="TET607" s="222"/>
      <c r="TEU607" s="223"/>
      <c r="TEV607" s="224"/>
      <c r="TEW607" s="222"/>
      <c r="TEX607" s="222"/>
      <c r="TEY607" s="222"/>
      <c r="TEZ607" s="222"/>
      <c r="TFA607" s="222"/>
      <c r="TFB607" s="222"/>
      <c r="TFC607" s="223"/>
      <c r="TFD607" s="224"/>
      <c r="TFE607" s="222"/>
      <c r="TFF607" s="222"/>
      <c r="TFG607" s="222"/>
      <c r="TFH607" s="222"/>
      <c r="TFI607" s="222"/>
      <c r="TFJ607" s="222"/>
      <c r="TFK607" s="223"/>
      <c r="TFL607" s="224"/>
      <c r="TFM607" s="222"/>
      <c r="TFN607" s="222"/>
      <c r="TFO607" s="222"/>
      <c r="TFP607" s="222"/>
      <c r="TFQ607" s="222"/>
      <c r="TFR607" s="222"/>
      <c r="TFS607" s="223"/>
      <c r="TFT607" s="224"/>
      <c r="TFU607" s="222"/>
      <c r="TFV607" s="222"/>
      <c r="TFW607" s="222"/>
      <c r="TFX607" s="222"/>
      <c r="TFY607" s="222"/>
      <c r="TFZ607" s="222"/>
      <c r="TGA607" s="223"/>
      <c r="TGB607" s="224"/>
      <c r="TGC607" s="222"/>
      <c r="TGD607" s="222"/>
      <c r="TGE607" s="222"/>
      <c r="TGF607" s="222"/>
      <c r="TGG607" s="222"/>
      <c r="TGH607" s="222"/>
      <c r="TGI607" s="223"/>
      <c r="TGJ607" s="224"/>
      <c r="TGK607" s="222"/>
      <c r="TGL607" s="222"/>
      <c r="TGM607" s="222"/>
      <c r="TGN607" s="222"/>
      <c r="TGO607" s="222"/>
      <c r="TGP607" s="222"/>
      <c r="TGQ607" s="223"/>
      <c r="TGR607" s="224"/>
      <c r="TGS607" s="222"/>
      <c r="TGT607" s="222"/>
      <c r="TGU607" s="222"/>
      <c r="TGV607" s="222"/>
      <c r="TGW607" s="222"/>
      <c r="TGX607" s="222"/>
      <c r="TGY607" s="223"/>
      <c r="TGZ607" s="224"/>
      <c r="THA607" s="222"/>
      <c r="THB607" s="222"/>
      <c r="THC607" s="222"/>
      <c r="THD607" s="222"/>
      <c r="THE607" s="222"/>
      <c r="THF607" s="222"/>
      <c r="THG607" s="223"/>
      <c r="THH607" s="224"/>
      <c r="THI607" s="222"/>
      <c r="THJ607" s="222"/>
      <c r="THK607" s="222"/>
      <c r="THL607" s="222"/>
      <c r="THM607" s="222"/>
      <c r="THN607" s="222"/>
      <c r="THO607" s="223"/>
      <c r="THP607" s="224"/>
      <c r="THQ607" s="222"/>
      <c r="THR607" s="222"/>
      <c r="THS607" s="222"/>
      <c r="THT607" s="222"/>
      <c r="THU607" s="222"/>
      <c r="THV607" s="222"/>
      <c r="THW607" s="223"/>
      <c r="THX607" s="224"/>
      <c r="THY607" s="222"/>
      <c r="THZ607" s="222"/>
      <c r="TIA607" s="222"/>
      <c r="TIB607" s="222"/>
      <c r="TIC607" s="222"/>
      <c r="TID607" s="222"/>
      <c r="TIE607" s="223"/>
      <c r="TIF607" s="224"/>
      <c r="TIG607" s="222"/>
      <c r="TIH607" s="222"/>
      <c r="TII607" s="222"/>
      <c r="TIJ607" s="222"/>
      <c r="TIK607" s="222"/>
      <c r="TIL607" s="222"/>
      <c r="TIM607" s="223"/>
      <c r="TIN607" s="224"/>
      <c r="TIO607" s="222"/>
      <c r="TIP607" s="222"/>
      <c r="TIQ607" s="222"/>
      <c r="TIR607" s="222"/>
      <c r="TIS607" s="222"/>
      <c r="TIT607" s="222"/>
      <c r="TIU607" s="223"/>
      <c r="TIV607" s="224"/>
      <c r="TIW607" s="222"/>
      <c r="TIX607" s="222"/>
      <c r="TIY607" s="222"/>
      <c r="TIZ607" s="222"/>
      <c r="TJA607" s="222"/>
      <c r="TJB607" s="222"/>
      <c r="TJC607" s="223"/>
      <c r="TJD607" s="224"/>
      <c r="TJE607" s="222"/>
      <c r="TJF607" s="222"/>
      <c r="TJG607" s="222"/>
      <c r="TJH607" s="222"/>
      <c r="TJI607" s="222"/>
      <c r="TJJ607" s="222"/>
      <c r="TJK607" s="223"/>
      <c r="TJL607" s="224"/>
      <c r="TJM607" s="222"/>
      <c r="TJN607" s="222"/>
      <c r="TJO607" s="222"/>
      <c r="TJP607" s="222"/>
      <c r="TJQ607" s="222"/>
      <c r="TJR607" s="222"/>
      <c r="TJS607" s="223"/>
      <c r="TJT607" s="224"/>
      <c r="TJU607" s="222"/>
      <c r="TJV607" s="222"/>
      <c r="TJW607" s="222"/>
      <c r="TJX607" s="222"/>
      <c r="TJY607" s="222"/>
      <c r="TJZ607" s="222"/>
      <c r="TKA607" s="223"/>
      <c r="TKB607" s="224"/>
      <c r="TKC607" s="222"/>
      <c r="TKD607" s="222"/>
      <c r="TKE607" s="222"/>
      <c r="TKF607" s="222"/>
      <c r="TKG607" s="222"/>
      <c r="TKH607" s="222"/>
      <c r="TKI607" s="223"/>
      <c r="TKJ607" s="224"/>
      <c r="TKK607" s="222"/>
      <c r="TKL607" s="222"/>
      <c r="TKM607" s="222"/>
      <c r="TKN607" s="222"/>
      <c r="TKO607" s="222"/>
      <c r="TKP607" s="222"/>
      <c r="TKQ607" s="223"/>
      <c r="TKR607" s="224"/>
      <c r="TKS607" s="222"/>
      <c r="TKT607" s="222"/>
      <c r="TKU607" s="222"/>
      <c r="TKV607" s="222"/>
      <c r="TKW607" s="222"/>
      <c r="TKX607" s="222"/>
      <c r="TKY607" s="223"/>
      <c r="TKZ607" s="224"/>
      <c r="TLA607" s="222"/>
      <c r="TLB607" s="222"/>
      <c r="TLC607" s="222"/>
      <c r="TLD607" s="222"/>
      <c r="TLE607" s="222"/>
      <c r="TLF607" s="222"/>
      <c r="TLG607" s="223"/>
      <c r="TLH607" s="224"/>
      <c r="TLI607" s="222"/>
      <c r="TLJ607" s="222"/>
      <c r="TLK607" s="222"/>
      <c r="TLL607" s="222"/>
      <c r="TLM607" s="222"/>
      <c r="TLN607" s="222"/>
      <c r="TLO607" s="223"/>
      <c r="TLP607" s="224"/>
      <c r="TLQ607" s="222"/>
      <c r="TLR607" s="222"/>
      <c r="TLS607" s="222"/>
      <c r="TLT607" s="222"/>
      <c r="TLU607" s="222"/>
      <c r="TLV607" s="222"/>
      <c r="TLW607" s="223"/>
      <c r="TLX607" s="224"/>
      <c r="TLY607" s="222"/>
      <c r="TLZ607" s="222"/>
      <c r="TMA607" s="222"/>
      <c r="TMB607" s="222"/>
      <c r="TMC607" s="222"/>
      <c r="TMD607" s="222"/>
      <c r="TME607" s="223"/>
      <c r="TMF607" s="224"/>
      <c r="TMG607" s="222"/>
      <c r="TMH607" s="222"/>
      <c r="TMI607" s="222"/>
      <c r="TMJ607" s="222"/>
      <c r="TMK607" s="222"/>
      <c r="TML607" s="222"/>
      <c r="TMM607" s="223"/>
      <c r="TMN607" s="224"/>
      <c r="TMO607" s="222"/>
      <c r="TMP607" s="222"/>
      <c r="TMQ607" s="222"/>
      <c r="TMR607" s="222"/>
      <c r="TMS607" s="222"/>
      <c r="TMT607" s="222"/>
      <c r="TMU607" s="223"/>
      <c r="TMV607" s="224"/>
      <c r="TMW607" s="222"/>
      <c r="TMX607" s="222"/>
      <c r="TMY607" s="222"/>
      <c r="TMZ607" s="222"/>
      <c r="TNA607" s="222"/>
      <c r="TNB607" s="222"/>
      <c r="TNC607" s="223"/>
      <c r="TND607" s="224"/>
      <c r="TNE607" s="222"/>
      <c r="TNF607" s="222"/>
      <c r="TNG607" s="222"/>
      <c r="TNH607" s="222"/>
      <c r="TNI607" s="222"/>
      <c r="TNJ607" s="222"/>
      <c r="TNK607" s="223"/>
      <c r="TNL607" s="224"/>
      <c r="TNM607" s="222"/>
      <c r="TNN607" s="222"/>
      <c r="TNO607" s="222"/>
      <c r="TNP607" s="222"/>
      <c r="TNQ607" s="222"/>
      <c r="TNR607" s="222"/>
      <c r="TNS607" s="223"/>
      <c r="TNT607" s="224"/>
      <c r="TNU607" s="222"/>
      <c r="TNV607" s="222"/>
      <c r="TNW607" s="222"/>
      <c r="TNX607" s="222"/>
      <c r="TNY607" s="222"/>
      <c r="TNZ607" s="222"/>
      <c r="TOA607" s="223"/>
      <c r="TOB607" s="224"/>
      <c r="TOC607" s="222"/>
      <c r="TOD607" s="222"/>
      <c r="TOE607" s="222"/>
      <c r="TOF607" s="222"/>
      <c r="TOG607" s="222"/>
      <c r="TOH607" s="222"/>
      <c r="TOI607" s="223"/>
      <c r="TOJ607" s="224"/>
      <c r="TOK607" s="222"/>
      <c r="TOL607" s="222"/>
      <c r="TOM607" s="222"/>
      <c r="TON607" s="222"/>
      <c r="TOO607" s="222"/>
      <c r="TOP607" s="222"/>
      <c r="TOQ607" s="223"/>
      <c r="TOR607" s="224"/>
      <c r="TOS607" s="222"/>
      <c r="TOT607" s="222"/>
      <c r="TOU607" s="222"/>
      <c r="TOV607" s="222"/>
      <c r="TOW607" s="222"/>
      <c r="TOX607" s="222"/>
      <c r="TOY607" s="223"/>
      <c r="TOZ607" s="224"/>
      <c r="TPA607" s="222"/>
      <c r="TPB607" s="222"/>
      <c r="TPC607" s="222"/>
      <c r="TPD607" s="222"/>
      <c r="TPE607" s="222"/>
      <c r="TPF607" s="222"/>
      <c r="TPG607" s="223"/>
      <c r="TPH607" s="224"/>
      <c r="TPI607" s="222"/>
      <c r="TPJ607" s="222"/>
      <c r="TPK607" s="222"/>
      <c r="TPL607" s="222"/>
      <c r="TPM607" s="222"/>
      <c r="TPN607" s="222"/>
      <c r="TPO607" s="223"/>
      <c r="TPP607" s="224"/>
      <c r="TPQ607" s="222"/>
      <c r="TPR607" s="222"/>
      <c r="TPS607" s="222"/>
      <c r="TPT607" s="222"/>
      <c r="TPU607" s="222"/>
      <c r="TPV607" s="222"/>
      <c r="TPW607" s="223"/>
      <c r="TPX607" s="224"/>
      <c r="TPY607" s="222"/>
      <c r="TPZ607" s="222"/>
      <c r="TQA607" s="222"/>
      <c r="TQB607" s="222"/>
      <c r="TQC607" s="222"/>
      <c r="TQD607" s="222"/>
      <c r="TQE607" s="223"/>
      <c r="TQF607" s="224"/>
      <c r="TQG607" s="222"/>
      <c r="TQH607" s="222"/>
      <c r="TQI607" s="222"/>
      <c r="TQJ607" s="222"/>
      <c r="TQK607" s="222"/>
      <c r="TQL607" s="222"/>
      <c r="TQM607" s="223"/>
      <c r="TQN607" s="224"/>
      <c r="TQO607" s="222"/>
      <c r="TQP607" s="222"/>
      <c r="TQQ607" s="222"/>
      <c r="TQR607" s="222"/>
      <c r="TQS607" s="222"/>
      <c r="TQT607" s="222"/>
      <c r="TQU607" s="223"/>
      <c r="TQV607" s="224"/>
      <c r="TQW607" s="222"/>
      <c r="TQX607" s="222"/>
      <c r="TQY607" s="222"/>
      <c r="TQZ607" s="222"/>
      <c r="TRA607" s="222"/>
      <c r="TRB607" s="222"/>
      <c r="TRC607" s="223"/>
      <c r="TRD607" s="224"/>
      <c r="TRE607" s="222"/>
      <c r="TRF607" s="222"/>
      <c r="TRG607" s="222"/>
      <c r="TRH607" s="222"/>
      <c r="TRI607" s="222"/>
      <c r="TRJ607" s="222"/>
      <c r="TRK607" s="223"/>
      <c r="TRL607" s="224"/>
      <c r="TRM607" s="222"/>
      <c r="TRN607" s="222"/>
      <c r="TRO607" s="222"/>
      <c r="TRP607" s="222"/>
      <c r="TRQ607" s="222"/>
      <c r="TRR607" s="222"/>
      <c r="TRS607" s="223"/>
      <c r="TRT607" s="224"/>
      <c r="TRU607" s="222"/>
      <c r="TRV607" s="222"/>
      <c r="TRW607" s="222"/>
      <c r="TRX607" s="222"/>
      <c r="TRY607" s="222"/>
      <c r="TRZ607" s="222"/>
      <c r="TSA607" s="223"/>
      <c r="TSB607" s="224"/>
      <c r="TSC607" s="222"/>
      <c r="TSD607" s="222"/>
      <c r="TSE607" s="222"/>
      <c r="TSF607" s="222"/>
      <c r="TSG607" s="222"/>
      <c r="TSH607" s="222"/>
      <c r="TSI607" s="223"/>
      <c r="TSJ607" s="224"/>
      <c r="TSK607" s="222"/>
      <c r="TSL607" s="222"/>
      <c r="TSM607" s="222"/>
      <c r="TSN607" s="222"/>
      <c r="TSO607" s="222"/>
      <c r="TSP607" s="222"/>
      <c r="TSQ607" s="223"/>
      <c r="TSR607" s="224"/>
      <c r="TSS607" s="222"/>
      <c r="TST607" s="222"/>
      <c r="TSU607" s="222"/>
      <c r="TSV607" s="222"/>
      <c r="TSW607" s="222"/>
      <c r="TSX607" s="222"/>
      <c r="TSY607" s="223"/>
      <c r="TSZ607" s="224"/>
      <c r="TTA607" s="222"/>
      <c r="TTB607" s="222"/>
      <c r="TTC607" s="222"/>
      <c r="TTD607" s="222"/>
      <c r="TTE607" s="222"/>
      <c r="TTF607" s="222"/>
      <c r="TTG607" s="223"/>
      <c r="TTH607" s="224"/>
      <c r="TTI607" s="222"/>
      <c r="TTJ607" s="222"/>
      <c r="TTK607" s="222"/>
      <c r="TTL607" s="222"/>
      <c r="TTM607" s="222"/>
      <c r="TTN607" s="222"/>
      <c r="TTO607" s="223"/>
      <c r="TTP607" s="224"/>
      <c r="TTQ607" s="222"/>
      <c r="TTR607" s="222"/>
      <c r="TTS607" s="222"/>
      <c r="TTT607" s="222"/>
      <c r="TTU607" s="222"/>
      <c r="TTV607" s="222"/>
      <c r="TTW607" s="223"/>
      <c r="TTX607" s="224"/>
      <c r="TTY607" s="222"/>
      <c r="TTZ607" s="222"/>
      <c r="TUA607" s="222"/>
      <c r="TUB607" s="222"/>
      <c r="TUC607" s="222"/>
      <c r="TUD607" s="222"/>
      <c r="TUE607" s="223"/>
      <c r="TUF607" s="224"/>
      <c r="TUG607" s="222"/>
      <c r="TUH607" s="222"/>
      <c r="TUI607" s="222"/>
      <c r="TUJ607" s="222"/>
      <c r="TUK607" s="222"/>
      <c r="TUL607" s="222"/>
      <c r="TUM607" s="223"/>
      <c r="TUN607" s="224"/>
      <c r="TUO607" s="222"/>
      <c r="TUP607" s="222"/>
      <c r="TUQ607" s="222"/>
      <c r="TUR607" s="222"/>
      <c r="TUS607" s="222"/>
      <c r="TUT607" s="222"/>
      <c r="TUU607" s="223"/>
      <c r="TUV607" s="224"/>
      <c r="TUW607" s="222"/>
      <c r="TUX607" s="222"/>
      <c r="TUY607" s="222"/>
      <c r="TUZ607" s="222"/>
      <c r="TVA607" s="222"/>
      <c r="TVB607" s="222"/>
      <c r="TVC607" s="223"/>
      <c r="TVD607" s="224"/>
      <c r="TVE607" s="222"/>
      <c r="TVF607" s="222"/>
      <c r="TVG607" s="222"/>
      <c r="TVH607" s="222"/>
      <c r="TVI607" s="222"/>
      <c r="TVJ607" s="222"/>
      <c r="TVK607" s="223"/>
      <c r="TVL607" s="224"/>
      <c r="TVM607" s="222"/>
      <c r="TVN607" s="222"/>
      <c r="TVO607" s="222"/>
      <c r="TVP607" s="222"/>
      <c r="TVQ607" s="222"/>
      <c r="TVR607" s="222"/>
      <c r="TVS607" s="223"/>
      <c r="TVT607" s="224"/>
      <c r="TVU607" s="222"/>
      <c r="TVV607" s="222"/>
      <c r="TVW607" s="222"/>
      <c r="TVX607" s="222"/>
      <c r="TVY607" s="222"/>
      <c r="TVZ607" s="222"/>
      <c r="TWA607" s="223"/>
      <c r="TWB607" s="224"/>
      <c r="TWC607" s="222"/>
      <c r="TWD607" s="222"/>
      <c r="TWE607" s="222"/>
      <c r="TWF607" s="222"/>
      <c r="TWG607" s="222"/>
      <c r="TWH607" s="222"/>
      <c r="TWI607" s="223"/>
      <c r="TWJ607" s="224"/>
      <c r="TWK607" s="222"/>
      <c r="TWL607" s="222"/>
      <c r="TWM607" s="222"/>
      <c r="TWN607" s="222"/>
      <c r="TWO607" s="222"/>
      <c r="TWP607" s="222"/>
      <c r="TWQ607" s="223"/>
      <c r="TWR607" s="224"/>
      <c r="TWS607" s="222"/>
      <c r="TWT607" s="222"/>
      <c r="TWU607" s="222"/>
      <c r="TWV607" s="222"/>
      <c r="TWW607" s="222"/>
      <c r="TWX607" s="222"/>
      <c r="TWY607" s="223"/>
      <c r="TWZ607" s="224"/>
      <c r="TXA607" s="222"/>
      <c r="TXB607" s="222"/>
      <c r="TXC607" s="222"/>
      <c r="TXD607" s="222"/>
      <c r="TXE607" s="222"/>
      <c r="TXF607" s="222"/>
      <c r="TXG607" s="223"/>
      <c r="TXH607" s="224"/>
      <c r="TXI607" s="222"/>
      <c r="TXJ607" s="222"/>
      <c r="TXK607" s="222"/>
      <c r="TXL607" s="222"/>
      <c r="TXM607" s="222"/>
      <c r="TXN607" s="222"/>
      <c r="TXO607" s="223"/>
      <c r="TXP607" s="224"/>
      <c r="TXQ607" s="222"/>
      <c r="TXR607" s="222"/>
      <c r="TXS607" s="222"/>
      <c r="TXT607" s="222"/>
      <c r="TXU607" s="222"/>
      <c r="TXV607" s="222"/>
      <c r="TXW607" s="223"/>
      <c r="TXX607" s="224"/>
      <c r="TXY607" s="222"/>
      <c r="TXZ607" s="222"/>
      <c r="TYA607" s="222"/>
      <c r="TYB607" s="222"/>
      <c r="TYC607" s="222"/>
      <c r="TYD607" s="222"/>
      <c r="TYE607" s="223"/>
      <c r="TYF607" s="224"/>
      <c r="TYG607" s="222"/>
      <c r="TYH607" s="222"/>
      <c r="TYI607" s="222"/>
      <c r="TYJ607" s="222"/>
      <c r="TYK607" s="222"/>
      <c r="TYL607" s="222"/>
      <c r="TYM607" s="223"/>
      <c r="TYN607" s="224"/>
      <c r="TYO607" s="222"/>
      <c r="TYP607" s="222"/>
      <c r="TYQ607" s="222"/>
      <c r="TYR607" s="222"/>
      <c r="TYS607" s="222"/>
      <c r="TYT607" s="222"/>
      <c r="TYU607" s="223"/>
      <c r="TYV607" s="224"/>
      <c r="TYW607" s="222"/>
      <c r="TYX607" s="222"/>
      <c r="TYY607" s="222"/>
      <c r="TYZ607" s="222"/>
      <c r="TZA607" s="222"/>
      <c r="TZB607" s="222"/>
      <c r="TZC607" s="223"/>
      <c r="TZD607" s="224"/>
      <c r="TZE607" s="222"/>
      <c r="TZF607" s="222"/>
      <c r="TZG607" s="222"/>
      <c r="TZH607" s="222"/>
      <c r="TZI607" s="222"/>
      <c r="TZJ607" s="222"/>
      <c r="TZK607" s="223"/>
      <c r="TZL607" s="224"/>
      <c r="TZM607" s="222"/>
      <c r="TZN607" s="222"/>
      <c r="TZO607" s="222"/>
      <c r="TZP607" s="222"/>
      <c r="TZQ607" s="222"/>
      <c r="TZR607" s="222"/>
      <c r="TZS607" s="223"/>
      <c r="TZT607" s="224"/>
      <c r="TZU607" s="222"/>
      <c r="TZV607" s="222"/>
      <c r="TZW607" s="222"/>
      <c r="TZX607" s="222"/>
      <c r="TZY607" s="222"/>
      <c r="TZZ607" s="222"/>
      <c r="UAA607" s="223"/>
      <c r="UAB607" s="224"/>
      <c r="UAC607" s="222"/>
      <c r="UAD607" s="222"/>
      <c r="UAE607" s="222"/>
      <c r="UAF607" s="222"/>
      <c r="UAG607" s="222"/>
      <c r="UAH607" s="222"/>
      <c r="UAI607" s="223"/>
      <c r="UAJ607" s="224"/>
      <c r="UAK607" s="222"/>
      <c r="UAL607" s="222"/>
      <c r="UAM607" s="222"/>
      <c r="UAN607" s="222"/>
      <c r="UAO607" s="222"/>
      <c r="UAP607" s="222"/>
      <c r="UAQ607" s="223"/>
      <c r="UAR607" s="224"/>
      <c r="UAS607" s="222"/>
      <c r="UAT607" s="222"/>
      <c r="UAU607" s="222"/>
      <c r="UAV607" s="222"/>
      <c r="UAW607" s="222"/>
      <c r="UAX607" s="222"/>
      <c r="UAY607" s="223"/>
      <c r="UAZ607" s="224"/>
      <c r="UBA607" s="222"/>
      <c r="UBB607" s="222"/>
      <c r="UBC607" s="222"/>
      <c r="UBD607" s="222"/>
      <c r="UBE607" s="222"/>
      <c r="UBF607" s="222"/>
      <c r="UBG607" s="223"/>
      <c r="UBH607" s="224"/>
      <c r="UBI607" s="222"/>
      <c r="UBJ607" s="222"/>
      <c r="UBK607" s="222"/>
      <c r="UBL607" s="222"/>
      <c r="UBM607" s="222"/>
      <c r="UBN607" s="222"/>
      <c r="UBO607" s="223"/>
      <c r="UBP607" s="224"/>
      <c r="UBQ607" s="222"/>
      <c r="UBR607" s="222"/>
      <c r="UBS607" s="222"/>
      <c r="UBT607" s="222"/>
      <c r="UBU607" s="222"/>
      <c r="UBV607" s="222"/>
      <c r="UBW607" s="223"/>
      <c r="UBX607" s="224"/>
      <c r="UBY607" s="222"/>
      <c r="UBZ607" s="222"/>
      <c r="UCA607" s="222"/>
      <c r="UCB607" s="222"/>
      <c r="UCC607" s="222"/>
      <c r="UCD607" s="222"/>
      <c r="UCE607" s="223"/>
      <c r="UCF607" s="224"/>
      <c r="UCG607" s="222"/>
      <c r="UCH607" s="222"/>
      <c r="UCI607" s="222"/>
      <c r="UCJ607" s="222"/>
      <c r="UCK607" s="222"/>
      <c r="UCL607" s="222"/>
      <c r="UCM607" s="223"/>
      <c r="UCN607" s="224"/>
      <c r="UCO607" s="222"/>
      <c r="UCP607" s="222"/>
      <c r="UCQ607" s="222"/>
      <c r="UCR607" s="222"/>
      <c r="UCS607" s="222"/>
      <c r="UCT607" s="222"/>
      <c r="UCU607" s="223"/>
      <c r="UCV607" s="224"/>
      <c r="UCW607" s="222"/>
      <c r="UCX607" s="222"/>
      <c r="UCY607" s="222"/>
      <c r="UCZ607" s="222"/>
      <c r="UDA607" s="222"/>
      <c r="UDB607" s="222"/>
      <c r="UDC607" s="223"/>
      <c r="UDD607" s="224"/>
      <c r="UDE607" s="222"/>
      <c r="UDF607" s="222"/>
      <c r="UDG607" s="222"/>
      <c r="UDH607" s="222"/>
      <c r="UDI607" s="222"/>
      <c r="UDJ607" s="222"/>
      <c r="UDK607" s="223"/>
      <c r="UDL607" s="224"/>
      <c r="UDM607" s="222"/>
      <c r="UDN607" s="222"/>
      <c r="UDO607" s="222"/>
      <c r="UDP607" s="222"/>
      <c r="UDQ607" s="222"/>
      <c r="UDR607" s="222"/>
      <c r="UDS607" s="223"/>
      <c r="UDT607" s="224"/>
      <c r="UDU607" s="222"/>
      <c r="UDV607" s="222"/>
      <c r="UDW607" s="222"/>
      <c r="UDX607" s="222"/>
      <c r="UDY607" s="222"/>
      <c r="UDZ607" s="222"/>
      <c r="UEA607" s="223"/>
      <c r="UEB607" s="224"/>
      <c r="UEC607" s="222"/>
      <c r="UED607" s="222"/>
      <c r="UEE607" s="222"/>
      <c r="UEF607" s="222"/>
      <c r="UEG607" s="222"/>
      <c r="UEH607" s="222"/>
      <c r="UEI607" s="223"/>
      <c r="UEJ607" s="224"/>
      <c r="UEK607" s="222"/>
      <c r="UEL607" s="222"/>
      <c r="UEM607" s="222"/>
      <c r="UEN607" s="222"/>
      <c r="UEO607" s="222"/>
      <c r="UEP607" s="222"/>
      <c r="UEQ607" s="223"/>
      <c r="UER607" s="224"/>
      <c r="UES607" s="222"/>
      <c r="UET607" s="222"/>
      <c r="UEU607" s="222"/>
      <c r="UEV607" s="222"/>
      <c r="UEW607" s="222"/>
      <c r="UEX607" s="222"/>
      <c r="UEY607" s="223"/>
      <c r="UEZ607" s="224"/>
      <c r="UFA607" s="222"/>
      <c r="UFB607" s="222"/>
      <c r="UFC607" s="222"/>
      <c r="UFD607" s="222"/>
      <c r="UFE607" s="222"/>
      <c r="UFF607" s="222"/>
      <c r="UFG607" s="223"/>
      <c r="UFH607" s="224"/>
      <c r="UFI607" s="222"/>
      <c r="UFJ607" s="222"/>
      <c r="UFK607" s="222"/>
      <c r="UFL607" s="222"/>
      <c r="UFM607" s="222"/>
      <c r="UFN607" s="222"/>
      <c r="UFO607" s="223"/>
      <c r="UFP607" s="224"/>
      <c r="UFQ607" s="222"/>
      <c r="UFR607" s="222"/>
      <c r="UFS607" s="222"/>
      <c r="UFT607" s="222"/>
      <c r="UFU607" s="222"/>
      <c r="UFV607" s="222"/>
      <c r="UFW607" s="223"/>
      <c r="UFX607" s="224"/>
      <c r="UFY607" s="222"/>
      <c r="UFZ607" s="222"/>
      <c r="UGA607" s="222"/>
      <c r="UGB607" s="222"/>
      <c r="UGC607" s="222"/>
      <c r="UGD607" s="222"/>
      <c r="UGE607" s="223"/>
      <c r="UGF607" s="224"/>
      <c r="UGG607" s="222"/>
      <c r="UGH607" s="222"/>
      <c r="UGI607" s="222"/>
      <c r="UGJ607" s="222"/>
      <c r="UGK607" s="222"/>
      <c r="UGL607" s="222"/>
      <c r="UGM607" s="223"/>
      <c r="UGN607" s="224"/>
      <c r="UGO607" s="222"/>
      <c r="UGP607" s="222"/>
      <c r="UGQ607" s="222"/>
      <c r="UGR607" s="222"/>
      <c r="UGS607" s="222"/>
      <c r="UGT607" s="222"/>
      <c r="UGU607" s="223"/>
      <c r="UGV607" s="224"/>
      <c r="UGW607" s="222"/>
      <c r="UGX607" s="222"/>
      <c r="UGY607" s="222"/>
      <c r="UGZ607" s="222"/>
      <c r="UHA607" s="222"/>
      <c r="UHB607" s="222"/>
      <c r="UHC607" s="223"/>
      <c r="UHD607" s="224"/>
      <c r="UHE607" s="222"/>
      <c r="UHF607" s="222"/>
      <c r="UHG607" s="222"/>
      <c r="UHH607" s="222"/>
      <c r="UHI607" s="222"/>
      <c r="UHJ607" s="222"/>
      <c r="UHK607" s="223"/>
      <c r="UHL607" s="224"/>
      <c r="UHM607" s="222"/>
      <c r="UHN607" s="222"/>
      <c r="UHO607" s="222"/>
      <c r="UHP607" s="222"/>
      <c r="UHQ607" s="222"/>
      <c r="UHR607" s="222"/>
      <c r="UHS607" s="223"/>
      <c r="UHT607" s="224"/>
      <c r="UHU607" s="222"/>
      <c r="UHV607" s="222"/>
      <c r="UHW607" s="222"/>
      <c r="UHX607" s="222"/>
      <c r="UHY607" s="222"/>
      <c r="UHZ607" s="222"/>
      <c r="UIA607" s="223"/>
      <c r="UIB607" s="224"/>
      <c r="UIC607" s="222"/>
      <c r="UID607" s="222"/>
      <c r="UIE607" s="222"/>
      <c r="UIF607" s="222"/>
      <c r="UIG607" s="222"/>
      <c r="UIH607" s="222"/>
      <c r="UII607" s="223"/>
      <c r="UIJ607" s="224"/>
      <c r="UIK607" s="222"/>
      <c r="UIL607" s="222"/>
      <c r="UIM607" s="222"/>
      <c r="UIN607" s="222"/>
      <c r="UIO607" s="222"/>
      <c r="UIP607" s="222"/>
      <c r="UIQ607" s="223"/>
      <c r="UIR607" s="224"/>
      <c r="UIS607" s="222"/>
      <c r="UIT607" s="222"/>
      <c r="UIU607" s="222"/>
      <c r="UIV607" s="222"/>
      <c r="UIW607" s="222"/>
      <c r="UIX607" s="222"/>
      <c r="UIY607" s="223"/>
      <c r="UIZ607" s="224"/>
      <c r="UJA607" s="222"/>
      <c r="UJB607" s="222"/>
      <c r="UJC607" s="222"/>
      <c r="UJD607" s="222"/>
      <c r="UJE607" s="222"/>
      <c r="UJF607" s="222"/>
      <c r="UJG607" s="223"/>
      <c r="UJH607" s="224"/>
      <c r="UJI607" s="222"/>
      <c r="UJJ607" s="222"/>
      <c r="UJK607" s="222"/>
      <c r="UJL607" s="222"/>
      <c r="UJM607" s="222"/>
      <c r="UJN607" s="222"/>
      <c r="UJO607" s="223"/>
      <c r="UJP607" s="224"/>
      <c r="UJQ607" s="222"/>
      <c r="UJR607" s="222"/>
      <c r="UJS607" s="222"/>
      <c r="UJT607" s="222"/>
      <c r="UJU607" s="222"/>
      <c r="UJV607" s="222"/>
      <c r="UJW607" s="223"/>
      <c r="UJX607" s="224"/>
      <c r="UJY607" s="222"/>
      <c r="UJZ607" s="222"/>
      <c r="UKA607" s="222"/>
      <c r="UKB607" s="222"/>
      <c r="UKC607" s="222"/>
      <c r="UKD607" s="222"/>
      <c r="UKE607" s="223"/>
      <c r="UKF607" s="224"/>
      <c r="UKG607" s="222"/>
      <c r="UKH607" s="222"/>
      <c r="UKI607" s="222"/>
      <c r="UKJ607" s="222"/>
      <c r="UKK607" s="222"/>
      <c r="UKL607" s="222"/>
      <c r="UKM607" s="223"/>
      <c r="UKN607" s="224"/>
      <c r="UKO607" s="222"/>
      <c r="UKP607" s="222"/>
      <c r="UKQ607" s="222"/>
      <c r="UKR607" s="222"/>
      <c r="UKS607" s="222"/>
      <c r="UKT607" s="222"/>
      <c r="UKU607" s="223"/>
      <c r="UKV607" s="224"/>
      <c r="UKW607" s="222"/>
      <c r="UKX607" s="222"/>
      <c r="UKY607" s="222"/>
      <c r="UKZ607" s="222"/>
      <c r="ULA607" s="222"/>
      <c r="ULB607" s="222"/>
      <c r="ULC607" s="223"/>
      <c r="ULD607" s="224"/>
      <c r="ULE607" s="222"/>
      <c r="ULF607" s="222"/>
      <c r="ULG607" s="222"/>
      <c r="ULH607" s="222"/>
      <c r="ULI607" s="222"/>
      <c r="ULJ607" s="222"/>
      <c r="ULK607" s="223"/>
      <c r="ULL607" s="224"/>
      <c r="ULM607" s="222"/>
      <c r="ULN607" s="222"/>
      <c r="ULO607" s="222"/>
      <c r="ULP607" s="222"/>
      <c r="ULQ607" s="222"/>
      <c r="ULR607" s="222"/>
      <c r="ULS607" s="223"/>
      <c r="ULT607" s="224"/>
      <c r="ULU607" s="222"/>
      <c r="ULV607" s="222"/>
      <c r="ULW607" s="222"/>
      <c r="ULX607" s="222"/>
      <c r="ULY607" s="222"/>
      <c r="ULZ607" s="222"/>
      <c r="UMA607" s="223"/>
      <c r="UMB607" s="224"/>
      <c r="UMC607" s="222"/>
      <c r="UMD607" s="222"/>
      <c r="UME607" s="222"/>
      <c r="UMF607" s="222"/>
      <c r="UMG607" s="222"/>
      <c r="UMH607" s="222"/>
      <c r="UMI607" s="223"/>
      <c r="UMJ607" s="224"/>
      <c r="UMK607" s="222"/>
      <c r="UML607" s="222"/>
      <c r="UMM607" s="222"/>
      <c r="UMN607" s="222"/>
      <c r="UMO607" s="222"/>
      <c r="UMP607" s="222"/>
      <c r="UMQ607" s="223"/>
      <c r="UMR607" s="224"/>
      <c r="UMS607" s="222"/>
      <c r="UMT607" s="222"/>
      <c r="UMU607" s="222"/>
      <c r="UMV607" s="222"/>
      <c r="UMW607" s="222"/>
      <c r="UMX607" s="222"/>
      <c r="UMY607" s="223"/>
      <c r="UMZ607" s="224"/>
      <c r="UNA607" s="222"/>
      <c r="UNB607" s="222"/>
      <c r="UNC607" s="222"/>
      <c r="UND607" s="222"/>
      <c r="UNE607" s="222"/>
      <c r="UNF607" s="222"/>
      <c r="UNG607" s="223"/>
      <c r="UNH607" s="224"/>
      <c r="UNI607" s="222"/>
      <c r="UNJ607" s="222"/>
      <c r="UNK607" s="222"/>
      <c r="UNL607" s="222"/>
      <c r="UNM607" s="222"/>
      <c r="UNN607" s="222"/>
      <c r="UNO607" s="223"/>
      <c r="UNP607" s="224"/>
      <c r="UNQ607" s="222"/>
      <c r="UNR607" s="222"/>
      <c r="UNS607" s="222"/>
      <c r="UNT607" s="222"/>
      <c r="UNU607" s="222"/>
      <c r="UNV607" s="222"/>
      <c r="UNW607" s="223"/>
      <c r="UNX607" s="224"/>
      <c r="UNY607" s="222"/>
      <c r="UNZ607" s="222"/>
      <c r="UOA607" s="222"/>
      <c r="UOB607" s="222"/>
      <c r="UOC607" s="222"/>
      <c r="UOD607" s="222"/>
      <c r="UOE607" s="223"/>
      <c r="UOF607" s="224"/>
      <c r="UOG607" s="222"/>
      <c r="UOH607" s="222"/>
      <c r="UOI607" s="222"/>
      <c r="UOJ607" s="222"/>
      <c r="UOK607" s="222"/>
      <c r="UOL607" s="222"/>
      <c r="UOM607" s="223"/>
      <c r="UON607" s="224"/>
      <c r="UOO607" s="222"/>
      <c r="UOP607" s="222"/>
      <c r="UOQ607" s="222"/>
      <c r="UOR607" s="222"/>
      <c r="UOS607" s="222"/>
      <c r="UOT607" s="222"/>
      <c r="UOU607" s="223"/>
      <c r="UOV607" s="224"/>
      <c r="UOW607" s="222"/>
      <c r="UOX607" s="222"/>
      <c r="UOY607" s="222"/>
      <c r="UOZ607" s="222"/>
      <c r="UPA607" s="222"/>
      <c r="UPB607" s="222"/>
      <c r="UPC607" s="223"/>
      <c r="UPD607" s="224"/>
      <c r="UPE607" s="222"/>
      <c r="UPF607" s="222"/>
      <c r="UPG607" s="222"/>
      <c r="UPH607" s="222"/>
      <c r="UPI607" s="222"/>
      <c r="UPJ607" s="222"/>
      <c r="UPK607" s="223"/>
      <c r="UPL607" s="224"/>
      <c r="UPM607" s="222"/>
      <c r="UPN607" s="222"/>
      <c r="UPO607" s="222"/>
      <c r="UPP607" s="222"/>
      <c r="UPQ607" s="222"/>
      <c r="UPR607" s="222"/>
      <c r="UPS607" s="223"/>
      <c r="UPT607" s="224"/>
      <c r="UPU607" s="222"/>
      <c r="UPV607" s="222"/>
      <c r="UPW607" s="222"/>
      <c r="UPX607" s="222"/>
      <c r="UPY607" s="222"/>
      <c r="UPZ607" s="222"/>
      <c r="UQA607" s="223"/>
      <c r="UQB607" s="224"/>
      <c r="UQC607" s="222"/>
      <c r="UQD607" s="222"/>
      <c r="UQE607" s="222"/>
      <c r="UQF607" s="222"/>
      <c r="UQG607" s="222"/>
      <c r="UQH607" s="222"/>
      <c r="UQI607" s="223"/>
      <c r="UQJ607" s="224"/>
      <c r="UQK607" s="222"/>
      <c r="UQL607" s="222"/>
      <c r="UQM607" s="222"/>
      <c r="UQN607" s="222"/>
      <c r="UQO607" s="222"/>
      <c r="UQP607" s="222"/>
      <c r="UQQ607" s="223"/>
      <c r="UQR607" s="224"/>
      <c r="UQS607" s="222"/>
      <c r="UQT607" s="222"/>
      <c r="UQU607" s="222"/>
      <c r="UQV607" s="222"/>
      <c r="UQW607" s="222"/>
      <c r="UQX607" s="222"/>
      <c r="UQY607" s="223"/>
      <c r="UQZ607" s="224"/>
      <c r="URA607" s="222"/>
      <c r="URB607" s="222"/>
      <c r="URC607" s="222"/>
      <c r="URD607" s="222"/>
      <c r="URE607" s="222"/>
      <c r="URF607" s="222"/>
      <c r="URG607" s="223"/>
      <c r="URH607" s="224"/>
      <c r="URI607" s="222"/>
      <c r="URJ607" s="222"/>
      <c r="URK607" s="222"/>
      <c r="URL607" s="222"/>
      <c r="URM607" s="222"/>
      <c r="URN607" s="222"/>
      <c r="URO607" s="223"/>
      <c r="URP607" s="224"/>
      <c r="URQ607" s="222"/>
      <c r="URR607" s="222"/>
      <c r="URS607" s="222"/>
      <c r="URT607" s="222"/>
      <c r="URU607" s="222"/>
      <c r="URV607" s="222"/>
      <c r="URW607" s="223"/>
      <c r="URX607" s="224"/>
      <c r="URY607" s="222"/>
      <c r="URZ607" s="222"/>
      <c r="USA607" s="222"/>
      <c r="USB607" s="222"/>
      <c r="USC607" s="222"/>
      <c r="USD607" s="222"/>
      <c r="USE607" s="223"/>
      <c r="USF607" s="224"/>
      <c r="USG607" s="222"/>
      <c r="USH607" s="222"/>
      <c r="USI607" s="222"/>
      <c r="USJ607" s="222"/>
      <c r="USK607" s="222"/>
      <c r="USL607" s="222"/>
      <c r="USM607" s="223"/>
      <c r="USN607" s="224"/>
      <c r="USO607" s="222"/>
      <c r="USP607" s="222"/>
      <c r="USQ607" s="222"/>
      <c r="USR607" s="222"/>
      <c r="USS607" s="222"/>
      <c r="UST607" s="222"/>
      <c r="USU607" s="223"/>
      <c r="USV607" s="224"/>
      <c r="USW607" s="222"/>
      <c r="USX607" s="222"/>
      <c r="USY607" s="222"/>
      <c r="USZ607" s="222"/>
      <c r="UTA607" s="222"/>
      <c r="UTB607" s="222"/>
      <c r="UTC607" s="223"/>
      <c r="UTD607" s="224"/>
      <c r="UTE607" s="222"/>
      <c r="UTF607" s="222"/>
      <c r="UTG607" s="222"/>
      <c r="UTH607" s="222"/>
      <c r="UTI607" s="222"/>
      <c r="UTJ607" s="222"/>
      <c r="UTK607" s="223"/>
      <c r="UTL607" s="224"/>
      <c r="UTM607" s="222"/>
      <c r="UTN607" s="222"/>
      <c r="UTO607" s="222"/>
      <c r="UTP607" s="222"/>
      <c r="UTQ607" s="222"/>
      <c r="UTR607" s="222"/>
      <c r="UTS607" s="223"/>
      <c r="UTT607" s="224"/>
      <c r="UTU607" s="222"/>
      <c r="UTV607" s="222"/>
      <c r="UTW607" s="222"/>
      <c r="UTX607" s="222"/>
      <c r="UTY607" s="222"/>
      <c r="UTZ607" s="222"/>
      <c r="UUA607" s="223"/>
      <c r="UUB607" s="224"/>
      <c r="UUC607" s="222"/>
      <c r="UUD607" s="222"/>
      <c r="UUE607" s="222"/>
      <c r="UUF607" s="222"/>
      <c r="UUG607" s="222"/>
      <c r="UUH607" s="222"/>
      <c r="UUI607" s="223"/>
      <c r="UUJ607" s="224"/>
      <c r="UUK607" s="222"/>
      <c r="UUL607" s="222"/>
      <c r="UUM607" s="222"/>
      <c r="UUN607" s="222"/>
      <c r="UUO607" s="222"/>
      <c r="UUP607" s="222"/>
      <c r="UUQ607" s="223"/>
      <c r="UUR607" s="224"/>
      <c r="UUS607" s="222"/>
      <c r="UUT607" s="222"/>
      <c r="UUU607" s="222"/>
      <c r="UUV607" s="222"/>
      <c r="UUW607" s="222"/>
      <c r="UUX607" s="222"/>
      <c r="UUY607" s="223"/>
      <c r="UUZ607" s="224"/>
      <c r="UVA607" s="222"/>
      <c r="UVB607" s="222"/>
      <c r="UVC607" s="222"/>
      <c r="UVD607" s="222"/>
      <c r="UVE607" s="222"/>
      <c r="UVF607" s="222"/>
      <c r="UVG607" s="223"/>
      <c r="UVH607" s="224"/>
      <c r="UVI607" s="222"/>
      <c r="UVJ607" s="222"/>
      <c r="UVK607" s="222"/>
      <c r="UVL607" s="222"/>
      <c r="UVM607" s="222"/>
      <c r="UVN607" s="222"/>
      <c r="UVO607" s="223"/>
      <c r="UVP607" s="224"/>
      <c r="UVQ607" s="222"/>
      <c r="UVR607" s="222"/>
      <c r="UVS607" s="222"/>
      <c r="UVT607" s="222"/>
      <c r="UVU607" s="222"/>
      <c r="UVV607" s="222"/>
      <c r="UVW607" s="223"/>
      <c r="UVX607" s="224"/>
      <c r="UVY607" s="222"/>
      <c r="UVZ607" s="222"/>
      <c r="UWA607" s="222"/>
      <c r="UWB607" s="222"/>
      <c r="UWC607" s="222"/>
      <c r="UWD607" s="222"/>
      <c r="UWE607" s="223"/>
      <c r="UWF607" s="224"/>
      <c r="UWG607" s="222"/>
      <c r="UWH607" s="222"/>
      <c r="UWI607" s="222"/>
      <c r="UWJ607" s="222"/>
      <c r="UWK607" s="222"/>
      <c r="UWL607" s="222"/>
      <c r="UWM607" s="223"/>
      <c r="UWN607" s="224"/>
      <c r="UWO607" s="222"/>
      <c r="UWP607" s="222"/>
      <c r="UWQ607" s="222"/>
      <c r="UWR607" s="222"/>
      <c r="UWS607" s="222"/>
      <c r="UWT607" s="222"/>
      <c r="UWU607" s="223"/>
      <c r="UWV607" s="224"/>
      <c r="UWW607" s="222"/>
      <c r="UWX607" s="222"/>
      <c r="UWY607" s="222"/>
      <c r="UWZ607" s="222"/>
      <c r="UXA607" s="222"/>
      <c r="UXB607" s="222"/>
      <c r="UXC607" s="223"/>
      <c r="UXD607" s="224"/>
      <c r="UXE607" s="222"/>
      <c r="UXF607" s="222"/>
      <c r="UXG607" s="222"/>
      <c r="UXH607" s="222"/>
      <c r="UXI607" s="222"/>
      <c r="UXJ607" s="222"/>
      <c r="UXK607" s="223"/>
      <c r="UXL607" s="224"/>
      <c r="UXM607" s="222"/>
      <c r="UXN607" s="222"/>
      <c r="UXO607" s="222"/>
      <c r="UXP607" s="222"/>
      <c r="UXQ607" s="222"/>
      <c r="UXR607" s="222"/>
      <c r="UXS607" s="223"/>
      <c r="UXT607" s="224"/>
      <c r="UXU607" s="222"/>
      <c r="UXV607" s="222"/>
      <c r="UXW607" s="222"/>
      <c r="UXX607" s="222"/>
      <c r="UXY607" s="222"/>
      <c r="UXZ607" s="222"/>
      <c r="UYA607" s="223"/>
      <c r="UYB607" s="224"/>
      <c r="UYC607" s="222"/>
      <c r="UYD607" s="222"/>
      <c r="UYE607" s="222"/>
      <c r="UYF607" s="222"/>
      <c r="UYG607" s="222"/>
      <c r="UYH607" s="222"/>
      <c r="UYI607" s="223"/>
      <c r="UYJ607" s="224"/>
      <c r="UYK607" s="222"/>
      <c r="UYL607" s="222"/>
      <c r="UYM607" s="222"/>
      <c r="UYN607" s="222"/>
      <c r="UYO607" s="222"/>
      <c r="UYP607" s="222"/>
      <c r="UYQ607" s="223"/>
      <c r="UYR607" s="224"/>
      <c r="UYS607" s="222"/>
      <c r="UYT607" s="222"/>
      <c r="UYU607" s="222"/>
      <c r="UYV607" s="222"/>
      <c r="UYW607" s="222"/>
      <c r="UYX607" s="222"/>
      <c r="UYY607" s="223"/>
      <c r="UYZ607" s="224"/>
      <c r="UZA607" s="222"/>
      <c r="UZB607" s="222"/>
      <c r="UZC607" s="222"/>
      <c r="UZD607" s="222"/>
      <c r="UZE607" s="222"/>
      <c r="UZF607" s="222"/>
      <c r="UZG607" s="223"/>
      <c r="UZH607" s="224"/>
      <c r="UZI607" s="222"/>
      <c r="UZJ607" s="222"/>
      <c r="UZK607" s="222"/>
      <c r="UZL607" s="222"/>
      <c r="UZM607" s="222"/>
      <c r="UZN607" s="222"/>
      <c r="UZO607" s="223"/>
      <c r="UZP607" s="224"/>
      <c r="UZQ607" s="222"/>
      <c r="UZR607" s="222"/>
      <c r="UZS607" s="222"/>
      <c r="UZT607" s="222"/>
      <c r="UZU607" s="222"/>
      <c r="UZV607" s="222"/>
      <c r="UZW607" s="223"/>
      <c r="UZX607" s="224"/>
      <c r="UZY607" s="222"/>
      <c r="UZZ607" s="222"/>
      <c r="VAA607" s="222"/>
      <c r="VAB607" s="222"/>
      <c r="VAC607" s="222"/>
      <c r="VAD607" s="222"/>
      <c r="VAE607" s="223"/>
      <c r="VAF607" s="224"/>
      <c r="VAG607" s="222"/>
      <c r="VAH607" s="222"/>
      <c r="VAI607" s="222"/>
      <c r="VAJ607" s="222"/>
      <c r="VAK607" s="222"/>
      <c r="VAL607" s="222"/>
      <c r="VAM607" s="223"/>
      <c r="VAN607" s="224"/>
      <c r="VAO607" s="222"/>
      <c r="VAP607" s="222"/>
      <c r="VAQ607" s="222"/>
      <c r="VAR607" s="222"/>
      <c r="VAS607" s="222"/>
      <c r="VAT607" s="222"/>
      <c r="VAU607" s="223"/>
      <c r="VAV607" s="224"/>
      <c r="VAW607" s="222"/>
      <c r="VAX607" s="222"/>
      <c r="VAY607" s="222"/>
      <c r="VAZ607" s="222"/>
      <c r="VBA607" s="222"/>
      <c r="VBB607" s="222"/>
      <c r="VBC607" s="223"/>
      <c r="VBD607" s="224"/>
      <c r="VBE607" s="222"/>
      <c r="VBF607" s="222"/>
      <c r="VBG607" s="222"/>
      <c r="VBH607" s="222"/>
      <c r="VBI607" s="222"/>
      <c r="VBJ607" s="222"/>
      <c r="VBK607" s="223"/>
      <c r="VBL607" s="224"/>
      <c r="VBM607" s="222"/>
      <c r="VBN607" s="222"/>
      <c r="VBO607" s="222"/>
      <c r="VBP607" s="222"/>
      <c r="VBQ607" s="222"/>
      <c r="VBR607" s="222"/>
      <c r="VBS607" s="223"/>
      <c r="VBT607" s="224"/>
      <c r="VBU607" s="222"/>
      <c r="VBV607" s="222"/>
      <c r="VBW607" s="222"/>
      <c r="VBX607" s="222"/>
      <c r="VBY607" s="222"/>
      <c r="VBZ607" s="222"/>
      <c r="VCA607" s="223"/>
      <c r="VCB607" s="224"/>
      <c r="VCC607" s="222"/>
      <c r="VCD607" s="222"/>
      <c r="VCE607" s="222"/>
      <c r="VCF607" s="222"/>
      <c r="VCG607" s="222"/>
      <c r="VCH607" s="222"/>
      <c r="VCI607" s="223"/>
      <c r="VCJ607" s="224"/>
      <c r="VCK607" s="222"/>
      <c r="VCL607" s="222"/>
      <c r="VCM607" s="222"/>
      <c r="VCN607" s="222"/>
      <c r="VCO607" s="222"/>
      <c r="VCP607" s="222"/>
      <c r="VCQ607" s="223"/>
      <c r="VCR607" s="224"/>
      <c r="VCS607" s="222"/>
      <c r="VCT607" s="222"/>
      <c r="VCU607" s="222"/>
      <c r="VCV607" s="222"/>
      <c r="VCW607" s="222"/>
      <c r="VCX607" s="222"/>
      <c r="VCY607" s="223"/>
      <c r="VCZ607" s="224"/>
      <c r="VDA607" s="222"/>
      <c r="VDB607" s="222"/>
      <c r="VDC607" s="222"/>
      <c r="VDD607" s="222"/>
      <c r="VDE607" s="222"/>
      <c r="VDF607" s="222"/>
      <c r="VDG607" s="223"/>
      <c r="VDH607" s="224"/>
      <c r="VDI607" s="222"/>
      <c r="VDJ607" s="222"/>
      <c r="VDK607" s="222"/>
      <c r="VDL607" s="222"/>
      <c r="VDM607" s="222"/>
      <c r="VDN607" s="222"/>
      <c r="VDO607" s="223"/>
      <c r="VDP607" s="224"/>
      <c r="VDQ607" s="222"/>
      <c r="VDR607" s="222"/>
      <c r="VDS607" s="222"/>
      <c r="VDT607" s="222"/>
      <c r="VDU607" s="222"/>
      <c r="VDV607" s="222"/>
      <c r="VDW607" s="223"/>
      <c r="VDX607" s="224"/>
      <c r="VDY607" s="222"/>
      <c r="VDZ607" s="222"/>
      <c r="VEA607" s="222"/>
      <c r="VEB607" s="222"/>
      <c r="VEC607" s="222"/>
      <c r="VED607" s="222"/>
      <c r="VEE607" s="223"/>
      <c r="VEF607" s="224"/>
      <c r="VEG607" s="222"/>
      <c r="VEH607" s="222"/>
      <c r="VEI607" s="222"/>
      <c r="VEJ607" s="222"/>
      <c r="VEK607" s="222"/>
      <c r="VEL607" s="222"/>
      <c r="VEM607" s="223"/>
      <c r="VEN607" s="224"/>
      <c r="VEO607" s="222"/>
      <c r="VEP607" s="222"/>
      <c r="VEQ607" s="222"/>
      <c r="VER607" s="222"/>
      <c r="VES607" s="222"/>
      <c r="VET607" s="222"/>
      <c r="VEU607" s="223"/>
      <c r="VEV607" s="224"/>
      <c r="VEW607" s="222"/>
      <c r="VEX607" s="222"/>
      <c r="VEY607" s="222"/>
      <c r="VEZ607" s="222"/>
      <c r="VFA607" s="222"/>
      <c r="VFB607" s="222"/>
      <c r="VFC607" s="223"/>
      <c r="VFD607" s="224"/>
      <c r="VFE607" s="222"/>
      <c r="VFF607" s="222"/>
      <c r="VFG607" s="222"/>
      <c r="VFH607" s="222"/>
      <c r="VFI607" s="222"/>
      <c r="VFJ607" s="222"/>
      <c r="VFK607" s="223"/>
      <c r="VFL607" s="224"/>
      <c r="VFM607" s="222"/>
      <c r="VFN607" s="222"/>
      <c r="VFO607" s="222"/>
      <c r="VFP607" s="222"/>
      <c r="VFQ607" s="222"/>
      <c r="VFR607" s="222"/>
      <c r="VFS607" s="223"/>
      <c r="VFT607" s="224"/>
      <c r="VFU607" s="222"/>
      <c r="VFV607" s="222"/>
      <c r="VFW607" s="222"/>
      <c r="VFX607" s="222"/>
      <c r="VFY607" s="222"/>
      <c r="VFZ607" s="222"/>
      <c r="VGA607" s="223"/>
      <c r="VGB607" s="224"/>
      <c r="VGC607" s="222"/>
      <c r="VGD607" s="222"/>
      <c r="VGE607" s="222"/>
      <c r="VGF607" s="222"/>
      <c r="VGG607" s="222"/>
      <c r="VGH607" s="222"/>
      <c r="VGI607" s="223"/>
      <c r="VGJ607" s="224"/>
      <c r="VGK607" s="222"/>
      <c r="VGL607" s="222"/>
      <c r="VGM607" s="222"/>
      <c r="VGN607" s="222"/>
      <c r="VGO607" s="222"/>
      <c r="VGP607" s="222"/>
      <c r="VGQ607" s="223"/>
      <c r="VGR607" s="224"/>
      <c r="VGS607" s="222"/>
      <c r="VGT607" s="222"/>
      <c r="VGU607" s="222"/>
      <c r="VGV607" s="222"/>
      <c r="VGW607" s="222"/>
      <c r="VGX607" s="222"/>
      <c r="VGY607" s="223"/>
      <c r="VGZ607" s="224"/>
      <c r="VHA607" s="222"/>
      <c r="VHB607" s="222"/>
      <c r="VHC607" s="222"/>
      <c r="VHD607" s="222"/>
      <c r="VHE607" s="222"/>
      <c r="VHF607" s="222"/>
      <c r="VHG607" s="223"/>
      <c r="VHH607" s="224"/>
      <c r="VHI607" s="222"/>
      <c r="VHJ607" s="222"/>
      <c r="VHK607" s="222"/>
      <c r="VHL607" s="222"/>
      <c r="VHM607" s="222"/>
      <c r="VHN607" s="222"/>
      <c r="VHO607" s="223"/>
      <c r="VHP607" s="224"/>
      <c r="VHQ607" s="222"/>
      <c r="VHR607" s="222"/>
      <c r="VHS607" s="222"/>
      <c r="VHT607" s="222"/>
      <c r="VHU607" s="222"/>
      <c r="VHV607" s="222"/>
      <c r="VHW607" s="223"/>
      <c r="VHX607" s="224"/>
      <c r="VHY607" s="222"/>
      <c r="VHZ607" s="222"/>
      <c r="VIA607" s="222"/>
      <c r="VIB607" s="222"/>
      <c r="VIC607" s="222"/>
      <c r="VID607" s="222"/>
      <c r="VIE607" s="223"/>
      <c r="VIF607" s="224"/>
      <c r="VIG607" s="222"/>
      <c r="VIH607" s="222"/>
      <c r="VII607" s="222"/>
      <c r="VIJ607" s="222"/>
      <c r="VIK607" s="222"/>
      <c r="VIL607" s="222"/>
      <c r="VIM607" s="223"/>
      <c r="VIN607" s="224"/>
      <c r="VIO607" s="222"/>
      <c r="VIP607" s="222"/>
      <c r="VIQ607" s="222"/>
      <c r="VIR607" s="222"/>
      <c r="VIS607" s="222"/>
      <c r="VIT607" s="222"/>
      <c r="VIU607" s="223"/>
      <c r="VIV607" s="224"/>
      <c r="VIW607" s="222"/>
      <c r="VIX607" s="222"/>
      <c r="VIY607" s="222"/>
      <c r="VIZ607" s="222"/>
      <c r="VJA607" s="222"/>
      <c r="VJB607" s="222"/>
      <c r="VJC607" s="223"/>
      <c r="VJD607" s="224"/>
      <c r="VJE607" s="222"/>
      <c r="VJF607" s="222"/>
      <c r="VJG607" s="222"/>
      <c r="VJH607" s="222"/>
      <c r="VJI607" s="222"/>
      <c r="VJJ607" s="222"/>
      <c r="VJK607" s="223"/>
      <c r="VJL607" s="224"/>
      <c r="VJM607" s="222"/>
      <c r="VJN607" s="222"/>
      <c r="VJO607" s="222"/>
      <c r="VJP607" s="222"/>
      <c r="VJQ607" s="222"/>
      <c r="VJR607" s="222"/>
      <c r="VJS607" s="223"/>
      <c r="VJT607" s="224"/>
      <c r="VJU607" s="222"/>
      <c r="VJV607" s="222"/>
      <c r="VJW607" s="222"/>
      <c r="VJX607" s="222"/>
      <c r="VJY607" s="222"/>
      <c r="VJZ607" s="222"/>
      <c r="VKA607" s="223"/>
      <c r="VKB607" s="224"/>
      <c r="VKC607" s="222"/>
      <c r="VKD607" s="222"/>
      <c r="VKE607" s="222"/>
      <c r="VKF607" s="222"/>
      <c r="VKG607" s="222"/>
      <c r="VKH607" s="222"/>
      <c r="VKI607" s="223"/>
      <c r="VKJ607" s="224"/>
      <c r="VKK607" s="222"/>
      <c r="VKL607" s="222"/>
      <c r="VKM607" s="222"/>
      <c r="VKN607" s="222"/>
      <c r="VKO607" s="222"/>
      <c r="VKP607" s="222"/>
      <c r="VKQ607" s="223"/>
      <c r="VKR607" s="224"/>
      <c r="VKS607" s="222"/>
      <c r="VKT607" s="222"/>
      <c r="VKU607" s="222"/>
      <c r="VKV607" s="222"/>
      <c r="VKW607" s="222"/>
      <c r="VKX607" s="222"/>
      <c r="VKY607" s="223"/>
      <c r="VKZ607" s="224"/>
      <c r="VLA607" s="222"/>
      <c r="VLB607" s="222"/>
      <c r="VLC607" s="222"/>
      <c r="VLD607" s="222"/>
      <c r="VLE607" s="222"/>
      <c r="VLF607" s="222"/>
      <c r="VLG607" s="223"/>
      <c r="VLH607" s="224"/>
      <c r="VLI607" s="222"/>
      <c r="VLJ607" s="222"/>
      <c r="VLK607" s="222"/>
      <c r="VLL607" s="222"/>
      <c r="VLM607" s="222"/>
      <c r="VLN607" s="222"/>
      <c r="VLO607" s="223"/>
      <c r="VLP607" s="224"/>
      <c r="VLQ607" s="222"/>
      <c r="VLR607" s="222"/>
      <c r="VLS607" s="222"/>
      <c r="VLT607" s="222"/>
      <c r="VLU607" s="222"/>
      <c r="VLV607" s="222"/>
      <c r="VLW607" s="223"/>
      <c r="VLX607" s="224"/>
      <c r="VLY607" s="222"/>
      <c r="VLZ607" s="222"/>
      <c r="VMA607" s="222"/>
      <c r="VMB607" s="222"/>
      <c r="VMC607" s="222"/>
      <c r="VMD607" s="222"/>
      <c r="VME607" s="223"/>
      <c r="VMF607" s="224"/>
      <c r="VMG607" s="222"/>
      <c r="VMH607" s="222"/>
      <c r="VMI607" s="222"/>
      <c r="VMJ607" s="222"/>
      <c r="VMK607" s="222"/>
      <c r="VML607" s="222"/>
      <c r="VMM607" s="223"/>
      <c r="VMN607" s="224"/>
      <c r="VMO607" s="222"/>
      <c r="VMP607" s="222"/>
      <c r="VMQ607" s="222"/>
      <c r="VMR607" s="222"/>
      <c r="VMS607" s="222"/>
      <c r="VMT607" s="222"/>
      <c r="VMU607" s="223"/>
      <c r="VMV607" s="224"/>
      <c r="VMW607" s="222"/>
      <c r="VMX607" s="222"/>
      <c r="VMY607" s="222"/>
      <c r="VMZ607" s="222"/>
      <c r="VNA607" s="222"/>
      <c r="VNB607" s="222"/>
      <c r="VNC607" s="223"/>
      <c r="VND607" s="224"/>
      <c r="VNE607" s="222"/>
      <c r="VNF607" s="222"/>
      <c r="VNG607" s="222"/>
      <c r="VNH607" s="222"/>
      <c r="VNI607" s="222"/>
      <c r="VNJ607" s="222"/>
      <c r="VNK607" s="223"/>
      <c r="VNL607" s="224"/>
      <c r="VNM607" s="222"/>
      <c r="VNN607" s="222"/>
      <c r="VNO607" s="222"/>
      <c r="VNP607" s="222"/>
      <c r="VNQ607" s="222"/>
      <c r="VNR607" s="222"/>
      <c r="VNS607" s="223"/>
      <c r="VNT607" s="224"/>
      <c r="VNU607" s="222"/>
      <c r="VNV607" s="222"/>
      <c r="VNW607" s="222"/>
      <c r="VNX607" s="222"/>
      <c r="VNY607" s="222"/>
      <c r="VNZ607" s="222"/>
      <c r="VOA607" s="223"/>
      <c r="VOB607" s="224"/>
      <c r="VOC607" s="222"/>
      <c r="VOD607" s="222"/>
      <c r="VOE607" s="222"/>
      <c r="VOF607" s="222"/>
      <c r="VOG607" s="222"/>
      <c r="VOH607" s="222"/>
      <c r="VOI607" s="223"/>
      <c r="VOJ607" s="224"/>
      <c r="VOK607" s="222"/>
      <c r="VOL607" s="222"/>
      <c r="VOM607" s="222"/>
      <c r="VON607" s="222"/>
      <c r="VOO607" s="222"/>
      <c r="VOP607" s="222"/>
      <c r="VOQ607" s="223"/>
      <c r="VOR607" s="224"/>
      <c r="VOS607" s="222"/>
      <c r="VOT607" s="222"/>
      <c r="VOU607" s="222"/>
      <c r="VOV607" s="222"/>
      <c r="VOW607" s="222"/>
      <c r="VOX607" s="222"/>
      <c r="VOY607" s="223"/>
      <c r="VOZ607" s="224"/>
      <c r="VPA607" s="222"/>
      <c r="VPB607" s="222"/>
      <c r="VPC607" s="222"/>
      <c r="VPD607" s="222"/>
      <c r="VPE607" s="222"/>
      <c r="VPF607" s="222"/>
      <c r="VPG607" s="223"/>
      <c r="VPH607" s="224"/>
      <c r="VPI607" s="222"/>
      <c r="VPJ607" s="222"/>
      <c r="VPK607" s="222"/>
      <c r="VPL607" s="222"/>
      <c r="VPM607" s="222"/>
      <c r="VPN607" s="222"/>
      <c r="VPO607" s="223"/>
      <c r="VPP607" s="224"/>
      <c r="VPQ607" s="222"/>
      <c r="VPR607" s="222"/>
      <c r="VPS607" s="222"/>
      <c r="VPT607" s="222"/>
      <c r="VPU607" s="222"/>
      <c r="VPV607" s="222"/>
      <c r="VPW607" s="223"/>
      <c r="VPX607" s="224"/>
      <c r="VPY607" s="222"/>
      <c r="VPZ607" s="222"/>
      <c r="VQA607" s="222"/>
      <c r="VQB607" s="222"/>
      <c r="VQC607" s="222"/>
      <c r="VQD607" s="222"/>
      <c r="VQE607" s="223"/>
      <c r="VQF607" s="224"/>
      <c r="VQG607" s="222"/>
      <c r="VQH607" s="222"/>
      <c r="VQI607" s="222"/>
      <c r="VQJ607" s="222"/>
      <c r="VQK607" s="222"/>
      <c r="VQL607" s="222"/>
      <c r="VQM607" s="223"/>
      <c r="VQN607" s="224"/>
      <c r="VQO607" s="222"/>
      <c r="VQP607" s="222"/>
      <c r="VQQ607" s="222"/>
      <c r="VQR607" s="222"/>
      <c r="VQS607" s="222"/>
      <c r="VQT607" s="222"/>
      <c r="VQU607" s="223"/>
      <c r="VQV607" s="224"/>
      <c r="VQW607" s="222"/>
      <c r="VQX607" s="222"/>
      <c r="VQY607" s="222"/>
      <c r="VQZ607" s="222"/>
      <c r="VRA607" s="222"/>
      <c r="VRB607" s="222"/>
      <c r="VRC607" s="223"/>
      <c r="VRD607" s="224"/>
      <c r="VRE607" s="222"/>
      <c r="VRF607" s="222"/>
      <c r="VRG607" s="222"/>
      <c r="VRH607" s="222"/>
      <c r="VRI607" s="222"/>
      <c r="VRJ607" s="222"/>
      <c r="VRK607" s="223"/>
      <c r="VRL607" s="224"/>
      <c r="VRM607" s="222"/>
      <c r="VRN607" s="222"/>
      <c r="VRO607" s="222"/>
      <c r="VRP607" s="222"/>
      <c r="VRQ607" s="222"/>
      <c r="VRR607" s="222"/>
      <c r="VRS607" s="223"/>
      <c r="VRT607" s="224"/>
      <c r="VRU607" s="222"/>
      <c r="VRV607" s="222"/>
      <c r="VRW607" s="222"/>
      <c r="VRX607" s="222"/>
      <c r="VRY607" s="222"/>
      <c r="VRZ607" s="222"/>
      <c r="VSA607" s="223"/>
      <c r="VSB607" s="224"/>
      <c r="VSC607" s="222"/>
      <c r="VSD607" s="222"/>
      <c r="VSE607" s="222"/>
      <c r="VSF607" s="222"/>
      <c r="VSG607" s="222"/>
      <c r="VSH607" s="222"/>
      <c r="VSI607" s="223"/>
      <c r="VSJ607" s="224"/>
      <c r="VSK607" s="222"/>
      <c r="VSL607" s="222"/>
      <c r="VSM607" s="222"/>
      <c r="VSN607" s="222"/>
      <c r="VSO607" s="222"/>
      <c r="VSP607" s="222"/>
      <c r="VSQ607" s="223"/>
      <c r="VSR607" s="224"/>
      <c r="VSS607" s="222"/>
      <c r="VST607" s="222"/>
      <c r="VSU607" s="222"/>
      <c r="VSV607" s="222"/>
      <c r="VSW607" s="222"/>
      <c r="VSX607" s="222"/>
      <c r="VSY607" s="223"/>
      <c r="VSZ607" s="224"/>
      <c r="VTA607" s="222"/>
      <c r="VTB607" s="222"/>
      <c r="VTC607" s="222"/>
      <c r="VTD607" s="222"/>
      <c r="VTE607" s="222"/>
      <c r="VTF607" s="222"/>
      <c r="VTG607" s="223"/>
      <c r="VTH607" s="224"/>
      <c r="VTI607" s="222"/>
      <c r="VTJ607" s="222"/>
      <c r="VTK607" s="222"/>
      <c r="VTL607" s="222"/>
      <c r="VTM607" s="222"/>
      <c r="VTN607" s="222"/>
      <c r="VTO607" s="223"/>
      <c r="VTP607" s="224"/>
      <c r="VTQ607" s="222"/>
      <c r="VTR607" s="222"/>
      <c r="VTS607" s="222"/>
      <c r="VTT607" s="222"/>
      <c r="VTU607" s="222"/>
      <c r="VTV607" s="222"/>
      <c r="VTW607" s="223"/>
      <c r="VTX607" s="224"/>
      <c r="VTY607" s="222"/>
      <c r="VTZ607" s="222"/>
      <c r="VUA607" s="222"/>
      <c r="VUB607" s="222"/>
      <c r="VUC607" s="222"/>
      <c r="VUD607" s="222"/>
      <c r="VUE607" s="223"/>
      <c r="VUF607" s="224"/>
      <c r="VUG607" s="222"/>
      <c r="VUH607" s="222"/>
      <c r="VUI607" s="222"/>
      <c r="VUJ607" s="222"/>
      <c r="VUK607" s="222"/>
      <c r="VUL607" s="222"/>
      <c r="VUM607" s="223"/>
      <c r="VUN607" s="224"/>
      <c r="VUO607" s="222"/>
      <c r="VUP607" s="222"/>
      <c r="VUQ607" s="222"/>
      <c r="VUR607" s="222"/>
      <c r="VUS607" s="222"/>
      <c r="VUT607" s="222"/>
      <c r="VUU607" s="223"/>
      <c r="VUV607" s="224"/>
      <c r="VUW607" s="222"/>
      <c r="VUX607" s="222"/>
      <c r="VUY607" s="222"/>
      <c r="VUZ607" s="222"/>
      <c r="VVA607" s="222"/>
      <c r="VVB607" s="222"/>
      <c r="VVC607" s="223"/>
      <c r="VVD607" s="224"/>
      <c r="VVE607" s="222"/>
      <c r="VVF607" s="222"/>
      <c r="VVG607" s="222"/>
      <c r="VVH607" s="222"/>
      <c r="VVI607" s="222"/>
      <c r="VVJ607" s="222"/>
      <c r="VVK607" s="223"/>
      <c r="VVL607" s="224"/>
      <c r="VVM607" s="222"/>
      <c r="VVN607" s="222"/>
      <c r="VVO607" s="222"/>
      <c r="VVP607" s="222"/>
      <c r="VVQ607" s="222"/>
      <c r="VVR607" s="222"/>
      <c r="VVS607" s="223"/>
      <c r="VVT607" s="224"/>
      <c r="VVU607" s="222"/>
      <c r="VVV607" s="222"/>
      <c r="VVW607" s="222"/>
      <c r="VVX607" s="222"/>
      <c r="VVY607" s="222"/>
      <c r="VVZ607" s="222"/>
      <c r="VWA607" s="223"/>
      <c r="VWB607" s="224"/>
      <c r="VWC607" s="222"/>
      <c r="VWD607" s="222"/>
      <c r="VWE607" s="222"/>
      <c r="VWF607" s="222"/>
      <c r="VWG607" s="222"/>
      <c r="VWH607" s="222"/>
      <c r="VWI607" s="223"/>
      <c r="VWJ607" s="224"/>
      <c r="VWK607" s="222"/>
      <c r="VWL607" s="222"/>
      <c r="VWM607" s="222"/>
      <c r="VWN607" s="222"/>
      <c r="VWO607" s="222"/>
      <c r="VWP607" s="222"/>
      <c r="VWQ607" s="223"/>
      <c r="VWR607" s="224"/>
      <c r="VWS607" s="222"/>
      <c r="VWT607" s="222"/>
      <c r="VWU607" s="222"/>
      <c r="VWV607" s="222"/>
      <c r="VWW607" s="222"/>
      <c r="VWX607" s="222"/>
      <c r="VWY607" s="223"/>
      <c r="VWZ607" s="224"/>
      <c r="VXA607" s="222"/>
      <c r="VXB607" s="222"/>
      <c r="VXC607" s="222"/>
      <c r="VXD607" s="222"/>
      <c r="VXE607" s="222"/>
      <c r="VXF607" s="222"/>
      <c r="VXG607" s="223"/>
      <c r="VXH607" s="224"/>
      <c r="VXI607" s="222"/>
      <c r="VXJ607" s="222"/>
      <c r="VXK607" s="222"/>
      <c r="VXL607" s="222"/>
      <c r="VXM607" s="222"/>
      <c r="VXN607" s="222"/>
      <c r="VXO607" s="223"/>
      <c r="VXP607" s="224"/>
      <c r="VXQ607" s="222"/>
      <c r="VXR607" s="222"/>
      <c r="VXS607" s="222"/>
      <c r="VXT607" s="222"/>
      <c r="VXU607" s="222"/>
      <c r="VXV607" s="222"/>
      <c r="VXW607" s="223"/>
      <c r="VXX607" s="224"/>
      <c r="VXY607" s="222"/>
      <c r="VXZ607" s="222"/>
      <c r="VYA607" s="222"/>
      <c r="VYB607" s="222"/>
      <c r="VYC607" s="222"/>
      <c r="VYD607" s="222"/>
      <c r="VYE607" s="223"/>
      <c r="VYF607" s="224"/>
      <c r="VYG607" s="222"/>
      <c r="VYH607" s="222"/>
      <c r="VYI607" s="222"/>
      <c r="VYJ607" s="222"/>
      <c r="VYK607" s="222"/>
      <c r="VYL607" s="222"/>
      <c r="VYM607" s="223"/>
      <c r="VYN607" s="224"/>
      <c r="VYO607" s="222"/>
      <c r="VYP607" s="222"/>
      <c r="VYQ607" s="222"/>
      <c r="VYR607" s="222"/>
      <c r="VYS607" s="222"/>
      <c r="VYT607" s="222"/>
      <c r="VYU607" s="223"/>
      <c r="VYV607" s="224"/>
      <c r="VYW607" s="222"/>
      <c r="VYX607" s="222"/>
      <c r="VYY607" s="222"/>
      <c r="VYZ607" s="222"/>
      <c r="VZA607" s="222"/>
      <c r="VZB607" s="222"/>
      <c r="VZC607" s="223"/>
      <c r="VZD607" s="224"/>
      <c r="VZE607" s="222"/>
      <c r="VZF607" s="222"/>
      <c r="VZG607" s="222"/>
      <c r="VZH607" s="222"/>
      <c r="VZI607" s="222"/>
      <c r="VZJ607" s="222"/>
      <c r="VZK607" s="223"/>
      <c r="VZL607" s="224"/>
      <c r="VZM607" s="222"/>
      <c r="VZN607" s="222"/>
      <c r="VZO607" s="222"/>
      <c r="VZP607" s="222"/>
      <c r="VZQ607" s="222"/>
      <c r="VZR607" s="222"/>
      <c r="VZS607" s="223"/>
      <c r="VZT607" s="224"/>
      <c r="VZU607" s="222"/>
      <c r="VZV607" s="222"/>
      <c r="VZW607" s="222"/>
      <c r="VZX607" s="222"/>
      <c r="VZY607" s="222"/>
      <c r="VZZ607" s="222"/>
      <c r="WAA607" s="223"/>
      <c r="WAB607" s="224"/>
      <c r="WAC607" s="222"/>
      <c r="WAD607" s="222"/>
      <c r="WAE607" s="222"/>
      <c r="WAF607" s="222"/>
      <c r="WAG607" s="222"/>
      <c r="WAH607" s="222"/>
      <c r="WAI607" s="223"/>
      <c r="WAJ607" s="224"/>
      <c r="WAK607" s="222"/>
      <c r="WAL607" s="222"/>
      <c r="WAM607" s="222"/>
      <c r="WAN607" s="222"/>
      <c r="WAO607" s="222"/>
      <c r="WAP607" s="222"/>
      <c r="WAQ607" s="223"/>
      <c r="WAR607" s="224"/>
      <c r="WAS607" s="222"/>
      <c r="WAT607" s="222"/>
      <c r="WAU607" s="222"/>
      <c r="WAV607" s="222"/>
      <c r="WAW607" s="222"/>
      <c r="WAX607" s="222"/>
      <c r="WAY607" s="223"/>
      <c r="WAZ607" s="224"/>
      <c r="WBA607" s="222"/>
      <c r="WBB607" s="222"/>
      <c r="WBC607" s="222"/>
      <c r="WBD607" s="222"/>
      <c r="WBE607" s="222"/>
      <c r="WBF607" s="222"/>
      <c r="WBG607" s="223"/>
      <c r="WBH607" s="224"/>
      <c r="WBI607" s="222"/>
      <c r="WBJ607" s="222"/>
      <c r="WBK607" s="222"/>
      <c r="WBL607" s="222"/>
      <c r="WBM607" s="222"/>
      <c r="WBN607" s="222"/>
      <c r="WBO607" s="223"/>
      <c r="WBP607" s="224"/>
      <c r="WBQ607" s="222"/>
      <c r="WBR607" s="222"/>
      <c r="WBS607" s="222"/>
      <c r="WBT607" s="222"/>
      <c r="WBU607" s="222"/>
      <c r="WBV607" s="222"/>
      <c r="WBW607" s="223"/>
      <c r="WBX607" s="224"/>
      <c r="WBY607" s="222"/>
      <c r="WBZ607" s="222"/>
      <c r="WCA607" s="222"/>
      <c r="WCB607" s="222"/>
      <c r="WCC607" s="222"/>
      <c r="WCD607" s="222"/>
      <c r="WCE607" s="223"/>
      <c r="WCF607" s="224"/>
      <c r="WCG607" s="222"/>
      <c r="WCH607" s="222"/>
      <c r="WCI607" s="222"/>
      <c r="WCJ607" s="222"/>
      <c r="WCK607" s="222"/>
      <c r="WCL607" s="222"/>
      <c r="WCM607" s="223"/>
      <c r="WCN607" s="224"/>
      <c r="WCO607" s="222"/>
      <c r="WCP607" s="222"/>
      <c r="WCQ607" s="222"/>
      <c r="WCR607" s="222"/>
      <c r="WCS607" s="222"/>
      <c r="WCT607" s="222"/>
      <c r="WCU607" s="223"/>
      <c r="WCV607" s="224"/>
      <c r="WCW607" s="222"/>
      <c r="WCX607" s="222"/>
      <c r="WCY607" s="222"/>
      <c r="WCZ607" s="222"/>
      <c r="WDA607" s="222"/>
      <c r="WDB607" s="222"/>
      <c r="WDC607" s="223"/>
      <c r="WDD607" s="224"/>
      <c r="WDE607" s="222"/>
      <c r="WDF607" s="222"/>
      <c r="WDG607" s="222"/>
      <c r="WDH607" s="222"/>
      <c r="WDI607" s="222"/>
      <c r="WDJ607" s="222"/>
      <c r="WDK607" s="223"/>
      <c r="WDL607" s="224"/>
      <c r="WDM607" s="222"/>
      <c r="WDN607" s="222"/>
      <c r="WDO607" s="222"/>
      <c r="WDP607" s="222"/>
      <c r="WDQ607" s="222"/>
      <c r="WDR607" s="222"/>
      <c r="WDS607" s="223"/>
      <c r="WDT607" s="224"/>
      <c r="WDU607" s="222"/>
      <c r="WDV607" s="222"/>
      <c r="WDW607" s="222"/>
      <c r="WDX607" s="222"/>
      <c r="WDY607" s="222"/>
      <c r="WDZ607" s="222"/>
      <c r="WEA607" s="223"/>
      <c r="WEB607" s="224"/>
      <c r="WEC607" s="222"/>
      <c r="WED607" s="222"/>
      <c r="WEE607" s="222"/>
      <c r="WEF607" s="222"/>
      <c r="WEG607" s="222"/>
      <c r="WEH607" s="222"/>
      <c r="WEI607" s="223"/>
      <c r="WEJ607" s="224"/>
      <c r="WEK607" s="222"/>
      <c r="WEL607" s="222"/>
      <c r="WEM607" s="222"/>
      <c r="WEN607" s="222"/>
      <c r="WEO607" s="222"/>
      <c r="WEP607" s="222"/>
      <c r="WEQ607" s="223"/>
      <c r="WER607" s="224"/>
      <c r="WES607" s="222"/>
      <c r="WET607" s="222"/>
      <c r="WEU607" s="222"/>
      <c r="WEV607" s="222"/>
      <c r="WEW607" s="222"/>
      <c r="WEX607" s="222"/>
      <c r="WEY607" s="223"/>
      <c r="WEZ607" s="224"/>
      <c r="WFA607" s="222"/>
      <c r="WFB607" s="222"/>
      <c r="WFC607" s="222"/>
      <c r="WFD607" s="222"/>
      <c r="WFE607" s="222"/>
      <c r="WFF607" s="222"/>
      <c r="WFG607" s="223"/>
      <c r="WFH607" s="224"/>
      <c r="WFI607" s="222"/>
      <c r="WFJ607" s="222"/>
      <c r="WFK607" s="222"/>
      <c r="WFL607" s="222"/>
      <c r="WFM607" s="222"/>
      <c r="WFN607" s="222"/>
      <c r="WFO607" s="223"/>
      <c r="WFP607" s="224"/>
      <c r="WFQ607" s="222"/>
      <c r="WFR607" s="222"/>
      <c r="WFS607" s="222"/>
      <c r="WFT607" s="222"/>
      <c r="WFU607" s="222"/>
      <c r="WFV607" s="222"/>
      <c r="WFW607" s="223"/>
      <c r="WFX607" s="224"/>
      <c r="WFY607" s="222"/>
      <c r="WFZ607" s="222"/>
      <c r="WGA607" s="222"/>
      <c r="WGB607" s="222"/>
      <c r="WGC607" s="222"/>
      <c r="WGD607" s="222"/>
      <c r="WGE607" s="223"/>
      <c r="WGF607" s="224"/>
      <c r="WGG607" s="222"/>
      <c r="WGH607" s="222"/>
      <c r="WGI607" s="222"/>
      <c r="WGJ607" s="222"/>
      <c r="WGK607" s="222"/>
      <c r="WGL607" s="222"/>
      <c r="WGM607" s="223"/>
      <c r="WGN607" s="224"/>
      <c r="WGO607" s="222"/>
      <c r="WGP607" s="222"/>
      <c r="WGQ607" s="222"/>
      <c r="WGR607" s="222"/>
      <c r="WGS607" s="222"/>
      <c r="WGT607" s="222"/>
      <c r="WGU607" s="223"/>
      <c r="WGV607" s="224"/>
      <c r="WGW607" s="222"/>
      <c r="WGX607" s="222"/>
      <c r="WGY607" s="222"/>
      <c r="WGZ607" s="222"/>
      <c r="WHA607" s="222"/>
      <c r="WHB607" s="222"/>
      <c r="WHC607" s="223"/>
      <c r="WHD607" s="224"/>
      <c r="WHE607" s="222"/>
      <c r="WHF607" s="222"/>
      <c r="WHG607" s="222"/>
      <c r="WHH607" s="222"/>
      <c r="WHI607" s="222"/>
      <c r="WHJ607" s="222"/>
      <c r="WHK607" s="223"/>
      <c r="WHL607" s="224"/>
      <c r="WHM607" s="222"/>
      <c r="WHN607" s="222"/>
      <c r="WHO607" s="222"/>
      <c r="WHP607" s="222"/>
      <c r="WHQ607" s="222"/>
      <c r="WHR607" s="222"/>
      <c r="WHS607" s="223"/>
      <c r="WHT607" s="224"/>
      <c r="WHU607" s="222"/>
      <c r="WHV607" s="222"/>
      <c r="WHW607" s="222"/>
      <c r="WHX607" s="222"/>
      <c r="WHY607" s="222"/>
      <c r="WHZ607" s="222"/>
      <c r="WIA607" s="223"/>
      <c r="WIB607" s="224"/>
      <c r="WIC607" s="222"/>
      <c r="WID607" s="222"/>
      <c r="WIE607" s="222"/>
      <c r="WIF607" s="222"/>
      <c r="WIG607" s="222"/>
      <c r="WIH607" s="222"/>
      <c r="WII607" s="223"/>
      <c r="WIJ607" s="224"/>
      <c r="WIK607" s="222"/>
      <c r="WIL607" s="222"/>
      <c r="WIM607" s="222"/>
      <c r="WIN607" s="222"/>
      <c r="WIO607" s="222"/>
      <c r="WIP607" s="222"/>
      <c r="WIQ607" s="223"/>
      <c r="WIR607" s="224"/>
      <c r="WIS607" s="222"/>
      <c r="WIT607" s="222"/>
      <c r="WIU607" s="222"/>
      <c r="WIV607" s="222"/>
      <c r="WIW607" s="222"/>
      <c r="WIX607" s="222"/>
      <c r="WIY607" s="223"/>
      <c r="WIZ607" s="224"/>
      <c r="WJA607" s="222"/>
      <c r="WJB607" s="222"/>
      <c r="WJC607" s="222"/>
      <c r="WJD607" s="222"/>
      <c r="WJE607" s="222"/>
      <c r="WJF607" s="222"/>
      <c r="WJG607" s="223"/>
      <c r="WJH607" s="224"/>
      <c r="WJI607" s="222"/>
      <c r="WJJ607" s="222"/>
      <c r="WJK607" s="222"/>
      <c r="WJL607" s="222"/>
      <c r="WJM607" s="222"/>
      <c r="WJN607" s="222"/>
      <c r="WJO607" s="223"/>
      <c r="WJP607" s="224"/>
      <c r="WJQ607" s="222"/>
      <c r="WJR607" s="222"/>
      <c r="WJS607" s="222"/>
      <c r="WJT607" s="222"/>
      <c r="WJU607" s="222"/>
      <c r="WJV607" s="222"/>
      <c r="WJW607" s="223"/>
      <c r="WJX607" s="224"/>
      <c r="WJY607" s="222"/>
      <c r="WJZ607" s="222"/>
      <c r="WKA607" s="222"/>
      <c r="WKB607" s="222"/>
      <c r="WKC607" s="222"/>
      <c r="WKD607" s="222"/>
      <c r="WKE607" s="223"/>
      <c r="WKF607" s="224"/>
      <c r="WKG607" s="222"/>
      <c r="WKH607" s="222"/>
      <c r="WKI607" s="222"/>
      <c r="WKJ607" s="222"/>
      <c r="WKK607" s="222"/>
      <c r="WKL607" s="222"/>
      <c r="WKM607" s="223"/>
      <c r="WKN607" s="224"/>
      <c r="WKO607" s="222"/>
      <c r="WKP607" s="222"/>
      <c r="WKQ607" s="222"/>
      <c r="WKR607" s="222"/>
      <c r="WKS607" s="222"/>
      <c r="WKT607" s="222"/>
      <c r="WKU607" s="223"/>
      <c r="WKV607" s="224"/>
      <c r="WKW607" s="222"/>
      <c r="WKX607" s="222"/>
      <c r="WKY607" s="222"/>
      <c r="WKZ607" s="222"/>
      <c r="WLA607" s="222"/>
      <c r="WLB607" s="222"/>
      <c r="WLC607" s="223"/>
      <c r="WLD607" s="224"/>
      <c r="WLE607" s="222"/>
      <c r="WLF607" s="222"/>
      <c r="WLG607" s="222"/>
      <c r="WLH607" s="222"/>
      <c r="WLI607" s="222"/>
      <c r="WLJ607" s="222"/>
      <c r="WLK607" s="223"/>
      <c r="WLL607" s="224"/>
      <c r="WLM607" s="222"/>
      <c r="WLN607" s="222"/>
      <c r="WLO607" s="222"/>
      <c r="WLP607" s="222"/>
      <c r="WLQ607" s="222"/>
      <c r="WLR607" s="222"/>
      <c r="WLS607" s="223"/>
      <c r="WLT607" s="224"/>
      <c r="WLU607" s="222"/>
      <c r="WLV607" s="222"/>
      <c r="WLW607" s="222"/>
      <c r="WLX607" s="222"/>
      <c r="WLY607" s="222"/>
      <c r="WLZ607" s="222"/>
      <c r="WMA607" s="223"/>
      <c r="WMB607" s="224"/>
      <c r="WMC607" s="222"/>
      <c r="WMD607" s="222"/>
      <c r="WME607" s="222"/>
      <c r="WMF607" s="222"/>
      <c r="WMG607" s="222"/>
      <c r="WMH607" s="222"/>
      <c r="WMI607" s="223"/>
      <c r="WMJ607" s="224"/>
      <c r="WMK607" s="222"/>
      <c r="WML607" s="222"/>
      <c r="WMM607" s="222"/>
      <c r="WMN607" s="222"/>
      <c r="WMO607" s="222"/>
      <c r="WMP607" s="222"/>
      <c r="WMQ607" s="223"/>
      <c r="WMR607" s="224"/>
      <c r="WMS607" s="222"/>
      <c r="WMT607" s="222"/>
      <c r="WMU607" s="222"/>
      <c r="WMV607" s="222"/>
      <c r="WMW607" s="222"/>
      <c r="WMX607" s="222"/>
      <c r="WMY607" s="223"/>
      <c r="WMZ607" s="224"/>
      <c r="WNA607" s="222"/>
      <c r="WNB607" s="222"/>
      <c r="WNC607" s="222"/>
      <c r="WND607" s="222"/>
      <c r="WNE607" s="222"/>
      <c r="WNF607" s="222"/>
      <c r="WNG607" s="223"/>
      <c r="WNH607" s="224"/>
      <c r="WNI607" s="222"/>
      <c r="WNJ607" s="222"/>
      <c r="WNK607" s="222"/>
      <c r="WNL607" s="222"/>
      <c r="WNM607" s="222"/>
      <c r="WNN607" s="222"/>
      <c r="WNO607" s="223"/>
      <c r="WNP607" s="224"/>
      <c r="WNQ607" s="222"/>
      <c r="WNR607" s="222"/>
      <c r="WNS607" s="222"/>
      <c r="WNT607" s="222"/>
      <c r="WNU607" s="222"/>
      <c r="WNV607" s="222"/>
      <c r="WNW607" s="223"/>
      <c r="WNX607" s="224"/>
      <c r="WNY607" s="222"/>
      <c r="WNZ607" s="222"/>
      <c r="WOA607" s="222"/>
      <c r="WOB607" s="222"/>
      <c r="WOC607" s="222"/>
      <c r="WOD607" s="222"/>
      <c r="WOE607" s="223"/>
      <c r="WOF607" s="224"/>
      <c r="WOG607" s="222"/>
      <c r="WOH607" s="222"/>
      <c r="WOI607" s="222"/>
      <c r="WOJ607" s="222"/>
      <c r="WOK607" s="222"/>
      <c r="WOL607" s="222"/>
      <c r="WOM607" s="223"/>
      <c r="WON607" s="224"/>
      <c r="WOO607" s="222"/>
      <c r="WOP607" s="222"/>
      <c r="WOQ607" s="222"/>
      <c r="WOR607" s="222"/>
      <c r="WOS607" s="222"/>
      <c r="WOT607" s="222"/>
      <c r="WOU607" s="223"/>
      <c r="WOV607" s="224"/>
      <c r="WOW607" s="222"/>
      <c r="WOX607" s="222"/>
      <c r="WOY607" s="222"/>
      <c r="WOZ607" s="222"/>
      <c r="WPA607" s="222"/>
      <c r="WPB607" s="222"/>
      <c r="WPC607" s="223"/>
      <c r="WPD607" s="224"/>
      <c r="WPE607" s="222"/>
      <c r="WPF607" s="222"/>
      <c r="WPG607" s="222"/>
      <c r="WPH607" s="222"/>
      <c r="WPI607" s="222"/>
      <c r="WPJ607" s="222"/>
      <c r="WPK607" s="223"/>
      <c r="WPL607" s="224"/>
      <c r="WPM607" s="222"/>
      <c r="WPN607" s="222"/>
      <c r="WPO607" s="222"/>
      <c r="WPP607" s="222"/>
      <c r="WPQ607" s="222"/>
      <c r="WPR607" s="222"/>
      <c r="WPS607" s="223"/>
      <c r="WPT607" s="224"/>
      <c r="WPU607" s="222"/>
      <c r="WPV607" s="222"/>
      <c r="WPW607" s="222"/>
      <c r="WPX607" s="222"/>
      <c r="WPY607" s="222"/>
      <c r="WPZ607" s="222"/>
      <c r="WQA607" s="223"/>
      <c r="WQB607" s="224"/>
      <c r="WQC607" s="222"/>
      <c r="WQD607" s="222"/>
      <c r="WQE607" s="222"/>
      <c r="WQF607" s="222"/>
      <c r="WQG607" s="222"/>
      <c r="WQH607" s="222"/>
      <c r="WQI607" s="223"/>
      <c r="WQJ607" s="224"/>
      <c r="WQK607" s="222"/>
      <c r="WQL607" s="222"/>
      <c r="WQM607" s="222"/>
      <c r="WQN607" s="222"/>
      <c r="WQO607" s="222"/>
      <c r="WQP607" s="222"/>
      <c r="WQQ607" s="223"/>
      <c r="WQR607" s="224"/>
      <c r="WQS607" s="222"/>
      <c r="WQT607" s="222"/>
      <c r="WQU607" s="222"/>
      <c r="WQV607" s="222"/>
      <c r="WQW607" s="222"/>
      <c r="WQX607" s="222"/>
      <c r="WQY607" s="223"/>
      <c r="WQZ607" s="224"/>
      <c r="WRA607" s="222"/>
      <c r="WRB607" s="222"/>
      <c r="WRC607" s="222"/>
      <c r="WRD607" s="222"/>
      <c r="WRE607" s="222"/>
      <c r="WRF607" s="222"/>
      <c r="WRG607" s="223"/>
      <c r="WRH607" s="224"/>
      <c r="WRI607" s="222"/>
      <c r="WRJ607" s="222"/>
      <c r="WRK607" s="222"/>
      <c r="WRL607" s="222"/>
      <c r="WRM607" s="222"/>
      <c r="WRN607" s="222"/>
      <c r="WRO607" s="223"/>
      <c r="WRP607" s="224"/>
      <c r="WRQ607" s="222"/>
      <c r="WRR607" s="222"/>
      <c r="WRS607" s="222"/>
      <c r="WRT607" s="222"/>
      <c r="WRU607" s="222"/>
      <c r="WRV607" s="222"/>
      <c r="WRW607" s="223"/>
      <c r="WRX607" s="224"/>
      <c r="WRY607" s="222"/>
      <c r="WRZ607" s="222"/>
      <c r="WSA607" s="222"/>
      <c r="WSB607" s="222"/>
      <c r="WSC607" s="222"/>
      <c r="WSD607" s="222"/>
      <c r="WSE607" s="223"/>
      <c r="WSF607" s="224"/>
      <c r="WSG607" s="222"/>
      <c r="WSH607" s="222"/>
      <c r="WSI607" s="222"/>
      <c r="WSJ607" s="222"/>
      <c r="WSK607" s="222"/>
      <c r="WSL607" s="222"/>
      <c r="WSM607" s="223"/>
      <c r="WSN607" s="224"/>
      <c r="WSO607" s="222"/>
      <c r="WSP607" s="222"/>
      <c r="WSQ607" s="222"/>
      <c r="WSR607" s="222"/>
      <c r="WSS607" s="222"/>
      <c r="WST607" s="222"/>
      <c r="WSU607" s="223"/>
      <c r="WSV607" s="224"/>
      <c r="WSW607" s="222"/>
      <c r="WSX607" s="222"/>
      <c r="WSY607" s="222"/>
      <c r="WSZ607" s="222"/>
      <c r="WTA607" s="222"/>
      <c r="WTB607" s="222"/>
      <c r="WTC607" s="223"/>
      <c r="WTD607" s="224"/>
      <c r="WTE607" s="222"/>
      <c r="WTF607" s="222"/>
      <c r="WTG607" s="222"/>
      <c r="WTH607" s="222"/>
      <c r="WTI607" s="222"/>
      <c r="WTJ607" s="222"/>
      <c r="WTK607" s="223"/>
      <c r="WTL607" s="224"/>
      <c r="WTM607" s="222"/>
      <c r="WTN607" s="222"/>
      <c r="WTO607" s="222"/>
      <c r="WTP607" s="222"/>
      <c r="WTQ607" s="222"/>
      <c r="WTR607" s="222"/>
      <c r="WTS607" s="223"/>
      <c r="WTT607" s="224"/>
      <c r="WTU607" s="222"/>
      <c r="WTV607" s="222"/>
      <c r="WTW607" s="222"/>
      <c r="WTX607" s="222"/>
      <c r="WTY607" s="222"/>
      <c r="WTZ607" s="222"/>
      <c r="WUA607" s="223"/>
      <c r="WUB607" s="224"/>
      <c r="WUC607" s="222"/>
      <c r="WUD607" s="222"/>
      <c r="WUE607" s="222"/>
      <c r="WUF607" s="222"/>
      <c r="WUG607" s="222"/>
      <c r="WUH607" s="222"/>
      <c r="WUI607" s="223"/>
      <c r="WUJ607" s="224"/>
      <c r="WUK607" s="222"/>
      <c r="WUL607" s="222"/>
      <c r="WUM607" s="222"/>
      <c r="WUN607" s="222"/>
      <c r="WUO607" s="222"/>
      <c r="WUP607" s="222"/>
      <c r="WUQ607" s="223"/>
      <c r="WUR607" s="224"/>
      <c r="WUS607" s="222"/>
      <c r="WUT607" s="222"/>
      <c r="WUU607" s="222"/>
      <c r="WUV607" s="222"/>
      <c r="WUW607" s="222"/>
      <c r="WUX607" s="222"/>
      <c r="WUY607" s="223"/>
      <c r="WUZ607" s="224"/>
      <c r="WVA607" s="222"/>
      <c r="WVB607" s="222"/>
      <c r="WVC607" s="222"/>
      <c r="WVD607" s="222"/>
      <c r="WVE607" s="222"/>
      <c r="WVF607" s="222"/>
      <c r="WVG607" s="223"/>
      <c r="WVH607" s="224"/>
      <c r="WVI607" s="222"/>
      <c r="WVJ607" s="222"/>
      <c r="WVK607" s="222"/>
      <c r="WVL607" s="222"/>
      <c r="WVM607" s="222"/>
      <c r="WVN607" s="222"/>
      <c r="WVO607" s="223"/>
      <c r="WVP607" s="224"/>
      <c r="WVQ607" s="222"/>
      <c r="WVR607" s="222"/>
      <c r="WVS607" s="222"/>
      <c r="WVT607" s="222"/>
      <c r="WVU607" s="222"/>
      <c r="WVV607" s="222"/>
      <c r="WVW607" s="223"/>
      <c r="WVX607" s="224"/>
      <c r="WVY607" s="222"/>
      <c r="WVZ607" s="222"/>
      <c r="WWA607" s="222"/>
      <c r="WWB607" s="222"/>
      <c r="WWC607" s="222"/>
      <c r="WWD607" s="222"/>
      <c r="WWE607" s="223"/>
      <c r="WWF607" s="224"/>
      <c r="WWG607" s="222"/>
      <c r="WWH607" s="222"/>
      <c r="WWI607" s="222"/>
      <c r="WWJ607" s="222"/>
      <c r="WWK607" s="222"/>
      <c r="WWL607" s="222"/>
      <c r="WWM607" s="223"/>
      <c r="WWN607" s="224"/>
      <c r="WWO607" s="222"/>
      <c r="WWP607" s="222"/>
      <c r="WWQ607" s="222"/>
      <c r="WWR607" s="222"/>
      <c r="WWS607" s="222"/>
      <c r="WWT607" s="222"/>
      <c r="WWU607" s="223"/>
      <c r="WWV607" s="224"/>
      <c r="WWW607" s="222"/>
      <c r="WWX607" s="222"/>
      <c r="WWY607" s="222"/>
      <c r="WWZ607" s="222"/>
      <c r="WXA607" s="222"/>
      <c r="WXB607" s="222"/>
      <c r="WXC607" s="223"/>
      <c r="WXD607" s="224"/>
      <c r="WXE607" s="222"/>
      <c r="WXF607" s="222"/>
      <c r="WXG607" s="222"/>
      <c r="WXH607" s="222"/>
      <c r="WXI607" s="222"/>
      <c r="WXJ607" s="222"/>
      <c r="WXK607" s="223"/>
      <c r="WXL607" s="224"/>
      <c r="WXM607" s="222"/>
      <c r="WXN607" s="222"/>
      <c r="WXO607" s="222"/>
      <c r="WXP607" s="222"/>
      <c r="WXQ607" s="222"/>
      <c r="WXR607" s="222"/>
      <c r="WXS607" s="223"/>
      <c r="WXT607" s="224"/>
      <c r="WXU607" s="222"/>
      <c r="WXV607" s="222"/>
      <c r="WXW607" s="222"/>
      <c r="WXX607" s="222"/>
      <c r="WXY607" s="222"/>
      <c r="WXZ607" s="222"/>
      <c r="WYA607" s="223"/>
      <c r="WYB607" s="224"/>
      <c r="WYC607" s="222"/>
      <c r="WYD607" s="222"/>
      <c r="WYE607" s="222"/>
      <c r="WYF607" s="222"/>
      <c r="WYG607" s="222"/>
      <c r="WYH607" s="222"/>
      <c r="WYI607" s="223"/>
      <c r="WYJ607" s="224"/>
      <c r="WYK607" s="222"/>
      <c r="WYL607" s="222"/>
      <c r="WYM607" s="222"/>
      <c r="WYN607" s="222"/>
      <c r="WYO607" s="222"/>
      <c r="WYP607" s="222"/>
      <c r="WYQ607" s="223"/>
      <c r="WYR607" s="224"/>
      <c r="WYS607" s="222"/>
      <c r="WYT607" s="222"/>
      <c r="WYU607" s="222"/>
      <c r="WYV607" s="222"/>
      <c r="WYW607" s="222"/>
      <c r="WYX607" s="222"/>
      <c r="WYY607" s="223"/>
      <c r="WYZ607" s="224"/>
      <c r="WZA607" s="222"/>
      <c r="WZB607" s="222"/>
      <c r="WZC607" s="222"/>
      <c r="WZD607" s="222"/>
      <c r="WZE607" s="222"/>
      <c r="WZF607" s="222"/>
      <c r="WZG607" s="223"/>
      <c r="WZH607" s="224"/>
      <c r="WZI607" s="222"/>
      <c r="WZJ607" s="222"/>
      <c r="WZK607" s="222"/>
      <c r="WZL607" s="222"/>
      <c r="WZM607" s="222"/>
      <c r="WZN607" s="222"/>
      <c r="WZO607" s="223"/>
      <c r="WZP607" s="224"/>
      <c r="WZQ607" s="222"/>
      <c r="WZR607" s="222"/>
      <c r="WZS607" s="222"/>
      <c r="WZT607" s="222"/>
      <c r="WZU607" s="222"/>
      <c r="WZV607" s="222"/>
      <c r="WZW607" s="223"/>
      <c r="WZX607" s="224"/>
      <c r="WZY607" s="222"/>
      <c r="WZZ607" s="222"/>
      <c r="XAA607" s="222"/>
      <c r="XAB607" s="222"/>
      <c r="XAC607" s="222"/>
      <c r="XAD607" s="222"/>
      <c r="XAE607" s="223"/>
      <c r="XAF607" s="224"/>
      <c r="XAG607" s="222"/>
      <c r="XAH607" s="222"/>
      <c r="XAI607" s="222"/>
      <c r="XAJ607" s="222"/>
      <c r="XAK607" s="222"/>
      <c r="XAL607" s="222"/>
      <c r="XAM607" s="223"/>
      <c r="XAN607" s="224"/>
      <c r="XAO607" s="222"/>
      <c r="XAP607" s="222"/>
      <c r="XAQ607" s="222"/>
      <c r="XAR607" s="222"/>
      <c r="XAS607" s="222"/>
      <c r="XAT607" s="222"/>
      <c r="XAU607" s="223"/>
      <c r="XAV607" s="224"/>
      <c r="XAW607" s="222"/>
      <c r="XAX607" s="222"/>
      <c r="XAY607" s="222"/>
      <c r="XAZ607" s="222"/>
      <c r="XBA607" s="222"/>
      <c r="XBB607" s="222"/>
      <c r="XBC607" s="223"/>
      <c r="XBD607" s="224"/>
      <c r="XBE607" s="222"/>
      <c r="XBF607" s="222"/>
      <c r="XBG607" s="222"/>
      <c r="XBH607" s="222"/>
      <c r="XBI607" s="222"/>
      <c r="XBJ607" s="222"/>
      <c r="XBK607" s="223"/>
      <c r="XBL607" s="224"/>
      <c r="XBM607" s="222"/>
      <c r="XBN607" s="222"/>
      <c r="XBO607" s="222"/>
      <c r="XBP607" s="222"/>
      <c r="XBQ607" s="222"/>
      <c r="XBR607" s="222"/>
      <c r="XBS607" s="223"/>
      <c r="XBT607" s="224"/>
      <c r="XBU607" s="222"/>
      <c r="XBV607" s="222"/>
      <c r="XBW607" s="222"/>
      <c r="XBX607" s="222"/>
      <c r="XBY607" s="222"/>
      <c r="XBZ607" s="222"/>
      <c r="XCA607" s="223"/>
      <c r="XCB607" s="224"/>
      <c r="XCC607" s="222"/>
      <c r="XCD607" s="222"/>
      <c r="XCE607" s="222"/>
      <c r="XCF607" s="222"/>
      <c r="XCG607" s="222"/>
      <c r="XCH607" s="222"/>
      <c r="XCI607" s="223"/>
      <c r="XCJ607" s="224"/>
      <c r="XCK607" s="222"/>
      <c r="XCL607" s="222"/>
      <c r="XCM607" s="222"/>
      <c r="XCN607" s="222"/>
      <c r="XCO607" s="222"/>
      <c r="XCP607" s="222"/>
      <c r="XCQ607" s="223"/>
      <c r="XCR607" s="224"/>
      <c r="XCS607" s="222"/>
      <c r="XCT607" s="222"/>
      <c r="XCU607" s="222"/>
      <c r="XCV607" s="222"/>
      <c r="XCW607" s="222"/>
      <c r="XCX607" s="222"/>
      <c r="XCY607" s="223"/>
      <c r="XCZ607" s="224"/>
      <c r="XDA607" s="222"/>
      <c r="XDB607" s="222"/>
      <c r="XDC607" s="222"/>
      <c r="XDD607" s="222"/>
      <c r="XDE607" s="222"/>
      <c r="XDF607" s="222"/>
      <c r="XDG607" s="223"/>
      <c r="XDH607" s="224"/>
      <c r="XDI607" s="222"/>
      <c r="XDJ607" s="222"/>
      <c r="XDK607" s="222"/>
      <c r="XDL607" s="222"/>
      <c r="XDM607" s="222"/>
      <c r="XDN607" s="222"/>
      <c r="XDO607" s="223"/>
      <c r="XDP607" s="224"/>
      <c r="XDQ607" s="222"/>
      <c r="XDR607" s="222"/>
      <c r="XDS607" s="222"/>
      <c r="XDT607" s="222"/>
      <c r="XDU607" s="222"/>
      <c r="XDV607" s="222"/>
      <c r="XDW607" s="223"/>
      <c r="XDX607" s="224"/>
      <c r="XDY607" s="222"/>
      <c r="XDZ607" s="222"/>
      <c r="XEA607" s="222"/>
      <c r="XEB607" s="222"/>
      <c r="XEC607" s="222"/>
      <c r="XED607" s="222"/>
      <c r="XEE607" s="223"/>
      <c r="XEF607" s="224"/>
      <c r="XEG607" s="222"/>
      <c r="XEH607" s="222"/>
      <c r="XEI607" s="222"/>
      <c r="XEJ607" s="222"/>
      <c r="XEK607" s="222"/>
      <c r="XEL607" s="222"/>
      <c r="XEM607" s="223"/>
      <c r="XEN607" s="224"/>
      <c r="XEO607" s="222"/>
      <c r="XEP607" s="222"/>
      <c r="XEQ607" s="222"/>
      <c r="XER607" s="222"/>
      <c r="XES607" s="222"/>
      <c r="XET607" s="222"/>
      <c r="XEU607" s="223"/>
      <c r="XEV607" s="224"/>
      <c r="XEW607" s="222"/>
      <c r="XEX607" s="222"/>
      <c r="XEY607" s="222"/>
      <c r="XEZ607" s="222"/>
      <c r="XFA607" s="222"/>
      <c r="XFB607" s="222"/>
      <c r="XFC607" s="223"/>
      <c r="XFD607" s="224"/>
    </row>
    <row r="608" spans="1:16384" x14ac:dyDescent="0.2">
      <c r="A608" s="181">
        <f t="shared" si="10"/>
        <v>606</v>
      </c>
      <c r="B608" s="182">
        <v>41550</v>
      </c>
      <c r="C608" s="182">
        <v>41568</v>
      </c>
      <c r="D608" s="201" t="s">
        <v>1092</v>
      </c>
      <c r="E608" s="201" t="s">
        <v>392</v>
      </c>
      <c r="F608" s="201" t="s">
        <v>71</v>
      </c>
      <c r="G608" s="201" t="s">
        <v>1255</v>
      </c>
      <c r="H608" s="201" t="s">
        <v>1256</v>
      </c>
      <c r="I608" s="353">
        <v>57637.41</v>
      </c>
      <c r="J608" s="222"/>
      <c r="K608" s="222"/>
      <c r="L608" s="222"/>
      <c r="M608" s="222"/>
      <c r="N608" s="222"/>
      <c r="O608" s="223"/>
      <c r="P608" s="224"/>
      <c r="Q608" s="222"/>
      <c r="R608" s="222"/>
      <c r="S608" s="222"/>
      <c r="T608" s="222"/>
      <c r="U608" s="222"/>
      <c r="V608" s="222"/>
      <c r="W608" s="223"/>
      <c r="X608" s="224"/>
      <c r="Y608" s="222"/>
      <c r="Z608" s="222"/>
      <c r="AA608" s="222"/>
      <c r="AB608" s="222"/>
      <c r="AC608" s="222"/>
      <c r="AD608" s="222"/>
      <c r="AE608" s="223"/>
      <c r="AF608" s="224"/>
      <c r="AG608" s="222"/>
      <c r="AH608" s="222"/>
      <c r="AI608" s="222"/>
      <c r="AJ608" s="222"/>
      <c r="AK608" s="222"/>
      <c r="AL608" s="222"/>
      <c r="AM608" s="223"/>
      <c r="AN608" s="224"/>
      <c r="AO608" s="222"/>
      <c r="AP608" s="222"/>
      <c r="AQ608" s="222"/>
      <c r="AR608" s="222"/>
      <c r="AS608" s="222"/>
      <c r="AT608" s="222"/>
      <c r="AU608" s="223"/>
      <c r="AV608" s="224"/>
      <c r="AW608" s="222"/>
      <c r="AX608" s="222"/>
      <c r="AY608" s="222"/>
      <c r="AZ608" s="222"/>
      <c r="BA608" s="222"/>
      <c r="BB608" s="222"/>
      <c r="BC608" s="223"/>
      <c r="BD608" s="224"/>
      <c r="BE608" s="222"/>
      <c r="BF608" s="222"/>
      <c r="BG608" s="222"/>
      <c r="BH608" s="222"/>
      <c r="BI608" s="222"/>
      <c r="BJ608" s="222"/>
      <c r="BK608" s="223"/>
      <c r="BL608" s="224"/>
      <c r="BM608" s="222"/>
      <c r="BN608" s="222"/>
      <c r="BO608" s="222"/>
      <c r="BP608" s="222"/>
      <c r="BQ608" s="222"/>
      <c r="BR608" s="222"/>
      <c r="BS608" s="223"/>
      <c r="BT608" s="224"/>
      <c r="BU608" s="222"/>
      <c r="BV608" s="222"/>
      <c r="BW608" s="222"/>
      <c r="BX608" s="222"/>
      <c r="BY608" s="222"/>
      <c r="BZ608" s="222"/>
      <c r="CA608" s="223"/>
      <c r="CB608" s="224"/>
      <c r="CC608" s="222"/>
      <c r="CD608" s="222"/>
      <c r="CE608" s="222"/>
      <c r="CF608" s="222"/>
      <c r="CG608" s="222"/>
      <c r="CH608" s="222"/>
      <c r="CI608" s="223"/>
      <c r="CJ608" s="224"/>
      <c r="CK608" s="222"/>
      <c r="CL608" s="222"/>
      <c r="CM608" s="222"/>
      <c r="CN608" s="222"/>
      <c r="CO608" s="222"/>
      <c r="CP608" s="222"/>
      <c r="CQ608" s="223"/>
      <c r="CR608" s="224"/>
      <c r="CS608" s="222"/>
      <c r="CT608" s="222"/>
      <c r="CU608" s="222"/>
      <c r="CV608" s="222"/>
      <c r="CW608" s="222"/>
      <c r="CX608" s="222"/>
      <c r="CY608" s="223"/>
      <c r="CZ608" s="224"/>
      <c r="DA608" s="222"/>
      <c r="DB608" s="222"/>
      <c r="DC608" s="222"/>
      <c r="DD608" s="222"/>
      <c r="DE608" s="222"/>
      <c r="DF608" s="222"/>
      <c r="DG608" s="223"/>
      <c r="DH608" s="224"/>
      <c r="DI608" s="222"/>
      <c r="DJ608" s="222"/>
      <c r="DK608" s="222"/>
      <c r="DL608" s="222"/>
      <c r="DM608" s="222"/>
      <c r="DN608" s="222"/>
      <c r="DO608" s="223"/>
      <c r="DP608" s="224"/>
      <c r="DQ608" s="222"/>
      <c r="DR608" s="222"/>
      <c r="DS608" s="222"/>
      <c r="DT608" s="222"/>
      <c r="DU608" s="222"/>
      <c r="DV608" s="222"/>
      <c r="DW608" s="223"/>
      <c r="DX608" s="224"/>
      <c r="DY608" s="222"/>
      <c r="DZ608" s="222"/>
      <c r="EA608" s="222"/>
      <c r="EB608" s="222"/>
      <c r="EC608" s="222"/>
      <c r="ED608" s="222"/>
      <c r="EE608" s="223"/>
      <c r="EF608" s="224"/>
      <c r="EG608" s="222"/>
      <c r="EH608" s="222"/>
      <c r="EI608" s="222"/>
      <c r="EJ608" s="222"/>
      <c r="EK608" s="222"/>
      <c r="EL608" s="222"/>
      <c r="EM608" s="223"/>
      <c r="EN608" s="224"/>
      <c r="EO608" s="222"/>
      <c r="EP608" s="222"/>
      <c r="EQ608" s="222"/>
      <c r="ER608" s="222"/>
      <c r="ES608" s="222"/>
      <c r="ET608" s="222"/>
      <c r="EU608" s="223"/>
      <c r="EV608" s="224"/>
      <c r="EW608" s="222"/>
      <c r="EX608" s="222"/>
      <c r="EY608" s="222"/>
      <c r="EZ608" s="222"/>
      <c r="FA608" s="222"/>
      <c r="FB608" s="222"/>
      <c r="FC608" s="223"/>
      <c r="FD608" s="224"/>
      <c r="FE608" s="222"/>
      <c r="FF608" s="222"/>
      <c r="FG608" s="222"/>
      <c r="FH608" s="222"/>
      <c r="FI608" s="222"/>
      <c r="FJ608" s="222"/>
      <c r="FK608" s="223"/>
      <c r="FL608" s="224"/>
      <c r="FM608" s="222"/>
      <c r="FN608" s="222"/>
      <c r="FO608" s="222"/>
      <c r="FP608" s="222"/>
      <c r="FQ608" s="222"/>
      <c r="FR608" s="222"/>
      <c r="FS608" s="223"/>
      <c r="FT608" s="224"/>
      <c r="FU608" s="222"/>
      <c r="FV608" s="222"/>
      <c r="FW608" s="222"/>
      <c r="FX608" s="222"/>
      <c r="FY608" s="222"/>
      <c r="FZ608" s="222"/>
      <c r="GA608" s="223"/>
      <c r="GB608" s="224"/>
      <c r="GC608" s="222"/>
      <c r="GD608" s="222"/>
      <c r="GE608" s="222"/>
      <c r="GF608" s="222"/>
      <c r="GG608" s="222"/>
      <c r="GH608" s="222"/>
      <c r="GI608" s="223"/>
      <c r="GJ608" s="224"/>
      <c r="GK608" s="222"/>
      <c r="GL608" s="222"/>
      <c r="GM608" s="222"/>
      <c r="GN608" s="222"/>
      <c r="GO608" s="222"/>
      <c r="GP608" s="222"/>
      <c r="GQ608" s="223"/>
      <c r="GR608" s="224"/>
      <c r="GS608" s="222"/>
      <c r="GT608" s="222"/>
      <c r="GU608" s="222"/>
      <c r="GV608" s="222"/>
      <c r="GW608" s="222"/>
      <c r="GX608" s="222"/>
      <c r="GY608" s="223"/>
      <c r="GZ608" s="224"/>
      <c r="HA608" s="222"/>
      <c r="HB608" s="222"/>
      <c r="HC608" s="222"/>
      <c r="HD608" s="222"/>
      <c r="HE608" s="222"/>
      <c r="HF608" s="222"/>
      <c r="HG608" s="223"/>
      <c r="HH608" s="224"/>
      <c r="HI608" s="222"/>
      <c r="HJ608" s="222"/>
      <c r="HK608" s="222"/>
      <c r="HL608" s="222"/>
      <c r="HM608" s="222"/>
      <c r="HN608" s="222"/>
      <c r="HO608" s="223"/>
      <c r="HP608" s="224"/>
      <c r="HQ608" s="222"/>
      <c r="HR608" s="222"/>
      <c r="HS608" s="222"/>
      <c r="HT608" s="222"/>
      <c r="HU608" s="222"/>
      <c r="HV608" s="222"/>
      <c r="HW608" s="223"/>
      <c r="HX608" s="224"/>
      <c r="HY608" s="222"/>
      <c r="HZ608" s="222"/>
      <c r="IA608" s="222"/>
      <c r="IB608" s="222"/>
      <c r="IC608" s="222"/>
      <c r="ID608" s="222"/>
      <c r="IE608" s="223"/>
      <c r="IF608" s="224"/>
      <c r="IG608" s="222"/>
      <c r="IH608" s="222"/>
      <c r="II608" s="222"/>
      <c r="IJ608" s="222"/>
      <c r="IK608" s="222"/>
      <c r="IL608" s="222"/>
      <c r="IM608" s="223"/>
      <c r="IN608" s="224"/>
      <c r="IO608" s="222"/>
      <c r="IP608" s="222"/>
      <c r="IQ608" s="222"/>
      <c r="IR608" s="222"/>
      <c r="IS608" s="222"/>
      <c r="IT608" s="222"/>
      <c r="IU608" s="223"/>
      <c r="IV608" s="224"/>
      <c r="IW608" s="222"/>
      <c r="IX608" s="222"/>
      <c r="IY608" s="222"/>
      <c r="IZ608" s="222"/>
      <c r="JA608" s="222"/>
      <c r="JB608" s="222"/>
      <c r="JC608" s="223"/>
      <c r="JD608" s="224"/>
      <c r="JE608" s="222"/>
      <c r="JF608" s="222"/>
      <c r="JG608" s="222"/>
      <c r="JH608" s="222"/>
      <c r="JI608" s="222"/>
      <c r="JJ608" s="222"/>
      <c r="JK608" s="223"/>
      <c r="JL608" s="224"/>
      <c r="JM608" s="222"/>
      <c r="JN608" s="222"/>
      <c r="JO608" s="222"/>
      <c r="JP608" s="222"/>
      <c r="JQ608" s="222"/>
      <c r="JR608" s="222"/>
      <c r="JS608" s="223"/>
      <c r="JT608" s="224"/>
      <c r="JU608" s="222"/>
      <c r="JV608" s="222"/>
      <c r="JW608" s="222"/>
      <c r="JX608" s="222"/>
      <c r="JY608" s="222"/>
      <c r="JZ608" s="222"/>
      <c r="KA608" s="223"/>
      <c r="KB608" s="224"/>
      <c r="KC608" s="222"/>
      <c r="KD608" s="222"/>
      <c r="KE608" s="222"/>
      <c r="KF608" s="222"/>
      <c r="KG608" s="222"/>
      <c r="KH608" s="222"/>
      <c r="KI608" s="223"/>
      <c r="KJ608" s="224"/>
      <c r="KK608" s="222"/>
      <c r="KL608" s="222"/>
      <c r="KM608" s="222"/>
      <c r="KN608" s="222"/>
      <c r="KO608" s="222"/>
      <c r="KP608" s="222"/>
      <c r="KQ608" s="223"/>
      <c r="KR608" s="224"/>
      <c r="KS608" s="222"/>
      <c r="KT608" s="222"/>
      <c r="KU608" s="222"/>
      <c r="KV608" s="222"/>
      <c r="KW608" s="222"/>
      <c r="KX608" s="222"/>
      <c r="KY608" s="223"/>
      <c r="KZ608" s="224"/>
      <c r="LA608" s="222"/>
      <c r="LB608" s="222"/>
      <c r="LC608" s="222"/>
      <c r="LD608" s="222"/>
      <c r="LE608" s="222"/>
      <c r="LF608" s="222"/>
      <c r="LG608" s="223"/>
      <c r="LH608" s="224"/>
      <c r="LI608" s="222"/>
      <c r="LJ608" s="222"/>
      <c r="LK608" s="222"/>
      <c r="LL608" s="222"/>
      <c r="LM608" s="222"/>
      <c r="LN608" s="222"/>
      <c r="LO608" s="223"/>
      <c r="LP608" s="224"/>
      <c r="LQ608" s="222"/>
      <c r="LR608" s="222"/>
      <c r="LS608" s="222"/>
      <c r="LT608" s="222"/>
      <c r="LU608" s="222"/>
      <c r="LV608" s="222"/>
      <c r="LW608" s="223"/>
      <c r="LX608" s="224"/>
      <c r="LY608" s="222"/>
      <c r="LZ608" s="222"/>
      <c r="MA608" s="222"/>
      <c r="MB608" s="222"/>
      <c r="MC608" s="222"/>
      <c r="MD608" s="222"/>
      <c r="ME608" s="223"/>
      <c r="MF608" s="224"/>
      <c r="MG608" s="222"/>
      <c r="MH608" s="222"/>
      <c r="MI608" s="222"/>
      <c r="MJ608" s="222"/>
      <c r="MK608" s="222"/>
      <c r="ML608" s="222"/>
      <c r="MM608" s="223"/>
      <c r="MN608" s="224"/>
      <c r="MO608" s="222"/>
      <c r="MP608" s="222"/>
      <c r="MQ608" s="222"/>
      <c r="MR608" s="222"/>
      <c r="MS608" s="222"/>
      <c r="MT608" s="222"/>
      <c r="MU608" s="223"/>
      <c r="MV608" s="224"/>
      <c r="MW608" s="222"/>
      <c r="MX608" s="222"/>
      <c r="MY608" s="222"/>
      <c r="MZ608" s="222"/>
      <c r="NA608" s="222"/>
      <c r="NB608" s="222"/>
      <c r="NC608" s="223"/>
      <c r="ND608" s="224"/>
      <c r="NE608" s="222"/>
      <c r="NF608" s="222"/>
      <c r="NG608" s="222"/>
      <c r="NH608" s="222"/>
      <c r="NI608" s="222"/>
      <c r="NJ608" s="222"/>
      <c r="NK608" s="223"/>
      <c r="NL608" s="224"/>
      <c r="NM608" s="222"/>
      <c r="NN608" s="222"/>
      <c r="NO608" s="222"/>
      <c r="NP608" s="222"/>
      <c r="NQ608" s="222"/>
      <c r="NR608" s="222"/>
      <c r="NS608" s="223"/>
      <c r="NT608" s="224"/>
      <c r="NU608" s="222"/>
      <c r="NV608" s="222"/>
      <c r="NW608" s="222"/>
      <c r="NX608" s="222"/>
      <c r="NY608" s="222"/>
      <c r="NZ608" s="222"/>
      <c r="OA608" s="223"/>
      <c r="OB608" s="224"/>
      <c r="OC608" s="222"/>
      <c r="OD608" s="222"/>
      <c r="OE608" s="222"/>
      <c r="OF608" s="222"/>
      <c r="OG608" s="222"/>
      <c r="OH608" s="222"/>
      <c r="OI608" s="223"/>
      <c r="OJ608" s="224"/>
      <c r="OK608" s="222"/>
      <c r="OL608" s="222"/>
      <c r="OM608" s="222"/>
      <c r="ON608" s="222"/>
      <c r="OO608" s="222"/>
      <c r="OP608" s="222"/>
      <c r="OQ608" s="223"/>
      <c r="OR608" s="224"/>
      <c r="OS608" s="222"/>
      <c r="OT608" s="222"/>
      <c r="OU608" s="222"/>
      <c r="OV608" s="222"/>
      <c r="OW608" s="222"/>
      <c r="OX608" s="222"/>
      <c r="OY608" s="223"/>
      <c r="OZ608" s="224"/>
      <c r="PA608" s="222"/>
      <c r="PB608" s="222"/>
      <c r="PC608" s="222"/>
      <c r="PD608" s="222"/>
      <c r="PE608" s="222"/>
      <c r="PF608" s="222"/>
      <c r="PG608" s="223"/>
      <c r="PH608" s="224"/>
      <c r="PI608" s="222"/>
      <c r="PJ608" s="222"/>
      <c r="PK608" s="222"/>
      <c r="PL608" s="222"/>
      <c r="PM608" s="222"/>
      <c r="PN608" s="222"/>
      <c r="PO608" s="223"/>
      <c r="PP608" s="224"/>
      <c r="PQ608" s="222"/>
      <c r="PR608" s="222"/>
      <c r="PS608" s="222"/>
      <c r="PT608" s="222"/>
      <c r="PU608" s="222"/>
      <c r="PV608" s="222"/>
      <c r="PW608" s="223"/>
      <c r="PX608" s="224"/>
      <c r="PY608" s="222"/>
      <c r="PZ608" s="222"/>
      <c r="QA608" s="222"/>
      <c r="QB608" s="222"/>
      <c r="QC608" s="222"/>
      <c r="QD608" s="222"/>
      <c r="QE608" s="223"/>
      <c r="QF608" s="224"/>
      <c r="QG608" s="222"/>
      <c r="QH608" s="222"/>
      <c r="QI608" s="222"/>
      <c r="QJ608" s="222"/>
      <c r="QK608" s="222"/>
      <c r="QL608" s="222"/>
      <c r="QM608" s="223"/>
      <c r="QN608" s="224"/>
      <c r="QO608" s="222"/>
      <c r="QP608" s="222"/>
      <c r="QQ608" s="222"/>
      <c r="QR608" s="222"/>
      <c r="QS608" s="222"/>
      <c r="QT608" s="222"/>
      <c r="QU608" s="223"/>
      <c r="QV608" s="224"/>
      <c r="QW608" s="222"/>
      <c r="QX608" s="222"/>
      <c r="QY608" s="222"/>
      <c r="QZ608" s="222"/>
      <c r="RA608" s="222"/>
      <c r="RB608" s="222"/>
      <c r="RC608" s="223"/>
      <c r="RD608" s="224"/>
      <c r="RE608" s="222"/>
      <c r="RF608" s="222"/>
      <c r="RG608" s="222"/>
      <c r="RH608" s="222"/>
      <c r="RI608" s="222"/>
      <c r="RJ608" s="222"/>
      <c r="RK608" s="223"/>
      <c r="RL608" s="224"/>
      <c r="RM608" s="222"/>
      <c r="RN608" s="222"/>
      <c r="RO608" s="222"/>
      <c r="RP608" s="222"/>
      <c r="RQ608" s="222"/>
      <c r="RR608" s="222"/>
      <c r="RS608" s="223"/>
      <c r="RT608" s="224"/>
      <c r="RU608" s="222"/>
      <c r="RV608" s="222"/>
      <c r="RW608" s="222"/>
      <c r="RX608" s="222"/>
      <c r="RY608" s="222"/>
      <c r="RZ608" s="222"/>
      <c r="SA608" s="223"/>
      <c r="SB608" s="224"/>
      <c r="SC608" s="222"/>
      <c r="SD608" s="222"/>
      <c r="SE608" s="222"/>
      <c r="SF608" s="222"/>
      <c r="SG608" s="222"/>
      <c r="SH608" s="222"/>
      <c r="SI608" s="223"/>
      <c r="SJ608" s="224"/>
      <c r="SK608" s="222"/>
      <c r="SL608" s="222"/>
      <c r="SM608" s="222"/>
      <c r="SN608" s="222"/>
      <c r="SO608" s="222"/>
      <c r="SP608" s="222"/>
      <c r="SQ608" s="223"/>
      <c r="SR608" s="224"/>
      <c r="SS608" s="222"/>
      <c r="ST608" s="222"/>
      <c r="SU608" s="222"/>
      <c r="SV608" s="222"/>
      <c r="SW608" s="222"/>
      <c r="SX608" s="222"/>
      <c r="SY608" s="223"/>
      <c r="SZ608" s="224"/>
      <c r="TA608" s="222"/>
      <c r="TB608" s="222"/>
      <c r="TC608" s="222"/>
      <c r="TD608" s="222"/>
      <c r="TE608" s="222"/>
      <c r="TF608" s="222"/>
      <c r="TG608" s="223"/>
      <c r="TH608" s="224"/>
      <c r="TI608" s="222"/>
      <c r="TJ608" s="222"/>
      <c r="TK608" s="222"/>
      <c r="TL608" s="222"/>
      <c r="TM608" s="222"/>
      <c r="TN608" s="222"/>
      <c r="TO608" s="223"/>
      <c r="TP608" s="224"/>
      <c r="TQ608" s="222"/>
      <c r="TR608" s="222"/>
      <c r="TS608" s="222"/>
      <c r="TT608" s="222"/>
      <c r="TU608" s="222"/>
      <c r="TV608" s="222"/>
      <c r="TW608" s="223"/>
      <c r="TX608" s="224"/>
      <c r="TY608" s="222"/>
      <c r="TZ608" s="222"/>
      <c r="UA608" s="222"/>
      <c r="UB608" s="222"/>
      <c r="UC608" s="222"/>
      <c r="UD608" s="222"/>
      <c r="UE608" s="223"/>
      <c r="UF608" s="224"/>
      <c r="UG608" s="222"/>
      <c r="UH608" s="222"/>
      <c r="UI608" s="222"/>
      <c r="UJ608" s="222"/>
      <c r="UK608" s="222"/>
      <c r="UL608" s="222"/>
      <c r="UM608" s="223"/>
      <c r="UN608" s="224"/>
      <c r="UO608" s="222"/>
      <c r="UP608" s="222"/>
      <c r="UQ608" s="222"/>
      <c r="UR608" s="222"/>
      <c r="US608" s="222"/>
      <c r="UT608" s="222"/>
      <c r="UU608" s="223"/>
      <c r="UV608" s="224"/>
      <c r="UW608" s="222"/>
      <c r="UX608" s="222"/>
      <c r="UY608" s="222"/>
      <c r="UZ608" s="222"/>
      <c r="VA608" s="222"/>
      <c r="VB608" s="222"/>
      <c r="VC608" s="223"/>
      <c r="VD608" s="224"/>
      <c r="VE608" s="222"/>
      <c r="VF608" s="222"/>
      <c r="VG608" s="222"/>
      <c r="VH608" s="222"/>
      <c r="VI608" s="222"/>
      <c r="VJ608" s="222"/>
      <c r="VK608" s="223"/>
      <c r="VL608" s="224"/>
      <c r="VM608" s="222"/>
      <c r="VN608" s="222"/>
      <c r="VO608" s="222"/>
      <c r="VP608" s="222"/>
      <c r="VQ608" s="222"/>
      <c r="VR608" s="222"/>
      <c r="VS608" s="223"/>
      <c r="VT608" s="224"/>
      <c r="VU608" s="222"/>
      <c r="VV608" s="222"/>
      <c r="VW608" s="222"/>
      <c r="VX608" s="222"/>
      <c r="VY608" s="222"/>
      <c r="VZ608" s="222"/>
      <c r="WA608" s="223"/>
      <c r="WB608" s="224"/>
      <c r="WC608" s="222"/>
      <c r="WD608" s="222"/>
      <c r="WE608" s="222"/>
      <c r="WF608" s="222"/>
      <c r="WG608" s="222"/>
      <c r="WH608" s="222"/>
      <c r="WI608" s="223"/>
      <c r="WJ608" s="224"/>
      <c r="WK608" s="222"/>
      <c r="WL608" s="222"/>
      <c r="WM608" s="222"/>
      <c r="WN608" s="222"/>
      <c r="WO608" s="222"/>
      <c r="WP608" s="222"/>
      <c r="WQ608" s="223"/>
      <c r="WR608" s="224"/>
      <c r="WS608" s="222"/>
      <c r="WT608" s="222"/>
      <c r="WU608" s="222"/>
      <c r="WV608" s="222"/>
      <c r="WW608" s="222"/>
      <c r="WX608" s="222"/>
      <c r="WY608" s="223"/>
      <c r="WZ608" s="224"/>
      <c r="XA608" s="222"/>
      <c r="XB608" s="222"/>
      <c r="XC608" s="222"/>
      <c r="XD608" s="222"/>
      <c r="XE608" s="222"/>
      <c r="XF608" s="222"/>
      <c r="XG608" s="223"/>
      <c r="XH608" s="224"/>
      <c r="XI608" s="222"/>
      <c r="XJ608" s="222"/>
      <c r="XK608" s="222"/>
      <c r="XL608" s="222"/>
      <c r="XM608" s="222"/>
      <c r="XN608" s="222"/>
      <c r="XO608" s="223"/>
      <c r="XP608" s="224"/>
      <c r="XQ608" s="222"/>
      <c r="XR608" s="222"/>
      <c r="XS608" s="222"/>
      <c r="XT608" s="222"/>
      <c r="XU608" s="222"/>
      <c r="XV608" s="222"/>
      <c r="XW608" s="223"/>
      <c r="XX608" s="224"/>
      <c r="XY608" s="222"/>
      <c r="XZ608" s="222"/>
      <c r="YA608" s="222"/>
      <c r="YB608" s="222"/>
      <c r="YC608" s="222"/>
      <c r="YD608" s="222"/>
      <c r="YE608" s="223"/>
      <c r="YF608" s="224"/>
      <c r="YG608" s="222"/>
      <c r="YH608" s="222"/>
      <c r="YI608" s="222"/>
      <c r="YJ608" s="222"/>
      <c r="YK608" s="222"/>
      <c r="YL608" s="222"/>
      <c r="YM608" s="223"/>
      <c r="YN608" s="224"/>
      <c r="YO608" s="222"/>
      <c r="YP608" s="222"/>
      <c r="YQ608" s="222"/>
      <c r="YR608" s="222"/>
      <c r="YS608" s="222"/>
      <c r="YT608" s="222"/>
      <c r="YU608" s="223"/>
      <c r="YV608" s="224"/>
      <c r="YW608" s="222"/>
      <c r="YX608" s="222"/>
      <c r="YY608" s="222"/>
      <c r="YZ608" s="222"/>
      <c r="ZA608" s="222"/>
      <c r="ZB608" s="222"/>
      <c r="ZC608" s="223"/>
      <c r="ZD608" s="224"/>
      <c r="ZE608" s="222"/>
      <c r="ZF608" s="222"/>
      <c r="ZG608" s="222"/>
      <c r="ZH608" s="222"/>
      <c r="ZI608" s="222"/>
      <c r="ZJ608" s="222"/>
      <c r="ZK608" s="223"/>
      <c r="ZL608" s="224"/>
      <c r="ZM608" s="222"/>
      <c r="ZN608" s="222"/>
      <c r="ZO608" s="222"/>
      <c r="ZP608" s="222"/>
      <c r="ZQ608" s="222"/>
      <c r="ZR608" s="222"/>
      <c r="ZS608" s="223"/>
      <c r="ZT608" s="224"/>
      <c r="ZU608" s="222"/>
      <c r="ZV608" s="222"/>
      <c r="ZW608" s="222"/>
      <c r="ZX608" s="222"/>
      <c r="ZY608" s="222"/>
      <c r="ZZ608" s="222"/>
      <c r="AAA608" s="223"/>
      <c r="AAB608" s="224"/>
      <c r="AAC608" s="222"/>
      <c r="AAD608" s="222"/>
      <c r="AAE608" s="222"/>
      <c r="AAF608" s="222"/>
      <c r="AAG608" s="222"/>
      <c r="AAH608" s="222"/>
      <c r="AAI608" s="223"/>
      <c r="AAJ608" s="224"/>
      <c r="AAK608" s="222"/>
      <c r="AAL608" s="222"/>
      <c r="AAM608" s="222"/>
      <c r="AAN608" s="222"/>
      <c r="AAO608" s="222"/>
      <c r="AAP608" s="222"/>
      <c r="AAQ608" s="223"/>
      <c r="AAR608" s="224"/>
      <c r="AAS608" s="222"/>
      <c r="AAT608" s="222"/>
      <c r="AAU608" s="222"/>
      <c r="AAV608" s="222"/>
      <c r="AAW608" s="222"/>
      <c r="AAX608" s="222"/>
      <c r="AAY608" s="223"/>
      <c r="AAZ608" s="224"/>
      <c r="ABA608" s="222"/>
      <c r="ABB608" s="222"/>
      <c r="ABC608" s="222"/>
      <c r="ABD608" s="222"/>
      <c r="ABE608" s="222"/>
      <c r="ABF608" s="222"/>
      <c r="ABG608" s="223"/>
      <c r="ABH608" s="224"/>
      <c r="ABI608" s="222"/>
      <c r="ABJ608" s="222"/>
      <c r="ABK608" s="222"/>
      <c r="ABL608" s="222"/>
      <c r="ABM608" s="222"/>
      <c r="ABN608" s="222"/>
      <c r="ABO608" s="223"/>
      <c r="ABP608" s="224"/>
      <c r="ABQ608" s="222"/>
      <c r="ABR608" s="222"/>
      <c r="ABS608" s="222"/>
      <c r="ABT608" s="222"/>
      <c r="ABU608" s="222"/>
      <c r="ABV608" s="222"/>
      <c r="ABW608" s="223"/>
      <c r="ABX608" s="224"/>
      <c r="ABY608" s="222"/>
      <c r="ABZ608" s="222"/>
      <c r="ACA608" s="222"/>
      <c r="ACB608" s="222"/>
      <c r="ACC608" s="222"/>
      <c r="ACD608" s="222"/>
      <c r="ACE608" s="223"/>
      <c r="ACF608" s="224"/>
      <c r="ACG608" s="222"/>
      <c r="ACH608" s="222"/>
      <c r="ACI608" s="222"/>
      <c r="ACJ608" s="222"/>
      <c r="ACK608" s="222"/>
      <c r="ACL608" s="222"/>
      <c r="ACM608" s="223"/>
      <c r="ACN608" s="224"/>
      <c r="ACO608" s="222"/>
      <c r="ACP608" s="222"/>
      <c r="ACQ608" s="222"/>
      <c r="ACR608" s="222"/>
      <c r="ACS608" s="222"/>
      <c r="ACT608" s="222"/>
      <c r="ACU608" s="223"/>
      <c r="ACV608" s="224"/>
      <c r="ACW608" s="222"/>
      <c r="ACX608" s="222"/>
      <c r="ACY608" s="222"/>
      <c r="ACZ608" s="222"/>
      <c r="ADA608" s="222"/>
      <c r="ADB608" s="222"/>
      <c r="ADC608" s="223"/>
      <c r="ADD608" s="224"/>
      <c r="ADE608" s="222"/>
      <c r="ADF608" s="222"/>
      <c r="ADG608" s="222"/>
      <c r="ADH608" s="222"/>
      <c r="ADI608" s="222"/>
      <c r="ADJ608" s="222"/>
      <c r="ADK608" s="223"/>
      <c r="ADL608" s="224"/>
      <c r="ADM608" s="222"/>
      <c r="ADN608" s="222"/>
      <c r="ADO608" s="222"/>
      <c r="ADP608" s="222"/>
      <c r="ADQ608" s="222"/>
      <c r="ADR608" s="222"/>
      <c r="ADS608" s="223"/>
      <c r="ADT608" s="224"/>
      <c r="ADU608" s="222"/>
      <c r="ADV608" s="222"/>
      <c r="ADW608" s="222"/>
      <c r="ADX608" s="222"/>
      <c r="ADY608" s="222"/>
      <c r="ADZ608" s="222"/>
      <c r="AEA608" s="223"/>
      <c r="AEB608" s="224"/>
      <c r="AEC608" s="222"/>
      <c r="AED608" s="222"/>
      <c r="AEE608" s="222"/>
      <c r="AEF608" s="222"/>
      <c r="AEG608" s="222"/>
      <c r="AEH608" s="222"/>
      <c r="AEI608" s="223"/>
      <c r="AEJ608" s="224"/>
      <c r="AEK608" s="222"/>
      <c r="AEL608" s="222"/>
      <c r="AEM608" s="222"/>
      <c r="AEN608" s="222"/>
      <c r="AEO608" s="222"/>
      <c r="AEP608" s="222"/>
      <c r="AEQ608" s="223"/>
      <c r="AER608" s="224"/>
      <c r="AES608" s="222"/>
      <c r="AET608" s="222"/>
      <c r="AEU608" s="222"/>
      <c r="AEV608" s="222"/>
      <c r="AEW608" s="222"/>
      <c r="AEX608" s="222"/>
      <c r="AEY608" s="223"/>
      <c r="AEZ608" s="224"/>
      <c r="AFA608" s="222"/>
      <c r="AFB608" s="222"/>
      <c r="AFC608" s="222"/>
      <c r="AFD608" s="222"/>
      <c r="AFE608" s="222"/>
      <c r="AFF608" s="222"/>
      <c r="AFG608" s="223"/>
      <c r="AFH608" s="224"/>
      <c r="AFI608" s="222"/>
      <c r="AFJ608" s="222"/>
      <c r="AFK608" s="222"/>
      <c r="AFL608" s="222"/>
      <c r="AFM608" s="222"/>
      <c r="AFN608" s="222"/>
      <c r="AFO608" s="223"/>
      <c r="AFP608" s="224"/>
      <c r="AFQ608" s="222"/>
      <c r="AFR608" s="222"/>
      <c r="AFS608" s="222"/>
      <c r="AFT608" s="222"/>
      <c r="AFU608" s="222"/>
      <c r="AFV608" s="222"/>
      <c r="AFW608" s="223"/>
      <c r="AFX608" s="224"/>
      <c r="AFY608" s="222"/>
      <c r="AFZ608" s="222"/>
      <c r="AGA608" s="222"/>
      <c r="AGB608" s="222"/>
      <c r="AGC608" s="222"/>
      <c r="AGD608" s="222"/>
      <c r="AGE608" s="223"/>
      <c r="AGF608" s="224"/>
      <c r="AGG608" s="222"/>
      <c r="AGH608" s="222"/>
      <c r="AGI608" s="222"/>
      <c r="AGJ608" s="222"/>
      <c r="AGK608" s="222"/>
      <c r="AGL608" s="222"/>
      <c r="AGM608" s="223"/>
      <c r="AGN608" s="224"/>
      <c r="AGO608" s="222"/>
      <c r="AGP608" s="222"/>
      <c r="AGQ608" s="222"/>
      <c r="AGR608" s="222"/>
      <c r="AGS608" s="222"/>
      <c r="AGT608" s="222"/>
      <c r="AGU608" s="223"/>
      <c r="AGV608" s="224"/>
      <c r="AGW608" s="222"/>
      <c r="AGX608" s="222"/>
      <c r="AGY608" s="222"/>
      <c r="AGZ608" s="222"/>
      <c r="AHA608" s="222"/>
      <c r="AHB608" s="222"/>
      <c r="AHC608" s="223"/>
      <c r="AHD608" s="224"/>
      <c r="AHE608" s="222"/>
      <c r="AHF608" s="222"/>
      <c r="AHG608" s="222"/>
      <c r="AHH608" s="222"/>
      <c r="AHI608" s="222"/>
      <c r="AHJ608" s="222"/>
      <c r="AHK608" s="223"/>
      <c r="AHL608" s="224"/>
      <c r="AHM608" s="222"/>
      <c r="AHN608" s="222"/>
      <c r="AHO608" s="222"/>
      <c r="AHP608" s="222"/>
      <c r="AHQ608" s="222"/>
      <c r="AHR608" s="222"/>
      <c r="AHS608" s="223"/>
      <c r="AHT608" s="224"/>
      <c r="AHU608" s="222"/>
      <c r="AHV608" s="222"/>
      <c r="AHW608" s="222"/>
      <c r="AHX608" s="222"/>
      <c r="AHY608" s="222"/>
      <c r="AHZ608" s="222"/>
      <c r="AIA608" s="223"/>
      <c r="AIB608" s="224"/>
      <c r="AIC608" s="222"/>
      <c r="AID608" s="222"/>
      <c r="AIE608" s="222"/>
      <c r="AIF608" s="222"/>
      <c r="AIG608" s="222"/>
      <c r="AIH608" s="222"/>
      <c r="AII608" s="223"/>
      <c r="AIJ608" s="224"/>
      <c r="AIK608" s="222"/>
      <c r="AIL608" s="222"/>
      <c r="AIM608" s="222"/>
      <c r="AIN608" s="222"/>
      <c r="AIO608" s="222"/>
      <c r="AIP608" s="222"/>
      <c r="AIQ608" s="223"/>
      <c r="AIR608" s="224"/>
      <c r="AIS608" s="222"/>
      <c r="AIT608" s="222"/>
      <c r="AIU608" s="222"/>
      <c r="AIV608" s="222"/>
      <c r="AIW608" s="222"/>
      <c r="AIX608" s="222"/>
      <c r="AIY608" s="223"/>
      <c r="AIZ608" s="224"/>
      <c r="AJA608" s="222"/>
      <c r="AJB608" s="222"/>
      <c r="AJC608" s="222"/>
      <c r="AJD608" s="222"/>
      <c r="AJE608" s="222"/>
      <c r="AJF608" s="222"/>
      <c r="AJG608" s="223"/>
      <c r="AJH608" s="224"/>
      <c r="AJI608" s="222"/>
      <c r="AJJ608" s="222"/>
      <c r="AJK608" s="222"/>
      <c r="AJL608" s="222"/>
      <c r="AJM608" s="222"/>
      <c r="AJN608" s="222"/>
      <c r="AJO608" s="223"/>
      <c r="AJP608" s="224"/>
      <c r="AJQ608" s="222"/>
      <c r="AJR608" s="222"/>
      <c r="AJS608" s="222"/>
      <c r="AJT608" s="222"/>
      <c r="AJU608" s="222"/>
      <c r="AJV608" s="222"/>
      <c r="AJW608" s="223"/>
      <c r="AJX608" s="224"/>
      <c r="AJY608" s="222"/>
      <c r="AJZ608" s="222"/>
      <c r="AKA608" s="222"/>
      <c r="AKB608" s="222"/>
      <c r="AKC608" s="222"/>
      <c r="AKD608" s="222"/>
      <c r="AKE608" s="223"/>
      <c r="AKF608" s="224"/>
      <c r="AKG608" s="222"/>
      <c r="AKH608" s="222"/>
      <c r="AKI608" s="222"/>
      <c r="AKJ608" s="222"/>
      <c r="AKK608" s="222"/>
      <c r="AKL608" s="222"/>
      <c r="AKM608" s="223"/>
      <c r="AKN608" s="224"/>
      <c r="AKO608" s="222"/>
      <c r="AKP608" s="222"/>
      <c r="AKQ608" s="222"/>
      <c r="AKR608" s="222"/>
      <c r="AKS608" s="222"/>
      <c r="AKT608" s="222"/>
      <c r="AKU608" s="223"/>
      <c r="AKV608" s="224"/>
      <c r="AKW608" s="222"/>
      <c r="AKX608" s="222"/>
      <c r="AKY608" s="222"/>
      <c r="AKZ608" s="222"/>
      <c r="ALA608" s="222"/>
      <c r="ALB608" s="222"/>
      <c r="ALC608" s="223"/>
      <c r="ALD608" s="224"/>
      <c r="ALE608" s="222"/>
      <c r="ALF608" s="222"/>
      <c r="ALG608" s="222"/>
      <c r="ALH608" s="222"/>
      <c r="ALI608" s="222"/>
      <c r="ALJ608" s="222"/>
      <c r="ALK608" s="223"/>
      <c r="ALL608" s="224"/>
      <c r="ALM608" s="222"/>
      <c r="ALN608" s="222"/>
      <c r="ALO608" s="222"/>
      <c r="ALP608" s="222"/>
      <c r="ALQ608" s="222"/>
      <c r="ALR608" s="222"/>
      <c r="ALS608" s="223"/>
      <c r="ALT608" s="224"/>
      <c r="ALU608" s="222"/>
      <c r="ALV608" s="222"/>
      <c r="ALW608" s="222"/>
      <c r="ALX608" s="222"/>
      <c r="ALY608" s="222"/>
      <c r="ALZ608" s="222"/>
      <c r="AMA608" s="223"/>
      <c r="AMB608" s="224"/>
      <c r="AMC608" s="222"/>
      <c r="AMD608" s="222"/>
      <c r="AME608" s="222"/>
      <c r="AMF608" s="222"/>
      <c r="AMG608" s="222"/>
      <c r="AMH608" s="222"/>
      <c r="AMI608" s="223"/>
      <c r="AMJ608" s="224"/>
      <c r="AMK608" s="222"/>
      <c r="AML608" s="222"/>
      <c r="AMM608" s="222"/>
      <c r="AMN608" s="222"/>
      <c r="AMO608" s="222"/>
      <c r="AMP608" s="222"/>
      <c r="AMQ608" s="223"/>
      <c r="AMR608" s="224"/>
      <c r="AMS608" s="222"/>
      <c r="AMT608" s="222"/>
      <c r="AMU608" s="222"/>
      <c r="AMV608" s="222"/>
      <c r="AMW608" s="222"/>
      <c r="AMX608" s="222"/>
      <c r="AMY608" s="223"/>
      <c r="AMZ608" s="224"/>
      <c r="ANA608" s="222"/>
      <c r="ANB608" s="222"/>
      <c r="ANC608" s="222"/>
      <c r="AND608" s="222"/>
      <c r="ANE608" s="222"/>
      <c r="ANF608" s="222"/>
      <c r="ANG608" s="223"/>
      <c r="ANH608" s="224"/>
      <c r="ANI608" s="222"/>
      <c r="ANJ608" s="222"/>
      <c r="ANK608" s="222"/>
      <c r="ANL608" s="222"/>
      <c r="ANM608" s="222"/>
      <c r="ANN608" s="222"/>
      <c r="ANO608" s="223"/>
      <c r="ANP608" s="224"/>
      <c r="ANQ608" s="222"/>
      <c r="ANR608" s="222"/>
      <c r="ANS608" s="222"/>
      <c r="ANT608" s="222"/>
      <c r="ANU608" s="222"/>
      <c r="ANV608" s="222"/>
      <c r="ANW608" s="223"/>
      <c r="ANX608" s="224"/>
      <c r="ANY608" s="222"/>
      <c r="ANZ608" s="222"/>
      <c r="AOA608" s="222"/>
      <c r="AOB608" s="222"/>
      <c r="AOC608" s="222"/>
      <c r="AOD608" s="222"/>
      <c r="AOE608" s="223"/>
      <c r="AOF608" s="224"/>
      <c r="AOG608" s="222"/>
      <c r="AOH608" s="222"/>
      <c r="AOI608" s="222"/>
      <c r="AOJ608" s="222"/>
      <c r="AOK608" s="222"/>
      <c r="AOL608" s="222"/>
      <c r="AOM608" s="223"/>
      <c r="AON608" s="224"/>
      <c r="AOO608" s="222"/>
      <c r="AOP608" s="222"/>
      <c r="AOQ608" s="222"/>
      <c r="AOR608" s="222"/>
      <c r="AOS608" s="222"/>
      <c r="AOT608" s="222"/>
      <c r="AOU608" s="223"/>
      <c r="AOV608" s="224"/>
      <c r="AOW608" s="222"/>
      <c r="AOX608" s="222"/>
      <c r="AOY608" s="222"/>
      <c r="AOZ608" s="222"/>
      <c r="APA608" s="222"/>
      <c r="APB608" s="222"/>
      <c r="APC608" s="223"/>
      <c r="APD608" s="224"/>
      <c r="APE608" s="222"/>
      <c r="APF608" s="222"/>
      <c r="APG608" s="222"/>
      <c r="APH608" s="222"/>
      <c r="API608" s="222"/>
      <c r="APJ608" s="222"/>
      <c r="APK608" s="223"/>
      <c r="APL608" s="224"/>
      <c r="APM608" s="222"/>
      <c r="APN608" s="222"/>
      <c r="APO608" s="222"/>
      <c r="APP608" s="222"/>
      <c r="APQ608" s="222"/>
      <c r="APR608" s="222"/>
      <c r="APS608" s="223"/>
      <c r="APT608" s="224"/>
      <c r="APU608" s="222"/>
      <c r="APV608" s="222"/>
      <c r="APW608" s="222"/>
      <c r="APX608" s="222"/>
      <c r="APY608" s="222"/>
      <c r="APZ608" s="222"/>
      <c r="AQA608" s="223"/>
      <c r="AQB608" s="224"/>
      <c r="AQC608" s="222"/>
      <c r="AQD608" s="222"/>
      <c r="AQE608" s="222"/>
      <c r="AQF608" s="222"/>
      <c r="AQG608" s="222"/>
      <c r="AQH608" s="222"/>
      <c r="AQI608" s="223"/>
      <c r="AQJ608" s="224"/>
      <c r="AQK608" s="222"/>
      <c r="AQL608" s="222"/>
      <c r="AQM608" s="222"/>
      <c r="AQN608" s="222"/>
      <c r="AQO608" s="222"/>
      <c r="AQP608" s="222"/>
      <c r="AQQ608" s="223"/>
      <c r="AQR608" s="224"/>
      <c r="AQS608" s="222"/>
      <c r="AQT608" s="222"/>
      <c r="AQU608" s="222"/>
      <c r="AQV608" s="222"/>
      <c r="AQW608" s="222"/>
      <c r="AQX608" s="222"/>
      <c r="AQY608" s="223"/>
      <c r="AQZ608" s="224"/>
      <c r="ARA608" s="222"/>
      <c r="ARB608" s="222"/>
      <c r="ARC608" s="222"/>
      <c r="ARD608" s="222"/>
      <c r="ARE608" s="222"/>
      <c r="ARF608" s="222"/>
      <c r="ARG608" s="223"/>
      <c r="ARH608" s="224"/>
      <c r="ARI608" s="222"/>
      <c r="ARJ608" s="222"/>
      <c r="ARK608" s="222"/>
      <c r="ARL608" s="222"/>
      <c r="ARM608" s="222"/>
      <c r="ARN608" s="222"/>
      <c r="ARO608" s="223"/>
      <c r="ARP608" s="224"/>
      <c r="ARQ608" s="222"/>
      <c r="ARR608" s="222"/>
      <c r="ARS608" s="222"/>
      <c r="ART608" s="222"/>
      <c r="ARU608" s="222"/>
      <c r="ARV608" s="222"/>
      <c r="ARW608" s="223"/>
      <c r="ARX608" s="224"/>
      <c r="ARY608" s="222"/>
      <c r="ARZ608" s="222"/>
      <c r="ASA608" s="222"/>
      <c r="ASB608" s="222"/>
      <c r="ASC608" s="222"/>
      <c r="ASD608" s="222"/>
      <c r="ASE608" s="223"/>
      <c r="ASF608" s="224"/>
      <c r="ASG608" s="222"/>
      <c r="ASH608" s="222"/>
      <c r="ASI608" s="222"/>
      <c r="ASJ608" s="222"/>
      <c r="ASK608" s="222"/>
      <c r="ASL608" s="222"/>
      <c r="ASM608" s="223"/>
      <c r="ASN608" s="224"/>
      <c r="ASO608" s="222"/>
      <c r="ASP608" s="222"/>
      <c r="ASQ608" s="222"/>
      <c r="ASR608" s="222"/>
      <c r="ASS608" s="222"/>
      <c r="AST608" s="222"/>
      <c r="ASU608" s="223"/>
      <c r="ASV608" s="224"/>
      <c r="ASW608" s="222"/>
      <c r="ASX608" s="222"/>
      <c r="ASY608" s="222"/>
      <c r="ASZ608" s="222"/>
      <c r="ATA608" s="222"/>
      <c r="ATB608" s="222"/>
      <c r="ATC608" s="223"/>
      <c r="ATD608" s="224"/>
      <c r="ATE608" s="222"/>
      <c r="ATF608" s="222"/>
      <c r="ATG608" s="222"/>
      <c r="ATH608" s="222"/>
      <c r="ATI608" s="222"/>
      <c r="ATJ608" s="222"/>
      <c r="ATK608" s="223"/>
      <c r="ATL608" s="224"/>
      <c r="ATM608" s="222"/>
      <c r="ATN608" s="222"/>
      <c r="ATO608" s="222"/>
      <c r="ATP608" s="222"/>
      <c r="ATQ608" s="222"/>
      <c r="ATR608" s="222"/>
      <c r="ATS608" s="223"/>
      <c r="ATT608" s="224"/>
      <c r="ATU608" s="222"/>
      <c r="ATV608" s="222"/>
      <c r="ATW608" s="222"/>
      <c r="ATX608" s="222"/>
      <c r="ATY608" s="222"/>
      <c r="ATZ608" s="222"/>
      <c r="AUA608" s="223"/>
      <c r="AUB608" s="224"/>
      <c r="AUC608" s="222"/>
      <c r="AUD608" s="222"/>
      <c r="AUE608" s="222"/>
      <c r="AUF608" s="222"/>
      <c r="AUG608" s="222"/>
      <c r="AUH608" s="222"/>
      <c r="AUI608" s="223"/>
      <c r="AUJ608" s="224"/>
      <c r="AUK608" s="222"/>
      <c r="AUL608" s="222"/>
      <c r="AUM608" s="222"/>
      <c r="AUN608" s="222"/>
      <c r="AUO608" s="222"/>
      <c r="AUP608" s="222"/>
      <c r="AUQ608" s="223"/>
      <c r="AUR608" s="224"/>
      <c r="AUS608" s="222"/>
      <c r="AUT608" s="222"/>
      <c r="AUU608" s="222"/>
      <c r="AUV608" s="222"/>
      <c r="AUW608" s="222"/>
      <c r="AUX608" s="222"/>
      <c r="AUY608" s="223"/>
      <c r="AUZ608" s="224"/>
      <c r="AVA608" s="222"/>
      <c r="AVB608" s="222"/>
      <c r="AVC608" s="222"/>
      <c r="AVD608" s="222"/>
      <c r="AVE608" s="222"/>
      <c r="AVF608" s="222"/>
      <c r="AVG608" s="223"/>
      <c r="AVH608" s="224"/>
      <c r="AVI608" s="222"/>
      <c r="AVJ608" s="222"/>
      <c r="AVK608" s="222"/>
      <c r="AVL608" s="222"/>
      <c r="AVM608" s="222"/>
      <c r="AVN608" s="222"/>
      <c r="AVO608" s="223"/>
      <c r="AVP608" s="224"/>
      <c r="AVQ608" s="222"/>
      <c r="AVR608" s="222"/>
      <c r="AVS608" s="222"/>
      <c r="AVT608" s="222"/>
      <c r="AVU608" s="222"/>
      <c r="AVV608" s="222"/>
      <c r="AVW608" s="223"/>
      <c r="AVX608" s="224"/>
      <c r="AVY608" s="222"/>
      <c r="AVZ608" s="222"/>
      <c r="AWA608" s="222"/>
      <c r="AWB608" s="222"/>
      <c r="AWC608" s="222"/>
      <c r="AWD608" s="222"/>
      <c r="AWE608" s="223"/>
      <c r="AWF608" s="224"/>
      <c r="AWG608" s="222"/>
      <c r="AWH608" s="222"/>
      <c r="AWI608" s="222"/>
      <c r="AWJ608" s="222"/>
      <c r="AWK608" s="222"/>
      <c r="AWL608" s="222"/>
      <c r="AWM608" s="223"/>
      <c r="AWN608" s="224"/>
      <c r="AWO608" s="222"/>
      <c r="AWP608" s="222"/>
      <c r="AWQ608" s="222"/>
      <c r="AWR608" s="222"/>
      <c r="AWS608" s="222"/>
      <c r="AWT608" s="222"/>
      <c r="AWU608" s="223"/>
      <c r="AWV608" s="224"/>
      <c r="AWW608" s="222"/>
      <c r="AWX608" s="222"/>
      <c r="AWY608" s="222"/>
      <c r="AWZ608" s="222"/>
      <c r="AXA608" s="222"/>
      <c r="AXB608" s="222"/>
      <c r="AXC608" s="223"/>
      <c r="AXD608" s="224"/>
      <c r="AXE608" s="222"/>
      <c r="AXF608" s="222"/>
      <c r="AXG608" s="222"/>
      <c r="AXH608" s="222"/>
      <c r="AXI608" s="222"/>
      <c r="AXJ608" s="222"/>
      <c r="AXK608" s="223"/>
      <c r="AXL608" s="224"/>
      <c r="AXM608" s="222"/>
      <c r="AXN608" s="222"/>
      <c r="AXO608" s="222"/>
      <c r="AXP608" s="222"/>
      <c r="AXQ608" s="222"/>
      <c r="AXR608" s="222"/>
      <c r="AXS608" s="223"/>
      <c r="AXT608" s="224"/>
      <c r="AXU608" s="222"/>
      <c r="AXV608" s="222"/>
      <c r="AXW608" s="222"/>
      <c r="AXX608" s="222"/>
      <c r="AXY608" s="222"/>
      <c r="AXZ608" s="222"/>
      <c r="AYA608" s="223"/>
      <c r="AYB608" s="224"/>
      <c r="AYC608" s="222"/>
      <c r="AYD608" s="222"/>
      <c r="AYE608" s="222"/>
      <c r="AYF608" s="222"/>
      <c r="AYG608" s="222"/>
      <c r="AYH608" s="222"/>
      <c r="AYI608" s="223"/>
      <c r="AYJ608" s="224"/>
      <c r="AYK608" s="222"/>
      <c r="AYL608" s="222"/>
      <c r="AYM608" s="222"/>
      <c r="AYN608" s="222"/>
      <c r="AYO608" s="222"/>
      <c r="AYP608" s="222"/>
      <c r="AYQ608" s="223"/>
      <c r="AYR608" s="224"/>
      <c r="AYS608" s="222"/>
      <c r="AYT608" s="222"/>
      <c r="AYU608" s="222"/>
      <c r="AYV608" s="222"/>
      <c r="AYW608" s="222"/>
      <c r="AYX608" s="222"/>
      <c r="AYY608" s="223"/>
      <c r="AYZ608" s="224"/>
      <c r="AZA608" s="222"/>
      <c r="AZB608" s="222"/>
      <c r="AZC608" s="222"/>
      <c r="AZD608" s="222"/>
      <c r="AZE608" s="222"/>
      <c r="AZF608" s="222"/>
      <c r="AZG608" s="223"/>
      <c r="AZH608" s="224"/>
      <c r="AZI608" s="222"/>
      <c r="AZJ608" s="222"/>
      <c r="AZK608" s="222"/>
      <c r="AZL608" s="222"/>
      <c r="AZM608" s="222"/>
      <c r="AZN608" s="222"/>
      <c r="AZO608" s="223"/>
      <c r="AZP608" s="224"/>
      <c r="AZQ608" s="222"/>
      <c r="AZR608" s="222"/>
      <c r="AZS608" s="222"/>
      <c r="AZT608" s="222"/>
      <c r="AZU608" s="222"/>
      <c r="AZV608" s="222"/>
      <c r="AZW608" s="223"/>
      <c r="AZX608" s="224"/>
      <c r="AZY608" s="222"/>
      <c r="AZZ608" s="222"/>
      <c r="BAA608" s="222"/>
      <c r="BAB608" s="222"/>
      <c r="BAC608" s="222"/>
      <c r="BAD608" s="222"/>
      <c r="BAE608" s="223"/>
      <c r="BAF608" s="224"/>
      <c r="BAG608" s="222"/>
      <c r="BAH608" s="222"/>
      <c r="BAI608" s="222"/>
      <c r="BAJ608" s="222"/>
      <c r="BAK608" s="222"/>
      <c r="BAL608" s="222"/>
      <c r="BAM608" s="223"/>
      <c r="BAN608" s="224"/>
      <c r="BAO608" s="222"/>
      <c r="BAP608" s="222"/>
      <c r="BAQ608" s="222"/>
      <c r="BAR608" s="222"/>
      <c r="BAS608" s="222"/>
      <c r="BAT608" s="222"/>
      <c r="BAU608" s="223"/>
      <c r="BAV608" s="224"/>
      <c r="BAW608" s="222"/>
      <c r="BAX608" s="222"/>
      <c r="BAY608" s="222"/>
      <c r="BAZ608" s="222"/>
      <c r="BBA608" s="222"/>
      <c r="BBB608" s="222"/>
      <c r="BBC608" s="223"/>
      <c r="BBD608" s="224"/>
      <c r="BBE608" s="222"/>
      <c r="BBF608" s="222"/>
      <c r="BBG608" s="222"/>
      <c r="BBH608" s="222"/>
      <c r="BBI608" s="222"/>
      <c r="BBJ608" s="222"/>
      <c r="BBK608" s="223"/>
      <c r="BBL608" s="224"/>
      <c r="BBM608" s="222"/>
      <c r="BBN608" s="222"/>
      <c r="BBO608" s="222"/>
      <c r="BBP608" s="222"/>
      <c r="BBQ608" s="222"/>
      <c r="BBR608" s="222"/>
      <c r="BBS608" s="223"/>
      <c r="BBT608" s="224"/>
      <c r="BBU608" s="222"/>
      <c r="BBV608" s="222"/>
      <c r="BBW608" s="222"/>
      <c r="BBX608" s="222"/>
      <c r="BBY608" s="222"/>
      <c r="BBZ608" s="222"/>
      <c r="BCA608" s="223"/>
      <c r="BCB608" s="224"/>
      <c r="BCC608" s="222"/>
      <c r="BCD608" s="222"/>
      <c r="BCE608" s="222"/>
      <c r="BCF608" s="222"/>
      <c r="BCG608" s="222"/>
      <c r="BCH608" s="222"/>
      <c r="BCI608" s="223"/>
      <c r="BCJ608" s="224"/>
      <c r="BCK608" s="222"/>
      <c r="BCL608" s="222"/>
      <c r="BCM608" s="222"/>
      <c r="BCN608" s="222"/>
      <c r="BCO608" s="222"/>
      <c r="BCP608" s="222"/>
      <c r="BCQ608" s="223"/>
      <c r="BCR608" s="224"/>
      <c r="BCS608" s="222"/>
      <c r="BCT608" s="222"/>
      <c r="BCU608" s="222"/>
      <c r="BCV608" s="222"/>
      <c r="BCW608" s="222"/>
      <c r="BCX608" s="222"/>
      <c r="BCY608" s="223"/>
      <c r="BCZ608" s="224"/>
      <c r="BDA608" s="222"/>
      <c r="BDB608" s="222"/>
      <c r="BDC608" s="222"/>
      <c r="BDD608" s="222"/>
      <c r="BDE608" s="222"/>
      <c r="BDF608" s="222"/>
      <c r="BDG608" s="223"/>
      <c r="BDH608" s="224"/>
      <c r="BDI608" s="222"/>
      <c r="BDJ608" s="222"/>
      <c r="BDK608" s="222"/>
      <c r="BDL608" s="222"/>
      <c r="BDM608" s="222"/>
      <c r="BDN608" s="222"/>
      <c r="BDO608" s="223"/>
      <c r="BDP608" s="224"/>
      <c r="BDQ608" s="222"/>
      <c r="BDR608" s="222"/>
      <c r="BDS608" s="222"/>
      <c r="BDT608" s="222"/>
      <c r="BDU608" s="222"/>
      <c r="BDV608" s="222"/>
      <c r="BDW608" s="223"/>
      <c r="BDX608" s="224"/>
      <c r="BDY608" s="222"/>
      <c r="BDZ608" s="222"/>
      <c r="BEA608" s="222"/>
      <c r="BEB608" s="222"/>
      <c r="BEC608" s="222"/>
      <c r="BED608" s="222"/>
      <c r="BEE608" s="223"/>
      <c r="BEF608" s="224"/>
      <c r="BEG608" s="222"/>
      <c r="BEH608" s="222"/>
      <c r="BEI608" s="222"/>
      <c r="BEJ608" s="222"/>
      <c r="BEK608" s="222"/>
      <c r="BEL608" s="222"/>
      <c r="BEM608" s="223"/>
      <c r="BEN608" s="224"/>
      <c r="BEO608" s="222"/>
      <c r="BEP608" s="222"/>
      <c r="BEQ608" s="222"/>
      <c r="BER608" s="222"/>
      <c r="BES608" s="222"/>
      <c r="BET608" s="222"/>
      <c r="BEU608" s="223"/>
      <c r="BEV608" s="224"/>
      <c r="BEW608" s="222"/>
      <c r="BEX608" s="222"/>
      <c r="BEY608" s="222"/>
      <c r="BEZ608" s="222"/>
      <c r="BFA608" s="222"/>
      <c r="BFB608" s="222"/>
      <c r="BFC608" s="223"/>
      <c r="BFD608" s="224"/>
      <c r="BFE608" s="222"/>
      <c r="BFF608" s="222"/>
      <c r="BFG608" s="222"/>
      <c r="BFH608" s="222"/>
      <c r="BFI608" s="222"/>
      <c r="BFJ608" s="222"/>
      <c r="BFK608" s="223"/>
      <c r="BFL608" s="224"/>
      <c r="BFM608" s="222"/>
      <c r="BFN608" s="222"/>
      <c r="BFO608" s="222"/>
      <c r="BFP608" s="222"/>
      <c r="BFQ608" s="222"/>
      <c r="BFR608" s="222"/>
      <c r="BFS608" s="223"/>
      <c r="BFT608" s="224"/>
      <c r="BFU608" s="222"/>
      <c r="BFV608" s="222"/>
      <c r="BFW608" s="222"/>
      <c r="BFX608" s="222"/>
      <c r="BFY608" s="222"/>
      <c r="BFZ608" s="222"/>
      <c r="BGA608" s="223"/>
      <c r="BGB608" s="224"/>
      <c r="BGC608" s="222"/>
      <c r="BGD608" s="222"/>
      <c r="BGE608" s="222"/>
      <c r="BGF608" s="222"/>
      <c r="BGG608" s="222"/>
      <c r="BGH608" s="222"/>
      <c r="BGI608" s="223"/>
      <c r="BGJ608" s="224"/>
      <c r="BGK608" s="222"/>
      <c r="BGL608" s="222"/>
      <c r="BGM608" s="222"/>
      <c r="BGN608" s="222"/>
      <c r="BGO608" s="222"/>
      <c r="BGP608" s="222"/>
      <c r="BGQ608" s="223"/>
      <c r="BGR608" s="224"/>
      <c r="BGS608" s="222"/>
      <c r="BGT608" s="222"/>
      <c r="BGU608" s="222"/>
      <c r="BGV608" s="222"/>
      <c r="BGW608" s="222"/>
      <c r="BGX608" s="222"/>
      <c r="BGY608" s="223"/>
      <c r="BGZ608" s="224"/>
      <c r="BHA608" s="222"/>
      <c r="BHB608" s="222"/>
      <c r="BHC608" s="222"/>
      <c r="BHD608" s="222"/>
      <c r="BHE608" s="222"/>
      <c r="BHF608" s="222"/>
      <c r="BHG608" s="223"/>
      <c r="BHH608" s="224"/>
      <c r="BHI608" s="222"/>
      <c r="BHJ608" s="222"/>
      <c r="BHK608" s="222"/>
      <c r="BHL608" s="222"/>
      <c r="BHM608" s="222"/>
      <c r="BHN608" s="222"/>
      <c r="BHO608" s="223"/>
      <c r="BHP608" s="224"/>
      <c r="BHQ608" s="222"/>
      <c r="BHR608" s="222"/>
      <c r="BHS608" s="222"/>
      <c r="BHT608" s="222"/>
      <c r="BHU608" s="222"/>
      <c r="BHV608" s="222"/>
      <c r="BHW608" s="223"/>
      <c r="BHX608" s="224"/>
      <c r="BHY608" s="222"/>
      <c r="BHZ608" s="222"/>
      <c r="BIA608" s="222"/>
      <c r="BIB608" s="222"/>
      <c r="BIC608" s="222"/>
      <c r="BID608" s="222"/>
      <c r="BIE608" s="223"/>
      <c r="BIF608" s="224"/>
      <c r="BIG608" s="222"/>
      <c r="BIH608" s="222"/>
      <c r="BII608" s="222"/>
      <c r="BIJ608" s="222"/>
      <c r="BIK608" s="222"/>
      <c r="BIL608" s="222"/>
      <c r="BIM608" s="223"/>
      <c r="BIN608" s="224"/>
      <c r="BIO608" s="222"/>
      <c r="BIP608" s="222"/>
      <c r="BIQ608" s="222"/>
      <c r="BIR608" s="222"/>
      <c r="BIS608" s="222"/>
      <c r="BIT608" s="222"/>
      <c r="BIU608" s="223"/>
      <c r="BIV608" s="224"/>
      <c r="BIW608" s="222"/>
      <c r="BIX608" s="222"/>
      <c r="BIY608" s="222"/>
      <c r="BIZ608" s="222"/>
      <c r="BJA608" s="222"/>
      <c r="BJB608" s="222"/>
      <c r="BJC608" s="223"/>
      <c r="BJD608" s="224"/>
      <c r="BJE608" s="222"/>
      <c r="BJF608" s="222"/>
      <c r="BJG608" s="222"/>
      <c r="BJH608" s="222"/>
      <c r="BJI608" s="222"/>
      <c r="BJJ608" s="222"/>
      <c r="BJK608" s="223"/>
      <c r="BJL608" s="224"/>
      <c r="BJM608" s="222"/>
      <c r="BJN608" s="222"/>
      <c r="BJO608" s="222"/>
      <c r="BJP608" s="222"/>
      <c r="BJQ608" s="222"/>
      <c r="BJR608" s="222"/>
      <c r="BJS608" s="223"/>
      <c r="BJT608" s="224"/>
      <c r="BJU608" s="222"/>
      <c r="BJV608" s="222"/>
      <c r="BJW608" s="222"/>
      <c r="BJX608" s="222"/>
      <c r="BJY608" s="222"/>
      <c r="BJZ608" s="222"/>
      <c r="BKA608" s="223"/>
      <c r="BKB608" s="224"/>
      <c r="BKC608" s="222"/>
      <c r="BKD608" s="222"/>
      <c r="BKE608" s="222"/>
      <c r="BKF608" s="222"/>
      <c r="BKG608" s="222"/>
      <c r="BKH608" s="222"/>
      <c r="BKI608" s="223"/>
      <c r="BKJ608" s="224"/>
      <c r="BKK608" s="222"/>
      <c r="BKL608" s="222"/>
      <c r="BKM608" s="222"/>
      <c r="BKN608" s="222"/>
      <c r="BKO608" s="222"/>
      <c r="BKP608" s="222"/>
      <c r="BKQ608" s="223"/>
      <c r="BKR608" s="224"/>
      <c r="BKS608" s="222"/>
      <c r="BKT608" s="222"/>
      <c r="BKU608" s="222"/>
      <c r="BKV608" s="222"/>
      <c r="BKW608" s="222"/>
      <c r="BKX608" s="222"/>
      <c r="BKY608" s="223"/>
      <c r="BKZ608" s="224"/>
      <c r="BLA608" s="222"/>
      <c r="BLB608" s="222"/>
      <c r="BLC608" s="222"/>
      <c r="BLD608" s="222"/>
      <c r="BLE608" s="222"/>
      <c r="BLF608" s="222"/>
      <c r="BLG608" s="223"/>
      <c r="BLH608" s="224"/>
      <c r="BLI608" s="222"/>
      <c r="BLJ608" s="222"/>
      <c r="BLK608" s="222"/>
      <c r="BLL608" s="222"/>
      <c r="BLM608" s="222"/>
      <c r="BLN608" s="222"/>
      <c r="BLO608" s="223"/>
      <c r="BLP608" s="224"/>
      <c r="BLQ608" s="222"/>
      <c r="BLR608" s="222"/>
      <c r="BLS608" s="222"/>
      <c r="BLT608" s="222"/>
      <c r="BLU608" s="222"/>
      <c r="BLV608" s="222"/>
      <c r="BLW608" s="223"/>
      <c r="BLX608" s="224"/>
      <c r="BLY608" s="222"/>
      <c r="BLZ608" s="222"/>
      <c r="BMA608" s="222"/>
      <c r="BMB608" s="222"/>
      <c r="BMC608" s="222"/>
      <c r="BMD608" s="222"/>
      <c r="BME608" s="223"/>
      <c r="BMF608" s="224"/>
      <c r="BMG608" s="222"/>
      <c r="BMH608" s="222"/>
      <c r="BMI608" s="222"/>
      <c r="BMJ608" s="222"/>
      <c r="BMK608" s="222"/>
      <c r="BML608" s="222"/>
      <c r="BMM608" s="223"/>
      <c r="BMN608" s="224"/>
      <c r="BMO608" s="222"/>
      <c r="BMP608" s="222"/>
      <c r="BMQ608" s="222"/>
      <c r="BMR608" s="222"/>
      <c r="BMS608" s="222"/>
      <c r="BMT608" s="222"/>
      <c r="BMU608" s="223"/>
      <c r="BMV608" s="224"/>
      <c r="BMW608" s="222"/>
      <c r="BMX608" s="222"/>
      <c r="BMY608" s="222"/>
      <c r="BMZ608" s="222"/>
      <c r="BNA608" s="222"/>
      <c r="BNB608" s="222"/>
      <c r="BNC608" s="223"/>
      <c r="BND608" s="224"/>
      <c r="BNE608" s="222"/>
      <c r="BNF608" s="222"/>
      <c r="BNG608" s="222"/>
      <c r="BNH608" s="222"/>
      <c r="BNI608" s="222"/>
      <c r="BNJ608" s="222"/>
      <c r="BNK608" s="223"/>
      <c r="BNL608" s="224"/>
      <c r="BNM608" s="222"/>
      <c r="BNN608" s="222"/>
      <c r="BNO608" s="222"/>
      <c r="BNP608" s="222"/>
      <c r="BNQ608" s="222"/>
      <c r="BNR608" s="222"/>
      <c r="BNS608" s="223"/>
      <c r="BNT608" s="224"/>
      <c r="BNU608" s="222"/>
      <c r="BNV608" s="222"/>
      <c r="BNW608" s="222"/>
      <c r="BNX608" s="222"/>
      <c r="BNY608" s="222"/>
      <c r="BNZ608" s="222"/>
      <c r="BOA608" s="223"/>
      <c r="BOB608" s="224"/>
      <c r="BOC608" s="222"/>
      <c r="BOD608" s="222"/>
      <c r="BOE608" s="222"/>
      <c r="BOF608" s="222"/>
      <c r="BOG608" s="222"/>
      <c r="BOH608" s="222"/>
      <c r="BOI608" s="223"/>
      <c r="BOJ608" s="224"/>
      <c r="BOK608" s="222"/>
      <c r="BOL608" s="222"/>
      <c r="BOM608" s="222"/>
      <c r="BON608" s="222"/>
      <c r="BOO608" s="222"/>
      <c r="BOP608" s="222"/>
      <c r="BOQ608" s="223"/>
      <c r="BOR608" s="224"/>
      <c r="BOS608" s="222"/>
      <c r="BOT608" s="222"/>
      <c r="BOU608" s="222"/>
      <c r="BOV608" s="222"/>
      <c r="BOW608" s="222"/>
      <c r="BOX608" s="222"/>
      <c r="BOY608" s="223"/>
      <c r="BOZ608" s="224"/>
      <c r="BPA608" s="222"/>
      <c r="BPB608" s="222"/>
      <c r="BPC608" s="222"/>
      <c r="BPD608" s="222"/>
      <c r="BPE608" s="222"/>
      <c r="BPF608" s="222"/>
      <c r="BPG608" s="223"/>
      <c r="BPH608" s="224"/>
      <c r="BPI608" s="222"/>
      <c r="BPJ608" s="222"/>
      <c r="BPK608" s="222"/>
      <c r="BPL608" s="222"/>
      <c r="BPM608" s="222"/>
      <c r="BPN608" s="222"/>
      <c r="BPO608" s="223"/>
      <c r="BPP608" s="224"/>
      <c r="BPQ608" s="222"/>
      <c r="BPR608" s="222"/>
      <c r="BPS608" s="222"/>
      <c r="BPT608" s="222"/>
      <c r="BPU608" s="222"/>
      <c r="BPV608" s="222"/>
      <c r="BPW608" s="223"/>
      <c r="BPX608" s="224"/>
      <c r="BPY608" s="222"/>
      <c r="BPZ608" s="222"/>
      <c r="BQA608" s="222"/>
      <c r="BQB608" s="222"/>
      <c r="BQC608" s="222"/>
      <c r="BQD608" s="222"/>
      <c r="BQE608" s="223"/>
      <c r="BQF608" s="224"/>
      <c r="BQG608" s="222"/>
      <c r="BQH608" s="222"/>
      <c r="BQI608" s="222"/>
      <c r="BQJ608" s="222"/>
      <c r="BQK608" s="222"/>
      <c r="BQL608" s="222"/>
      <c r="BQM608" s="223"/>
      <c r="BQN608" s="224"/>
      <c r="BQO608" s="222"/>
      <c r="BQP608" s="222"/>
      <c r="BQQ608" s="222"/>
      <c r="BQR608" s="222"/>
      <c r="BQS608" s="222"/>
      <c r="BQT608" s="222"/>
      <c r="BQU608" s="223"/>
      <c r="BQV608" s="224"/>
      <c r="BQW608" s="222"/>
      <c r="BQX608" s="222"/>
      <c r="BQY608" s="222"/>
      <c r="BQZ608" s="222"/>
      <c r="BRA608" s="222"/>
      <c r="BRB608" s="222"/>
      <c r="BRC608" s="223"/>
      <c r="BRD608" s="224"/>
      <c r="BRE608" s="222"/>
      <c r="BRF608" s="222"/>
      <c r="BRG608" s="222"/>
      <c r="BRH608" s="222"/>
      <c r="BRI608" s="222"/>
      <c r="BRJ608" s="222"/>
      <c r="BRK608" s="223"/>
      <c r="BRL608" s="224"/>
      <c r="BRM608" s="222"/>
      <c r="BRN608" s="222"/>
      <c r="BRO608" s="222"/>
      <c r="BRP608" s="222"/>
      <c r="BRQ608" s="222"/>
      <c r="BRR608" s="222"/>
      <c r="BRS608" s="223"/>
      <c r="BRT608" s="224"/>
      <c r="BRU608" s="222"/>
      <c r="BRV608" s="222"/>
      <c r="BRW608" s="222"/>
      <c r="BRX608" s="222"/>
      <c r="BRY608" s="222"/>
      <c r="BRZ608" s="222"/>
      <c r="BSA608" s="223"/>
      <c r="BSB608" s="224"/>
      <c r="BSC608" s="222"/>
      <c r="BSD608" s="222"/>
      <c r="BSE608" s="222"/>
      <c r="BSF608" s="222"/>
      <c r="BSG608" s="222"/>
      <c r="BSH608" s="222"/>
      <c r="BSI608" s="223"/>
      <c r="BSJ608" s="224"/>
      <c r="BSK608" s="222"/>
      <c r="BSL608" s="222"/>
      <c r="BSM608" s="222"/>
      <c r="BSN608" s="222"/>
      <c r="BSO608" s="222"/>
      <c r="BSP608" s="222"/>
      <c r="BSQ608" s="223"/>
      <c r="BSR608" s="224"/>
      <c r="BSS608" s="222"/>
      <c r="BST608" s="222"/>
      <c r="BSU608" s="222"/>
      <c r="BSV608" s="222"/>
      <c r="BSW608" s="222"/>
      <c r="BSX608" s="222"/>
      <c r="BSY608" s="223"/>
      <c r="BSZ608" s="224"/>
      <c r="BTA608" s="222"/>
      <c r="BTB608" s="222"/>
      <c r="BTC608" s="222"/>
      <c r="BTD608" s="222"/>
      <c r="BTE608" s="222"/>
      <c r="BTF608" s="222"/>
      <c r="BTG608" s="223"/>
      <c r="BTH608" s="224"/>
      <c r="BTI608" s="222"/>
      <c r="BTJ608" s="222"/>
      <c r="BTK608" s="222"/>
      <c r="BTL608" s="222"/>
      <c r="BTM608" s="222"/>
      <c r="BTN608" s="222"/>
      <c r="BTO608" s="223"/>
      <c r="BTP608" s="224"/>
      <c r="BTQ608" s="222"/>
      <c r="BTR608" s="222"/>
      <c r="BTS608" s="222"/>
      <c r="BTT608" s="222"/>
      <c r="BTU608" s="222"/>
      <c r="BTV608" s="222"/>
      <c r="BTW608" s="223"/>
      <c r="BTX608" s="224"/>
      <c r="BTY608" s="222"/>
      <c r="BTZ608" s="222"/>
      <c r="BUA608" s="222"/>
      <c r="BUB608" s="222"/>
      <c r="BUC608" s="222"/>
      <c r="BUD608" s="222"/>
      <c r="BUE608" s="223"/>
      <c r="BUF608" s="224"/>
      <c r="BUG608" s="222"/>
      <c r="BUH608" s="222"/>
      <c r="BUI608" s="222"/>
      <c r="BUJ608" s="222"/>
      <c r="BUK608" s="222"/>
      <c r="BUL608" s="222"/>
      <c r="BUM608" s="223"/>
      <c r="BUN608" s="224"/>
      <c r="BUO608" s="222"/>
      <c r="BUP608" s="222"/>
      <c r="BUQ608" s="222"/>
      <c r="BUR608" s="222"/>
      <c r="BUS608" s="222"/>
      <c r="BUT608" s="222"/>
      <c r="BUU608" s="223"/>
      <c r="BUV608" s="224"/>
      <c r="BUW608" s="222"/>
      <c r="BUX608" s="222"/>
      <c r="BUY608" s="222"/>
      <c r="BUZ608" s="222"/>
      <c r="BVA608" s="222"/>
      <c r="BVB608" s="222"/>
      <c r="BVC608" s="223"/>
      <c r="BVD608" s="224"/>
      <c r="BVE608" s="222"/>
      <c r="BVF608" s="222"/>
      <c r="BVG608" s="222"/>
      <c r="BVH608" s="222"/>
      <c r="BVI608" s="222"/>
      <c r="BVJ608" s="222"/>
      <c r="BVK608" s="223"/>
      <c r="BVL608" s="224"/>
      <c r="BVM608" s="222"/>
      <c r="BVN608" s="222"/>
      <c r="BVO608" s="222"/>
      <c r="BVP608" s="222"/>
      <c r="BVQ608" s="222"/>
      <c r="BVR608" s="222"/>
      <c r="BVS608" s="223"/>
      <c r="BVT608" s="224"/>
      <c r="BVU608" s="222"/>
      <c r="BVV608" s="222"/>
      <c r="BVW608" s="222"/>
      <c r="BVX608" s="222"/>
      <c r="BVY608" s="222"/>
      <c r="BVZ608" s="222"/>
      <c r="BWA608" s="223"/>
      <c r="BWB608" s="224"/>
      <c r="BWC608" s="222"/>
      <c r="BWD608" s="222"/>
      <c r="BWE608" s="222"/>
      <c r="BWF608" s="222"/>
      <c r="BWG608" s="222"/>
      <c r="BWH608" s="222"/>
      <c r="BWI608" s="223"/>
      <c r="BWJ608" s="224"/>
      <c r="BWK608" s="222"/>
      <c r="BWL608" s="222"/>
      <c r="BWM608" s="222"/>
      <c r="BWN608" s="222"/>
      <c r="BWO608" s="222"/>
      <c r="BWP608" s="222"/>
      <c r="BWQ608" s="223"/>
      <c r="BWR608" s="224"/>
      <c r="BWS608" s="222"/>
      <c r="BWT608" s="222"/>
      <c r="BWU608" s="222"/>
      <c r="BWV608" s="222"/>
      <c r="BWW608" s="222"/>
      <c r="BWX608" s="222"/>
      <c r="BWY608" s="223"/>
      <c r="BWZ608" s="224"/>
      <c r="BXA608" s="222"/>
      <c r="BXB608" s="222"/>
      <c r="BXC608" s="222"/>
      <c r="BXD608" s="222"/>
      <c r="BXE608" s="222"/>
      <c r="BXF608" s="222"/>
      <c r="BXG608" s="223"/>
      <c r="BXH608" s="224"/>
      <c r="BXI608" s="222"/>
      <c r="BXJ608" s="222"/>
      <c r="BXK608" s="222"/>
      <c r="BXL608" s="222"/>
      <c r="BXM608" s="222"/>
      <c r="BXN608" s="222"/>
      <c r="BXO608" s="223"/>
      <c r="BXP608" s="224"/>
      <c r="BXQ608" s="222"/>
      <c r="BXR608" s="222"/>
      <c r="BXS608" s="222"/>
      <c r="BXT608" s="222"/>
      <c r="BXU608" s="222"/>
      <c r="BXV608" s="222"/>
      <c r="BXW608" s="223"/>
      <c r="BXX608" s="224"/>
      <c r="BXY608" s="222"/>
      <c r="BXZ608" s="222"/>
      <c r="BYA608" s="222"/>
      <c r="BYB608" s="222"/>
      <c r="BYC608" s="222"/>
      <c r="BYD608" s="222"/>
      <c r="BYE608" s="223"/>
      <c r="BYF608" s="224"/>
      <c r="BYG608" s="222"/>
      <c r="BYH608" s="222"/>
      <c r="BYI608" s="222"/>
      <c r="BYJ608" s="222"/>
      <c r="BYK608" s="222"/>
      <c r="BYL608" s="222"/>
      <c r="BYM608" s="223"/>
      <c r="BYN608" s="224"/>
      <c r="BYO608" s="222"/>
      <c r="BYP608" s="222"/>
      <c r="BYQ608" s="222"/>
      <c r="BYR608" s="222"/>
      <c r="BYS608" s="222"/>
      <c r="BYT608" s="222"/>
      <c r="BYU608" s="223"/>
      <c r="BYV608" s="224"/>
      <c r="BYW608" s="222"/>
      <c r="BYX608" s="222"/>
      <c r="BYY608" s="222"/>
      <c r="BYZ608" s="222"/>
      <c r="BZA608" s="222"/>
      <c r="BZB608" s="222"/>
      <c r="BZC608" s="223"/>
      <c r="BZD608" s="224"/>
      <c r="BZE608" s="222"/>
      <c r="BZF608" s="222"/>
      <c r="BZG608" s="222"/>
      <c r="BZH608" s="222"/>
      <c r="BZI608" s="222"/>
      <c r="BZJ608" s="222"/>
      <c r="BZK608" s="223"/>
      <c r="BZL608" s="224"/>
      <c r="BZM608" s="222"/>
      <c r="BZN608" s="222"/>
      <c r="BZO608" s="222"/>
      <c r="BZP608" s="222"/>
      <c r="BZQ608" s="222"/>
      <c r="BZR608" s="222"/>
      <c r="BZS608" s="223"/>
      <c r="BZT608" s="224"/>
      <c r="BZU608" s="222"/>
      <c r="BZV608" s="222"/>
      <c r="BZW608" s="222"/>
      <c r="BZX608" s="222"/>
      <c r="BZY608" s="222"/>
      <c r="BZZ608" s="222"/>
      <c r="CAA608" s="223"/>
      <c r="CAB608" s="224"/>
      <c r="CAC608" s="222"/>
      <c r="CAD608" s="222"/>
      <c r="CAE608" s="222"/>
      <c r="CAF608" s="222"/>
      <c r="CAG608" s="222"/>
      <c r="CAH608" s="222"/>
      <c r="CAI608" s="223"/>
      <c r="CAJ608" s="224"/>
      <c r="CAK608" s="222"/>
      <c r="CAL608" s="222"/>
      <c r="CAM608" s="222"/>
      <c r="CAN608" s="222"/>
      <c r="CAO608" s="222"/>
      <c r="CAP608" s="222"/>
      <c r="CAQ608" s="223"/>
      <c r="CAR608" s="224"/>
      <c r="CAS608" s="222"/>
      <c r="CAT608" s="222"/>
      <c r="CAU608" s="222"/>
      <c r="CAV608" s="222"/>
      <c r="CAW608" s="222"/>
      <c r="CAX608" s="222"/>
      <c r="CAY608" s="223"/>
      <c r="CAZ608" s="224"/>
      <c r="CBA608" s="222"/>
      <c r="CBB608" s="222"/>
      <c r="CBC608" s="222"/>
      <c r="CBD608" s="222"/>
      <c r="CBE608" s="222"/>
      <c r="CBF608" s="222"/>
      <c r="CBG608" s="223"/>
      <c r="CBH608" s="224"/>
      <c r="CBI608" s="222"/>
      <c r="CBJ608" s="222"/>
      <c r="CBK608" s="222"/>
      <c r="CBL608" s="222"/>
      <c r="CBM608" s="222"/>
      <c r="CBN608" s="222"/>
      <c r="CBO608" s="223"/>
      <c r="CBP608" s="224"/>
      <c r="CBQ608" s="222"/>
      <c r="CBR608" s="222"/>
      <c r="CBS608" s="222"/>
      <c r="CBT608" s="222"/>
      <c r="CBU608" s="222"/>
      <c r="CBV608" s="222"/>
      <c r="CBW608" s="223"/>
      <c r="CBX608" s="224"/>
      <c r="CBY608" s="222"/>
      <c r="CBZ608" s="222"/>
      <c r="CCA608" s="222"/>
      <c r="CCB608" s="222"/>
      <c r="CCC608" s="222"/>
      <c r="CCD608" s="222"/>
      <c r="CCE608" s="223"/>
      <c r="CCF608" s="224"/>
      <c r="CCG608" s="222"/>
      <c r="CCH608" s="222"/>
      <c r="CCI608" s="222"/>
      <c r="CCJ608" s="222"/>
      <c r="CCK608" s="222"/>
      <c r="CCL608" s="222"/>
      <c r="CCM608" s="223"/>
      <c r="CCN608" s="224"/>
      <c r="CCO608" s="222"/>
      <c r="CCP608" s="222"/>
      <c r="CCQ608" s="222"/>
      <c r="CCR608" s="222"/>
      <c r="CCS608" s="222"/>
      <c r="CCT608" s="222"/>
      <c r="CCU608" s="223"/>
      <c r="CCV608" s="224"/>
      <c r="CCW608" s="222"/>
      <c r="CCX608" s="222"/>
      <c r="CCY608" s="222"/>
      <c r="CCZ608" s="222"/>
      <c r="CDA608" s="222"/>
      <c r="CDB608" s="222"/>
      <c r="CDC608" s="223"/>
      <c r="CDD608" s="224"/>
      <c r="CDE608" s="222"/>
      <c r="CDF608" s="222"/>
      <c r="CDG608" s="222"/>
      <c r="CDH608" s="222"/>
      <c r="CDI608" s="222"/>
      <c r="CDJ608" s="222"/>
      <c r="CDK608" s="223"/>
      <c r="CDL608" s="224"/>
      <c r="CDM608" s="222"/>
      <c r="CDN608" s="222"/>
      <c r="CDO608" s="222"/>
      <c r="CDP608" s="222"/>
      <c r="CDQ608" s="222"/>
      <c r="CDR608" s="222"/>
      <c r="CDS608" s="223"/>
      <c r="CDT608" s="224"/>
      <c r="CDU608" s="222"/>
      <c r="CDV608" s="222"/>
      <c r="CDW608" s="222"/>
      <c r="CDX608" s="222"/>
      <c r="CDY608" s="222"/>
      <c r="CDZ608" s="222"/>
      <c r="CEA608" s="223"/>
      <c r="CEB608" s="224"/>
      <c r="CEC608" s="222"/>
      <c r="CED608" s="222"/>
      <c r="CEE608" s="222"/>
      <c r="CEF608" s="222"/>
      <c r="CEG608" s="222"/>
      <c r="CEH608" s="222"/>
      <c r="CEI608" s="223"/>
      <c r="CEJ608" s="224"/>
      <c r="CEK608" s="222"/>
      <c r="CEL608" s="222"/>
      <c r="CEM608" s="222"/>
      <c r="CEN608" s="222"/>
      <c r="CEO608" s="222"/>
      <c r="CEP608" s="222"/>
      <c r="CEQ608" s="223"/>
      <c r="CER608" s="224"/>
      <c r="CES608" s="222"/>
      <c r="CET608" s="222"/>
      <c r="CEU608" s="222"/>
      <c r="CEV608" s="222"/>
      <c r="CEW608" s="222"/>
      <c r="CEX608" s="222"/>
      <c r="CEY608" s="223"/>
      <c r="CEZ608" s="224"/>
      <c r="CFA608" s="222"/>
      <c r="CFB608" s="222"/>
      <c r="CFC608" s="222"/>
      <c r="CFD608" s="222"/>
      <c r="CFE608" s="222"/>
      <c r="CFF608" s="222"/>
      <c r="CFG608" s="223"/>
      <c r="CFH608" s="224"/>
      <c r="CFI608" s="222"/>
      <c r="CFJ608" s="222"/>
      <c r="CFK608" s="222"/>
      <c r="CFL608" s="222"/>
      <c r="CFM608" s="222"/>
      <c r="CFN608" s="222"/>
      <c r="CFO608" s="223"/>
      <c r="CFP608" s="224"/>
      <c r="CFQ608" s="222"/>
      <c r="CFR608" s="222"/>
      <c r="CFS608" s="222"/>
      <c r="CFT608" s="222"/>
      <c r="CFU608" s="222"/>
      <c r="CFV608" s="222"/>
      <c r="CFW608" s="223"/>
      <c r="CFX608" s="224"/>
      <c r="CFY608" s="222"/>
      <c r="CFZ608" s="222"/>
      <c r="CGA608" s="222"/>
      <c r="CGB608" s="222"/>
      <c r="CGC608" s="222"/>
      <c r="CGD608" s="222"/>
      <c r="CGE608" s="223"/>
      <c r="CGF608" s="224"/>
      <c r="CGG608" s="222"/>
      <c r="CGH608" s="222"/>
      <c r="CGI608" s="222"/>
      <c r="CGJ608" s="222"/>
      <c r="CGK608" s="222"/>
      <c r="CGL608" s="222"/>
      <c r="CGM608" s="223"/>
      <c r="CGN608" s="224"/>
      <c r="CGO608" s="222"/>
      <c r="CGP608" s="222"/>
      <c r="CGQ608" s="222"/>
      <c r="CGR608" s="222"/>
      <c r="CGS608" s="222"/>
      <c r="CGT608" s="222"/>
      <c r="CGU608" s="223"/>
      <c r="CGV608" s="224"/>
      <c r="CGW608" s="222"/>
      <c r="CGX608" s="222"/>
      <c r="CGY608" s="222"/>
      <c r="CGZ608" s="222"/>
      <c r="CHA608" s="222"/>
      <c r="CHB608" s="222"/>
      <c r="CHC608" s="223"/>
      <c r="CHD608" s="224"/>
      <c r="CHE608" s="222"/>
      <c r="CHF608" s="222"/>
      <c r="CHG608" s="222"/>
      <c r="CHH608" s="222"/>
      <c r="CHI608" s="222"/>
      <c r="CHJ608" s="222"/>
      <c r="CHK608" s="223"/>
      <c r="CHL608" s="224"/>
      <c r="CHM608" s="222"/>
      <c r="CHN608" s="222"/>
      <c r="CHO608" s="222"/>
      <c r="CHP608" s="222"/>
      <c r="CHQ608" s="222"/>
      <c r="CHR608" s="222"/>
      <c r="CHS608" s="223"/>
      <c r="CHT608" s="224"/>
      <c r="CHU608" s="222"/>
      <c r="CHV608" s="222"/>
      <c r="CHW608" s="222"/>
      <c r="CHX608" s="222"/>
      <c r="CHY608" s="222"/>
      <c r="CHZ608" s="222"/>
      <c r="CIA608" s="223"/>
      <c r="CIB608" s="224"/>
      <c r="CIC608" s="222"/>
      <c r="CID608" s="222"/>
      <c r="CIE608" s="222"/>
      <c r="CIF608" s="222"/>
      <c r="CIG608" s="222"/>
      <c r="CIH608" s="222"/>
      <c r="CII608" s="223"/>
      <c r="CIJ608" s="224"/>
      <c r="CIK608" s="222"/>
      <c r="CIL608" s="222"/>
      <c r="CIM608" s="222"/>
      <c r="CIN608" s="222"/>
      <c r="CIO608" s="222"/>
      <c r="CIP608" s="222"/>
      <c r="CIQ608" s="223"/>
      <c r="CIR608" s="224"/>
      <c r="CIS608" s="222"/>
      <c r="CIT608" s="222"/>
      <c r="CIU608" s="222"/>
      <c r="CIV608" s="222"/>
      <c r="CIW608" s="222"/>
      <c r="CIX608" s="222"/>
      <c r="CIY608" s="223"/>
      <c r="CIZ608" s="224"/>
      <c r="CJA608" s="222"/>
      <c r="CJB608" s="222"/>
      <c r="CJC608" s="222"/>
      <c r="CJD608" s="222"/>
      <c r="CJE608" s="222"/>
      <c r="CJF608" s="222"/>
      <c r="CJG608" s="223"/>
      <c r="CJH608" s="224"/>
      <c r="CJI608" s="222"/>
      <c r="CJJ608" s="222"/>
      <c r="CJK608" s="222"/>
      <c r="CJL608" s="222"/>
      <c r="CJM608" s="222"/>
      <c r="CJN608" s="222"/>
      <c r="CJO608" s="223"/>
      <c r="CJP608" s="224"/>
      <c r="CJQ608" s="222"/>
      <c r="CJR608" s="222"/>
      <c r="CJS608" s="222"/>
      <c r="CJT608" s="222"/>
      <c r="CJU608" s="222"/>
      <c r="CJV608" s="222"/>
      <c r="CJW608" s="223"/>
      <c r="CJX608" s="224"/>
      <c r="CJY608" s="222"/>
      <c r="CJZ608" s="222"/>
      <c r="CKA608" s="222"/>
      <c r="CKB608" s="222"/>
      <c r="CKC608" s="222"/>
      <c r="CKD608" s="222"/>
      <c r="CKE608" s="223"/>
      <c r="CKF608" s="224"/>
      <c r="CKG608" s="222"/>
      <c r="CKH608" s="222"/>
      <c r="CKI608" s="222"/>
      <c r="CKJ608" s="222"/>
      <c r="CKK608" s="222"/>
      <c r="CKL608" s="222"/>
      <c r="CKM608" s="223"/>
      <c r="CKN608" s="224"/>
      <c r="CKO608" s="222"/>
      <c r="CKP608" s="222"/>
      <c r="CKQ608" s="222"/>
      <c r="CKR608" s="222"/>
      <c r="CKS608" s="222"/>
      <c r="CKT608" s="222"/>
      <c r="CKU608" s="223"/>
      <c r="CKV608" s="224"/>
      <c r="CKW608" s="222"/>
      <c r="CKX608" s="222"/>
      <c r="CKY608" s="222"/>
      <c r="CKZ608" s="222"/>
      <c r="CLA608" s="222"/>
      <c r="CLB608" s="222"/>
      <c r="CLC608" s="223"/>
      <c r="CLD608" s="224"/>
      <c r="CLE608" s="222"/>
      <c r="CLF608" s="222"/>
      <c r="CLG608" s="222"/>
      <c r="CLH608" s="222"/>
      <c r="CLI608" s="222"/>
      <c r="CLJ608" s="222"/>
      <c r="CLK608" s="223"/>
      <c r="CLL608" s="224"/>
      <c r="CLM608" s="222"/>
      <c r="CLN608" s="222"/>
      <c r="CLO608" s="222"/>
      <c r="CLP608" s="222"/>
      <c r="CLQ608" s="222"/>
      <c r="CLR608" s="222"/>
      <c r="CLS608" s="223"/>
      <c r="CLT608" s="224"/>
      <c r="CLU608" s="222"/>
      <c r="CLV608" s="222"/>
      <c r="CLW608" s="222"/>
      <c r="CLX608" s="222"/>
      <c r="CLY608" s="222"/>
      <c r="CLZ608" s="222"/>
      <c r="CMA608" s="223"/>
      <c r="CMB608" s="224"/>
      <c r="CMC608" s="222"/>
      <c r="CMD608" s="222"/>
      <c r="CME608" s="222"/>
      <c r="CMF608" s="222"/>
      <c r="CMG608" s="222"/>
      <c r="CMH608" s="222"/>
      <c r="CMI608" s="223"/>
      <c r="CMJ608" s="224"/>
      <c r="CMK608" s="222"/>
      <c r="CML608" s="222"/>
      <c r="CMM608" s="222"/>
      <c r="CMN608" s="222"/>
      <c r="CMO608" s="222"/>
      <c r="CMP608" s="222"/>
      <c r="CMQ608" s="223"/>
      <c r="CMR608" s="224"/>
      <c r="CMS608" s="222"/>
      <c r="CMT608" s="222"/>
      <c r="CMU608" s="222"/>
      <c r="CMV608" s="222"/>
      <c r="CMW608" s="222"/>
      <c r="CMX608" s="222"/>
      <c r="CMY608" s="223"/>
      <c r="CMZ608" s="224"/>
      <c r="CNA608" s="222"/>
      <c r="CNB608" s="222"/>
      <c r="CNC608" s="222"/>
      <c r="CND608" s="222"/>
      <c r="CNE608" s="222"/>
      <c r="CNF608" s="222"/>
      <c r="CNG608" s="223"/>
      <c r="CNH608" s="224"/>
      <c r="CNI608" s="222"/>
      <c r="CNJ608" s="222"/>
      <c r="CNK608" s="222"/>
      <c r="CNL608" s="222"/>
      <c r="CNM608" s="222"/>
      <c r="CNN608" s="222"/>
      <c r="CNO608" s="223"/>
      <c r="CNP608" s="224"/>
      <c r="CNQ608" s="222"/>
      <c r="CNR608" s="222"/>
      <c r="CNS608" s="222"/>
      <c r="CNT608" s="222"/>
      <c r="CNU608" s="222"/>
      <c r="CNV608" s="222"/>
      <c r="CNW608" s="223"/>
      <c r="CNX608" s="224"/>
      <c r="CNY608" s="222"/>
      <c r="CNZ608" s="222"/>
      <c r="COA608" s="222"/>
      <c r="COB608" s="222"/>
      <c r="COC608" s="222"/>
      <c r="COD608" s="222"/>
      <c r="COE608" s="223"/>
      <c r="COF608" s="224"/>
      <c r="COG608" s="222"/>
      <c r="COH608" s="222"/>
      <c r="COI608" s="222"/>
      <c r="COJ608" s="222"/>
      <c r="COK608" s="222"/>
      <c r="COL608" s="222"/>
      <c r="COM608" s="223"/>
      <c r="CON608" s="224"/>
      <c r="COO608" s="222"/>
      <c r="COP608" s="222"/>
      <c r="COQ608" s="222"/>
      <c r="COR608" s="222"/>
      <c r="COS608" s="222"/>
      <c r="COT608" s="222"/>
      <c r="COU608" s="223"/>
      <c r="COV608" s="224"/>
      <c r="COW608" s="222"/>
      <c r="COX608" s="222"/>
      <c r="COY608" s="222"/>
      <c r="COZ608" s="222"/>
      <c r="CPA608" s="222"/>
      <c r="CPB608" s="222"/>
      <c r="CPC608" s="223"/>
      <c r="CPD608" s="224"/>
      <c r="CPE608" s="222"/>
      <c r="CPF608" s="222"/>
      <c r="CPG608" s="222"/>
      <c r="CPH608" s="222"/>
      <c r="CPI608" s="222"/>
      <c r="CPJ608" s="222"/>
      <c r="CPK608" s="223"/>
      <c r="CPL608" s="224"/>
      <c r="CPM608" s="222"/>
      <c r="CPN608" s="222"/>
      <c r="CPO608" s="222"/>
      <c r="CPP608" s="222"/>
      <c r="CPQ608" s="222"/>
      <c r="CPR608" s="222"/>
      <c r="CPS608" s="223"/>
      <c r="CPT608" s="224"/>
      <c r="CPU608" s="222"/>
      <c r="CPV608" s="222"/>
      <c r="CPW608" s="222"/>
      <c r="CPX608" s="222"/>
      <c r="CPY608" s="222"/>
      <c r="CPZ608" s="222"/>
      <c r="CQA608" s="223"/>
      <c r="CQB608" s="224"/>
      <c r="CQC608" s="222"/>
      <c r="CQD608" s="222"/>
      <c r="CQE608" s="222"/>
      <c r="CQF608" s="222"/>
      <c r="CQG608" s="222"/>
      <c r="CQH608" s="222"/>
      <c r="CQI608" s="223"/>
      <c r="CQJ608" s="224"/>
      <c r="CQK608" s="222"/>
      <c r="CQL608" s="222"/>
      <c r="CQM608" s="222"/>
      <c r="CQN608" s="222"/>
      <c r="CQO608" s="222"/>
      <c r="CQP608" s="222"/>
      <c r="CQQ608" s="223"/>
      <c r="CQR608" s="224"/>
      <c r="CQS608" s="222"/>
      <c r="CQT608" s="222"/>
      <c r="CQU608" s="222"/>
      <c r="CQV608" s="222"/>
      <c r="CQW608" s="222"/>
      <c r="CQX608" s="222"/>
      <c r="CQY608" s="223"/>
      <c r="CQZ608" s="224"/>
      <c r="CRA608" s="222"/>
      <c r="CRB608" s="222"/>
      <c r="CRC608" s="222"/>
      <c r="CRD608" s="222"/>
      <c r="CRE608" s="222"/>
      <c r="CRF608" s="222"/>
      <c r="CRG608" s="223"/>
      <c r="CRH608" s="224"/>
      <c r="CRI608" s="222"/>
      <c r="CRJ608" s="222"/>
      <c r="CRK608" s="222"/>
      <c r="CRL608" s="222"/>
      <c r="CRM608" s="222"/>
      <c r="CRN608" s="222"/>
      <c r="CRO608" s="223"/>
      <c r="CRP608" s="224"/>
      <c r="CRQ608" s="222"/>
      <c r="CRR608" s="222"/>
      <c r="CRS608" s="222"/>
      <c r="CRT608" s="222"/>
      <c r="CRU608" s="222"/>
      <c r="CRV608" s="222"/>
      <c r="CRW608" s="223"/>
      <c r="CRX608" s="224"/>
      <c r="CRY608" s="222"/>
      <c r="CRZ608" s="222"/>
      <c r="CSA608" s="222"/>
      <c r="CSB608" s="222"/>
      <c r="CSC608" s="222"/>
      <c r="CSD608" s="222"/>
      <c r="CSE608" s="223"/>
      <c r="CSF608" s="224"/>
      <c r="CSG608" s="222"/>
      <c r="CSH608" s="222"/>
      <c r="CSI608" s="222"/>
      <c r="CSJ608" s="222"/>
      <c r="CSK608" s="222"/>
      <c r="CSL608" s="222"/>
      <c r="CSM608" s="223"/>
      <c r="CSN608" s="224"/>
      <c r="CSO608" s="222"/>
      <c r="CSP608" s="222"/>
      <c r="CSQ608" s="222"/>
      <c r="CSR608" s="222"/>
      <c r="CSS608" s="222"/>
      <c r="CST608" s="222"/>
      <c r="CSU608" s="223"/>
      <c r="CSV608" s="224"/>
      <c r="CSW608" s="222"/>
      <c r="CSX608" s="222"/>
      <c r="CSY608" s="222"/>
      <c r="CSZ608" s="222"/>
      <c r="CTA608" s="222"/>
      <c r="CTB608" s="222"/>
      <c r="CTC608" s="223"/>
      <c r="CTD608" s="224"/>
      <c r="CTE608" s="222"/>
      <c r="CTF608" s="222"/>
      <c r="CTG608" s="222"/>
      <c r="CTH608" s="222"/>
      <c r="CTI608" s="222"/>
      <c r="CTJ608" s="222"/>
      <c r="CTK608" s="223"/>
      <c r="CTL608" s="224"/>
      <c r="CTM608" s="222"/>
      <c r="CTN608" s="222"/>
      <c r="CTO608" s="222"/>
      <c r="CTP608" s="222"/>
      <c r="CTQ608" s="222"/>
      <c r="CTR608" s="222"/>
      <c r="CTS608" s="223"/>
      <c r="CTT608" s="224"/>
      <c r="CTU608" s="222"/>
      <c r="CTV608" s="222"/>
      <c r="CTW608" s="222"/>
      <c r="CTX608" s="222"/>
      <c r="CTY608" s="222"/>
      <c r="CTZ608" s="222"/>
      <c r="CUA608" s="223"/>
      <c r="CUB608" s="224"/>
      <c r="CUC608" s="222"/>
      <c r="CUD608" s="222"/>
      <c r="CUE608" s="222"/>
      <c r="CUF608" s="222"/>
      <c r="CUG608" s="222"/>
      <c r="CUH608" s="222"/>
      <c r="CUI608" s="223"/>
      <c r="CUJ608" s="224"/>
      <c r="CUK608" s="222"/>
      <c r="CUL608" s="222"/>
      <c r="CUM608" s="222"/>
      <c r="CUN608" s="222"/>
      <c r="CUO608" s="222"/>
      <c r="CUP608" s="222"/>
      <c r="CUQ608" s="223"/>
      <c r="CUR608" s="224"/>
      <c r="CUS608" s="222"/>
      <c r="CUT608" s="222"/>
      <c r="CUU608" s="222"/>
      <c r="CUV608" s="222"/>
      <c r="CUW608" s="222"/>
      <c r="CUX608" s="222"/>
      <c r="CUY608" s="223"/>
      <c r="CUZ608" s="224"/>
      <c r="CVA608" s="222"/>
      <c r="CVB608" s="222"/>
      <c r="CVC608" s="222"/>
      <c r="CVD608" s="222"/>
      <c r="CVE608" s="222"/>
      <c r="CVF608" s="222"/>
      <c r="CVG608" s="223"/>
      <c r="CVH608" s="224"/>
      <c r="CVI608" s="222"/>
      <c r="CVJ608" s="222"/>
      <c r="CVK608" s="222"/>
      <c r="CVL608" s="222"/>
      <c r="CVM608" s="222"/>
      <c r="CVN608" s="222"/>
      <c r="CVO608" s="223"/>
      <c r="CVP608" s="224"/>
      <c r="CVQ608" s="222"/>
      <c r="CVR608" s="222"/>
      <c r="CVS608" s="222"/>
      <c r="CVT608" s="222"/>
      <c r="CVU608" s="222"/>
      <c r="CVV608" s="222"/>
      <c r="CVW608" s="223"/>
      <c r="CVX608" s="224"/>
      <c r="CVY608" s="222"/>
      <c r="CVZ608" s="222"/>
      <c r="CWA608" s="222"/>
      <c r="CWB608" s="222"/>
      <c r="CWC608" s="222"/>
      <c r="CWD608" s="222"/>
      <c r="CWE608" s="223"/>
      <c r="CWF608" s="224"/>
      <c r="CWG608" s="222"/>
      <c r="CWH608" s="222"/>
      <c r="CWI608" s="222"/>
      <c r="CWJ608" s="222"/>
      <c r="CWK608" s="222"/>
      <c r="CWL608" s="222"/>
      <c r="CWM608" s="223"/>
      <c r="CWN608" s="224"/>
      <c r="CWO608" s="222"/>
      <c r="CWP608" s="222"/>
      <c r="CWQ608" s="222"/>
      <c r="CWR608" s="222"/>
      <c r="CWS608" s="222"/>
      <c r="CWT608" s="222"/>
      <c r="CWU608" s="223"/>
      <c r="CWV608" s="224"/>
      <c r="CWW608" s="222"/>
      <c r="CWX608" s="222"/>
      <c r="CWY608" s="222"/>
      <c r="CWZ608" s="222"/>
      <c r="CXA608" s="222"/>
      <c r="CXB608" s="222"/>
      <c r="CXC608" s="223"/>
      <c r="CXD608" s="224"/>
      <c r="CXE608" s="222"/>
      <c r="CXF608" s="222"/>
      <c r="CXG608" s="222"/>
      <c r="CXH608" s="222"/>
      <c r="CXI608" s="222"/>
      <c r="CXJ608" s="222"/>
      <c r="CXK608" s="223"/>
      <c r="CXL608" s="224"/>
      <c r="CXM608" s="222"/>
      <c r="CXN608" s="222"/>
      <c r="CXO608" s="222"/>
      <c r="CXP608" s="222"/>
      <c r="CXQ608" s="222"/>
      <c r="CXR608" s="222"/>
      <c r="CXS608" s="223"/>
      <c r="CXT608" s="224"/>
      <c r="CXU608" s="222"/>
      <c r="CXV608" s="222"/>
      <c r="CXW608" s="222"/>
      <c r="CXX608" s="222"/>
      <c r="CXY608" s="222"/>
      <c r="CXZ608" s="222"/>
      <c r="CYA608" s="223"/>
      <c r="CYB608" s="224"/>
      <c r="CYC608" s="222"/>
      <c r="CYD608" s="222"/>
      <c r="CYE608" s="222"/>
      <c r="CYF608" s="222"/>
      <c r="CYG608" s="222"/>
      <c r="CYH608" s="222"/>
      <c r="CYI608" s="223"/>
      <c r="CYJ608" s="224"/>
      <c r="CYK608" s="222"/>
      <c r="CYL608" s="222"/>
      <c r="CYM608" s="222"/>
      <c r="CYN608" s="222"/>
      <c r="CYO608" s="222"/>
      <c r="CYP608" s="222"/>
      <c r="CYQ608" s="223"/>
      <c r="CYR608" s="224"/>
      <c r="CYS608" s="222"/>
      <c r="CYT608" s="222"/>
      <c r="CYU608" s="222"/>
      <c r="CYV608" s="222"/>
      <c r="CYW608" s="222"/>
      <c r="CYX608" s="222"/>
      <c r="CYY608" s="223"/>
      <c r="CYZ608" s="224"/>
      <c r="CZA608" s="222"/>
      <c r="CZB608" s="222"/>
      <c r="CZC608" s="222"/>
      <c r="CZD608" s="222"/>
      <c r="CZE608" s="222"/>
      <c r="CZF608" s="222"/>
      <c r="CZG608" s="223"/>
      <c r="CZH608" s="224"/>
      <c r="CZI608" s="222"/>
      <c r="CZJ608" s="222"/>
      <c r="CZK608" s="222"/>
      <c r="CZL608" s="222"/>
      <c r="CZM608" s="222"/>
      <c r="CZN608" s="222"/>
      <c r="CZO608" s="223"/>
      <c r="CZP608" s="224"/>
      <c r="CZQ608" s="222"/>
      <c r="CZR608" s="222"/>
      <c r="CZS608" s="222"/>
      <c r="CZT608" s="222"/>
      <c r="CZU608" s="222"/>
      <c r="CZV608" s="222"/>
      <c r="CZW608" s="223"/>
      <c r="CZX608" s="224"/>
      <c r="CZY608" s="222"/>
      <c r="CZZ608" s="222"/>
      <c r="DAA608" s="222"/>
      <c r="DAB608" s="222"/>
      <c r="DAC608" s="222"/>
      <c r="DAD608" s="222"/>
      <c r="DAE608" s="223"/>
      <c r="DAF608" s="224"/>
      <c r="DAG608" s="222"/>
      <c r="DAH608" s="222"/>
      <c r="DAI608" s="222"/>
      <c r="DAJ608" s="222"/>
      <c r="DAK608" s="222"/>
      <c r="DAL608" s="222"/>
      <c r="DAM608" s="223"/>
      <c r="DAN608" s="224"/>
      <c r="DAO608" s="222"/>
      <c r="DAP608" s="222"/>
      <c r="DAQ608" s="222"/>
      <c r="DAR608" s="222"/>
      <c r="DAS608" s="222"/>
      <c r="DAT608" s="222"/>
      <c r="DAU608" s="223"/>
      <c r="DAV608" s="224"/>
      <c r="DAW608" s="222"/>
      <c r="DAX608" s="222"/>
      <c r="DAY608" s="222"/>
      <c r="DAZ608" s="222"/>
      <c r="DBA608" s="222"/>
      <c r="DBB608" s="222"/>
      <c r="DBC608" s="223"/>
      <c r="DBD608" s="224"/>
      <c r="DBE608" s="222"/>
      <c r="DBF608" s="222"/>
      <c r="DBG608" s="222"/>
      <c r="DBH608" s="222"/>
      <c r="DBI608" s="222"/>
      <c r="DBJ608" s="222"/>
      <c r="DBK608" s="223"/>
      <c r="DBL608" s="224"/>
      <c r="DBM608" s="222"/>
      <c r="DBN608" s="222"/>
      <c r="DBO608" s="222"/>
      <c r="DBP608" s="222"/>
      <c r="DBQ608" s="222"/>
      <c r="DBR608" s="222"/>
      <c r="DBS608" s="223"/>
      <c r="DBT608" s="224"/>
      <c r="DBU608" s="222"/>
      <c r="DBV608" s="222"/>
      <c r="DBW608" s="222"/>
      <c r="DBX608" s="222"/>
      <c r="DBY608" s="222"/>
      <c r="DBZ608" s="222"/>
      <c r="DCA608" s="223"/>
      <c r="DCB608" s="224"/>
      <c r="DCC608" s="222"/>
      <c r="DCD608" s="222"/>
      <c r="DCE608" s="222"/>
      <c r="DCF608" s="222"/>
      <c r="DCG608" s="222"/>
      <c r="DCH608" s="222"/>
      <c r="DCI608" s="223"/>
      <c r="DCJ608" s="224"/>
      <c r="DCK608" s="222"/>
      <c r="DCL608" s="222"/>
      <c r="DCM608" s="222"/>
      <c r="DCN608" s="222"/>
      <c r="DCO608" s="222"/>
      <c r="DCP608" s="222"/>
      <c r="DCQ608" s="223"/>
      <c r="DCR608" s="224"/>
      <c r="DCS608" s="222"/>
      <c r="DCT608" s="222"/>
      <c r="DCU608" s="222"/>
      <c r="DCV608" s="222"/>
      <c r="DCW608" s="222"/>
      <c r="DCX608" s="222"/>
      <c r="DCY608" s="223"/>
      <c r="DCZ608" s="224"/>
      <c r="DDA608" s="222"/>
      <c r="DDB608" s="222"/>
      <c r="DDC608" s="222"/>
      <c r="DDD608" s="222"/>
      <c r="DDE608" s="222"/>
      <c r="DDF608" s="222"/>
      <c r="DDG608" s="223"/>
      <c r="DDH608" s="224"/>
      <c r="DDI608" s="222"/>
      <c r="DDJ608" s="222"/>
      <c r="DDK608" s="222"/>
      <c r="DDL608" s="222"/>
      <c r="DDM608" s="222"/>
      <c r="DDN608" s="222"/>
      <c r="DDO608" s="223"/>
      <c r="DDP608" s="224"/>
      <c r="DDQ608" s="222"/>
      <c r="DDR608" s="222"/>
      <c r="DDS608" s="222"/>
      <c r="DDT608" s="222"/>
      <c r="DDU608" s="222"/>
      <c r="DDV608" s="222"/>
      <c r="DDW608" s="223"/>
      <c r="DDX608" s="224"/>
      <c r="DDY608" s="222"/>
      <c r="DDZ608" s="222"/>
      <c r="DEA608" s="222"/>
      <c r="DEB608" s="222"/>
      <c r="DEC608" s="222"/>
      <c r="DED608" s="222"/>
      <c r="DEE608" s="223"/>
      <c r="DEF608" s="224"/>
      <c r="DEG608" s="222"/>
      <c r="DEH608" s="222"/>
      <c r="DEI608" s="222"/>
      <c r="DEJ608" s="222"/>
      <c r="DEK608" s="222"/>
      <c r="DEL608" s="222"/>
      <c r="DEM608" s="223"/>
      <c r="DEN608" s="224"/>
      <c r="DEO608" s="222"/>
      <c r="DEP608" s="222"/>
      <c r="DEQ608" s="222"/>
      <c r="DER608" s="222"/>
      <c r="DES608" s="222"/>
      <c r="DET608" s="222"/>
      <c r="DEU608" s="223"/>
      <c r="DEV608" s="224"/>
      <c r="DEW608" s="222"/>
      <c r="DEX608" s="222"/>
      <c r="DEY608" s="222"/>
      <c r="DEZ608" s="222"/>
      <c r="DFA608" s="222"/>
      <c r="DFB608" s="222"/>
      <c r="DFC608" s="223"/>
      <c r="DFD608" s="224"/>
      <c r="DFE608" s="222"/>
      <c r="DFF608" s="222"/>
      <c r="DFG608" s="222"/>
      <c r="DFH608" s="222"/>
      <c r="DFI608" s="222"/>
      <c r="DFJ608" s="222"/>
      <c r="DFK608" s="223"/>
      <c r="DFL608" s="224"/>
      <c r="DFM608" s="222"/>
      <c r="DFN608" s="222"/>
      <c r="DFO608" s="222"/>
      <c r="DFP608" s="222"/>
      <c r="DFQ608" s="222"/>
      <c r="DFR608" s="222"/>
      <c r="DFS608" s="223"/>
      <c r="DFT608" s="224"/>
      <c r="DFU608" s="222"/>
      <c r="DFV608" s="222"/>
      <c r="DFW608" s="222"/>
      <c r="DFX608" s="222"/>
      <c r="DFY608" s="222"/>
      <c r="DFZ608" s="222"/>
      <c r="DGA608" s="223"/>
      <c r="DGB608" s="224"/>
      <c r="DGC608" s="222"/>
      <c r="DGD608" s="222"/>
      <c r="DGE608" s="222"/>
      <c r="DGF608" s="222"/>
      <c r="DGG608" s="222"/>
      <c r="DGH608" s="222"/>
      <c r="DGI608" s="223"/>
      <c r="DGJ608" s="224"/>
      <c r="DGK608" s="222"/>
      <c r="DGL608" s="222"/>
      <c r="DGM608" s="222"/>
      <c r="DGN608" s="222"/>
      <c r="DGO608" s="222"/>
      <c r="DGP608" s="222"/>
      <c r="DGQ608" s="223"/>
      <c r="DGR608" s="224"/>
      <c r="DGS608" s="222"/>
      <c r="DGT608" s="222"/>
      <c r="DGU608" s="222"/>
      <c r="DGV608" s="222"/>
      <c r="DGW608" s="222"/>
      <c r="DGX608" s="222"/>
      <c r="DGY608" s="223"/>
      <c r="DGZ608" s="224"/>
      <c r="DHA608" s="222"/>
      <c r="DHB608" s="222"/>
      <c r="DHC608" s="222"/>
      <c r="DHD608" s="222"/>
      <c r="DHE608" s="222"/>
      <c r="DHF608" s="222"/>
      <c r="DHG608" s="223"/>
      <c r="DHH608" s="224"/>
      <c r="DHI608" s="222"/>
      <c r="DHJ608" s="222"/>
      <c r="DHK608" s="222"/>
      <c r="DHL608" s="222"/>
      <c r="DHM608" s="222"/>
      <c r="DHN608" s="222"/>
      <c r="DHO608" s="223"/>
      <c r="DHP608" s="224"/>
      <c r="DHQ608" s="222"/>
      <c r="DHR608" s="222"/>
      <c r="DHS608" s="222"/>
      <c r="DHT608" s="222"/>
      <c r="DHU608" s="222"/>
      <c r="DHV608" s="222"/>
      <c r="DHW608" s="223"/>
      <c r="DHX608" s="224"/>
      <c r="DHY608" s="222"/>
      <c r="DHZ608" s="222"/>
      <c r="DIA608" s="222"/>
      <c r="DIB608" s="222"/>
      <c r="DIC608" s="222"/>
      <c r="DID608" s="222"/>
      <c r="DIE608" s="223"/>
      <c r="DIF608" s="224"/>
      <c r="DIG608" s="222"/>
      <c r="DIH608" s="222"/>
      <c r="DII608" s="222"/>
      <c r="DIJ608" s="222"/>
      <c r="DIK608" s="222"/>
      <c r="DIL608" s="222"/>
      <c r="DIM608" s="223"/>
      <c r="DIN608" s="224"/>
      <c r="DIO608" s="222"/>
      <c r="DIP608" s="222"/>
      <c r="DIQ608" s="222"/>
      <c r="DIR608" s="222"/>
      <c r="DIS608" s="222"/>
      <c r="DIT608" s="222"/>
      <c r="DIU608" s="223"/>
      <c r="DIV608" s="224"/>
      <c r="DIW608" s="222"/>
      <c r="DIX608" s="222"/>
      <c r="DIY608" s="222"/>
      <c r="DIZ608" s="222"/>
      <c r="DJA608" s="222"/>
      <c r="DJB608" s="222"/>
      <c r="DJC608" s="223"/>
      <c r="DJD608" s="224"/>
      <c r="DJE608" s="222"/>
      <c r="DJF608" s="222"/>
      <c r="DJG608" s="222"/>
      <c r="DJH608" s="222"/>
      <c r="DJI608" s="222"/>
      <c r="DJJ608" s="222"/>
      <c r="DJK608" s="223"/>
      <c r="DJL608" s="224"/>
      <c r="DJM608" s="222"/>
      <c r="DJN608" s="222"/>
      <c r="DJO608" s="222"/>
      <c r="DJP608" s="222"/>
      <c r="DJQ608" s="222"/>
      <c r="DJR608" s="222"/>
      <c r="DJS608" s="223"/>
      <c r="DJT608" s="224"/>
      <c r="DJU608" s="222"/>
      <c r="DJV608" s="222"/>
      <c r="DJW608" s="222"/>
      <c r="DJX608" s="222"/>
      <c r="DJY608" s="222"/>
      <c r="DJZ608" s="222"/>
      <c r="DKA608" s="223"/>
      <c r="DKB608" s="224"/>
      <c r="DKC608" s="222"/>
      <c r="DKD608" s="222"/>
      <c r="DKE608" s="222"/>
      <c r="DKF608" s="222"/>
      <c r="DKG608" s="222"/>
      <c r="DKH608" s="222"/>
      <c r="DKI608" s="223"/>
      <c r="DKJ608" s="224"/>
      <c r="DKK608" s="222"/>
      <c r="DKL608" s="222"/>
      <c r="DKM608" s="222"/>
      <c r="DKN608" s="222"/>
      <c r="DKO608" s="222"/>
      <c r="DKP608" s="222"/>
      <c r="DKQ608" s="223"/>
      <c r="DKR608" s="224"/>
      <c r="DKS608" s="222"/>
      <c r="DKT608" s="222"/>
      <c r="DKU608" s="222"/>
      <c r="DKV608" s="222"/>
      <c r="DKW608" s="222"/>
      <c r="DKX608" s="222"/>
      <c r="DKY608" s="223"/>
      <c r="DKZ608" s="224"/>
      <c r="DLA608" s="222"/>
      <c r="DLB608" s="222"/>
      <c r="DLC608" s="222"/>
      <c r="DLD608" s="222"/>
      <c r="DLE608" s="222"/>
      <c r="DLF608" s="222"/>
      <c r="DLG608" s="223"/>
      <c r="DLH608" s="224"/>
      <c r="DLI608" s="222"/>
      <c r="DLJ608" s="222"/>
      <c r="DLK608" s="222"/>
      <c r="DLL608" s="222"/>
      <c r="DLM608" s="222"/>
      <c r="DLN608" s="222"/>
      <c r="DLO608" s="223"/>
      <c r="DLP608" s="224"/>
      <c r="DLQ608" s="222"/>
      <c r="DLR608" s="222"/>
      <c r="DLS608" s="222"/>
      <c r="DLT608" s="222"/>
      <c r="DLU608" s="222"/>
      <c r="DLV608" s="222"/>
      <c r="DLW608" s="223"/>
      <c r="DLX608" s="224"/>
      <c r="DLY608" s="222"/>
      <c r="DLZ608" s="222"/>
      <c r="DMA608" s="222"/>
      <c r="DMB608" s="222"/>
      <c r="DMC608" s="222"/>
      <c r="DMD608" s="222"/>
      <c r="DME608" s="223"/>
      <c r="DMF608" s="224"/>
      <c r="DMG608" s="222"/>
      <c r="DMH608" s="222"/>
      <c r="DMI608" s="222"/>
      <c r="DMJ608" s="222"/>
      <c r="DMK608" s="222"/>
      <c r="DML608" s="222"/>
      <c r="DMM608" s="223"/>
      <c r="DMN608" s="224"/>
      <c r="DMO608" s="222"/>
      <c r="DMP608" s="222"/>
      <c r="DMQ608" s="222"/>
      <c r="DMR608" s="222"/>
      <c r="DMS608" s="222"/>
      <c r="DMT608" s="222"/>
      <c r="DMU608" s="223"/>
      <c r="DMV608" s="224"/>
      <c r="DMW608" s="222"/>
      <c r="DMX608" s="222"/>
      <c r="DMY608" s="222"/>
      <c r="DMZ608" s="222"/>
      <c r="DNA608" s="222"/>
      <c r="DNB608" s="222"/>
      <c r="DNC608" s="223"/>
      <c r="DND608" s="224"/>
      <c r="DNE608" s="222"/>
      <c r="DNF608" s="222"/>
      <c r="DNG608" s="222"/>
      <c r="DNH608" s="222"/>
      <c r="DNI608" s="222"/>
      <c r="DNJ608" s="222"/>
      <c r="DNK608" s="223"/>
      <c r="DNL608" s="224"/>
      <c r="DNM608" s="222"/>
      <c r="DNN608" s="222"/>
      <c r="DNO608" s="222"/>
      <c r="DNP608" s="222"/>
      <c r="DNQ608" s="222"/>
      <c r="DNR608" s="222"/>
      <c r="DNS608" s="223"/>
      <c r="DNT608" s="224"/>
      <c r="DNU608" s="222"/>
      <c r="DNV608" s="222"/>
      <c r="DNW608" s="222"/>
      <c r="DNX608" s="222"/>
      <c r="DNY608" s="222"/>
      <c r="DNZ608" s="222"/>
      <c r="DOA608" s="223"/>
      <c r="DOB608" s="224"/>
      <c r="DOC608" s="222"/>
      <c r="DOD608" s="222"/>
      <c r="DOE608" s="222"/>
      <c r="DOF608" s="222"/>
      <c r="DOG608" s="222"/>
      <c r="DOH608" s="222"/>
      <c r="DOI608" s="223"/>
      <c r="DOJ608" s="224"/>
      <c r="DOK608" s="222"/>
      <c r="DOL608" s="222"/>
      <c r="DOM608" s="222"/>
      <c r="DON608" s="222"/>
      <c r="DOO608" s="222"/>
      <c r="DOP608" s="222"/>
      <c r="DOQ608" s="223"/>
      <c r="DOR608" s="224"/>
      <c r="DOS608" s="222"/>
      <c r="DOT608" s="222"/>
      <c r="DOU608" s="222"/>
      <c r="DOV608" s="222"/>
      <c r="DOW608" s="222"/>
      <c r="DOX608" s="222"/>
      <c r="DOY608" s="223"/>
      <c r="DOZ608" s="224"/>
      <c r="DPA608" s="222"/>
      <c r="DPB608" s="222"/>
      <c r="DPC608" s="222"/>
      <c r="DPD608" s="222"/>
      <c r="DPE608" s="222"/>
      <c r="DPF608" s="222"/>
      <c r="DPG608" s="223"/>
      <c r="DPH608" s="224"/>
      <c r="DPI608" s="222"/>
      <c r="DPJ608" s="222"/>
      <c r="DPK608" s="222"/>
      <c r="DPL608" s="222"/>
      <c r="DPM608" s="222"/>
      <c r="DPN608" s="222"/>
      <c r="DPO608" s="223"/>
      <c r="DPP608" s="224"/>
      <c r="DPQ608" s="222"/>
      <c r="DPR608" s="222"/>
      <c r="DPS608" s="222"/>
      <c r="DPT608" s="222"/>
      <c r="DPU608" s="222"/>
      <c r="DPV608" s="222"/>
      <c r="DPW608" s="223"/>
      <c r="DPX608" s="224"/>
      <c r="DPY608" s="222"/>
      <c r="DPZ608" s="222"/>
      <c r="DQA608" s="222"/>
      <c r="DQB608" s="222"/>
      <c r="DQC608" s="222"/>
      <c r="DQD608" s="222"/>
      <c r="DQE608" s="223"/>
      <c r="DQF608" s="224"/>
      <c r="DQG608" s="222"/>
      <c r="DQH608" s="222"/>
      <c r="DQI608" s="222"/>
      <c r="DQJ608" s="222"/>
      <c r="DQK608" s="222"/>
      <c r="DQL608" s="222"/>
      <c r="DQM608" s="223"/>
      <c r="DQN608" s="224"/>
      <c r="DQO608" s="222"/>
      <c r="DQP608" s="222"/>
      <c r="DQQ608" s="222"/>
      <c r="DQR608" s="222"/>
      <c r="DQS608" s="222"/>
      <c r="DQT608" s="222"/>
      <c r="DQU608" s="223"/>
      <c r="DQV608" s="224"/>
      <c r="DQW608" s="222"/>
      <c r="DQX608" s="222"/>
      <c r="DQY608" s="222"/>
      <c r="DQZ608" s="222"/>
      <c r="DRA608" s="222"/>
      <c r="DRB608" s="222"/>
      <c r="DRC608" s="223"/>
      <c r="DRD608" s="224"/>
      <c r="DRE608" s="222"/>
      <c r="DRF608" s="222"/>
      <c r="DRG608" s="222"/>
      <c r="DRH608" s="222"/>
      <c r="DRI608" s="222"/>
      <c r="DRJ608" s="222"/>
      <c r="DRK608" s="223"/>
      <c r="DRL608" s="224"/>
      <c r="DRM608" s="222"/>
      <c r="DRN608" s="222"/>
      <c r="DRO608" s="222"/>
      <c r="DRP608" s="222"/>
      <c r="DRQ608" s="222"/>
      <c r="DRR608" s="222"/>
      <c r="DRS608" s="223"/>
      <c r="DRT608" s="224"/>
      <c r="DRU608" s="222"/>
      <c r="DRV608" s="222"/>
      <c r="DRW608" s="222"/>
      <c r="DRX608" s="222"/>
      <c r="DRY608" s="222"/>
      <c r="DRZ608" s="222"/>
      <c r="DSA608" s="223"/>
      <c r="DSB608" s="224"/>
      <c r="DSC608" s="222"/>
      <c r="DSD608" s="222"/>
      <c r="DSE608" s="222"/>
      <c r="DSF608" s="222"/>
      <c r="DSG608" s="222"/>
      <c r="DSH608" s="222"/>
      <c r="DSI608" s="223"/>
      <c r="DSJ608" s="224"/>
      <c r="DSK608" s="222"/>
      <c r="DSL608" s="222"/>
      <c r="DSM608" s="222"/>
      <c r="DSN608" s="222"/>
      <c r="DSO608" s="222"/>
      <c r="DSP608" s="222"/>
      <c r="DSQ608" s="223"/>
      <c r="DSR608" s="224"/>
      <c r="DSS608" s="222"/>
      <c r="DST608" s="222"/>
      <c r="DSU608" s="222"/>
      <c r="DSV608" s="222"/>
      <c r="DSW608" s="222"/>
      <c r="DSX608" s="222"/>
      <c r="DSY608" s="223"/>
      <c r="DSZ608" s="224"/>
      <c r="DTA608" s="222"/>
      <c r="DTB608" s="222"/>
      <c r="DTC608" s="222"/>
      <c r="DTD608" s="222"/>
      <c r="DTE608" s="222"/>
      <c r="DTF608" s="222"/>
      <c r="DTG608" s="223"/>
      <c r="DTH608" s="224"/>
      <c r="DTI608" s="222"/>
      <c r="DTJ608" s="222"/>
      <c r="DTK608" s="222"/>
      <c r="DTL608" s="222"/>
      <c r="DTM608" s="222"/>
      <c r="DTN608" s="222"/>
      <c r="DTO608" s="223"/>
      <c r="DTP608" s="224"/>
      <c r="DTQ608" s="222"/>
      <c r="DTR608" s="222"/>
      <c r="DTS608" s="222"/>
      <c r="DTT608" s="222"/>
      <c r="DTU608" s="222"/>
      <c r="DTV608" s="222"/>
      <c r="DTW608" s="223"/>
      <c r="DTX608" s="224"/>
      <c r="DTY608" s="222"/>
      <c r="DTZ608" s="222"/>
      <c r="DUA608" s="222"/>
      <c r="DUB608" s="222"/>
      <c r="DUC608" s="222"/>
      <c r="DUD608" s="222"/>
      <c r="DUE608" s="223"/>
      <c r="DUF608" s="224"/>
      <c r="DUG608" s="222"/>
      <c r="DUH608" s="222"/>
      <c r="DUI608" s="222"/>
      <c r="DUJ608" s="222"/>
      <c r="DUK608" s="222"/>
      <c r="DUL608" s="222"/>
      <c r="DUM608" s="223"/>
      <c r="DUN608" s="224"/>
      <c r="DUO608" s="222"/>
      <c r="DUP608" s="222"/>
      <c r="DUQ608" s="222"/>
      <c r="DUR608" s="222"/>
      <c r="DUS608" s="222"/>
      <c r="DUT608" s="222"/>
      <c r="DUU608" s="223"/>
      <c r="DUV608" s="224"/>
      <c r="DUW608" s="222"/>
      <c r="DUX608" s="222"/>
      <c r="DUY608" s="222"/>
      <c r="DUZ608" s="222"/>
      <c r="DVA608" s="222"/>
      <c r="DVB608" s="222"/>
      <c r="DVC608" s="223"/>
      <c r="DVD608" s="224"/>
      <c r="DVE608" s="222"/>
      <c r="DVF608" s="222"/>
      <c r="DVG608" s="222"/>
      <c r="DVH608" s="222"/>
      <c r="DVI608" s="222"/>
      <c r="DVJ608" s="222"/>
      <c r="DVK608" s="223"/>
      <c r="DVL608" s="224"/>
      <c r="DVM608" s="222"/>
      <c r="DVN608" s="222"/>
      <c r="DVO608" s="222"/>
      <c r="DVP608" s="222"/>
      <c r="DVQ608" s="222"/>
      <c r="DVR608" s="222"/>
      <c r="DVS608" s="223"/>
      <c r="DVT608" s="224"/>
      <c r="DVU608" s="222"/>
      <c r="DVV608" s="222"/>
      <c r="DVW608" s="222"/>
      <c r="DVX608" s="222"/>
      <c r="DVY608" s="222"/>
      <c r="DVZ608" s="222"/>
      <c r="DWA608" s="223"/>
      <c r="DWB608" s="224"/>
      <c r="DWC608" s="222"/>
      <c r="DWD608" s="222"/>
      <c r="DWE608" s="222"/>
      <c r="DWF608" s="222"/>
      <c r="DWG608" s="222"/>
      <c r="DWH608" s="222"/>
      <c r="DWI608" s="223"/>
      <c r="DWJ608" s="224"/>
      <c r="DWK608" s="222"/>
      <c r="DWL608" s="222"/>
      <c r="DWM608" s="222"/>
      <c r="DWN608" s="222"/>
      <c r="DWO608" s="222"/>
      <c r="DWP608" s="222"/>
      <c r="DWQ608" s="223"/>
      <c r="DWR608" s="224"/>
      <c r="DWS608" s="222"/>
      <c r="DWT608" s="222"/>
      <c r="DWU608" s="222"/>
      <c r="DWV608" s="222"/>
      <c r="DWW608" s="222"/>
      <c r="DWX608" s="222"/>
      <c r="DWY608" s="223"/>
      <c r="DWZ608" s="224"/>
      <c r="DXA608" s="222"/>
      <c r="DXB608" s="222"/>
      <c r="DXC608" s="222"/>
      <c r="DXD608" s="222"/>
      <c r="DXE608" s="222"/>
      <c r="DXF608" s="222"/>
      <c r="DXG608" s="223"/>
      <c r="DXH608" s="224"/>
      <c r="DXI608" s="222"/>
      <c r="DXJ608" s="222"/>
      <c r="DXK608" s="222"/>
      <c r="DXL608" s="222"/>
      <c r="DXM608" s="222"/>
      <c r="DXN608" s="222"/>
      <c r="DXO608" s="223"/>
      <c r="DXP608" s="224"/>
      <c r="DXQ608" s="222"/>
      <c r="DXR608" s="222"/>
      <c r="DXS608" s="222"/>
      <c r="DXT608" s="222"/>
      <c r="DXU608" s="222"/>
      <c r="DXV608" s="222"/>
      <c r="DXW608" s="223"/>
      <c r="DXX608" s="224"/>
      <c r="DXY608" s="222"/>
      <c r="DXZ608" s="222"/>
      <c r="DYA608" s="222"/>
      <c r="DYB608" s="222"/>
      <c r="DYC608" s="222"/>
      <c r="DYD608" s="222"/>
      <c r="DYE608" s="223"/>
      <c r="DYF608" s="224"/>
      <c r="DYG608" s="222"/>
      <c r="DYH608" s="222"/>
      <c r="DYI608" s="222"/>
      <c r="DYJ608" s="222"/>
      <c r="DYK608" s="222"/>
      <c r="DYL608" s="222"/>
      <c r="DYM608" s="223"/>
      <c r="DYN608" s="224"/>
      <c r="DYO608" s="222"/>
      <c r="DYP608" s="222"/>
      <c r="DYQ608" s="222"/>
      <c r="DYR608" s="222"/>
      <c r="DYS608" s="222"/>
      <c r="DYT608" s="222"/>
      <c r="DYU608" s="223"/>
      <c r="DYV608" s="224"/>
      <c r="DYW608" s="222"/>
      <c r="DYX608" s="222"/>
      <c r="DYY608" s="222"/>
      <c r="DYZ608" s="222"/>
      <c r="DZA608" s="222"/>
      <c r="DZB608" s="222"/>
      <c r="DZC608" s="223"/>
      <c r="DZD608" s="224"/>
      <c r="DZE608" s="222"/>
      <c r="DZF608" s="222"/>
      <c r="DZG608" s="222"/>
      <c r="DZH608" s="222"/>
      <c r="DZI608" s="222"/>
      <c r="DZJ608" s="222"/>
      <c r="DZK608" s="223"/>
      <c r="DZL608" s="224"/>
      <c r="DZM608" s="222"/>
      <c r="DZN608" s="222"/>
      <c r="DZO608" s="222"/>
      <c r="DZP608" s="222"/>
      <c r="DZQ608" s="222"/>
      <c r="DZR608" s="222"/>
      <c r="DZS608" s="223"/>
      <c r="DZT608" s="224"/>
      <c r="DZU608" s="222"/>
      <c r="DZV608" s="222"/>
      <c r="DZW608" s="222"/>
      <c r="DZX608" s="222"/>
      <c r="DZY608" s="222"/>
      <c r="DZZ608" s="222"/>
      <c r="EAA608" s="223"/>
      <c r="EAB608" s="224"/>
      <c r="EAC608" s="222"/>
      <c r="EAD608" s="222"/>
      <c r="EAE608" s="222"/>
      <c r="EAF608" s="222"/>
      <c r="EAG608" s="222"/>
      <c r="EAH608" s="222"/>
      <c r="EAI608" s="223"/>
      <c r="EAJ608" s="224"/>
      <c r="EAK608" s="222"/>
      <c r="EAL608" s="222"/>
      <c r="EAM608" s="222"/>
      <c r="EAN608" s="222"/>
      <c r="EAO608" s="222"/>
      <c r="EAP608" s="222"/>
      <c r="EAQ608" s="223"/>
      <c r="EAR608" s="224"/>
      <c r="EAS608" s="222"/>
      <c r="EAT608" s="222"/>
      <c r="EAU608" s="222"/>
      <c r="EAV608" s="222"/>
      <c r="EAW608" s="222"/>
      <c r="EAX608" s="222"/>
      <c r="EAY608" s="223"/>
      <c r="EAZ608" s="224"/>
      <c r="EBA608" s="222"/>
      <c r="EBB608" s="222"/>
      <c r="EBC608" s="222"/>
      <c r="EBD608" s="222"/>
      <c r="EBE608" s="222"/>
      <c r="EBF608" s="222"/>
      <c r="EBG608" s="223"/>
      <c r="EBH608" s="224"/>
      <c r="EBI608" s="222"/>
      <c r="EBJ608" s="222"/>
      <c r="EBK608" s="222"/>
      <c r="EBL608" s="222"/>
      <c r="EBM608" s="222"/>
      <c r="EBN608" s="222"/>
      <c r="EBO608" s="223"/>
      <c r="EBP608" s="224"/>
      <c r="EBQ608" s="222"/>
      <c r="EBR608" s="222"/>
      <c r="EBS608" s="222"/>
      <c r="EBT608" s="222"/>
      <c r="EBU608" s="222"/>
      <c r="EBV608" s="222"/>
      <c r="EBW608" s="223"/>
      <c r="EBX608" s="224"/>
      <c r="EBY608" s="222"/>
      <c r="EBZ608" s="222"/>
      <c r="ECA608" s="222"/>
      <c r="ECB608" s="222"/>
      <c r="ECC608" s="222"/>
      <c r="ECD608" s="222"/>
      <c r="ECE608" s="223"/>
      <c r="ECF608" s="224"/>
      <c r="ECG608" s="222"/>
      <c r="ECH608" s="222"/>
      <c r="ECI608" s="222"/>
      <c r="ECJ608" s="222"/>
      <c r="ECK608" s="222"/>
      <c r="ECL608" s="222"/>
      <c r="ECM608" s="223"/>
      <c r="ECN608" s="224"/>
      <c r="ECO608" s="222"/>
      <c r="ECP608" s="222"/>
      <c r="ECQ608" s="222"/>
      <c r="ECR608" s="222"/>
      <c r="ECS608" s="222"/>
      <c r="ECT608" s="222"/>
      <c r="ECU608" s="223"/>
      <c r="ECV608" s="224"/>
      <c r="ECW608" s="222"/>
      <c r="ECX608" s="222"/>
      <c r="ECY608" s="222"/>
      <c r="ECZ608" s="222"/>
      <c r="EDA608" s="222"/>
      <c r="EDB608" s="222"/>
      <c r="EDC608" s="223"/>
      <c r="EDD608" s="224"/>
      <c r="EDE608" s="222"/>
      <c r="EDF608" s="222"/>
      <c r="EDG608" s="222"/>
      <c r="EDH608" s="222"/>
      <c r="EDI608" s="222"/>
      <c r="EDJ608" s="222"/>
      <c r="EDK608" s="223"/>
      <c r="EDL608" s="224"/>
      <c r="EDM608" s="222"/>
      <c r="EDN608" s="222"/>
      <c r="EDO608" s="222"/>
      <c r="EDP608" s="222"/>
      <c r="EDQ608" s="222"/>
      <c r="EDR608" s="222"/>
      <c r="EDS608" s="223"/>
      <c r="EDT608" s="224"/>
      <c r="EDU608" s="222"/>
      <c r="EDV608" s="222"/>
      <c r="EDW608" s="222"/>
      <c r="EDX608" s="222"/>
      <c r="EDY608" s="222"/>
      <c r="EDZ608" s="222"/>
      <c r="EEA608" s="223"/>
      <c r="EEB608" s="224"/>
      <c r="EEC608" s="222"/>
      <c r="EED608" s="222"/>
      <c r="EEE608" s="222"/>
      <c r="EEF608" s="222"/>
      <c r="EEG608" s="222"/>
      <c r="EEH608" s="222"/>
      <c r="EEI608" s="223"/>
      <c r="EEJ608" s="224"/>
      <c r="EEK608" s="222"/>
      <c r="EEL608" s="222"/>
      <c r="EEM608" s="222"/>
      <c r="EEN608" s="222"/>
      <c r="EEO608" s="222"/>
      <c r="EEP608" s="222"/>
      <c r="EEQ608" s="223"/>
      <c r="EER608" s="224"/>
      <c r="EES608" s="222"/>
      <c r="EET608" s="222"/>
      <c r="EEU608" s="222"/>
      <c r="EEV608" s="222"/>
      <c r="EEW608" s="222"/>
      <c r="EEX608" s="222"/>
      <c r="EEY608" s="223"/>
      <c r="EEZ608" s="224"/>
      <c r="EFA608" s="222"/>
      <c r="EFB608" s="222"/>
      <c r="EFC608" s="222"/>
      <c r="EFD608" s="222"/>
      <c r="EFE608" s="222"/>
      <c r="EFF608" s="222"/>
      <c r="EFG608" s="223"/>
      <c r="EFH608" s="224"/>
      <c r="EFI608" s="222"/>
      <c r="EFJ608" s="222"/>
      <c r="EFK608" s="222"/>
      <c r="EFL608" s="222"/>
      <c r="EFM608" s="222"/>
      <c r="EFN608" s="222"/>
      <c r="EFO608" s="223"/>
      <c r="EFP608" s="224"/>
      <c r="EFQ608" s="222"/>
      <c r="EFR608" s="222"/>
      <c r="EFS608" s="222"/>
      <c r="EFT608" s="222"/>
      <c r="EFU608" s="222"/>
      <c r="EFV608" s="222"/>
      <c r="EFW608" s="223"/>
      <c r="EFX608" s="224"/>
      <c r="EFY608" s="222"/>
      <c r="EFZ608" s="222"/>
      <c r="EGA608" s="222"/>
      <c r="EGB608" s="222"/>
      <c r="EGC608" s="222"/>
      <c r="EGD608" s="222"/>
      <c r="EGE608" s="223"/>
      <c r="EGF608" s="224"/>
      <c r="EGG608" s="222"/>
      <c r="EGH608" s="222"/>
      <c r="EGI608" s="222"/>
      <c r="EGJ608" s="222"/>
      <c r="EGK608" s="222"/>
      <c r="EGL608" s="222"/>
      <c r="EGM608" s="223"/>
      <c r="EGN608" s="224"/>
      <c r="EGO608" s="222"/>
      <c r="EGP608" s="222"/>
      <c r="EGQ608" s="222"/>
      <c r="EGR608" s="222"/>
      <c r="EGS608" s="222"/>
      <c r="EGT608" s="222"/>
      <c r="EGU608" s="223"/>
      <c r="EGV608" s="224"/>
      <c r="EGW608" s="222"/>
      <c r="EGX608" s="222"/>
      <c r="EGY608" s="222"/>
      <c r="EGZ608" s="222"/>
      <c r="EHA608" s="222"/>
      <c r="EHB608" s="222"/>
      <c r="EHC608" s="223"/>
      <c r="EHD608" s="224"/>
      <c r="EHE608" s="222"/>
      <c r="EHF608" s="222"/>
      <c r="EHG608" s="222"/>
      <c r="EHH608" s="222"/>
      <c r="EHI608" s="222"/>
      <c r="EHJ608" s="222"/>
      <c r="EHK608" s="223"/>
      <c r="EHL608" s="224"/>
      <c r="EHM608" s="222"/>
      <c r="EHN608" s="222"/>
      <c r="EHO608" s="222"/>
      <c r="EHP608" s="222"/>
      <c r="EHQ608" s="222"/>
      <c r="EHR608" s="222"/>
      <c r="EHS608" s="223"/>
      <c r="EHT608" s="224"/>
      <c r="EHU608" s="222"/>
      <c r="EHV608" s="222"/>
      <c r="EHW608" s="222"/>
      <c r="EHX608" s="222"/>
      <c r="EHY608" s="222"/>
      <c r="EHZ608" s="222"/>
      <c r="EIA608" s="223"/>
      <c r="EIB608" s="224"/>
      <c r="EIC608" s="222"/>
      <c r="EID608" s="222"/>
      <c r="EIE608" s="222"/>
      <c r="EIF608" s="222"/>
      <c r="EIG608" s="222"/>
      <c r="EIH608" s="222"/>
      <c r="EII608" s="223"/>
      <c r="EIJ608" s="224"/>
      <c r="EIK608" s="222"/>
      <c r="EIL608" s="222"/>
      <c r="EIM608" s="222"/>
      <c r="EIN608" s="222"/>
      <c r="EIO608" s="222"/>
      <c r="EIP608" s="222"/>
      <c r="EIQ608" s="223"/>
      <c r="EIR608" s="224"/>
      <c r="EIS608" s="222"/>
      <c r="EIT608" s="222"/>
      <c r="EIU608" s="222"/>
      <c r="EIV608" s="222"/>
      <c r="EIW608" s="222"/>
      <c r="EIX608" s="222"/>
      <c r="EIY608" s="223"/>
      <c r="EIZ608" s="224"/>
      <c r="EJA608" s="222"/>
      <c r="EJB608" s="222"/>
      <c r="EJC608" s="222"/>
      <c r="EJD608" s="222"/>
      <c r="EJE608" s="222"/>
      <c r="EJF608" s="222"/>
      <c r="EJG608" s="223"/>
      <c r="EJH608" s="224"/>
      <c r="EJI608" s="222"/>
      <c r="EJJ608" s="222"/>
      <c r="EJK608" s="222"/>
      <c r="EJL608" s="222"/>
      <c r="EJM608" s="222"/>
      <c r="EJN608" s="222"/>
      <c r="EJO608" s="223"/>
      <c r="EJP608" s="224"/>
      <c r="EJQ608" s="222"/>
      <c r="EJR608" s="222"/>
      <c r="EJS608" s="222"/>
      <c r="EJT608" s="222"/>
      <c r="EJU608" s="222"/>
      <c r="EJV608" s="222"/>
      <c r="EJW608" s="223"/>
      <c r="EJX608" s="224"/>
      <c r="EJY608" s="222"/>
      <c r="EJZ608" s="222"/>
      <c r="EKA608" s="222"/>
      <c r="EKB608" s="222"/>
      <c r="EKC608" s="222"/>
      <c r="EKD608" s="222"/>
      <c r="EKE608" s="223"/>
      <c r="EKF608" s="224"/>
      <c r="EKG608" s="222"/>
      <c r="EKH608" s="222"/>
      <c r="EKI608" s="222"/>
      <c r="EKJ608" s="222"/>
      <c r="EKK608" s="222"/>
      <c r="EKL608" s="222"/>
      <c r="EKM608" s="223"/>
      <c r="EKN608" s="224"/>
      <c r="EKO608" s="222"/>
      <c r="EKP608" s="222"/>
      <c r="EKQ608" s="222"/>
      <c r="EKR608" s="222"/>
      <c r="EKS608" s="222"/>
      <c r="EKT608" s="222"/>
      <c r="EKU608" s="223"/>
      <c r="EKV608" s="224"/>
      <c r="EKW608" s="222"/>
      <c r="EKX608" s="222"/>
      <c r="EKY608" s="222"/>
      <c r="EKZ608" s="222"/>
      <c r="ELA608" s="222"/>
      <c r="ELB608" s="222"/>
      <c r="ELC608" s="223"/>
      <c r="ELD608" s="224"/>
      <c r="ELE608" s="222"/>
      <c r="ELF608" s="222"/>
      <c r="ELG608" s="222"/>
      <c r="ELH608" s="222"/>
      <c r="ELI608" s="222"/>
      <c r="ELJ608" s="222"/>
      <c r="ELK608" s="223"/>
      <c r="ELL608" s="224"/>
      <c r="ELM608" s="222"/>
      <c r="ELN608" s="222"/>
      <c r="ELO608" s="222"/>
      <c r="ELP608" s="222"/>
      <c r="ELQ608" s="222"/>
      <c r="ELR608" s="222"/>
      <c r="ELS608" s="223"/>
      <c r="ELT608" s="224"/>
      <c r="ELU608" s="222"/>
      <c r="ELV608" s="222"/>
      <c r="ELW608" s="222"/>
      <c r="ELX608" s="222"/>
      <c r="ELY608" s="222"/>
      <c r="ELZ608" s="222"/>
      <c r="EMA608" s="223"/>
      <c r="EMB608" s="224"/>
      <c r="EMC608" s="222"/>
      <c r="EMD608" s="222"/>
      <c r="EME608" s="222"/>
      <c r="EMF608" s="222"/>
      <c r="EMG608" s="222"/>
      <c r="EMH608" s="222"/>
      <c r="EMI608" s="223"/>
      <c r="EMJ608" s="224"/>
      <c r="EMK608" s="222"/>
      <c r="EML608" s="222"/>
      <c r="EMM608" s="222"/>
      <c r="EMN608" s="222"/>
      <c r="EMO608" s="222"/>
      <c r="EMP608" s="222"/>
      <c r="EMQ608" s="223"/>
      <c r="EMR608" s="224"/>
      <c r="EMS608" s="222"/>
      <c r="EMT608" s="222"/>
      <c r="EMU608" s="222"/>
      <c r="EMV608" s="222"/>
      <c r="EMW608" s="222"/>
      <c r="EMX608" s="222"/>
      <c r="EMY608" s="223"/>
      <c r="EMZ608" s="224"/>
      <c r="ENA608" s="222"/>
      <c r="ENB608" s="222"/>
      <c r="ENC608" s="222"/>
      <c r="END608" s="222"/>
      <c r="ENE608" s="222"/>
      <c r="ENF608" s="222"/>
      <c r="ENG608" s="223"/>
      <c r="ENH608" s="224"/>
      <c r="ENI608" s="222"/>
      <c r="ENJ608" s="222"/>
      <c r="ENK608" s="222"/>
      <c r="ENL608" s="222"/>
      <c r="ENM608" s="222"/>
      <c r="ENN608" s="222"/>
      <c r="ENO608" s="223"/>
      <c r="ENP608" s="224"/>
      <c r="ENQ608" s="222"/>
      <c r="ENR608" s="222"/>
      <c r="ENS608" s="222"/>
      <c r="ENT608" s="222"/>
      <c r="ENU608" s="222"/>
      <c r="ENV608" s="222"/>
      <c r="ENW608" s="223"/>
      <c r="ENX608" s="224"/>
      <c r="ENY608" s="222"/>
      <c r="ENZ608" s="222"/>
      <c r="EOA608" s="222"/>
      <c r="EOB608" s="222"/>
      <c r="EOC608" s="222"/>
      <c r="EOD608" s="222"/>
      <c r="EOE608" s="223"/>
      <c r="EOF608" s="224"/>
      <c r="EOG608" s="222"/>
      <c r="EOH608" s="222"/>
      <c r="EOI608" s="222"/>
      <c r="EOJ608" s="222"/>
      <c r="EOK608" s="222"/>
      <c r="EOL608" s="222"/>
      <c r="EOM608" s="223"/>
      <c r="EON608" s="224"/>
      <c r="EOO608" s="222"/>
      <c r="EOP608" s="222"/>
      <c r="EOQ608" s="222"/>
      <c r="EOR608" s="222"/>
      <c r="EOS608" s="222"/>
      <c r="EOT608" s="222"/>
      <c r="EOU608" s="223"/>
      <c r="EOV608" s="224"/>
      <c r="EOW608" s="222"/>
      <c r="EOX608" s="222"/>
      <c r="EOY608" s="222"/>
      <c r="EOZ608" s="222"/>
      <c r="EPA608" s="222"/>
      <c r="EPB608" s="222"/>
      <c r="EPC608" s="223"/>
      <c r="EPD608" s="224"/>
      <c r="EPE608" s="222"/>
      <c r="EPF608" s="222"/>
      <c r="EPG608" s="222"/>
      <c r="EPH608" s="222"/>
      <c r="EPI608" s="222"/>
      <c r="EPJ608" s="222"/>
      <c r="EPK608" s="223"/>
      <c r="EPL608" s="224"/>
      <c r="EPM608" s="222"/>
      <c r="EPN608" s="222"/>
      <c r="EPO608" s="222"/>
      <c r="EPP608" s="222"/>
      <c r="EPQ608" s="222"/>
      <c r="EPR608" s="222"/>
      <c r="EPS608" s="223"/>
      <c r="EPT608" s="224"/>
      <c r="EPU608" s="222"/>
      <c r="EPV608" s="222"/>
      <c r="EPW608" s="222"/>
      <c r="EPX608" s="222"/>
      <c r="EPY608" s="222"/>
      <c r="EPZ608" s="222"/>
      <c r="EQA608" s="223"/>
      <c r="EQB608" s="224"/>
      <c r="EQC608" s="222"/>
      <c r="EQD608" s="222"/>
      <c r="EQE608" s="222"/>
      <c r="EQF608" s="222"/>
      <c r="EQG608" s="222"/>
      <c r="EQH608" s="222"/>
      <c r="EQI608" s="223"/>
      <c r="EQJ608" s="224"/>
      <c r="EQK608" s="222"/>
      <c r="EQL608" s="222"/>
      <c r="EQM608" s="222"/>
      <c r="EQN608" s="222"/>
      <c r="EQO608" s="222"/>
      <c r="EQP608" s="222"/>
      <c r="EQQ608" s="223"/>
      <c r="EQR608" s="224"/>
      <c r="EQS608" s="222"/>
      <c r="EQT608" s="222"/>
      <c r="EQU608" s="222"/>
      <c r="EQV608" s="222"/>
      <c r="EQW608" s="222"/>
      <c r="EQX608" s="222"/>
      <c r="EQY608" s="223"/>
      <c r="EQZ608" s="224"/>
      <c r="ERA608" s="222"/>
      <c r="ERB608" s="222"/>
      <c r="ERC608" s="222"/>
      <c r="ERD608" s="222"/>
      <c r="ERE608" s="222"/>
      <c r="ERF608" s="222"/>
      <c r="ERG608" s="223"/>
      <c r="ERH608" s="224"/>
      <c r="ERI608" s="222"/>
      <c r="ERJ608" s="222"/>
      <c r="ERK608" s="222"/>
      <c r="ERL608" s="222"/>
      <c r="ERM608" s="222"/>
      <c r="ERN608" s="222"/>
      <c r="ERO608" s="223"/>
      <c r="ERP608" s="224"/>
      <c r="ERQ608" s="222"/>
      <c r="ERR608" s="222"/>
      <c r="ERS608" s="222"/>
      <c r="ERT608" s="222"/>
      <c r="ERU608" s="222"/>
      <c r="ERV608" s="222"/>
      <c r="ERW608" s="223"/>
      <c r="ERX608" s="224"/>
      <c r="ERY608" s="222"/>
      <c r="ERZ608" s="222"/>
      <c r="ESA608" s="222"/>
      <c r="ESB608" s="222"/>
      <c r="ESC608" s="222"/>
      <c r="ESD608" s="222"/>
      <c r="ESE608" s="223"/>
      <c r="ESF608" s="224"/>
      <c r="ESG608" s="222"/>
      <c r="ESH608" s="222"/>
      <c r="ESI608" s="222"/>
      <c r="ESJ608" s="222"/>
      <c r="ESK608" s="222"/>
      <c r="ESL608" s="222"/>
      <c r="ESM608" s="223"/>
      <c r="ESN608" s="224"/>
      <c r="ESO608" s="222"/>
      <c r="ESP608" s="222"/>
      <c r="ESQ608" s="222"/>
      <c r="ESR608" s="222"/>
      <c r="ESS608" s="222"/>
      <c r="EST608" s="222"/>
      <c r="ESU608" s="223"/>
      <c r="ESV608" s="224"/>
      <c r="ESW608" s="222"/>
      <c r="ESX608" s="222"/>
      <c r="ESY608" s="222"/>
      <c r="ESZ608" s="222"/>
      <c r="ETA608" s="222"/>
      <c r="ETB608" s="222"/>
      <c r="ETC608" s="223"/>
      <c r="ETD608" s="224"/>
      <c r="ETE608" s="222"/>
      <c r="ETF608" s="222"/>
      <c r="ETG608" s="222"/>
      <c r="ETH608" s="222"/>
      <c r="ETI608" s="222"/>
      <c r="ETJ608" s="222"/>
      <c r="ETK608" s="223"/>
      <c r="ETL608" s="224"/>
      <c r="ETM608" s="222"/>
      <c r="ETN608" s="222"/>
      <c r="ETO608" s="222"/>
      <c r="ETP608" s="222"/>
      <c r="ETQ608" s="222"/>
      <c r="ETR608" s="222"/>
      <c r="ETS608" s="223"/>
      <c r="ETT608" s="224"/>
      <c r="ETU608" s="222"/>
      <c r="ETV608" s="222"/>
      <c r="ETW608" s="222"/>
      <c r="ETX608" s="222"/>
      <c r="ETY608" s="222"/>
      <c r="ETZ608" s="222"/>
      <c r="EUA608" s="223"/>
      <c r="EUB608" s="224"/>
      <c r="EUC608" s="222"/>
      <c r="EUD608" s="222"/>
      <c r="EUE608" s="222"/>
      <c r="EUF608" s="222"/>
      <c r="EUG608" s="222"/>
      <c r="EUH608" s="222"/>
      <c r="EUI608" s="223"/>
      <c r="EUJ608" s="224"/>
      <c r="EUK608" s="222"/>
      <c r="EUL608" s="222"/>
      <c r="EUM608" s="222"/>
      <c r="EUN608" s="222"/>
      <c r="EUO608" s="222"/>
      <c r="EUP608" s="222"/>
      <c r="EUQ608" s="223"/>
      <c r="EUR608" s="224"/>
      <c r="EUS608" s="222"/>
      <c r="EUT608" s="222"/>
      <c r="EUU608" s="222"/>
      <c r="EUV608" s="222"/>
      <c r="EUW608" s="222"/>
      <c r="EUX608" s="222"/>
      <c r="EUY608" s="223"/>
      <c r="EUZ608" s="224"/>
      <c r="EVA608" s="222"/>
      <c r="EVB608" s="222"/>
      <c r="EVC608" s="222"/>
      <c r="EVD608" s="222"/>
      <c r="EVE608" s="222"/>
      <c r="EVF608" s="222"/>
      <c r="EVG608" s="223"/>
      <c r="EVH608" s="224"/>
      <c r="EVI608" s="222"/>
      <c r="EVJ608" s="222"/>
      <c r="EVK608" s="222"/>
      <c r="EVL608" s="222"/>
      <c r="EVM608" s="222"/>
      <c r="EVN608" s="222"/>
      <c r="EVO608" s="223"/>
      <c r="EVP608" s="224"/>
      <c r="EVQ608" s="222"/>
      <c r="EVR608" s="222"/>
      <c r="EVS608" s="222"/>
      <c r="EVT608" s="222"/>
      <c r="EVU608" s="222"/>
      <c r="EVV608" s="222"/>
      <c r="EVW608" s="223"/>
      <c r="EVX608" s="224"/>
      <c r="EVY608" s="222"/>
      <c r="EVZ608" s="222"/>
      <c r="EWA608" s="222"/>
      <c r="EWB608" s="222"/>
      <c r="EWC608" s="222"/>
      <c r="EWD608" s="222"/>
      <c r="EWE608" s="223"/>
      <c r="EWF608" s="224"/>
      <c r="EWG608" s="222"/>
      <c r="EWH608" s="222"/>
      <c r="EWI608" s="222"/>
      <c r="EWJ608" s="222"/>
      <c r="EWK608" s="222"/>
      <c r="EWL608" s="222"/>
      <c r="EWM608" s="223"/>
      <c r="EWN608" s="224"/>
      <c r="EWO608" s="222"/>
      <c r="EWP608" s="222"/>
      <c r="EWQ608" s="222"/>
      <c r="EWR608" s="222"/>
      <c r="EWS608" s="222"/>
      <c r="EWT608" s="222"/>
      <c r="EWU608" s="223"/>
      <c r="EWV608" s="224"/>
      <c r="EWW608" s="222"/>
      <c r="EWX608" s="222"/>
      <c r="EWY608" s="222"/>
      <c r="EWZ608" s="222"/>
      <c r="EXA608" s="222"/>
      <c r="EXB608" s="222"/>
      <c r="EXC608" s="223"/>
      <c r="EXD608" s="224"/>
      <c r="EXE608" s="222"/>
      <c r="EXF608" s="222"/>
      <c r="EXG608" s="222"/>
      <c r="EXH608" s="222"/>
      <c r="EXI608" s="222"/>
      <c r="EXJ608" s="222"/>
      <c r="EXK608" s="223"/>
      <c r="EXL608" s="224"/>
      <c r="EXM608" s="222"/>
      <c r="EXN608" s="222"/>
      <c r="EXO608" s="222"/>
      <c r="EXP608" s="222"/>
      <c r="EXQ608" s="222"/>
      <c r="EXR608" s="222"/>
      <c r="EXS608" s="223"/>
      <c r="EXT608" s="224"/>
      <c r="EXU608" s="222"/>
      <c r="EXV608" s="222"/>
      <c r="EXW608" s="222"/>
      <c r="EXX608" s="222"/>
      <c r="EXY608" s="222"/>
      <c r="EXZ608" s="222"/>
      <c r="EYA608" s="223"/>
      <c r="EYB608" s="224"/>
      <c r="EYC608" s="222"/>
      <c r="EYD608" s="222"/>
      <c r="EYE608" s="222"/>
      <c r="EYF608" s="222"/>
      <c r="EYG608" s="222"/>
      <c r="EYH608" s="222"/>
      <c r="EYI608" s="223"/>
      <c r="EYJ608" s="224"/>
      <c r="EYK608" s="222"/>
      <c r="EYL608" s="222"/>
      <c r="EYM608" s="222"/>
      <c r="EYN608" s="222"/>
      <c r="EYO608" s="222"/>
      <c r="EYP608" s="222"/>
      <c r="EYQ608" s="223"/>
      <c r="EYR608" s="224"/>
      <c r="EYS608" s="222"/>
      <c r="EYT608" s="222"/>
      <c r="EYU608" s="222"/>
      <c r="EYV608" s="222"/>
      <c r="EYW608" s="222"/>
      <c r="EYX608" s="222"/>
      <c r="EYY608" s="223"/>
      <c r="EYZ608" s="224"/>
      <c r="EZA608" s="222"/>
      <c r="EZB608" s="222"/>
      <c r="EZC608" s="222"/>
      <c r="EZD608" s="222"/>
      <c r="EZE608" s="222"/>
      <c r="EZF608" s="222"/>
      <c r="EZG608" s="223"/>
      <c r="EZH608" s="224"/>
      <c r="EZI608" s="222"/>
      <c r="EZJ608" s="222"/>
      <c r="EZK608" s="222"/>
      <c r="EZL608" s="222"/>
      <c r="EZM608" s="222"/>
      <c r="EZN608" s="222"/>
      <c r="EZO608" s="223"/>
      <c r="EZP608" s="224"/>
      <c r="EZQ608" s="222"/>
      <c r="EZR608" s="222"/>
      <c r="EZS608" s="222"/>
      <c r="EZT608" s="222"/>
      <c r="EZU608" s="222"/>
      <c r="EZV608" s="222"/>
      <c r="EZW608" s="223"/>
      <c r="EZX608" s="224"/>
      <c r="EZY608" s="222"/>
      <c r="EZZ608" s="222"/>
      <c r="FAA608" s="222"/>
      <c r="FAB608" s="222"/>
      <c r="FAC608" s="222"/>
      <c r="FAD608" s="222"/>
      <c r="FAE608" s="223"/>
      <c r="FAF608" s="224"/>
      <c r="FAG608" s="222"/>
      <c r="FAH608" s="222"/>
      <c r="FAI608" s="222"/>
      <c r="FAJ608" s="222"/>
      <c r="FAK608" s="222"/>
      <c r="FAL608" s="222"/>
      <c r="FAM608" s="223"/>
      <c r="FAN608" s="224"/>
      <c r="FAO608" s="222"/>
      <c r="FAP608" s="222"/>
      <c r="FAQ608" s="222"/>
      <c r="FAR608" s="222"/>
      <c r="FAS608" s="222"/>
      <c r="FAT608" s="222"/>
      <c r="FAU608" s="223"/>
      <c r="FAV608" s="224"/>
      <c r="FAW608" s="222"/>
      <c r="FAX608" s="222"/>
      <c r="FAY608" s="222"/>
      <c r="FAZ608" s="222"/>
      <c r="FBA608" s="222"/>
      <c r="FBB608" s="222"/>
      <c r="FBC608" s="223"/>
      <c r="FBD608" s="224"/>
      <c r="FBE608" s="222"/>
      <c r="FBF608" s="222"/>
      <c r="FBG608" s="222"/>
      <c r="FBH608" s="222"/>
      <c r="FBI608" s="222"/>
      <c r="FBJ608" s="222"/>
      <c r="FBK608" s="223"/>
      <c r="FBL608" s="224"/>
      <c r="FBM608" s="222"/>
      <c r="FBN608" s="222"/>
      <c r="FBO608" s="222"/>
      <c r="FBP608" s="222"/>
      <c r="FBQ608" s="222"/>
      <c r="FBR608" s="222"/>
      <c r="FBS608" s="223"/>
      <c r="FBT608" s="224"/>
      <c r="FBU608" s="222"/>
      <c r="FBV608" s="222"/>
      <c r="FBW608" s="222"/>
      <c r="FBX608" s="222"/>
      <c r="FBY608" s="222"/>
      <c r="FBZ608" s="222"/>
      <c r="FCA608" s="223"/>
      <c r="FCB608" s="224"/>
      <c r="FCC608" s="222"/>
      <c r="FCD608" s="222"/>
      <c r="FCE608" s="222"/>
      <c r="FCF608" s="222"/>
      <c r="FCG608" s="222"/>
      <c r="FCH608" s="222"/>
      <c r="FCI608" s="223"/>
      <c r="FCJ608" s="224"/>
      <c r="FCK608" s="222"/>
      <c r="FCL608" s="222"/>
      <c r="FCM608" s="222"/>
      <c r="FCN608" s="222"/>
      <c r="FCO608" s="222"/>
      <c r="FCP608" s="222"/>
      <c r="FCQ608" s="223"/>
      <c r="FCR608" s="224"/>
      <c r="FCS608" s="222"/>
      <c r="FCT608" s="222"/>
      <c r="FCU608" s="222"/>
      <c r="FCV608" s="222"/>
      <c r="FCW608" s="222"/>
      <c r="FCX608" s="222"/>
      <c r="FCY608" s="223"/>
      <c r="FCZ608" s="224"/>
      <c r="FDA608" s="222"/>
      <c r="FDB608" s="222"/>
      <c r="FDC608" s="222"/>
      <c r="FDD608" s="222"/>
      <c r="FDE608" s="222"/>
      <c r="FDF608" s="222"/>
      <c r="FDG608" s="223"/>
      <c r="FDH608" s="224"/>
      <c r="FDI608" s="222"/>
      <c r="FDJ608" s="222"/>
      <c r="FDK608" s="222"/>
      <c r="FDL608" s="222"/>
      <c r="FDM608" s="222"/>
      <c r="FDN608" s="222"/>
      <c r="FDO608" s="223"/>
      <c r="FDP608" s="224"/>
      <c r="FDQ608" s="222"/>
      <c r="FDR608" s="222"/>
      <c r="FDS608" s="222"/>
      <c r="FDT608" s="222"/>
      <c r="FDU608" s="222"/>
      <c r="FDV608" s="222"/>
      <c r="FDW608" s="223"/>
      <c r="FDX608" s="224"/>
      <c r="FDY608" s="222"/>
      <c r="FDZ608" s="222"/>
      <c r="FEA608" s="222"/>
      <c r="FEB608" s="222"/>
      <c r="FEC608" s="222"/>
      <c r="FED608" s="222"/>
      <c r="FEE608" s="223"/>
      <c r="FEF608" s="224"/>
      <c r="FEG608" s="222"/>
      <c r="FEH608" s="222"/>
      <c r="FEI608" s="222"/>
      <c r="FEJ608" s="222"/>
      <c r="FEK608" s="222"/>
      <c r="FEL608" s="222"/>
      <c r="FEM608" s="223"/>
      <c r="FEN608" s="224"/>
      <c r="FEO608" s="222"/>
      <c r="FEP608" s="222"/>
      <c r="FEQ608" s="222"/>
      <c r="FER608" s="222"/>
      <c r="FES608" s="222"/>
      <c r="FET608" s="222"/>
      <c r="FEU608" s="223"/>
      <c r="FEV608" s="224"/>
      <c r="FEW608" s="222"/>
      <c r="FEX608" s="222"/>
      <c r="FEY608" s="222"/>
      <c r="FEZ608" s="222"/>
      <c r="FFA608" s="222"/>
      <c r="FFB608" s="222"/>
      <c r="FFC608" s="223"/>
      <c r="FFD608" s="224"/>
      <c r="FFE608" s="222"/>
      <c r="FFF608" s="222"/>
      <c r="FFG608" s="222"/>
      <c r="FFH608" s="222"/>
      <c r="FFI608" s="222"/>
      <c r="FFJ608" s="222"/>
      <c r="FFK608" s="223"/>
      <c r="FFL608" s="224"/>
      <c r="FFM608" s="222"/>
      <c r="FFN608" s="222"/>
      <c r="FFO608" s="222"/>
      <c r="FFP608" s="222"/>
      <c r="FFQ608" s="222"/>
      <c r="FFR608" s="222"/>
      <c r="FFS608" s="223"/>
      <c r="FFT608" s="224"/>
      <c r="FFU608" s="222"/>
      <c r="FFV608" s="222"/>
      <c r="FFW608" s="222"/>
      <c r="FFX608" s="222"/>
      <c r="FFY608" s="222"/>
      <c r="FFZ608" s="222"/>
      <c r="FGA608" s="223"/>
      <c r="FGB608" s="224"/>
      <c r="FGC608" s="222"/>
      <c r="FGD608" s="222"/>
      <c r="FGE608" s="222"/>
      <c r="FGF608" s="222"/>
      <c r="FGG608" s="222"/>
      <c r="FGH608" s="222"/>
      <c r="FGI608" s="223"/>
      <c r="FGJ608" s="224"/>
      <c r="FGK608" s="222"/>
      <c r="FGL608" s="222"/>
      <c r="FGM608" s="222"/>
      <c r="FGN608" s="222"/>
      <c r="FGO608" s="222"/>
      <c r="FGP608" s="222"/>
      <c r="FGQ608" s="223"/>
      <c r="FGR608" s="224"/>
      <c r="FGS608" s="222"/>
      <c r="FGT608" s="222"/>
      <c r="FGU608" s="222"/>
      <c r="FGV608" s="222"/>
      <c r="FGW608" s="222"/>
      <c r="FGX608" s="222"/>
      <c r="FGY608" s="223"/>
      <c r="FGZ608" s="224"/>
      <c r="FHA608" s="222"/>
      <c r="FHB608" s="222"/>
      <c r="FHC608" s="222"/>
      <c r="FHD608" s="222"/>
      <c r="FHE608" s="222"/>
      <c r="FHF608" s="222"/>
      <c r="FHG608" s="223"/>
      <c r="FHH608" s="224"/>
      <c r="FHI608" s="222"/>
      <c r="FHJ608" s="222"/>
      <c r="FHK608" s="222"/>
      <c r="FHL608" s="222"/>
      <c r="FHM608" s="222"/>
      <c r="FHN608" s="222"/>
      <c r="FHO608" s="223"/>
      <c r="FHP608" s="224"/>
      <c r="FHQ608" s="222"/>
      <c r="FHR608" s="222"/>
      <c r="FHS608" s="222"/>
      <c r="FHT608" s="222"/>
      <c r="FHU608" s="222"/>
      <c r="FHV608" s="222"/>
      <c r="FHW608" s="223"/>
      <c r="FHX608" s="224"/>
      <c r="FHY608" s="222"/>
      <c r="FHZ608" s="222"/>
      <c r="FIA608" s="222"/>
      <c r="FIB608" s="222"/>
      <c r="FIC608" s="222"/>
      <c r="FID608" s="222"/>
      <c r="FIE608" s="223"/>
      <c r="FIF608" s="224"/>
      <c r="FIG608" s="222"/>
      <c r="FIH608" s="222"/>
      <c r="FII608" s="222"/>
      <c r="FIJ608" s="222"/>
      <c r="FIK608" s="222"/>
      <c r="FIL608" s="222"/>
      <c r="FIM608" s="223"/>
      <c r="FIN608" s="224"/>
      <c r="FIO608" s="222"/>
      <c r="FIP608" s="222"/>
      <c r="FIQ608" s="222"/>
      <c r="FIR608" s="222"/>
      <c r="FIS608" s="222"/>
      <c r="FIT608" s="222"/>
      <c r="FIU608" s="223"/>
      <c r="FIV608" s="224"/>
      <c r="FIW608" s="222"/>
      <c r="FIX608" s="222"/>
      <c r="FIY608" s="222"/>
      <c r="FIZ608" s="222"/>
      <c r="FJA608" s="222"/>
      <c r="FJB608" s="222"/>
      <c r="FJC608" s="223"/>
      <c r="FJD608" s="224"/>
      <c r="FJE608" s="222"/>
      <c r="FJF608" s="222"/>
      <c r="FJG608" s="222"/>
      <c r="FJH608" s="222"/>
      <c r="FJI608" s="222"/>
      <c r="FJJ608" s="222"/>
      <c r="FJK608" s="223"/>
      <c r="FJL608" s="224"/>
      <c r="FJM608" s="222"/>
      <c r="FJN608" s="222"/>
      <c r="FJO608" s="222"/>
      <c r="FJP608" s="222"/>
      <c r="FJQ608" s="222"/>
      <c r="FJR608" s="222"/>
      <c r="FJS608" s="223"/>
      <c r="FJT608" s="224"/>
      <c r="FJU608" s="222"/>
      <c r="FJV608" s="222"/>
      <c r="FJW608" s="222"/>
      <c r="FJX608" s="222"/>
      <c r="FJY608" s="222"/>
      <c r="FJZ608" s="222"/>
      <c r="FKA608" s="223"/>
      <c r="FKB608" s="224"/>
      <c r="FKC608" s="222"/>
      <c r="FKD608" s="222"/>
      <c r="FKE608" s="222"/>
      <c r="FKF608" s="222"/>
      <c r="FKG608" s="222"/>
      <c r="FKH608" s="222"/>
      <c r="FKI608" s="223"/>
      <c r="FKJ608" s="224"/>
      <c r="FKK608" s="222"/>
      <c r="FKL608" s="222"/>
      <c r="FKM608" s="222"/>
      <c r="FKN608" s="222"/>
      <c r="FKO608" s="222"/>
      <c r="FKP608" s="222"/>
      <c r="FKQ608" s="223"/>
      <c r="FKR608" s="224"/>
      <c r="FKS608" s="222"/>
      <c r="FKT608" s="222"/>
      <c r="FKU608" s="222"/>
      <c r="FKV608" s="222"/>
      <c r="FKW608" s="222"/>
      <c r="FKX608" s="222"/>
      <c r="FKY608" s="223"/>
      <c r="FKZ608" s="224"/>
      <c r="FLA608" s="222"/>
      <c r="FLB608" s="222"/>
      <c r="FLC608" s="222"/>
      <c r="FLD608" s="222"/>
      <c r="FLE608" s="222"/>
      <c r="FLF608" s="222"/>
      <c r="FLG608" s="223"/>
      <c r="FLH608" s="224"/>
      <c r="FLI608" s="222"/>
      <c r="FLJ608" s="222"/>
      <c r="FLK608" s="222"/>
      <c r="FLL608" s="222"/>
      <c r="FLM608" s="222"/>
      <c r="FLN608" s="222"/>
      <c r="FLO608" s="223"/>
      <c r="FLP608" s="224"/>
      <c r="FLQ608" s="222"/>
      <c r="FLR608" s="222"/>
      <c r="FLS608" s="222"/>
      <c r="FLT608" s="222"/>
      <c r="FLU608" s="222"/>
      <c r="FLV608" s="222"/>
      <c r="FLW608" s="223"/>
      <c r="FLX608" s="224"/>
      <c r="FLY608" s="222"/>
      <c r="FLZ608" s="222"/>
      <c r="FMA608" s="222"/>
      <c r="FMB608" s="222"/>
      <c r="FMC608" s="222"/>
      <c r="FMD608" s="222"/>
      <c r="FME608" s="223"/>
      <c r="FMF608" s="224"/>
      <c r="FMG608" s="222"/>
      <c r="FMH608" s="222"/>
      <c r="FMI608" s="222"/>
      <c r="FMJ608" s="222"/>
      <c r="FMK608" s="222"/>
      <c r="FML608" s="222"/>
      <c r="FMM608" s="223"/>
      <c r="FMN608" s="224"/>
      <c r="FMO608" s="222"/>
      <c r="FMP608" s="222"/>
      <c r="FMQ608" s="222"/>
      <c r="FMR608" s="222"/>
      <c r="FMS608" s="222"/>
      <c r="FMT608" s="222"/>
      <c r="FMU608" s="223"/>
      <c r="FMV608" s="224"/>
      <c r="FMW608" s="222"/>
      <c r="FMX608" s="222"/>
      <c r="FMY608" s="222"/>
      <c r="FMZ608" s="222"/>
      <c r="FNA608" s="222"/>
      <c r="FNB608" s="222"/>
      <c r="FNC608" s="223"/>
      <c r="FND608" s="224"/>
      <c r="FNE608" s="222"/>
      <c r="FNF608" s="222"/>
      <c r="FNG608" s="222"/>
      <c r="FNH608" s="222"/>
      <c r="FNI608" s="222"/>
      <c r="FNJ608" s="222"/>
      <c r="FNK608" s="223"/>
      <c r="FNL608" s="224"/>
      <c r="FNM608" s="222"/>
      <c r="FNN608" s="222"/>
      <c r="FNO608" s="222"/>
      <c r="FNP608" s="222"/>
      <c r="FNQ608" s="222"/>
      <c r="FNR608" s="222"/>
      <c r="FNS608" s="223"/>
      <c r="FNT608" s="224"/>
      <c r="FNU608" s="222"/>
      <c r="FNV608" s="222"/>
      <c r="FNW608" s="222"/>
      <c r="FNX608" s="222"/>
      <c r="FNY608" s="222"/>
      <c r="FNZ608" s="222"/>
      <c r="FOA608" s="223"/>
      <c r="FOB608" s="224"/>
      <c r="FOC608" s="222"/>
      <c r="FOD608" s="222"/>
      <c r="FOE608" s="222"/>
      <c r="FOF608" s="222"/>
      <c r="FOG608" s="222"/>
      <c r="FOH608" s="222"/>
      <c r="FOI608" s="223"/>
      <c r="FOJ608" s="224"/>
      <c r="FOK608" s="222"/>
      <c r="FOL608" s="222"/>
      <c r="FOM608" s="222"/>
      <c r="FON608" s="222"/>
      <c r="FOO608" s="222"/>
      <c r="FOP608" s="222"/>
      <c r="FOQ608" s="223"/>
      <c r="FOR608" s="224"/>
      <c r="FOS608" s="222"/>
      <c r="FOT608" s="222"/>
      <c r="FOU608" s="222"/>
      <c r="FOV608" s="222"/>
      <c r="FOW608" s="222"/>
      <c r="FOX608" s="222"/>
      <c r="FOY608" s="223"/>
      <c r="FOZ608" s="224"/>
      <c r="FPA608" s="222"/>
      <c r="FPB608" s="222"/>
      <c r="FPC608" s="222"/>
      <c r="FPD608" s="222"/>
      <c r="FPE608" s="222"/>
      <c r="FPF608" s="222"/>
      <c r="FPG608" s="223"/>
      <c r="FPH608" s="224"/>
      <c r="FPI608" s="222"/>
      <c r="FPJ608" s="222"/>
      <c r="FPK608" s="222"/>
      <c r="FPL608" s="222"/>
      <c r="FPM608" s="222"/>
      <c r="FPN608" s="222"/>
      <c r="FPO608" s="223"/>
      <c r="FPP608" s="224"/>
      <c r="FPQ608" s="222"/>
      <c r="FPR608" s="222"/>
      <c r="FPS608" s="222"/>
      <c r="FPT608" s="222"/>
      <c r="FPU608" s="222"/>
      <c r="FPV608" s="222"/>
      <c r="FPW608" s="223"/>
      <c r="FPX608" s="224"/>
      <c r="FPY608" s="222"/>
      <c r="FPZ608" s="222"/>
      <c r="FQA608" s="222"/>
      <c r="FQB608" s="222"/>
      <c r="FQC608" s="222"/>
      <c r="FQD608" s="222"/>
      <c r="FQE608" s="223"/>
      <c r="FQF608" s="224"/>
      <c r="FQG608" s="222"/>
      <c r="FQH608" s="222"/>
      <c r="FQI608" s="222"/>
      <c r="FQJ608" s="222"/>
      <c r="FQK608" s="222"/>
      <c r="FQL608" s="222"/>
      <c r="FQM608" s="223"/>
      <c r="FQN608" s="224"/>
      <c r="FQO608" s="222"/>
      <c r="FQP608" s="222"/>
      <c r="FQQ608" s="222"/>
      <c r="FQR608" s="222"/>
      <c r="FQS608" s="222"/>
      <c r="FQT608" s="222"/>
      <c r="FQU608" s="223"/>
      <c r="FQV608" s="224"/>
      <c r="FQW608" s="222"/>
      <c r="FQX608" s="222"/>
      <c r="FQY608" s="222"/>
      <c r="FQZ608" s="222"/>
      <c r="FRA608" s="222"/>
      <c r="FRB608" s="222"/>
      <c r="FRC608" s="223"/>
      <c r="FRD608" s="224"/>
      <c r="FRE608" s="222"/>
      <c r="FRF608" s="222"/>
      <c r="FRG608" s="222"/>
      <c r="FRH608" s="222"/>
      <c r="FRI608" s="222"/>
      <c r="FRJ608" s="222"/>
      <c r="FRK608" s="223"/>
      <c r="FRL608" s="224"/>
      <c r="FRM608" s="222"/>
      <c r="FRN608" s="222"/>
      <c r="FRO608" s="222"/>
      <c r="FRP608" s="222"/>
      <c r="FRQ608" s="222"/>
      <c r="FRR608" s="222"/>
      <c r="FRS608" s="223"/>
      <c r="FRT608" s="224"/>
      <c r="FRU608" s="222"/>
      <c r="FRV608" s="222"/>
      <c r="FRW608" s="222"/>
      <c r="FRX608" s="222"/>
      <c r="FRY608" s="222"/>
      <c r="FRZ608" s="222"/>
      <c r="FSA608" s="223"/>
      <c r="FSB608" s="224"/>
      <c r="FSC608" s="222"/>
      <c r="FSD608" s="222"/>
      <c r="FSE608" s="222"/>
      <c r="FSF608" s="222"/>
      <c r="FSG608" s="222"/>
      <c r="FSH608" s="222"/>
      <c r="FSI608" s="223"/>
      <c r="FSJ608" s="224"/>
      <c r="FSK608" s="222"/>
      <c r="FSL608" s="222"/>
      <c r="FSM608" s="222"/>
      <c r="FSN608" s="222"/>
      <c r="FSO608" s="222"/>
      <c r="FSP608" s="222"/>
      <c r="FSQ608" s="223"/>
      <c r="FSR608" s="224"/>
      <c r="FSS608" s="222"/>
      <c r="FST608" s="222"/>
      <c r="FSU608" s="222"/>
      <c r="FSV608" s="222"/>
      <c r="FSW608" s="222"/>
      <c r="FSX608" s="222"/>
      <c r="FSY608" s="223"/>
      <c r="FSZ608" s="224"/>
      <c r="FTA608" s="222"/>
      <c r="FTB608" s="222"/>
      <c r="FTC608" s="222"/>
      <c r="FTD608" s="222"/>
      <c r="FTE608" s="222"/>
      <c r="FTF608" s="222"/>
      <c r="FTG608" s="223"/>
      <c r="FTH608" s="224"/>
      <c r="FTI608" s="222"/>
      <c r="FTJ608" s="222"/>
      <c r="FTK608" s="222"/>
      <c r="FTL608" s="222"/>
      <c r="FTM608" s="222"/>
      <c r="FTN608" s="222"/>
      <c r="FTO608" s="223"/>
      <c r="FTP608" s="224"/>
      <c r="FTQ608" s="222"/>
      <c r="FTR608" s="222"/>
      <c r="FTS608" s="222"/>
      <c r="FTT608" s="222"/>
      <c r="FTU608" s="222"/>
      <c r="FTV608" s="222"/>
      <c r="FTW608" s="223"/>
      <c r="FTX608" s="224"/>
      <c r="FTY608" s="222"/>
      <c r="FTZ608" s="222"/>
      <c r="FUA608" s="222"/>
      <c r="FUB608" s="222"/>
      <c r="FUC608" s="222"/>
      <c r="FUD608" s="222"/>
      <c r="FUE608" s="223"/>
      <c r="FUF608" s="224"/>
      <c r="FUG608" s="222"/>
      <c r="FUH608" s="222"/>
      <c r="FUI608" s="222"/>
      <c r="FUJ608" s="222"/>
      <c r="FUK608" s="222"/>
      <c r="FUL608" s="222"/>
      <c r="FUM608" s="223"/>
      <c r="FUN608" s="224"/>
      <c r="FUO608" s="222"/>
      <c r="FUP608" s="222"/>
      <c r="FUQ608" s="222"/>
      <c r="FUR608" s="222"/>
      <c r="FUS608" s="222"/>
      <c r="FUT608" s="222"/>
      <c r="FUU608" s="223"/>
      <c r="FUV608" s="224"/>
      <c r="FUW608" s="222"/>
      <c r="FUX608" s="222"/>
      <c r="FUY608" s="222"/>
      <c r="FUZ608" s="222"/>
      <c r="FVA608" s="222"/>
      <c r="FVB608" s="222"/>
      <c r="FVC608" s="223"/>
      <c r="FVD608" s="224"/>
      <c r="FVE608" s="222"/>
      <c r="FVF608" s="222"/>
      <c r="FVG608" s="222"/>
      <c r="FVH608" s="222"/>
      <c r="FVI608" s="222"/>
      <c r="FVJ608" s="222"/>
      <c r="FVK608" s="223"/>
      <c r="FVL608" s="224"/>
      <c r="FVM608" s="222"/>
      <c r="FVN608" s="222"/>
      <c r="FVO608" s="222"/>
      <c r="FVP608" s="222"/>
      <c r="FVQ608" s="222"/>
      <c r="FVR608" s="222"/>
      <c r="FVS608" s="223"/>
      <c r="FVT608" s="224"/>
      <c r="FVU608" s="222"/>
      <c r="FVV608" s="222"/>
      <c r="FVW608" s="222"/>
      <c r="FVX608" s="222"/>
      <c r="FVY608" s="222"/>
      <c r="FVZ608" s="222"/>
      <c r="FWA608" s="223"/>
      <c r="FWB608" s="224"/>
      <c r="FWC608" s="222"/>
      <c r="FWD608" s="222"/>
      <c r="FWE608" s="222"/>
      <c r="FWF608" s="222"/>
      <c r="FWG608" s="222"/>
      <c r="FWH608" s="222"/>
      <c r="FWI608" s="223"/>
      <c r="FWJ608" s="224"/>
      <c r="FWK608" s="222"/>
      <c r="FWL608" s="222"/>
      <c r="FWM608" s="222"/>
      <c r="FWN608" s="222"/>
      <c r="FWO608" s="222"/>
      <c r="FWP608" s="222"/>
      <c r="FWQ608" s="223"/>
      <c r="FWR608" s="224"/>
      <c r="FWS608" s="222"/>
      <c r="FWT608" s="222"/>
      <c r="FWU608" s="222"/>
      <c r="FWV608" s="222"/>
      <c r="FWW608" s="222"/>
      <c r="FWX608" s="222"/>
      <c r="FWY608" s="223"/>
      <c r="FWZ608" s="224"/>
      <c r="FXA608" s="222"/>
      <c r="FXB608" s="222"/>
      <c r="FXC608" s="222"/>
      <c r="FXD608" s="222"/>
      <c r="FXE608" s="222"/>
      <c r="FXF608" s="222"/>
      <c r="FXG608" s="223"/>
      <c r="FXH608" s="224"/>
      <c r="FXI608" s="222"/>
      <c r="FXJ608" s="222"/>
      <c r="FXK608" s="222"/>
      <c r="FXL608" s="222"/>
      <c r="FXM608" s="222"/>
      <c r="FXN608" s="222"/>
      <c r="FXO608" s="223"/>
      <c r="FXP608" s="224"/>
      <c r="FXQ608" s="222"/>
      <c r="FXR608" s="222"/>
      <c r="FXS608" s="222"/>
      <c r="FXT608" s="222"/>
      <c r="FXU608" s="222"/>
      <c r="FXV608" s="222"/>
      <c r="FXW608" s="223"/>
      <c r="FXX608" s="224"/>
      <c r="FXY608" s="222"/>
      <c r="FXZ608" s="222"/>
      <c r="FYA608" s="222"/>
      <c r="FYB608" s="222"/>
      <c r="FYC608" s="222"/>
      <c r="FYD608" s="222"/>
      <c r="FYE608" s="223"/>
      <c r="FYF608" s="224"/>
      <c r="FYG608" s="222"/>
      <c r="FYH608" s="222"/>
      <c r="FYI608" s="222"/>
      <c r="FYJ608" s="222"/>
      <c r="FYK608" s="222"/>
      <c r="FYL608" s="222"/>
      <c r="FYM608" s="223"/>
      <c r="FYN608" s="224"/>
      <c r="FYO608" s="222"/>
      <c r="FYP608" s="222"/>
      <c r="FYQ608" s="222"/>
      <c r="FYR608" s="222"/>
      <c r="FYS608" s="222"/>
      <c r="FYT608" s="222"/>
      <c r="FYU608" s="223"/>
      <c r="FYV608" s="224"/>
      <c r="FYW608" s="222"/>
      <c r="FYX608" s="222"/>
      <c r="FYY608" s="222"/>
      <c r="FYZ608" s="222"/>
      <c r="FZA608" s="222"/>
      <c r="FZB608" s="222"/>
      <c r="FZC608" s="223"/>
      <c r="FZD608" s="224"/>
      <c r="FZE608" s="222"/>
      <c r="FZF608" s="222"/>
      <c r="FZG608" s="222"/>
      <c r="FZH608" s="222"/>
      <c r="FZI608" s="222"/>
      <c r="FZJ608" s="222"/>
      <c r="FZK608" s="223"/>
      <c r="FZL608" s="224"/>
      <c r="FZM608" s="222"/>
      <c r="FZN608" s="222"/>
      <c r="FZO608" s="222"/>
      <c r="FZP608" s="222"/>
      <c r="FZQ608" s="222"/>
      <c r="FZR608" s="222"/>
      <c r="FZS608" s="223"/>
      <c r="FZT608" s="224"/>
      <c r="FZU608" s="222"/>
      <c r="FZV608" s="222"/>
      <c r="FZW608" s="222"/>
      <c r="FZX608" s="222"/>
      <c r="FZY608" s="222"/>
      <c r="FZZ608" s="222"/>
      <c r="GAA608" s="223"/>
      <c r="GAB608" s="224"/>
      <c r="GAC608" s="222"/>
      <c r="GAD608" s="222"/>
      <c r="GAE608" s="222"/>
      <c r="GAF608" s="222"/>
      <c r="GAG608" s="222"/>
      <c r="GAH608" s="222"/>
      <c r="GAI608" s="223"/>
      <c r="GAJ608" s="224"/>
      <c r="GAK608" s="222"/>
      <c r="GAL608" s="222"/>
      <c r="GAM608" s="222"/>
      <c r="GAN608" s="222"/>
      <c r="GAO608" s="222"/>
      <c r="GAP608" s="222"/>
      <c r="GAQ608" s="223"/>
      <c r="GAR608" s="224"/>
      <c r="GAS608" s="222"/>
      <c r="GAT608" s="222"/>
      <c r="GAU608" s="222"/>
      <c r="GAV608" s="222"/>
      <c r="GAW608" s="222"/>
      <c r="GAX608" s="222"/>
      <c r="GAY608" s="223"/>
      <c r="GAZ608" s="224"/>
      <c r="GBA608" s="222"/>
      <c r="GBB608" s="222"/>
      <c r="GBC608" s="222"/>
      <c r="GBD608" s="222"/>
      <c r="GBE608" s="222"/>
      <c r="GBF608" s="222"/>
      <c r="GBG608" s="223"/>
      <c r="GBH608" s="224"/>
      <c r="GBI608" s="222"/>
      <c r="GBJ608" s="222"/>
      <c r="GBK608" s="222"/>
      <c r="GBL608" s="222"/>
      <c r="GBM608" s="222"/>
      <c r="GBN608" s="222"/>
      <c r="GBO608" s="223"/>
      <c r="GBP608" s="224"/>
      <c r="GBQ608" s="222"/>
      <c r="GBR608" s="222"/>
      <c r="GBS608" s="222"/>
      <c r="GBT608" s="222"/>
      <c r="GBU608" s="222"/>
      <c r="GBV608" s="222"/>
      <c r="GBW608" s="223"/>
      <c r="GBX608" s="224"/>
      <c r="GBY608" s="222"/>
      <c r="GBZ608" s="222"/>
      <c r="GCA608" s="222"/>
      <c r="GCB608" s="222"/>
      <c r="GCC608" s="222"/>
      <c r="GCD608" s="222"/>
      <c r="GCE608" s="223"/>
      <c r="GCF608" s="224"/>
      <c r="GCG608" s="222"/>
      <c r="GCH608" s="222"/>
      <c r="GCI608" s="222"/>
      <c r="GCJ608" s="222"/>
      <c r="GCK608" s="222"/>
      <c r="GCL608" s="222"/>
      <c r="GCM608" s="223"/>
      <c r="GCN608" s="224"/>
      <c r="GCO608" s="222"/>
      <c r="GCP608" s="222"/>
      <c r="GCQ608" s="222"/>
      <c r="GCR608" s="222"/>
      <c r="GCS608" s="222"/>
      <c r="GCT608" s="222"/>
      <c r="GCU608" s="223"/>
      <c r="GCV608" s="224"/>
      <c r="GCW608" s="222"/>
      <c r="GCX608" s="222"/>
      <c r="GCY608" s="222"/>
      <c r="GCZ608" s="222"/>
      <c r="GDA608" s="222"/>
      <c r="GDB608" s="222"/>
      <c r="GDC608" s="223"/>
      <c r="GDD608" s="224"/>
      <c r="GDE608" s="222"/>
      <c r="GDF608" s="222"/>
      <c r="GDG608" s="222"/>
      <c r="GDH608" s="222"/>
      <c r="GDI608" s="222"/>
      <c r="GDJ608" s="222"/>
      <c r="GDK608" s="223"/>
      <c r="GDL608" s="224"/>
      <c r="GDM608" s="222"/>
      <c r="GDN608" s="222"/>
      <c r="GDO608" s="222"/>
      <c r="GDP608" s="222"/>
      <c r="GDQ608" s="222"/>
      <c r="GDR608" s="222"/>
      <c r="GDS608" s="223"/>
      <c r="GDT608" s="224"/>
      <c r="GDU608" s="222"/>
      <c r="GDV608" s="222"/>
      <c r="GDW608" s="222"/>
      <c r="GDX608" s="222"/>
      <c r="GDY608" s="222"/>
      <c r="GDZ608" s="222"/>
      <c r="GEA608" s="223"/>
      <c r="GEB608" s="224"/>
      <c r="GEC608" s="222"/>
      <c r="GED608" s="222"/>
      <c r="GEE608" s="222"/>
      <c r="GEF608" s="222"/>
      <c r="GEG608" s="222"/>
      <c r="GEH608" s="222"/>
      <c r="GEI608" s="223"/>
      <c r="GEJ608" s="224"/>
      <c r="GEK608" s="222"/>
      <c r="GEL608" s="222"/>
      <c r="GEM608" s="222"/>
      <c r="GEN608" s="222"/>
      <c r="GEO608" s="222"/>
      <c r="GEP608" s="222"/>
      <c r="GEQ608" s="223"/>
      <c r="GER608" s="224"/>
      <c r="GES608" s="222"/>
      <c r="GET608" s="222"/>
      <c r="GEU608" s="222"/>
      <c r="GEV608" s="222"/>
      <c r="GEW608" s="222"/>
      <c r="GEX608" s="222"/>
      <c r="GEY608" s="223"/>
      <c r="GEZ608" s="224"/>
      <c r="GFA608" s="222"/>
      <c r="GFB608" s="222"/>
      <c r="GFC608" s="222"/>
      <c r="GFD608" s="222"/>
      <c r="GFE608" s="222"/>
      <c r="GFF608" s="222"/>
      <c r="GFG608" s="223"/>
      <c r="GFH608" s="224"/>
      <c r="GFI608" s="222"/>
      <c r="GFJ608" s="222"/>
      <c r="GFK608" s="222"/>
      <c r="GFL608" s="222"/>
      <c r="GFM608" s="222"/>
      <c r="GFN608" s="222"/>
      <c r="GFO608" s="223"/>
      <c r="GFP608" s="224"/>
      <c r="GFQ608" s="222"/>
      <c r="GFR608" s="222"/>
      <c r="GFS608" s="222"/>
      <c r="GFT608" s="222"/>
      <c r="GFU608" s="222"/>
      <c r="GFV608" s="222"/>
      <c r="GFW608" s="223"/>
      <c r="GFX608" s="224"/>
      <c r="GFY608" s="222"/>
      <c r="GFZ608" s="222"/>
      <c r="GGA608" s="222"/>
      <c r="GGB608" s="222"/>
      <c r="GGC608" s="222"/>
      <c r="GGD608" s="222"/>
      <c r="GGE608" s="223"/>
      <c r="GGF608" s="224"/>
      <c r="GGG608" s="222"/>
      <c r="GGH608" s="222"/>
      <c r="GGI608" s="222"/>
      <c r="GGJ608" s="222"/>
      <c r="GGK608" s="222"/>
      <c r="GGL608" s="222"/>
      <c r="GGM608" s="223"/>
      <c r="GGN608" s="224"/>
      <c r="GGO608" s="222"/>
      <c r="GGP608" s="222"/>
      <c r="GGQ608" s="222"/>
      <c r="GGR608" s="222"/>
      <c r="GGS608" s="222"/>
      <c r="GGT608" s="222"/>
      <c r="GGU608" s="223"/>
      <c r="GGV608" s="224"/>
      <c r="GGW608" s="222"/>
      <c r="GGX608" s="222"/>
      <c r="GGY608" s="222"/>
      <c r="GGZ608" s="222"/>
      <c r="GHA608" s="222"/>
      <c r="GHB608" s="222"/>
      <c r="GHC608" s="223"/>
      <c r="GHD608" s="224"/>
      <c r="GHE608" s="222"/>
      <c r="GHF608" s="222"/>
      <c r="GHG608" s="222"/>
      <c r="GHH608" s="222"/>
      <c r="GHI608" s="222"/>
      <c r="GHJ608" s="222"/>
      <c r="GHK608" s="223"/>
      <c r="GHL608" s="224"/>
      <c r="GHM608" s="222"/>
      <c r="GHN608" s="222"/>
      <c r="GHO608" s="222"/>
      <c r="GHP608" s="222"/>
      <c r="GHQ608" s="222"/>
      <c r="GHR608" s="222"/>
      <c r="GHS608" s="223"/>
      <c r="GHT608" s="224"/>
      <c r="GHU608" s="222"/>
      <c r="GHV608" s="222"/>
      <c r="GHW608" s="222"/>
      <c r="GHX608" s="222"/>
      <c r="GHY608" s="222"/>
      <c r="GHZ608" s="222"/>
      <c r="GIA608" s="223"/>
      <c r="GIB608" s="224"/>
      <c r="GIC608" s="222"/>
      <c r="GID608" s="222"/>
      <c r="GIE608" s="222"/>
      <c r="GIF608" s="222"/>
      <c r="GIG608" s="222"/>
      <c r="GIH608" s="222"/>
      <c r="GII608" s="223"/>
      <c r="GIJ608" s="224"/>
      <c r="GIK608" s="222"/>
      <c r="GIL608" s="222"/>
      <c r="GIM608" s="222"/>
      <c r="GIN608" s="222"/>
      <c r="GIO608" s="222"/>
      <c r="GIP608" s="222"/>
      <c r="GIQ608" s="223"/>
      <c r="GIR608" s="224"/>
      <c r="GIS608" s="222"/>
      <c r="GIT608" s="222"/>
      <c r="GIU608" s="222"/>
      <c r="GIV608" s="222"/>
      <c r="GIW608" s="222"/>
      <c r="GIX608" s="222"/>
      <c r="GIY608" s="223"/>
      <c r="GIZ608" s="224"/>
      <c r="GJA608" s="222"/>
      <c r="GJB608" s="222"/>
      <c r="GJC608" s="222"/>
      <c r="GJD608" s="222"/>
      <c r="GJE608" s="222"/>
      <c r="GJF608" s="222"/>
      <c r="GJG608" s="223"/>
      <c r="GJH608" s="224"/>
      <c r="GJI608" s="222"/>
      <c r="GJJ608" s="222"/>
      <c r="GJK608" s="222"/>
      <c r="GJL608" s="222"/>
      <c r="GJM608" s="222"/>
      <c r="GJN608" s="222"/>
      <c r="GJO608" s="223"/>
      <c r="GJP608" s="224"/>
      <c r="GJQ608" s="222"/>
      <c r="GJR608" s="222"/>
      <c r="GJS608" s="222"/>
      <c r="GJT608" s="222"/>
      <c r="GJU608" s="222"/>
      <c r="GJV608" s="222"/>
      <c r="GJW608" s="223"/>
      <c r="GJX608" s="224"/>
      <c r="GJY608" s="222"/>
      <c r="GJZ608" s="222"/>
      <c r="GKA608" s="222"/>
      <c r="GKB608" s="222"/>
      <c r="GKC608" s="222"/>
      <c r="GKD608" s="222"/>
      <c r="GKE608" s="223"/>
      <c r="GKF608" s="224"/>
      <c r="GKG608" s="222"/>
      <c r="GKH608" s="222"/>
      <c r="GKI608" s="222"/>
      <c r="GKJ608" s="222"/>
      <c r="GKK608" s="222"/>
      <c r="GKL608" s="222"/>
      <c r="GKM608" s="223"/>
      <c r="GKN608" s="224"/>
      <c r="GKO608" s="222"/>
      <c r="GKP608" s="222"/>
      <c r="GKQ608" s="222"/>
      <c r="GKR608" s="222"/>
      <c r="GKS608" s="222"/>
      <c r="GKT608" s="222"/>
      <c r="GKU608" s="223"/>
      <c r="GKV608" s="224"/>
      <c r="GKW608" s="222"/>
      <c r="GKX608" s="222"/>
      <c r="GKY608" s="222"/>
      <c r="GKZ608" s="222"/>
      <c r="GLA608" s="222"/>
      <c r="GLB608" s="222"/>
      <c r="GLC608" s="223"/>
      <c r="GLD608" s="224"/>
      <c r="GLE608" s="222"/>
      <c r="GLF608" s="222"/>
      <c r="GLG608" s="222"/>
      <c r="GLH608" s="222"/>
      <c r="GLI608" s="222"/>
      <c r="GLJ608" s="222"/>
      <c r="GLK608" s="223"/>
      <c r="GLL608" s="224"/>
      <c r="GLM608" s="222"/>
      <c r="GLN608" s="222"/>
      <c r="GLO608" s="222"/>
      <c r="GLP608" s="222"/>
      <c r="GLQ608" s="222"/>
      <c r="GLR608" s="222"/>
      <c r="GLS608" s="223"/>
      <c r="GLT608" s="224"/>
      <c r="GLU608" s="222"/>
      <c r="GLV608" s="222"/>
      <c r="GLW608" s="222"/>
      <c r="GLX608" s="222"/>
      <c r="GLY608" s="222"/>
      <c r="GLZ608" s="222"/>
      <c r="GMA608" s="223"/>
      <c r="GMB608" s="224"/>
      <c r="GMC608" s="222"/>
      <c r="GMD608" s="222"/>
      <c r="GME608" s="222"/>
      <c r="GMF608" s="222"/>
      <c r="GMG608" s="222"/>
      <c r="GMH608" s="222"/>
      <c r="GMI608" s="223"/>
      <c r="GMJ608" s="224"/>
      <c r="GMK608" s="222"/>
      <c r="GML608" s="222"/>
      <c r="GMM608" s="222"/>
      <c r="GMN608" s="222"/>
      <c r="GMO608" s="222"/>
      <c r="GMP608" s="222"/>
      <c r="GMQ608" s="223"/>
      <c r="GMR608" s="224"/>
      <c r="GMS608" s="222"/>
      <c r="GMT608" s="222"/>
      <c r="GMU608" s="222"/>
      <c r="GMV608" s="222"/>
      <c r="GMW608" s="222"/>
      <c r="GMX608" s="222"/>
      <c r="GMY608" s="223"/>
      <c r="GMZ608" s="224"/>
      <c r="GNA608" s="222"/>
      <c r="GNB608" s="222"/>
      <c r="GNC608" s="222"/>
      <c r="GND608" s="222"/>
      <c r="GNE608" s="222"/>
      <c r="GNF608" s="222"/>
      <c r="GNG608" s="223"/>
      <c r="GNH608" s="224"/>
      <c r="GNI608" s="222"/>
      <c r="GNJ608" s="222"/>
      <c r="GNK608" s="222"/>
      <c r="GNL608" s="222"/>
      <c r="GNM608" s="222"/>
      <c r="GNN608" s="222"/>
      <c r="GNO608" s="223"/>
      <c r="GNP608" s="224"/>
      <c r="GNQ608" s="222"/>
      <c r="GNR608" s="222"/>
      <c r="GNS608" s="222"/>
      <c r="GNT608" s="222"/>
      <c r="GNU608" s="222"/>
      <c r="GNV608" s="222"/>
      <c r="GNW608" s="223"/>
      <c r="GNX608" s="224"/>
      <c r="GNY608" s="222"/>
      <c r="GNZ608" s="222"/>
      <c r="GOA608" s="222"/>
      <c r="GOB608" s="222"/>
      <c r="GOC608" s="222"/>
      <c r="GOD608" s="222"/>
      <c r="GOE608" s="223"/>
      <c r="GOF608" s="224"/>
      <c r="GOG608" s="222"/>
      <c r="GOH608" s="222"/>
      <c r="GOI608" s="222"/>
      <c r="GOJ608" s="222"/>
      <c r="GOK608" s="222"/>
      <c r="GOL608" s="222"/>
      <c r="GOM608" s="223"/>
      <c r="GON608" s="224"/>
      <c r="GOO608" s="222"/>
      <c r="GOP608" s="222"/>
      <c r="GOQ608" s="222"/>
      <c r="GOR608" s="222"/>
      <c r="GOS608" s="222"/>
      <c r="GOT608" s="222"/>
      <c r="GOU608" s="223"/>
      <c r="GOV608" s="224"/>
      <c r="GOW608" s="222"/>
      <c r="GOX608" s="222"/>
      <c r="GOY608" s="222"/>
      <c r="GOZ608" s="222"/>
      <c r="GPA608" s="222"/>
      <c r="GPB608" s="222"/>
      <c r="GPC608" s="223"/>
      <c r="GPD608" s="224"/>
      <c r="GPE608" s="222"/>
      <c r="GPF608" s="222"/>
      <c r="GPG608" s="222"/>
      <c r="GPH608" s="222"/>
      <c r="GPI608" s="222"/>
      <c r="GPJ608" s="222"/>
      <c r="GPK608" s="223"/>
      <c r="GPL608" s="224"/>
      <c r="GPM608" s="222"/>
      <c r="GPN608" s="222"/>
      <c r="GPO608" s="222"/>
      <c r="GPP608" s="222"/>
      <c r="GPQ608" s="222"/>
      <c r="GPR608" s="222"/>
      <c r="GPS608" s="223"/>
      <c r="GPT608" s="224"/>
      <c r="GPU608" s="222"/>
      <c r="GPV608" s="222"/>
      <c r="GPW608" s="222"/>
      <c r="GPX608" s="222"/>
      <c r="GPY608" s="222"/>
      <c r="GPZ608" s="222"/>
      <c r="GQA608" s="223"/>
      <c r="GQB608" s="224"/>
      <c r="GQC608" s="222"/>
      <c r="GQD608" s="222"/>
      <c r="GQE608" s="222"/>
      <c r="GQF608" s="222"/>
      <c r="GQG608" s="222"/>
      <c r="GQH608" s="222"/>
      <c r="GQI608" s="223"/>
      <c r="GQJ608" s="224"/>
      <c r="GQK608" s="222"/>
      <c r="GQL608" s="222"/>
      <c r="GQM608" s="222"/>
      <c r="GQN608" s="222"/>
      <c r="GQO608" s="222"/>
      <c r="GQP608" s="222"/>
      <c r="GQQ608" s="223"/>
      <c r="GQR608" s="224"/>
      <c r="GQS608" s="222"/>
      <c r="GQT608" s="222"/>
      <c r="GQU608" s="222"/>
      <c r="GQV608" s="222"/>
      <c r="GQW608" s="222"/>
      <c r="GQX608" s="222"/>
      <c r="GQY608" s="223"/>
      <c r="GQZ608" s="224"/>
      <c r="GRA608" s="222"/>
      <c r="GRB608" s="222"/>
      <c r="GRC608" s="222"/>
      <c r="GRD608" s="222"/>
      <c r="GRE608" s="222"/>
      <c r="GRF608" s="222"/>
      <c r="GRG608" s="223"/>
      <c r="GRH608" s="224"/>
      <c r="GRI608" s="222"/>
      <c r="GRJ608" s="222"/>
      <c r="GRK608" s="222"/>
      <c r="GRL608" s="222"/>
      <c r="GRM608" s="222"/>
      <c r="GRN608" s="222"/>
      <c r="GRO608" s="223"/>
      <c r="GRP608" s="224"/>
      <c r="GRQ608" s="222"/>
      <c r="GRR608" s="222"/>
      <c r="GRS608" s="222"/>
      <c r="GRT608" s="222"/>
      <c r="GRU608" s="222"/>
      <c r="GRV608" s="222"/>
      <c r="GRW608" s="223"/>
      <c r="GRX608" s="224"/>
      <c r="GRY608" s="222"/>
      <c r="GRZ608" s="222"/>
      <c r="GSA608" s="222"/>
      <c r="GSB608" s="222"/>
      <c r="GSC608" s="222"/>
      <c r="GSD608" s="222"/>
      <c r="GSE608" s="223"/>
      <c r="GSF608" s="224"/>
      <c r="GSG608" s="222"/>
      <c r="GSH608" s="222"/>
      <c r="GSI608" s="222"/>
      <c r="GSJ608" s="222"/>
      <c r="GSK608" s="222"/>
      <c r="GSL608" s="222"/>
      <c r="GSM608" s="223"/>
      <c r="GSN608" s="224"/>
      <c r="GSO608" s="222"/>
      <c r="GSP608" s="222"/>
      <c r="GSQ608" s="222"/>
      <c r="GSR608" s="222"/>
      <c r="GSS608" s="222"/>
      <c r="GST608" s="222"/>
      <c r="GSU608" s="223"/>
      <c r="GSV608" s="224"/>
      <c r="GSW608" s="222"/>
      <c r="GSX608" s="222"/>
      <c r="GSY608" s="222"/>
      <c r="GSZ608" s="222"/>
      <c r="GTA608" s="222"/>
      <c r="GTB608" s="222"/>
      <c r="GTC608" s="223"/>
      <c r="GTD608" s="224"/>
      <c r="GTE608" s="222"/>
      <c r="GTF608" s="222"/>
      <c r="GTG608" s="222"/>
      <c r="GTH608" s="222"/>
      <c r="GTI608" s="222"/>
      <c r="GTJ608" s="222"/>
      <c r="GTK608" s="223"/>
      <c r="GTL608" s="224"/>
      <c r="GTM608" s="222"/>
      <c r="GTN608" s="222"/>
      <c r="GTO608" s="222"/>
      <c r="GTP608" s="222"/>
      <c r="GTQ608" s="222"/>
      <c r="GTR608" s="222"/>
      <c r="GTS608" s="223"/>
      <c r="GTT608" s="224"/>
      <c r="GTU608" s="222"/>
      <c r="GTV608" s="222"/>
      <c r="GTW608" s="222"/>
      <c r="GTX608" s="222"/>
      <c r="GTY608" s="222"/>
      <c r="GTZ608" s="222"/>
      <c r="GUA608" s="223"/>
      <c r="GUB608" s="224"/>
      <c r="GUC608" s="222"/>
      <c r="GUD608" s="222"/>
      <c r="GUE608" s="222"/>
      <c r="GUF608" s="222"/>
      <c r="GUG608" s="222"/>
      <c r="GUH608" s="222"/>
      <c r="GUI608" s="223"/>
      <c r="GUJ608" s="224"/>
      <c r="GUK608" s="222"/>
      <c r="GUL608" s="222"/>
      <c r="GUM608" s="222"/>
      <c r="GUN608" s="222"/>
      <c r="GUO608" s="222"/>
      <c r="GUP608" s="222"/>
      <c r="GUQ608" s="223"/>
      <c r="GUR608" s="224"/>
      <c r="GUS608" s="222"/>
      <c r="GUT608" s="222"/>
      <c r="GUU608" s="222"/>
      <c r="GUV608" s="222"/>
      <c r="GUW608" s="222"/>
      <c r="GUX608" s="222"/>
      <c r="GUY608" s="223"/>
      <c r="GUZ608" s="224"/>
      <c r="GVA608" s="222"/>
      <c r="GVB608" s="222"/>
      <c r="GVC608" s="222"/>
      <c r="GVD608" s="222"/>
      <c r="GVE608" s="222"/>
      <c r="GVF608" s="222"/>
      <c r="GVG608" s="223"/>
      <c r="GVH608" s="224"/>
      <c r="GVI608" s="222"/>
      <c r="GVJ608" s="222"/>
      <c r="GVK608" s="222"/>
      <c r="GVL608" s="222"/>
      <c r="GVM608" s="222"/>
      <c r="GVN608" s="222"/>
      <c r="GVO608" s="223"/>
      <c r="GVP608" s="224"/>
      <c r="GVQ608" s="222"/>
      <c r="GVR608" s="222"/>
      <c r="GVS608" s="222"/>
      <c r="GVT608" s="222"/>
      <c r="GVU608" s="222"/>
      <c r="GVV608" s="222"/>
      <c r="GVW608" s="223"/>
      <c r="GVX608" s="224"/>
      <c r="GVY608" s="222"/>
      <c r="GVZ608" s="222"/>
      <c r="GWA608" s="222"/>
      <c r="GWB608" s="222"/>
      <c r="GWC608" s="222"/>
      <c r="GWD608" s="222"/>
      <c r="GWE608" s="223"/>
      <c r="GWF608" s="224"/>
      <c r="GWG608" s="222"/>
      <c r="GWH608" s="222"/>
      <c r="GWI608" s="222"/>
      <c r="GWJ608" s="222"/>
      <c r="GWK608" s="222"/>
      <c r="GWL608" s="222"/>
      <c r="GWM608" s="223"/>
      <c r="GWN608" s="224"/>
      <c r="GWO608" s="222"/>
      <c r="GWP608" s="222"/>
      <c r="GWQ608" s="222"/>
      <c r="GWR608" s="222"/>
      <c r="GWS608" s="222"/>
      <c r="GWT608" s="222"/>
      <c r="GWU608" s="223"/>
      <c r="GWV608" s="224"/>
      <c r="GWW608" s="222"/>
      <c r="GWX608" s="222"/>
      <c r="GWY608" s="222"/>
      <c r="GWZ608" s="222"/>
      <c r="GXA608" s="222"/>
      <c r="GXB608" s="222"/>
      <c r="GXC608" s="223"/>
      <c r="GXD608" s="224"/>
      <c r="GXE608" s="222"/>
      <c r="GXF608" s="222"/>
      <c r="GXG608" s="222"/>
      <c r="GXH608" s="222"/>
      <c r="GXI608" s="222"/>
      <c r="GXJ608" s="222"/>
      <c r="GXK608" s="223"/>
      <c r="GXL608" s="224"/>
      <c r="GXM608" s="222"/>
      <c r="GXN608" s="222"/>
      <c r="GXO608" s="222"/>
      <c r="GXP608" s="222"/>
      <c r="GXQ608" s="222"/>
      <c r="GXR608" s="222"/>
      <c r="GXS608" s="223"/>
      <c r="GXT608" s="224"/>
      <c r="GXU608" s="222"/>
      <c r="GXV608" s="222"/>
      <c r="GXW608" s="222"/>
      <c r="GXX608" s="222"/>
      <c r="GXY608" s="222"/>
      <c r="GXZ608" s="222"/>
      <c r="GYA608" s="223"/>
      <c r="GYB608" s="224"/>
      <c r="GYC608" s="222"/>
      <c r="GYD608" s="222"/>
      <c r="GYE608" s="222"/>
      <c r="GYF608" s="222"/>
      <c r="GYG608" s="222"/>
      <c r="GYH608" s="222"/>
      <c r="GYI608" s="223"/>
      <c r="GYJ608" s="224"/>
      <c r="GYK608" s="222"/>
      <c r="GYL608" s="222"/>
      <c r="GYM608" s="222"/>
      <c r="GYN608" s="222"/>
      <c r="GYO608" s="222"/>
      <c r="GYP608" s="222"/>
      <c r="GYQ608" s="223"/>
      <c r="GYR608" s="224"/>
      <c r="GYS608" s="222"/>
      <c r="GYT608" s="222"/>
      <c r="GYU608" s="222"/>
      <c r="GYV608" s="222"/>
      <c r="GYW608" s="222"/>
      <c r="GYX608" s="222"/>
      <c r="GYY608" s="223"/>
      <c r="GYZ608" s="224"/>
      <c r="GZA608" s="222"/>
      <c r="GZB608" s="222"/>
      <c r="GZC608" s="222"/>
      <c r="GZD608" s="222"/>
      <c r="GZE608" s="222"/>
      <c r="GZF608" s="222"/>
      <c r="GZG608" s="223"/>
      <c r="GZH608" s="224"/>
      <c r="GZI608" s="222"/>
      <c r="GZJ608" s="222"/>
      <c r="GZK608" s="222"/>
      <c r="GZL608" s="222"/>
      <c r="GZM608" s="222"/>
      <c r="GZN608" s="222"/>
      <c r="GZO608" s="223"/>
      <c r="GZP608" s="224"/>
      <c r="GZQ608" s="222"/>
      <c r="GZR608" s="222"/>
      <c r="GZS608" s="222"/>
      <c r="GZT608" s="222"/>
      <c r="GZU608" s="222"/>
      <c r="GZV608" s="222"/>
      <c r="GZW608" s="223"/>
      <c r="GZX608" s="224"/>
      <c r="GZY608" s="222"/>
      <c r="GZZ608" s="222"/>
      <c r="HAA608" s="222"/>
      <c r="HAB608" s="222"/>
      <c r="HAC608" s="222"/>
      <c r="HAD608" s="222"/>
      <c r="HAE608" s="223"/>
      <c r="HAF608" s="224"/>
      <c r="HAG608" s="222"/>
      <c r="HAH608" s="222"/>
      <c r="HAI608" s="222"/>
      <c r="HAJ608" s="222"/>
      <c r="HAK608" s="222"/>
      <c r="HAL608" s="222"/>
      <c r="HAM608" s="223"/>
      <c r="HAN608" s="224"/>
      <c r="HAO608" s="222"/>
      <c r="HAP608" s="222"/>
      <c r="HAQ608" s="222"/>
      <c r="HAR608" s="222"/>
      <c r="HAS608" s="222"/>
      <c r="HAT608" s="222"/>
      <c r="HAU608" s="223"/>
      <c r="HAV608" s="224"/>
      <c r="HAW608" s="222"/>
      <c r="HAX608" s="222"/>
      <c r="HAY608" s="222"/>
      <c r="HAZ608" s="222"/>
      <c r="HBA608" s="222"/>
      <c r="HBB608" s="222"/>
      <c r="HBC608" s="223"/>
      <c r="HBD608" s="224"/>
      <c r="HBE608" s="222"/>
      <c r="HBF608" s="222"/>
      <c r="HBG608" s="222"/>
      <c r="HBH608" s="222"/>
      <c r="HBI608" s="222"/>
      <c r="HBJ608" s="222"/>
      <c r="HBK608" s="223"/>
      <c r="HBL608" s="224"/>
      <c r="HBM608" s="222"/>
      <c r="HBN608" s="222"/>
      <c r="HBO608" s="222"/>
      <c r="HBP608" s="222"/>
      <c r="HBQ608" s="222"/>
      <c r="HBR608" s="222"/>
      <c r="HBS608" s="223"/>
      <c r="HBT608" s="224"/>
      <c r="HBU608" s="222"/>
      <c r="HBV608" s="222"/>
      <c r="HBW608" s="222"/>
      <c r="HBX608" s="222"/>
      <c r="HBY608" s="222"/>
      <c r="HBZ608" s="222"/>
      <c r="HCA608" s="223"/>
      <c r="HCB608" s="224"/>
      <c r="HCC608" s="222"/>
      <c r="HCD608" s="222"/>
      <c r="HCE608" s="222"/>
      <c r="HCF608" s="222"/>
      <c r="HCG608" s="222"/>
      <c r="HCH608" s="222"/>
      <c r="HCI608" s="223"/>
      <c r="HCJ608" s="224"/>
      <c r="HCK608" s="222"/>
      <c r="HCL608" s="222"/>
      <c r="HCM608" s="222"/>
      <c r="HCN608" s="222"/>
      <c r="HCO608" s="222"/>
      <c r="HCP608" s="222"/>
      <c r="HCQ608" s="223"/>
      <c r="HCR608" s="224"/>
      <c r="HCS608" s="222"/>
      <c r="HCT608" s="222"/>
      <c r="HCU608" s="222"/>
      <c r="HCV608" s="222"/>
      <c r="HCW608" s="222"/>
      <c r="HCX608" s="222"/>
      <c r="HCY608" s="223"/>
      <c r="HCZ608" s="224"/>
      <c r="HDA608" s="222"/>
      <c r="HDB608" s="222"/>
      <c r="HDC608" s="222"/>
      <c r="HDD608" s="222"/>
      <c r="HDE608" s="222"/>
      <c r="HDF608" s="222"/>
      <c r="HDG608" s="223"/>
      <c r="HDH608" s="224"/>
      <c r="HDI608" s="222"/>
      <c r="HDJ608" s="222"/>
      <c r="HDK608" s="222"/>
      <c r="HDL608" s="222"/>
      <c r="HDM608" s="222"/>
      <c r="HDN608" s="222"/>
      <c r="HDO608" s="223"/>
      <c r="HDP608" s="224"/>
      <c r="HDQ608" s="222"/>
      <c r="HDR608" s="222"/>
      <c r="HDS608" s="222"/>
      <c r="HDT608" s="222"/>
      <c r="HDU608" s="222"/>
      <c r="HDV608" s="222"/>
      <c r="HDW608" s="223"/>
      <c r="HDX608" s="224"/>
      <c r="HDY608" s="222"/>
      <c r="HDZ608" s="222"/>
      <c r="HEA608" s="222"/>
      <c r="HEB608" s="222"/>
      <c r="HEC608" s="222"/>
      <c r="HED608" s="222"/>
      <c r="HEE608" s="223"/>
      <c r="HEF608" s="224"/>
      <c r="HEG608" s="222"/>
      <c r="HEH608" s="222"/>
      <c r="HEI608" s="222"/>
      <c r="HEJ608" s="222"/>
      <c r="HEK608" s="222"/>
      <c r="HEL608" s="222"/>
      <c r="HEM608" s="223"/>
      <c r="HEN608" s="224"/>
      <c r="HEO608" s="222"/>
      <c r="HEP608" s="222"/>
      <c r="HEQ608" s="222"/>
      <c r="HER608" s="222"/>
      <c r="HES608" s="222"/>
      <c r="HET608" s="222"/>
      <c r="HEU608" s="223"/>
      <c r="HEV608" s="224"/>
      <c r="HEW608" s="222"/>
      <c r="HEX608" s="222"/>
      <c r="HEY608" s="222"/>
      <c r="HEZ608" s="222"/>
      <c r="HFA608" s="222"/>
      <c r="HFB608" s="222"/>
      <c r="HFC608" s="223"/>
      <c r="HFD608" s="224"/>
      <c r="HFE608" s="222"/>
      <c r="HFF608" s="222"/>
      <c r="HFG608" s="222"/>
      <c r="HFH608" s="222"/>
      <c r="HFI608" s="222"/>
      <c r="HFJ608" s="222"/>
      <c r="HFK608" s="223"/>
      <c r="HFL608" s="224"/>
      <c r="HFM608" s="222"/>
      <c r="HFN608" s="222"/>
      <c r="HFO608" s="222"/>
      <c r="HFP608" s="222"/>
      <c r="HFQ608" s="222"/>
      <c r="HFR608" s="222"/>
      <c r="HFS608" s="223"/>
      <c r="HFT608" s="224"/>
      <c r="HFU608" s="222"/>
      <c r="HFV608" s="222"/>
      <c r="HFW608" s="222"/>
      <c r="HFX608" s="222"/>
      <c r="HFY608" s="222"/>
      <c r="HFZ608" s="222"/>
      <c r="HGA608" s="223"/>
      <c r="HGB608" s="224"/>
      <c r="HGC608" s="222"/>
      <c r="HGD608" s="222"/>
      <c r="HGE608" s="222"/>
      <c r="HGF608" s="222"/>
      <c r="HGG608" s="222"/>
      <c r="HGH608" s="222"/>
      <c r="HGI608" s="223"/>
      <c r="HGJ608" s="224"/>
      <c r="HGK608" s="222"/>
      <c r="HGL608" s="222"/>
      <c r="HGM608" s="222"/>
      <c r="HGN608" s="222"/>
      <c r="HGO608" s="222"/>
      <c r="HGP608" s="222"/>
      <c r="HGQ608" s="223"/>
      <c r="HGR608" s="224"/>
      <c r="HGS608" s="222"/>
      <c r="HGT608" s="222"/>
      <c r="HGU608" s="222"/>
      <c r="HGV608" s="222"/>
      <c r="HGW608" s="222"/>
      <c r="HGX608" s="222"/>
      <c r="HGY608" s="223"/>
      <c r="HGZ608" s="224"/>
      <c r="HHA608" s="222"/>
      <c r="HHB608" s="222"/>
      <c r="HHC608" s="222"/>
      <c r="HHD608" s="222"/>
      <c r="HHE608" s="222"/>
      <c r="HHF608" s="222"/>
      <c r="HHG608" s="223"/>
      <c r="HHH608" s="224"/>
      <c r="HHI608" s="222"/>
      <c r="HHJ608" s="222"/>
      <c r="HHK608" s="222"/>
      <c r="HHL608" s="222"/>
      <c r="HHM608" s="222"/>
      <c r="HHN608" s="222"/>
      <c r="HHO608" s="223"/>
      <c r="HHP608" s="224"/>
      <c r="HHQ608" s="222"/>
      <c r="HHR608" s="222"/>
      <c r="HHS608" s="222"/>
      <c r="HHT608" s="222"/>
      <c r="HHU608" s="222"/>
      <c r="HHV608" s="222"/>
      <c r="HHW608" s="223"/>
      <c r="HHX608" s="224"/>
      <c r="HHY608" s="222"/>
      <c r="HHZ608" s="222"/>
      <c r="HIA608" s="222"/>
      <c r="HIB608" s="222"/>
      <c r="HIC608" s="222"/>
      <c r="HID608" s="222"/>
      <c r="HIE608" s="223"/>
      <c r="HIF608" s="224"/>
      <c r="HIG608" s="222"/>
      <c r="HIH608" s="222"/>
      <c r="HII608" s="222"/>
      <c r="HIJ608" s="222"/>
      <c r="HIK608" s="222"/>
      <c r="HIL608" s="222"/>
      <c r="HIM608" s="223"/>
      <c r="HIN608" s="224"/>
      <c r="HIO608" s="222"/>
      <c r="HIP608" s="222"/>
      <c r="HIQ608" s="222"/>
      <c r="HIR608" s="222"/>
      <c r="HIS608" s="222"/>
      <c r="HIT608" s="222"/>
      <c r="HIU608" s="223"/>
      <c r="HIV608" s="224"/>
      <c r="HIW608" s="222"/>
      <c r="HIX608" s="222"/>
      <c r="HIY608" s="222"/>
      <c r="HIZ608" s="222"/>
      <c r="HJA608" s="222"/>
      <c r="HJB608" s="222"/>
      <c r="HJC608" s="223"/>
      <c r="HJD608" s="224"/>
      <c r="HJE608" s="222"/>
      <c r="HJF608" s="222"/>
      <c r="HJG608" s="222"/>
      <c r="HJH608" s="222"/>
      <c r="HJI608" s="222"/>
      <c r="HJJ608" s="222"/>
      <c r="HJK608" s="223"/>
      <c r="HJL608" s="224"/>
      <c r="HJM608" s="222"/>
      <c r="HJN608" s="222"/>
      <c r="HJO608" s="222"/>
      <c r="HJP608" s="222"/>
      <c r="HJQ608" s="222"/>
      <c r="HJR608" s="222"/>
      <c r="HJS608" s="223"/>
      <c r="HJT608" s="224"/>
      <c r="HJU608" s="222"/>
      <c r="HJV608" s="222"/>
      <c r="HJW608" s="222"/>
      <c r="HJX608" s="222"/>
      <c r="HJY608" s="222"/>
      <c r="HJZ608" s="222"/>
      <c r="HKA608" s="223"/>
      <c r="HKB608" s="224"/>
      <c r="HKC608" s="222"/>
      <c r="HKD608" s="222"/>
      <c r="HKE608" s="222"/>
      <c r="HKF608" s="222"/>
      <c r="HKG608" s="222"/>
      <c r="HKH608" s="222"/>
      <c r="HKI608" s="223"/>
      <c r="HKJ608" s="224"/>
      <c r="HKK608" s="222"/>
      <c r="HKL608" s="222"/>
      <c r="HKM608" s="222"/>
      <c r="HKN608" s="222"/>
      <c r="HKO608" s="222"/>
      <c r="HKP608" s="222"/>
      <c r="HKQ608" s="223"/>
      <c r="HKR608" s="224"/>
      <c r="HKS608" s="222"/>
      <c r="HKT608" s="222"/>
      <c r="HKU608" s="222"/>
      <c r="HKV608" s="222"/>
      <c r="HKW608" s="222"/>
      <c r="HKX608" s="222"/>
      <c r="HKY608" s="223"/>
      <c r="HKZ608" s="224"/>
      <c r="HLA608" s="222"/>
      <c r="HLB608" s="222"/>
      <c r="HLC608" s="222"/>
      <c r="HLD608" s="222"/>
      <c r="HLE608" s="222"/>
      <c r="HLF608" s="222"/>
      <c r="HLG608" s="223"/>
      <c r="HLH608" s="224"/>
      <c r="HLI608" s="222"/>
      <c r="HLJ608" s="222"/>
      <c r="HLK608" s="222"/>
      <c r="HLL608" s="222"/>
      <c r="HLM608" s="222"/>
      <c r="HLN608" s="222"/>
      <c r="HLO608" s="223"/>
      <c r="HLP608" s="224"/>
      <c r="HLQ608" s="222"/>
      <c r="HLR608" s="222"/>
      <c r="HLS608" s="222"/>
      <c r="HLT608" s="222"/>
      <c r="HLU608" s="222"/>
      <c r="HLV608" s="222"/>
      <c r="HLW608" s="223"/>
      <c r="HLX608" s="224"/>
      <c r="HLY608" s="222"/>
      <c r="HLZ608" s="222"/>
      <c r="HMA608" s="222"/>
      <c r="HMB608" s="222"/>
      <c r="HMC608" s="222"/>
      <c r="HMD608" s="222"/>
      <c r="HME608" s="223"/>
      <c r="HMF608" s="224"/>
      <c r="HMG608" s="222"/>
      <c r="HMH608" s="222"/>
      <c r="HMI608" s="222"/>
      <c r="HMJ608" s="222"/>
      <c r="HMK608" s="222"/>
      <c r="HML608" s="222"/>
      <c r="HMM608" s="223"/>
      <c r="HMN608" s="224"/>
      <c r="HMO608" s="222"/>
      <c r="HMP608" s="222"/>
      <c r="HMQ608" s="222"/>
      <c r="HMR608" s="222"/>
      <c r="HMS608" s="222"/>
      <c r="HMT608" s="222"/>
      <c r="HMU608" s="223"/>
      <c r="HMV608" s="224"/>
      <c r="HMW608" s="222"/>
      <c r="HMX608" s="222"/>
      <c r="HMY608" s="222"/>
      <c r="HMZ608" s="222"/>
      <c r="HNA608" s="222"/>
      <c r="HNB608" s="222"/>
      <c r="HNC608" s="223"/>
      <c r="HND608" s="224"/>
      <c r="HNE608" s="222"/>
      <c r="HNF608" s="222"/>
      <c r="HNG608" s="222"/>
      <c r="HNH608" s="222"/>
      <c r="HNI608" s="222"/>
      <c r="HNJ608" s="222"/>
      <c r="HNK608" s="223"/>
      <c r="HNL608" s="224"/>
      <c r="HNM608" s="222"/>
      <c r="HNN608" s="222"/>
      <c r="HNO608" s="222"/>
      <c r="HNP608" s="222"/>
      <c r="HNQ608" s="222"/>
      <c r="HNR608" s="222"/>
      <c r="HNS608" s="223"/>
      <c r="HNT608" s="224"/>
      <c r="HNU608" s="222"/>
      <c r="HNV608" s="222"/>
      <c r="HNW608" s="222"/>
      <c r="HNX608" s="222"/>
      <c r="HNY608" s="222"/>
      <c r="HNZ608" s="222"/>
      <c r="HOA608" s="223"/>
      <c r="HOB608" s="224"/>
      <c r="HOC608" s="222"/>
      <c r="HOD608" s="222"/>
      <c r="HOE608" s="222"/>
      <c r="HOF608" s="222"/>
      <c r="HOG608" s="222"/>
      <c r="HOH608" s="222"/>
      <c r="HOI608" s="223"/>
      <c r="HOJ608" s="224"/>
      <c r="HOK608" s="222"/>
      <c r="HOL608" s="222"/>
      <c r="HOM608" s="222"/>
      <c r="HON608" s="222"/>
      <c r="HOO608" s="222"/>
      <c r="HOP608" s="222"/>
      <c r="HOQ608" s="223"/>
      <c r="HOR608" s="224"/>
      <c r="HOS608" s="222"/>
      <c r="HOT608" s="222"/>
      <c r="HOU608" s="222"/>
      <c r="HOV608" s="222"/>
      <c r="HOW608" s="222"/>
      <c r="HOX608" s="222"/>
      <c r="HOY608" s="223"/>
      <c r="HOZ608" s="224"/>
      <c r="HPA608" s="222"/>
      <c r="HPB608" s="222"/>
      <c r="HPC608" s="222"/>
      <c r="HPD608" s="222"/>
      <c r="HPE608" s="222"/>
      <c r="HPF608" s="222"/>
      <c r="HPG608" s="223"/>
      <c r="HPH608" s="224"/>
      <c r="HPI608" s="222"/>
      <c r="HPJ608" s="222"/>
      <c r="HPK608" s="222"/>
      <c r="HPL608" s="222"/>
      <c r="HPM608" s="222"/>
      <c r="HPN608" s="222"/>
      <c r="HPO608" s="223"/>
      <c r="HPP608" s="224"/>
      <c r="HPQ608" s="222"/>
      <c r="HPR608" s="222"/>
      <c r="HPS608" s="222"/>
      <c r="HPT608" s="222"/>
      <c r="HPU608" s="222"/>
      <c r="HPV608" s="222"/>
      <c r="HPW608" s="223"/>
      <c r="HPX608" s="224"/>
      <c r="HPY608" s="222"/>
      <c r="HPZ608" s="222"/>
      <c r="HQA608" s="222"/>
      <c r="HQB608" s="222"/>
      <c r="HQC608" s="222"/>
      <c r="HQD608" s="222"/>
      <c r="HQE608" s="223"/>
      <c r="HQF608" s="224"/>
      <c r="HQG608" s="222"/>
      <c r="HQH608" s="222"/>
      <c r="HQI608" s="222"/>
      <c r="HQJ608" s="222"/>
      <c r="HQK608" s="222"/>
      <c r="HQL608" s="222"/>
      <c r="HQM608" s="223"/>
      <c r="HQN608" s="224"/>
      <c r="HQO608" s="222"/>
      <c r="HQP608" s="222"/>
      <c r="HQQ608" s="222"/>
      <c r="HQR608" s="222"/>
      <c r="HQS608" s="222"/>
      <c r="HQT608" s="222"/>
      <c r="HQU608" s="223"/>
      <c r="HQV608" s="224"/>
      <c r="HQW608" s="222"/>
      <c r="HQX608" s="222"/>
      <c r="HQY608" s="222"/>
      <c r="HQZ608" s="222"/>
      <c r="HRA608" s="222"/>
      <c r="HRB608" s="222"/>
      <c r="HRC608" s="223"/>
      <c r="HRD608" s="224"/>
      <c r="HRE608" s="222"/>
      <c r="HRF608" s="222"/>
      <c r="HRG608" s="222"/>
      <c r="HRH608" s="222"/>
      <c r="HRI608" s="222"/>
      <c r="HRJ608" s="222"/>
      <c r="HRK608" s="223"/>
      <c r="HRL608" s="224"/>
      <c r="HRM608" s="222"/>
      <c r="HRN608" s="222"/>
      <c r="HRO608" s="222"/>
      <c r="HRP608" s="222"/>
      <c r="HRQ608" s="222"/>
      <c r="HRR608" s="222"/>
      <c r="HRS608" s="223"/>
      <c r="HRT608" s="224"/>
      <c r="HRU608" s="222"/>
      <c r="HRV608" s="222"/>
      <c r="HRW608" s="222"/>
      <c r="HRX608" s="222"/>
      <c r="HRY608" s="222"/>
      <c r="HRZ608" s="222"/>
      <c r="HSA608" s="223"/>
      <c r="HSB608" s="224"/>
      <c r="HSC608" s="222"/>
      <c r="HSD608" s="222"/>
      <c r="HSE608" s="222"/>
      <c r="HSF608" s="222"/>
      <c r="HSG608" s="222"/>
      <c r="HSH608" s="222"/>
      <c r="HSI608" s="223"/>
      <c r="HSJ608" s="224"/>
      <c r="HSK608" s="222"/>
      <c r="HSL608" s="222"/>
      <c r="HSM608" s="222"/>
      <c r="HSN608" s="222"/>
      <c r="HSO608" s="222"/>
      <c r="HSP608" s="222"/>
      <c r="HSQ608" s="223"/>
      <c r="HSR608" s="224"/>
      <c r="HSS608" s="222"/>
      <c r="HST608" s="222"/>
      <c r="HSU608" s="222"/>
      <c r="HSV608" s="222"/>
      <c r="HSW608" s="222"/>
      <c r="HSX608" s="222"/>
      <c r="HSY608" s="223"/>
      <c r="HSZ608" s="224"/>
      <c r="HTA608" s="222"/>
      <c r="HTB608" s="222"/>
      <c r="HTC608" s="222"/>
      <c r="HTD608" s="222"/>
      <c r="HTE608" s="222"/>
      <c r="HTF608" s="222"/>
      <c r="HTG608" s="223"/>
      <c r="HTH608" s="224"/>
      <c r="HTI608" s="222"/>
      <c r="HTJ608" s="222"/>
      <c r="HTK608" s="222"/>
      <c r="HTL608" s="222"/>
      <c r="HTM608" s="222"/>
      <c r="HTN608" s="222"/>
      <c r="HTO608" s="223"/>
      <c r="HTP608" s="224"/>
      <c r="HTQ608" s="222"/>
      <c r="HTR608" s="222"/>
      <c r="HTS608" s="222"/>
      <c r="HTT608" s="222"/>
      <c r="HTU608" s="222"/>
      <c r="HTV608" s="222"/>
      <c r="HTW608" s="223"/>
      <c r="HTX608" s="224"/>
      <c r="HTY608" s="222"/>
      <c r="HTZ608" s="222"/>
      <c r="HUA608" s="222"/>
      <c r="HUB608" s="222"/>
      <c r="HUC608" s="222"/>
      <c r="HUD608" s="222"/>
      <c r="HUE608" s="223"/>
      <c r="HUF608" s="224"/>
      <c r="HUG608" s="222"/>
      <c r="HUH608" s="222"/>
      <c r="HUI608" s="222"/>
      <c r="HUJ608" s="222"/>
      <c r="HUK608" s="222"/>
      <c r="HUL608" s="222"/>
      <c r="HUM608" s="223"/>
      <c r="HUN608" s="224"/>
      <c r="HUO608" s="222"/>
      <c r="HUP608" s="222"/>
      <c r="HUQ608" s="222"/>
      <c r="HUR608" s="222"/>
      <c r="HUS608" s="222"/>
      <c r="HUT608" s="222"/>
      <c r="HUU608" s="223"/>
      <c r="HUV608" s="224"/>
      <c r="HUW608" s="222"/>
      <c r="HUX608" s="222"/>
      <c r="HUY608" s="222"/>
      <c r="HUZ608" s="222"/>
      <c r="HVA608" s="222"/>
      <c r="HVB608" s="222"/>
      <c r="HVC608" s="223"/>
      <c r="HVD608" s="224"/>
      <c r="HVE608" s="222"/>
      <c r="HVF608" s="222"/>
      <c r="HVG608" s="222"/>
      <c r="HVH608" s="222"/>
      <c r="HVI608" s="222"/>
      <c r="HVJ608" s="222"/>
      <c r="HVK608" s="223"/>
      <c r="HVL608" s="224"/>
      <c r="HVM608" s="222"/>
      <c r="HVN608" s="222"/>
      <c r="HVO608" s="222"/>
      <c r="HVP608" s="222"/>
      <c r="HVQ608" s="222"/>
      <c r="HVR608" s="222"/>
      <c r="HVS608" s="223"/>
      <c r="HVT608" s="224"/>
      <c r="HVU608" s="222"/>
      <c r="HVV608" s="222"/>
      <c r="HVW608" s="222"/>
      <c r="HVX608" s="222"/>
      <c r="HVY608" s="222"/>
      <c r="HVZ608" s="222"/>
      <c r="HWA608" s="223"/>
      <c r="HWB608" s="224"/>
      <c r="HWC608" s="222"/>
      <c r="HWD608" s="222"/>
      <c r="HWE608" s="222"/>
      <c r="HWF608" s="222"/>
      <c r="HWG608" s="222"/>
      <c r="HWH608" s="222"/>
      <c r="HWI608" s="223"/>
      <c r="HWJ608" s="224"/>
      <c r="HWK608" s="222"/>
      <c r="HWL608" s="222"/>
      <c r="HWM608" s="222"/>
      <c r="HWN608" s="222"/>
      <c r="HWO608" s="222"/>
      <c r="HWP608" s="222"/>
      <c r="HWQ608" s="223"/>
      <c r="HWR608" s="224"/>
      <c r="HWS608" s="222"/>
      <c r="HWT608" s="222"/>
      <c r="HWU608" s="222"/>
      <c r="HWV608" s="222"/>
      <c r="HWW608" s="222"/>
      <c r="HWX608" s="222"/>
      <c r="HWY608" s="223"/>
      <c r="HWZ608" s="224"/>
      <c r="HXA608" s="222"/>
      <c r="HXB608" s="222"/>
      <c r="HXC608" s="222"/>
      <c r="HXD608" s="222"/>
      <c r="HXE608" s="222"/>
      <c r="HXF608" s="222"/>
      <c r="HXG608" s="223"/>
      <c r="HXH608" s="224"/>
      <c r="HXI608" s="222"/>
      <c r="HXJ608" s="222"/>
      <c r="HXK608" s="222"/>
      <c r="HXL608" s="222"/>
      <c r="HXM608" s="222"/>
      <c r="HXN608" s="222"/>
      <c r="HXO608" s="223"/>
      <c r="HXP608" s="224"/>
      <c r="HXQ608" s="222"/>
      <c r="HXR608" s="222"/>
      <c r="HXS608" s="222"/>
      <c r="HXT608" s="222"/>
      <c r="HXU608" s="222"/>
      <c r="HXV608" s="222"/>
      <c r="HXW608" s="223"/>
      <c r="HXX608" s="224"/>
      <c r="HXY608" s="222"/>
      <c r="HXZ608" s="222"/>
      <c r="HYA608" s="222"/>
      <c r="HYB608" s="222"/>
      <c r="HYC608" s="222"/>
      <c r="HYD608" s="222"/>
      <c r="HYE608" s="223"/>
      <c r="HYF608" s="224"/>
      <c r="HYG608" s="222"/>
      <c r="HYH608" s="222"/>
      <c r="HYI608" s="222"/>
      <c r="HYJ608" s="222"/>
      <c r="HYK608" s="222"/>
      <c r="HYL608" s="222"/>
      <c r="HYM608" s="223"/>
      <c r="HYN608" s="224"/>
      <c r="HYO608" s="222"/>
      <c r="HYP608" s="222"/>
      <c r="HYQ608" s="222"/>
      <c r="HYR608" s="222"/>
      <c r="HYS608" s="222"/>
      <c r="HYT608" s="222"/>
      <c r="HYU608" s="223"/>
      <c r="HYV608" s="224"/>
      <c r="HYW608" s="222"/>
      <c r="HYX608" s="222"/>
      <c r="HYY608" s="222"/>
      <c r="HYZ608" s="222"/>
      <c r="HZA608" s="222"/>
      <c r="HZB608" s="222"/>
      <c r="HZC608" s="223"/>
      <c r="HZD608" s="224"/>
      <c r="HZE608" s="222"/>
      <c r="HZF608" s="222"/>
      <c r="HZG608" s="222"/>
      <c r="HZH608" s="222"/>
      <c r="HZI608" s="222"/>
      <c r="HZJ608" s="222"/>
      <c r="HZK608" s="223"/>
      <c r="HZL608" s="224"/>
      <c r="HZM608" s="222"/>
      <c r="HZN608" s="222"/>
      <c r="HZO608" s="222"/>
      <c r="HZP608" s="222"/>
      <c r="HZQ608" s="222"/>
      <c r="HZR608" s="222"/>
      <c r="HZS608" s="223"/>
      <c r="HZT608" s="224"/>
      <c r="HZU608" s="222"/>
      <c r="HZV608" s="222"/>
      <c r="HZW608" s="222"/>
      <c r="HZX608" s="222"/>
      <c r="HZY608" s="222"/>
      <c r="HZZ608" s="222"/>
      <c r="IAA608" s="223"/>
      <c r="IAB608" s="224"/>
      <c r="IAC608" s="222"/>
      <c r="IAD608" s="222"/>
      <c r="IAE608" s="222"/>
      <c r="IAF608" s="222"/>
      <c r="IAG608" s="222"/>
      <c r="IAH608" s="222"/>
      <c r="IAI608" s="223"/>
      <c r="IAJ608" s="224"/>
      <c r="IAK608" s="222"/>
      <c r="IAL608" s="222"/>
      <c r="IAM608" s="222"/>
      <c r="IAN608" s="222"/>
      <c r="IAO608" s="222"/>
      <c r="IAP608" s="222"/>
      <c r="IAQ608" s="223"/>
      <c r="IAR608" s="224"/>
      <c r="IAS608" s="222"/>
      <c r="IAT608" s="222"/>
      <c r="IAU608" s="222"/>
      <c r="IAV608" s="222"/>
      <c r="IAW608" s="222"/>
      <c r="IAX608" s="222"/>
      <c r="IAY608" s="223"/>
      <c r="IAZ608" s="224"/>
      <c r="IBA608" s="222"/>
      <c r="IBB608" s="222"/>
      <c r="IBC608" s="222"/>
      <c r="IBD608" s="222"/>
      <c r="IBE608" s="222"/>
      <c r="IBF608" s="222"/>
      <c r="IBG608" s="223"/>
      <c r="IBH608" s="224"/>
      <c r="IBI608" s="222"/>
      <c r="IBJ608" s="222"/>
      <c r="IBK608" s="222"/>
      <c r="IBL608" s="222"/>
      <c r="IBM608" s="222"/>
      <c r="IBN608" s="222"/>
      <c r="IBO608" s="223"/>
      <c r="IBP608" s="224"/>
      <c r="IBQ608" s="222"/>
      <c r="IBR608" s="222"/>
      <c r="IBS608" s="222"/>
      <c r="IBT608" s="222"/>
      <c r="IBU608" s="222"/>
      <c r="IBV608" s="222"/>
      <c r="IBW608" s="223"/>
      <c r="IBX608" s="224"/>
      <c r="IBY608" s="222"/>
      <c r="IBZ608" s="222"/>
      <c r="ICA608" s="222"/>
      <c r="ICB608" s="222"/>
      <c r="ICC608" s="222"/>
      <c r="ICD608" s="222"/>
      <c r="ICE608" s="223"/>
      <c r="ICF608" s="224"/>
      <c r="ICG608" s="222"/>
      <c r="ICH608" s="222"/>
      <c r="ICI608" s="222"/>
      <c r="ICJ608" s="222"/>
      <c r="ICK608" s="222"/>
      <c r="ICL608" s="222"/>
      <c r="ICM608" s="223"/>
      <c r="ICN608" s="224"/>
      <c r="ICO608" s="222"/>
      <c r="ICP608" s="222"/>
      <c r="ICQ608" s="222"/>
      <c r="ICR608" s="222"/>
      <c r="ICS608" s="222"/>
      <c r="ICT608" s="222"/>
      <c r="ICU608" s="223"/>
      <c r="ICV608" s="224"/>
      <c r="ICW608" s="222"/>
      <c r="ICX608" s="222"/>
      <c r="ICY608" s="222"/>
      <c r="ICZ608" s="222"/>
      <c r="IDA608" s="222"/>
      <c r="IDB608" s="222"/>
      <c r="IDC608" s="223"/>
      <c r="IDD608" s="224"/>
      <c r="IDE608" s="222"/>
      <c r="IDF608" s="222"/>
      <c r="IDG608" s="222"/>
      <c r="IDH608" s="222"/>
      <c r="IDI608" s="222"/>
      <c r="IDJ608" s="222"/>
      <c r="IDK608" s="223"/>
      <c r="IDL608" s="224"/>
      <c r="IDM608" s="222"/>
      <c r="IDN608" s="222"/>
      <c r="IDO608" s="222"/>
      <c r="IDP608" s="222"/>
      <c r="IDQ608" s="222"/>
      <c r="IDR608" s="222"/>
      <c r="IDS608" s="223"/>
      <c r="IDT608" s="224"/>
      <c r="IDU608" s="222"/>
      <c r="IDV608" s="222"/>
      <c r="IDW608" s="222"/>
      <c r="IDX608" s="222"/>
      <c r="IDY608" s="222"/>
      <c r="IDZ608" s="222"/>
      <c r="IEA608" s="223"/>
      <c r="IEB608" s="224"/>
      <c r="IEC608" s="222"/>
      <c r="IED608" s="222"/>
      <c r="IEE608" s="222"/>
      <c r="IEF608" s="222"/>
      <c r="IEG608" s="222"/>
      <c r="IEH608" s="222"/>
      <c r="IEI608" s="223"/>
      <c r="IEJ608" s="224"/>
      <c r="IEK608" s="222"/>
      <c r="IEL608" s="222"/>
      <c r="IEM608" s="222"/>
      <c r="IEN608" s="222"/>
      <c r="IEO608" s="222"/>
      <c r="IEP608" s="222"/>
      <c r="IEQ608" s="223"/>
      <c r="IER608" s="224"/>
      <c r="IES608" s="222"/>
      <c r="IET608" s="222"/>
      <c r="IEU608" s="222"/>
      <c r="IEV608" s="222"/>
      <c r="IEW608" s="222"/>
      <c r="IEX608" s="222"/>
      <c r="IEY608" s="223"/>
      <c r="IEZ608" s="224"/>
      <c r="IFA608" s="222"/>
      <c r="IFB608" s="222"/>
      <c r="IFC608" s="222"/>
      <c r="IFD608" s="222"/>
      <c r="IFE608" s="222"/>
      <c r="IFF608" s="222"/>
      <c r="IFG608" s="223"/>
      <c r="IFH608" s="224"/>
      <c r="IFI608" s="222"/>
      <c r="IFJ608" s="222"/>
      <c r="IFK608" s="222"/>
      <c r="IFL608" s="222"/>
      <c r="IFM608" s="222"/>
      <c r="IFN608" s="222"/>
      <c r="IFO608" s="223"/>
      <c r="IFP608" s="224"/>
      <c r="IFQ608" s="222"/>
      <c r="IFR608" s="222"/>
      <c r="IFS608" s="222"/>
      <c r="IFT608" s="222"/>
      <c r="IFU608" s="222"/>
      <c r="IFV608" s="222"/>
      <c r="IFW608" s="223"/>
      <c r="IFX608" s="224"/>
      <c r="IFY608" s="222"/>
      <c r="IFZ608" s="222"/>
      <c r="IGA608" s="222"/>
      <c r="IGB608" s="222"/>
      <c r="IGC608" s="222"/>
      <c r="IGD608" s="222"/>
      <c r="IGE608" s="223"/>
      <c r="IGF608" s="224"/>
      <c r="IGG608" s="222"/>
      <c r="IGH608" s="222"/>
      <c r="IGI608" s="222"/>
      <c r="IGJ608" s="222"/>
      <c r="IGK608" s="222"/>
      <c r="IGL608" s="222"/>
      <c r="IGM608" s="223"/>
      <c r="IGN608" s="224"/>
      <c r="IGO608" s="222"/>
      <c r="IGP608" s="222"/>
      <c r="IGQ608" s="222"/>
      <c r="IGR608" s="222"/>
      <c r="IGS608" s="222"/>
      <c r="IGT608" s="222"/>
      <c r="IGU608" s="223"/>
      <c r="IGV608" s="224"/>
      <c r="IGW608" s="222"/>
      <c r="IGX608" s="222"/>
      <c r="IGY608" s="222"/>
      <c r="IGZ608" s="222"/>
      <c r="IHA608" s="222"/>
      <c r="IHB608" s="222"/>
      <c r="IHC608" s="223"/>
      <c r="IHD608" s="224"/>
      <c r="IHE608" s="222"/>
      <c r="IHF608" s="222"/>
      <c r="IHG608" s="222"/>
      <c r="IHH608" s="222"/>
      <c r="IHI608" s="222"/>
      <c r="IHJ608" s="222"/>
      <c r="IHK608" s="223"/>
      <c r="IHL608" s="224"/>
      <c r="IHM608" s="222"/>
      <c r="IHN608" s="222"/>
      <c r="IHO608" s="222"/>
      <c r="IHP608" s="222"/>
      <c r="IHQ608" s="222"/>
      <c r="IHR608" s="222"/>
      <c r="IHS608" s="223"/>
      <c r="IHT608" s="224"/>
      <c r="IHU608" s="222"/>
      <c r="IHV608" s="222"/>
      <c r="IHW608" s="222"/>
      <c r="IHX608" s="222"/>
      <c r="IHY608" s="222"/>
      <c r="IHZ608" s="222"/>
      <c r="IIA608" s="223"/>
      <c r="IIB608" s="224"/>
      <c r="IIC608" s="222"/>
      <c r="IID608" s="222"/>
      <c r="IIE608" s="222"/>
      <c r="IIF608" s="222"/>
      <c r="IIG608" s="222"/>
      <c r="IIH608" s="222"/>
      <c r="III608" s="223"/>
      <c r="IIJ608" s="224"/>
      <c r="IIK608" s="222"/>
      <c r="IIL608" s="222"/>
      <c r="IIM608" s="222"/>
      <c r="IIN608" s="222"/>
      <c r="IIO608" s="222"/>
      <c r="IIP608" s="222"/>
      <c r="IIQ608" s="223"/>
      <c r="IIR608" s="224"/>
      <c r="IIS608" s="222"/>
      <c r="IIT608" s="222"/>
      <c r="IIU608" s="222"/>
      <c r="IIV608" s="222"/>
      <c r="IIW608" s="222"/>
      <c r="IIX608" s="222"/>
      <c r="IIY608" s="223"/>
      <c r="IIZ608" s="224"/>
      <c r="IJA608" s="222"/>
      <c r="IJB608" s="222"/>
      <c r="IJC608" s="222"/>
      <c r="IJD608" s="222"/>
      <c r="IJE608" s="222"/>
      <c r="IJF608" s="222"/>
      <c r="IJG608" s="223"/>
      <c r="IJH608" s="224"/>
      <c r="IJI608" s="222"/>
      <c r="IJJ608" s="222"/>
      <c r="IJK608" s="222"/>
      <c r="IJL608" s="222"/>
      <c r="IJM608" s="222"/>
      <c r="IJN608" s="222"/>
      <c r="IJO608" s="223"/>
      <c r="IJP608" s="224"/>
      <c r="IJQ608" s="222"/>
      <c r="IJR608" s="222"/>
      <c r="IJS608" s="222"/>
      <c r="IJT608" s="222"/>
      <c r="IJU608" s="222"/>
      <c r="IJV608" s="222"/>
      <c r="IJW608" s="223"/>
      <c r="IJX608" s="224"/>
      <c r="IJY608" s="222"/>
      <c r="IJZ608" s="222"/>
      <c r="IKA608" s="222"/>
      <c r="IKB608" s="222"/>
      <c r="IKC608" s="222"/>
      <c r="IKD608" s="222"/>
      <c r="IKE608" s="223"/>
      <c r="IKF608" s="224"/>
      <c r="IKG608" s="222"/>
      <c r="IKH608" s="222"/>
      <c r="IKI608" s="222"/>
      <c r="IKJ608" s="222"/>
      <c r="IKK608" s="222"/>
      <c r="IKL608" s="222"/>
      <c r="IKM608" s="223"/>
      <c r="IKN608" s="224"/>
      <c r="IKO608" s="222"/>
      <c r="IKP608" s="222"/>
      <c r="IKQ608" s="222"/>
      <c r="IKR608" s="222"/>
      <c r="IKS608" s="222"/>
      <c r="IKT608" s="222"/>
      <c r="IKU608" s="223"/>
      <c r="IKV608" s="224"/>
      <c r="IKW608" s="222"/>
      <c r="IKX608" s="222"/>
      <c r="IKY608" s="222"/>
      <c r="IKZ608" s="222"/>
      <c r="ILA608" s="222"/>
      <c r="ILB608" s="222"/>
      <c r="ILC608" s="223"/>
      <c r="ILD608" s="224"/>
      <c r="ILE608" s="222"/>
      <c r="ILF608" s="222"/>
      <c r="ILG608" s="222"/>
      <c r="ILH608" s="222"/>
      <c r="ILI608" s="222"/>
      <c r="ILJ608" s="222"/>
      <c r="ILK608" s="223"/>
      <c r="ILL608" s="224"/>
      <c r="ILM608" s="222"/>
      <c r="ILN608" s="222"/>
      <c r="ILO608" s="222"/>
      <c r="ILP608" s="222"/>
      <c r="ILQ608" s="222"/>
      <c r="ILR608" s="222"/>
      <c r="ILS608" s="223"/>
      <c r="ILT608" s="224"/>
      <c r="ILU608" s="222"/>
      <c r="ILV608" s="222"/>
      <c r="ILW608" s="222"/>
      <c r="ILX608" s="222"/>
      <c r="ILY608" s="222"/>
      <c r="ILZ608" s="222"/>
      <c r="IMA608" s="223"/>
      <c r="IMB608" s="224"/>
      <c r="IMC608" s="222"/>
      <c r="IMD608" s="222"/>
      <c r="IME608" s="222"/>
      <c r="IMF608" s="222"/>
      <c r="IMG608" s="222"/>
      <c r="IMH608" s="222"/>
      <c r="IMI608" s="223"/>
      <c r="IMJ608" s="224"/>
      <c r="IMK608" s="222"/>
      <c r="IML608" s="222"/>
      <c r="IMM608" s="222"/>
      <c r="IMN608" s="222"/>
      <c r="IMO608" s="222"/>
      <c r="IMP608" s="222"/>
      <c r="IMQ608" s="223"/>
      <c r="IMR608" s="224"/>
      <c r="IMS608" s="222"/>
      <c r="IMT608" s="222"/>
      <c r="IMU608" s="222"/>
      <c r="IMV608" s="222"/>
      <c r="IMW608" s="222"/>
      <c r="IMX608" s="222"/>
      <c r="IMY608" s="223"/>
      <c r="IMZ608" s="224"/>
      <c r="INA608" s="222"/>
      <c r="INB608" s="222"/>
      <c r="INC608" s="222"/>
      <c r="IND608" s="222"/>
      <c r="INE608" s="222"/>
      <c r="INF608" s="222"/>
      <c r="ING608" s="223"/>
      <c r="INH608" s="224"/>
      <c r="INI608" s="222"/>
      <c r="INJ608" s="222"/>
      <c r="INK608" s="222"/>
      <c r="INL608" s="222"/>
      <c r="INM608" s="222"/>
      <c r="INN608" s="222"/>
      <c r="INO608" s="223"/>
      <c r="INP608" s="224"/>
      <c r="INQ608" s="222"/>
      <c r="INR608" s="222"/>
      <c r="INS608" s="222"/>
      <c r="INT608" s="222"/>
      <c r="INU608" s="222"/>
      <c r="INV608" s="222"/>
      <c r="INW608" s="223"/>
      <c r="INX608" s="224"/>
      <c r="INY608" s="222"/>
      <c r="INZ608" s="222"/>
      <c r="IOA608" s="222"/>
      <c r="IOB608" s="222"/>
      <c r="IOC608" s="222"/>
      <c r="IOD608" s="222"/>
      <c r="IOE608" s="223"/>
      <c r="IOF608" s="224"/>
      <c r="IOG608" s="222"/>
      <c r="IOH608" s="222"/>
      <c r="IOI608" s="222"/>
      <c r="IOJ608" s="222"/>
      <c r="IOK608" s="222"/>
      <c r="IOL608" s="222"/>
      <c r="IOM608" s="223"/>
      <c r="ION608" s="224"/>
      <c r="IOO608" s="222"/>
      <c r="IOP608" s="222"/>
      <c r="IOQ608" s="222"/>
      <c r="IOR608" s="222"/>
      <c r="IOS608" s="222"/>
      <c r="IOT608" s="222"/>
      <c r="IOU608" s="223"/>
      <c r="IOV608" s="224"/>
      <c r="IOW608" s="222"/>
      <c r="IOX608" s="222"/>
      <c r="IOY608" s="222"/>
      <c r="IOZ608" s="222"/>
      <c r="IPA608" s="222"/>
      <c r="IPB608" s="222"/>
      <c r="IPC608" s="223"/>
      <c r="IPD608" s="224"/>
      <c r="IPE608" s="222"/>
      <c r="IPF608" s="222"/>
      <c r="IPG608" s="222"/>
      <c r="IPH608" s="222"/>
      <c r="IPI608" s="222"/>
      <c r="IPJ608" s="222"/>
      <c r="IPK608" s="223"/>
      <c r="IPL608" s="224"/>
      <c r="IPM608" s="222"/>
      <c r="IPN608" s="222"/>
      <c r="IPO608" s="222"/>
      <c r="IPP608" s="222"/>
      <c r="IPQ608" s="222"/>
      <c r="IPR608" s="222"/>
      <c r="IPS608" s="223"/>
      <c r="IPT608" s="224"/>
      <c r="IPU608" s="222"/>
      <c r="IPV608" s="222"/>
      <c r="IPW608" s="222"/>
      <c r="IPX608" s="222"/>
      <c r="IPY608" s="222"/>
      <c r="IPZ608" s="222"/>
      <c r="IQA608" s="223"/>
      <c r="IQB608" s="224"/>
      <c r="IQC608" s="222"/>
      <c r="IQD608" s="222"/>
      <c r="IQE608" s="222"/>
      <c r="IQF608" s="222"/>
      <c r="IQG608" s="222"/>
      <c r="IQH608" s="222"/>
      <c r="IQI608" s="223"/>
      <c r="IQJ608" s="224"/>
      <c r="IQK608" s="222"/>
      <c r="IQL608" s="222"/>
      <c r="IQM608" s="222"/>
      <c r="IQN608" s="222"/>
      <c r="IQO608" s="222"/>
      <c r="IQP608" s="222"/>
      <c r="IQQ608" s="223"/>
      <c r="IQR608" s="224"/>
      <c r="IQS608" s="222"/>
      <c r="IQT608" s="222"/>
      <c r="IQU608" s="222"/>
      <c r="IQV608" s="222"/>
      <c r="IQW608" s="222"/>
      <c r="IQX608" s="222"/>
      <c r="IQY608" s="223"/>
      <c r="IQZ608" s="224"/>
      <c r="IRA608" s="222"/>
      <c r="IRB608" s="222"/>
      <c r="IRC608" s="222"/>
      <c r="IRD608" s="222"/>
      <c r="IRE608" s="222"/>
      <c r="IRF608" s="222"/>
      <c r="IRG608" s="223"/>
      <c r="IRH608" s="224"/>
      <c r="IRI608" s="222"/>
      <c r="IRJ608" s="222"/>
      <c r="IRK608" s="222"/>
      <c r="IRL608" s="222"/>
      <c r="IRM608" s="222"/>
      <c r="IRN608" s="222"/>
      <c r="IRO608" s="223"/>
      <c r="IRP608" s="224"/>
      <c r="IRQ608" s="222"/>
      <c r="IRR608" s="222"/>
      <c r="IRS608" s="222"/>
      <c r="IRT608" s="222"/>
      <c r="IRU608" s="222"/>
      <c r="IRV608" s="222"/>
      <c r="IRW608" s="223"/>
      <c r="IRX608" s="224"/>
      <c r="IRY608" s="222"/>
      <c r="IRZ608" s="222"/>
      <c r="ISA608" s="222"/>
      <c r="ISB608" s="222"/>
      <c r="ISC608" s="222"/>
      <c r="ISD608" s="222"/>
      <c r="ISE608" s="223"/>
      <c r="ISF608" s="224"/>
      <c r="ISG608" s="222"/>
      <c r="ISH608" s="222"/>
      <c r="ISI608" s="222"/>
      <c r="ISJ608" s="222"/>
      <c r="ISK608" s="222"/>
      <c r="ISL608" s="222"/>
      <c r="ISM608" s="223"/>
      <c r="ISN608" s="224"/>
      <c r="ISO608" s="222"/>
      <c r="ISP608" s="222"/>
      <c r="ISQ608" s="222"/>
      <c r="ISR608" s="222"/>
      <c r="ISS608" s="222"/>
      <c r="IST608" s="222"/>
      <c r="ISU608" s="223"/>
      <c r="ISV608" s="224"/>
      <c r="ISW608" s="222"/>
      <c r="ISX608" s="222"/>
      <c r="ISY608" s="222"/>
      <c r="ISZ608" s="222"/>
      <c r="ITA608" s="222"/>
      <c r="ITB608" s="222"/>
      <c r="ITC608" s="223"/>
      <c r="ITD608" s="224"/>
      <c r="ITE608" s="222"/>
      <c r="ITF608" s="222"/>
      <c r="ITG608" s="222"/>
      <c r="ITH608" s="222"/>
      <c r="ITI608" s="222"/>
      <c r="ITJ608" s="222"/>
      <c r="ITK608" s="223"/>
      <c r="ITL608" s="224"/>
      <c r="ITM608" s="222"/>
      <c r="ITN608" s="222"/>
      <c r="ITO608" s="222"/>
      <c r="ITP608" s="222"/>
      <c r="ITQ608" s="222"/>
      <c r="ITR608" s="222"/>
      <c r="ITS608" s="223"/>
      <c r="ITT608" s="224"/>
      <c r="ITU608" s="222"/>
      <c r="ITV608" s="222"/>
      <c r="ITW608" s="222"/>
      <c r="ITX608" s="222"/>
      <c r="ITY608" s="222"/>
      <c r="ITZ608" s="222"/>
      <c r="IUA608" s="223"/>
      <c r="IUB608" s="224"/>
      <c r="IUC608" s="222"/>
      <c r="IUD608" s="222"/>
      <c r="IUE608" s="222"/>
      <c r="IUF608" s="222"/>
      <c r="IUG608" s="222"/>
      <c r="IUH608" s="222"/>
      <c r="IUI608" s="223"/>
      <c r="IUJ608" s="224"/>
      <c r="IUK608" s="222"/>
      <c r="IUL608" s="222"/>
      <c r="IUM608" s="222"/>
      <c r="IUN608" s="222"/>
      <c r="IUO608" s="222"/>
      <c r="IUP608" s="222"/>
      <c r="IUQ608" s="223"/>
      <c r="IUR608" s="224"/>
      <c r="IUS608" s="222"/>
      <c r="IUT608" s="222"/>
      <c r="IUU608" s="222"/>
      <c r="IUV608" s="222"/>
      <c r="IUW608" s="222"/>
      <c r="IUX608" s="222"/>
      <c r="IUY608" s="223"/>
      <c r="IUZ608" s="224"/>
      <c r="IVA608" s="222"/>
      <c r="IVB608" s="222"/>
      <c r="IVC608" s="222"/>
      <c r="IVD608" s="222"/>
      <c r="IVE608" s="222"/>
      <c r="IVF608" s="222"/>
      <c r="IVG608" s="223"/>
      <c r="IVH608" s="224"/>
      <c r="IVI608" s="222"/>
      <c r="IVJ608" s="222"/>
      <c r="IVK608" s="222"/>
      <c r="IVL608" s="222"/>
      <c r="IVM608" s="222"/>
      <c r="IVN608" s="222"/>
      <c r="IVO608" s="223"/>
      <c r="IVP608" s="224"/>
      <c r="IVQ608" s="222"/>
      <c r="IVR608" s="222"/>
      <c r="IVS608" s="222"/>
      <c r="IVT608" s="222"/>
      <c r="IVU608" s="222"/>
      <c r="IVV608" s="222"/>
      <c r="IVW608" s="223"/>
      <c r="IVX608" s="224"/>
      <c r="IVY608" s="222"/>
      <c r="IVZ608" s="222"/>
      <c r="IWA608" s="222"/>
      <c r="IWB608" s="222"/>
      <c r="IWC608" s="222"/>
      <c r="IWD608" s="222"/>
      <c r="IWE608" s="223"/>
      <c r="IWF608" s="224"/>
      <c r="IWG608" s="222"/>
      <c r="IWH608" s="222"/>
      <c r="IWI608" s="222"/>
      <c r="IWJ608" s="222"/>
      <c r="IWK608" s="222"/>
      <c r="IWL608" s="222"/>
      <c r="IWM608" s="223"/>
      <c r="IWN608" s="224"/>
      <c r="IWO608" s="222"/>
      <c r="IWP608" s="222"/>
      <c r="IWQ608" s="222"/>
      <c r="IWR608" s="222"/>
      <c r="IWS608" s="222"/>
      <c r="IWT608" s="222"/>
      <c r="IWU608" s="223"/>
      <c r="IWV608" s="224"/>
      <c r="IWW608" s="222"/>
      <c r="IWX608" s="222"/>
      <c r="IWY608" s="222"/>
      <c r="IWZ608" s="222"/>
      <c r="IXA608" s="222"/>
      <c r="IXB608" s="222"/>
      <c r="IXC608" s="223"/>
      <c r="IXD608" s="224"/>
      <c r="IXE608" s="222"/>
      <c r="IXF608" s="222"/>
      <c r="IXG608" s="222"/>
      <c r="IXH608" s="222"/>
      <c r="IXI608" s="222"/>
      <c r="IXJ608" s="222"/>
      <c r="IXK608" s="223"/>
      <c r="IXL608" s="224"/>
      <c r="IXM608" s="222"/>
      <c r="IXN608" s="222"/>
      <c r="IXO608" s="222"/>
      <c r="IXP608" s="222"/>
      <c r="IXQ608" s="222"/>
      <c r="IXR608" s="222"/>
      <c r="IXS608" s="223"/>
      <c r="IXT608" s="224"/>
      <c r="IXU608" s="222"/>
      <c r="IXV608" s="222"/>
      <c r="IXW608" s="222"/>
      <c r="IXX608" s="222"/>
      <c r="IXY608" s="222"/>
      <c r="IXZ608" s="222"/>
      <c r="IYA608" s="223"/>
      <c r="IYB608" s="224"/>
      <c r="IYC608" s="222"/>
      <c r="IYD608" s="222"/>
      <c r="IYE608" s="222"/>
      <c r="IYF608" s="222"/>
      <c r="IYG608" s="222"/>
      <c r="IYH608" s="222"/>
      <c r="IYI608" s="223"/>
      <c r="IYJ608" s="224"/>
      <c r="IYK608" s="222"/>
      <c r="IYL608" s="222"/>
      <c r="IYM608" s="222"/>
      <c r="IYN608" s="222"/>
      <c r="IYO608" s="222"/>
      <c r="IYP608" s="222"/>
      <c r="IYQ608" s="223"/>
      <c r="IYR608" s="224"/>
      <c r="IYS608" s="222"/>
      <c r="IYT608" s="222"/>
      <c r="IYU608" s="222"/>
      <c r="IYV608" s="222"/>
      <c r="IYW608" s="222"/>
      <c r="IYX608" s="222"/>
      <c r="IYY608" s="223"/>
      <c r="IYZ608" s="224"/>
      <c r="IZA608" s="222"/>
      <c r="IZB608" s="222"/>
      <c r="IZC608" s="222"/>
      <c r="IZD608" s="222"/>
      <c r="IZE608" s="222"/>
      <c r="IZF608" s="222"/>
      <c r="IZG608" s="223"/>
      <c r="IZH608" s="224"/>
      <c r="IZI608" s="222"/>
      <c r="IZJ608" s="222"/>
      <c r="IZK608" s="222"/>
      <c r="IZL608" s="222"/>
      <c r="IZM608" s="222"/>
      <c r="IZN608" s="222"/>
      <c r="IZO608" s="223"/>
      <c r="IZP608" s="224"/>
      <c r="IZQ608" s="222"/>
      <c r="IZR608" s="222"/>
      <c r="IZS608" s="222"/>
      <c r="IZT608" s="222"/>
      <c r="IZU608" s="222"/>
      <c r="IZV608" s="222"/>
      <c r="IZW608" s="223"/>
      <c r="IZX608" s="224"/>
      <c r="IZY608" s="222"/>
      <c r="IZZ608" s="222"/>
      <c r="JAA608" s="222"/>
      <c r="JAB608" s="222"/>
      <c r="JAC608" s="222"/>
      <c r="JAD608" s="222"/>
      <c r="JAE608" s="223"/>
      <c r="JAF608" s="224"/>
      <c r="JAG608" s="222"/>
      <c r="JAH608" s="222"/>
      <c r="JAI608" s="222"/>
      <c r="JAJ608" s="222"/>
      <c r="JAK608" s="222"/>
      <c r="JAL608" s="222"/>
      <c r="JAM608" s="223"/>
      <c r="JAN608" s="224"/>
      <c r="JAO608" s="222"/>
      <c r="JAP608" s="222"/>
      <c r="JAQ608" s="222"/>
      <c r="JAR608" s="222"/>
      <c r="JAS608" s="222"/>
      <c r="JAT608" s="222"/>
      <c r="JAU608" s="223"/>
      <c r="JAV608" s="224"/>
      <c r="JAW608" s="222"/>
      <c r="JAX608" s="222"/>
      <c r="JAY608" s="222"/>
      <c r="JAZ608" s="222"/>
      <c r="JBA608" s="222"/>
      <c r="JBB608" s="222"/>
      <c r="JBC608" s="223"/>
      <c r="JBD608" s="224"/>
      <c r="JBE608" s="222"/>
      <c r="JBF608" s="222"/>
      <c r="JBG608" s="222"/>
      <c r="JBH608" s="222"/>
      <c r="JBI608" s="222"/>
      <c r="JBJ608" s="222"/>
      <c r="JBK608" s="223"/>
      <c r="JBL608" s="224"/>
      <c r="JBM608" s="222"/>
      <c r="JBN608" s="222"/>
      <c r="JBO608" s="222"/>
      <c r="JBP608" s="222"/>
      <c r="JBQ608" s="222"/>
      <c r="JBR608" s="222"/>
      <c r="JBS608" s="223"/>
      <c r="JBT608" s="224"/>
      <c r="JBU608" s="222"/>
      <c r="JBV608" s="222"/>
      <c r="JBW608" s="222"/>
      <c r="JBX608" s="222"/>
      <c r="JBY608" s="222"/>
      <c r="JBZ608" s="222"/>
      <c r="JCA608" s="223"/>
      <c r="JCB608" s="224"/>
      <c r="JCC608" s="222"/>
      <c r="JCD608" s="222"/>
      <c r="JCE608" s="222"/>
      <c r="JCF608" s="222"/>
      <c r="JCG608" s="222"/>
      <c r="JCH608" s="222"/>
      <c r="JCI608" s="223"/>
      <c r="JCJ608" s="224"/>
      <c r="JCK608" s="222"/>
      <c r="JCL608" s="222"/>
      <c r="JCM608" s="222"/>
      <c r="JCN608" s="222"/>
      <c r="JCO608" s="222"/>
      <c r="JCP608" s="222"/>
      <c r="JCQ608" s="223"/>
      <c r="JCR608" s="224"/>
      <c r="JCS608" s="222"/>
      <c r="JCT608" s="222"/>
      <c r="JCU608" s="222"/>
      <c r="JCV608" s="222"/>
      <c r="JCW608" s="222"/>
      <c r="JCX608" s="222"/>
      <c r="JCY608" s="223"/>
      <c r="JCZ608" s="224"/>
      <c r="JDA608" s="222"/>
      <c r="JDB608" s="222"/>
      <c r="JDC608" s="222"/>
      <c r="JDD608" s="222"/>
      <c r="JDE608" s="222"/>
      <c r="JDF608" s="222"/>
      <c r="JDG608" s="223"/>
      <c r="JDH608" s="224"/>
      <c r="JDI608" s="222"/>
      <c r="JDJ608" s="222"/>
      <c r="JDK608" s="222"/>
      <c r="JDL608" s="222"/>
      <c r="JDM608" s="222"/>
      <c r="JDN608" s="222"/>
      <c r="JDO608" s="223"/>
      <c r="JDP608" s="224"/>
      <c r="JDQ608" s="222"/>
      <c r="JDR608" s="222"/>
      <c r="JDS608" s="222"/>
      <c r="JDT608" s="222"/>
      <c r="JDU608" s="222"/>
      <c r="JDV608" s="222"/>
      <c r="JDW608" s="223"/>
      <c r="JDX608" s="224"/>
      <c r="JDY608" s="222"/>
      <c r="JDZ608" s="222"/>
      <c r="JEA608" s="222"/>
      <c r="JEB608" s="222"/>
      <c r="JEC608" s="222"/>
      <c r="JED608" s="222"/>
      <c r="JEE608" s="223"/>
      <c r="JEF608" s="224"/>
      <c r="JEG608" s="222"/>
      <c r="JEH608" s="222"/>
      <c r="JEI608" s="222"/>
      <c r="JEJ608" s="222"/>
      <c r="JEK608" s="222"/>
      <c r="JEL608" s="222"/>
      <c r="JEM608" s="223"/>
      <c r="JEN608" s="224"/>
      <c r="JEO608" s="222"/>
      <c r="JEP608" s="222"/>
      <c r="JEQ608" s="222"/>
      <c r="JER608" s="222"/>
      <c r="JES608" s="222"/>
      <c r="JET608" s="222"/>
      <c r="JEU608" s="223"/>
      <c r="JEV608" s="224"/>
      <c r="JEW608" s="222"/>
      <c r="JEX608" s="222"/>
      <c r="JEY608" s="222"/>
      <c r="JEZ608" s="222"/>
      <c r="JFA608" s="222"/>
      <c r="JFB608" s="222"/>
      <c r="JFC608" s="223"/>
      <c r="JFD608" s="224"/>
      <c r="JFE608" s="222"/>
      <c r="JFF608" s="222"/>
      <c r="JFG608" s="222"/>
      <c r="JFH608" s="222"/>
      <c r="JFI608" s="222"/>
      <c r="JFJ608" s="222"/>
      <c r="JFK608" s="223"/>
      <c r="JFL608" s="224"/>
      <c r="JFM608" s="222"/>
      <c r="JFN608" s="222"/>
      <c r="JFO608" s="222"/>
      <c r="JFP608" s="222"/>
      <c r="JFQ608" s="222"/>
      <c r="JFR608" s="222"/>
      <c r="JFS608" s="223"/>
      <c r="JFT608" s="224"/>
      <c r="JFU608" s="222"/>
      <c r="JFV608" s="222"/>
      <c r="JFW608" s="222"/>
      <c r="JFX608" s="222"/>
      <c r="JFY608" s="222"/>
      <c r="JFZ608" s="222"/>
      <c r="JGA608" s="223"/>
      <c r="JGB608" s="224"/>
      <c r="JGC608" s="222"/>
      <c r="JGD608" s="222"/>
      <c r="JGE608" s="222"/>
      <c r="JGF608" s="222"/>
      <c r="JGG608" s="222"/>
      <c r="JGH608" s="222"/>
      <c r="JGI608" s="223"/>
      <c r="JGJ608" s="224"/>
      <c r="JGK608" s="222"/>
      <c r="JGL608" s="222"/>
      <c r="JGM608" s="222"/>
      <c r="JGN608" s="222"/>
      <c r="JGO608" s="222"/>
      <c r="JGP608" s="222"/>
      <c r="JGQ608" s="223"/>
      <c r="JGR608" s="224"/>
      <c r="JGS608" s="222"/>
      <c r="JGT608" s="222"/>
      <c r="JGU608" s="222"/>
      <c r="JGV608" s="222"/>
      <c r="JGW608" s="222"/>
      <c r="JGX608" s="222"/>
      <c r="JGY608" s="223"/>
      <c r="JGZ608" s="224"/>
      <c r="JHA608" s="222"/>
      <c r="JHB608" s="222"/>
      <c r="JHC608" s="222"/>
      <c r="JHD608" s="222"/>
      <c r="JHE608" s="222"/>
      <c r="JHF608" s="222"/>
      <c r="JHG608" s="223"/>
      <c r="JHH608" s="224"/>
      <c r="JHI608" s="222"/>
      <c r="JHJ608" s="222"/>
      <c r="JHK608" s="222"/>
      <c r="JHL608" s="222"/>
      <c r="JHM608" s="222"/>
      <c r="JHN608" s="222"/>
      <c r="JHO608" s="223"/>
      <c r="JHP608" s="224"/>
      <c r="JHQ608" s="222"/>
      <c r="JHR608" s="222"/>
      <c r="JHS608" s="222"/>
      <c r="JHT608" s="222"/>
      <c r="JHU608" s="222"/>
      <c r="JHV608" s="222"/>
      <c r="JHW608" s="223"/>
      <c r="JHX608" s="224"/>
      <c r="JHY608" s="222"/>
      <c r="JHZ608" s="222"/>
      <c r="JIA608" s="222"/>
      <c r="JIB608" s="222"/>
      <c r="JIC608" s="222"/>
      <c r="JID608" s="222"/>
      <c r="JIE608" s="223"/>
      <c r="JIF608" s="224"/>
      <c r="JIG608" s="222"/>
      <c r="JIH608" s="222"/>
      <c r="JII608" s="222"/>
      <c r="JIJ608" s="222"/>
      <c r="JIK608" s="222"/>
      <c r="JIL608" s="222"/>
      <c r="JIM608" s="223"/>
      <c r="JIN608" s="224"/>
      <c r="JIO608" s="222"/>
      <c r="JIP608" s="222"/>
      <c r="JIQ608" s="222"/>
      <c r="JIR608" s="222"/>
      <c r="JIS608" s="222"/>
      <c r="JIT608" s="222"/>
      <c r="JIU608" s="223"/>
      <c r="JIV608" s="224"/>
      <c r="JIW608" s="222"/>
      <c r="JIX608" s="222"/>
      <c r="JIY608" s="222"/>
      <c r="JIZ608" s="222"/>
      <c r="JJA608" s="222"/>
      <c r="JJB608" s="222"/>
      <c r="JJC608" s="223"/>
      <c r="JJD608" s="224"/>
      <c r="JJE608" s="222"/>
      <c r="JJF608" s="222"/>
      <c r="JJG608" s="222"/>
      <c r="JJH608" s="222"/>
      <c r="JJI608" s="222"/>
      <c r="JJJ608" s="222"/>
      <c r="JJK608" s="223"/>
      <c r="JJL608" s="224"/>
      <c r="JJM608" s="222"/>
      <c r="JJN608" s="222"/>
      <c r="JJO608" s="222"/>
      <c r="JJP608" s="222"/>
      <c r="JJQ608" s="222"/>
      <c r="JJR608" s="222"/>
      <c r="JJS608" s="223"/>
      <c r="JJT608" s="224"/>
      <c r="JJU608" s="222"/>
      <c r="JJV608" s="222"/>
      <c r="JJW608" s="222"/>
      <c r="JJX608" s="222"/>
      <c r="JJY608" s="222"/>
      <c r="JJZ608" s="222"/>
      <c r="JKA608" s="223"/>
      <c r="JKB608" s="224"/>
      <c r="JKC608" s="222"/>
      <c r="JKD608" s="222"/>
      <c r="JKE608" s="222"/>
      <c r="JKF608" s="222"/>
      <c r="JKG608" s="222"/>
      <c r="JKH608" s="222"/>
      <c r="JKI608" s="223"/>
      <c r="JKJ608" s="224"/>
      <c r="JKK608" s="222"/>
      <c r="JKL608" s="222"/>
      <c r="JKM608" s="222"/>
      <c r="JKN608" s="222"/>
      <c r="JKO608" s="222"/>
      <c r="JKP608" s="222"/>
      <c r="JKQ608" s="223"/>
      <c r="JKR608" s="224"/>
      <c r="JKS608" s="222"/>
      <c r="JKT608" s="222"/>
      <c r="JKU608" s="222"/>
      <c r="JKV608" s="222"/>
      <c r="JKW608" s="222"/>
      <c r="JKX608" s="222"/>
      <c r="JKY608" s="223"/>
      <c r="JKZ608" s="224"/>
      <c r="JLA608" s="222"/>
      <c r="JLB608" s="222"/>
      <c r="JLC608" s="222"/>
      <c r="JLD608" s="222"/>
      <c r="JLE608" s="222"/>
      <c r="JLF608" s="222"/>
      <c r="JLG608" s="223"/>
      <c r="JLH608" s="224"/>
      <c r="JLI608" s="222"/>
      <c r="JLJ608" s="222"/>
      <c r="JLK608" s="222"/>
      <c r="JLL608" s="222"/>
      <c r="JLM608" s="222"/>
      <c r="JLN608" s="222"/>
      <c r="JLO608" s="223"/>
      <c r="JLP608" s="224"/>
      <c r="JLQ608" s="222"/>
      <c r="JLR608" s="222"/>
      <c r="JLS608" s="222"/>
      <c r="JLT608" s="222"/>
      <c r="JLU608" s="222"/>
      <c r="JLV608" s="222"/>
      <c r="JLW608" s="223"/>
      <c r="JLX608" s="224"/>
      <c r="JLY608" s="222"/>
      <c r="JLZ608" s="222"/>
      <c r="JMA608" s="222"/>
      <c r="JMB608" s="222"/>
      <c r="JMC608" s="222"/>
      <c r="JMD608" s="222"/>
      <c r="JME608" s="223"/>
      <c r="JMF608" s="224"/>
      <c r="JMG608" s="222"/>
      <c r="JMH608" s="222"/>
      <c r="JMI608" s="222"/>
      <c r="JMJ608" s="222"/>
      <c r="JMK608" s="222"/>
      <c r="JML608" s="222"/>
      <c r="JMM608" s="223"/>
      <c r="JMN608" s="224"/>
      <c r="JMO608" s="222"/>
      <c r="JMP608" s="222"/>
      <c r="JMQ608" s="222"/>
      <c r="JMR608" s="222"/>
      <c r="JMS608" s="222"/>
      <c r="JMT608" s="222"/>
      <c r="JMU608" s="223"/>
      <c r="JMV608" s="224"/>
      <c r="JMW608" s="222"/>
      <c r="JMX608" s="222"/>
      <c r="JMY608" s="222"/>
      <c r="JMZ608" s="222"/>
      <c r="JNA608" s="222"/>
      <c r="JNB608" s="222"/>
      <c r="JNC608" s="223"/>
      <c r="JND608" s="224"/>
      <c r="JNE608" s="222"/>
      <c r="JNF608" s="222"/>
      <c r="JNG608" s="222"/>
      <c r="JNH608" s="222"/>
      <c r="JNI608" s="222"/>
      <c r="JNJ608" s="222"/>
      <c r="JNK608" s="223"/>
      <c r="JNL608" s="224"/>
      <c r="JNM608" s="222"/>
      <c r="JNN608" s="222"/>
      <c r="JNO608" s="222"/>
      <c r="JNP608" s="222"/>
      <c r="JNQ608" s="222"/>
      <c r="JNR608" s="222"/>
      <c r="JNS608" s="223"/>
      <c r="JNT608" s="224"/>
      <c r="JNU608" s="222"/>
      <c r="JNV608" s="222"/>
      <c r="JNW608" s="222"/>
      <c r="JNX608" s="222"/>
      <c r="JNY608" s="222"/>
      <c r="JNZ608" s="222"/>
      <c r="JOA608" s="223"/>
      <c r="JOB608" s="224"/>
      <c r="JOC608" s="222"/>
      <c r="JOD608" s="222"/>
      <c r="JOE608" s="222"/>
      <c r="JOF608" s="222"/>
      <c r="JOG608" s="222"/>
      <c r="JOH608" s="222"/>
      <c r="JOI608" s="223"/>
      <c r="JOJ608" s="224"/>
      <c r="JOK608" s="222"/>
      <c r="JOL608" s="222"/>
      <c r="JOM608" s="222"/>
      <c r="JON608" s="222"/>
      <c r="JOO608" s="222"/>
      <c r="JOP608" s="222"/>
      <c r="JOQ608" s="223"/>
      <c r="JOR608" s="224"/>
      <c r="JOS608" s="222"/>
      <c r="JOT608" s="222"/>
      <c r="JOU608" s="222"/>
      <c r="JOV608" s="222"/>
      <c r="JOW608" s="222"/>
      <c r="JOX608" s="222"/>
      <c r="JOY608" s="223"/>
      <c r="JOZ608" s="224"/>
      <c r="JPA608" s="222"/>
      <c r="JPB608" s="222"/>
      <c r="JPC608" s="222"/>
      <c r="JPD608" s="222"/>
      <c r="JPE608" s="222"/>
      <c r="JPF608" s="222"/>
      <c r="JPG608" s="223"/>
      <c r="JPH608" s="224"/>
      <c r="JPI608" s="222"/>
      <c r="JPJ608" s="222"/>
      <c r="JPK608" s="222"/>
      <c r="JPL608" s="222"/>
      <c r="JPM608" s="222"/>
      <c r="JPN608" s="222"/>
      <c r="JPO608" s="223"/>
      <c r="JPP608" s="224"/>
      <c r="JPQ608" s="222"/>
      <c r="JPR608" s="222"/>
      <c r="JPS608" s="222"/>
      <c r="JPT608" s="222"/>
      <c r="JPU608" s="222"/>
      <c r="JPV608" s="222"/>
      <c r="JPW608" s="223"/>
      <c r="JPX608" s="224"/>
      <c r="JPY608" s="222"/>
      <c r="JPZ608" s="222"/>
      <c r="JQA608" s="222"/>
      <c r="JQB608" s="222"/>
      <c r="JQC608" s="222"/>
      <c r="JQD608" s="222"/>
      <c r="JQE608" s="223"/>
      <c r="JQF608" s="224"/>
      <c r="JQG608" s="222"/>
      <c r="JQH608" s="222"/>
      <c r="JQI608" s="222"/>
      <c r="JQJ608" s="222"/>
      <c r="JQK608" s="222"/>
      <c r="JQL608" s="222"/>
      <c r="JQM608" s="223"/>
      <c r="JQN608" s="224"/>
      <c r="JQO608" s="222"/>
      <c r="JQP608" s="222"/>
      <c r="JQQ608" s="222"/>
      <c r="JQR608" s="222"/>
      <c r="JQS608" s="222"/>
      <c r="JQT608" s="222"/>
      <c r="JQU608" s="223"/>
      <c r="JQV608" s="224"/>
      <c r="JQW608" s="222"/>
      <c r="JQX608" s="222"/>
      <c r="JQY608" s="222"/>
      <c r="JQZ608" s="222"/>
      <c r="JRA608" s="222"/>
      <c r="JRB608" s="222"/>
      <c r="JRC608" s="223"/>
      <c r="JRD608" s="224"/>
      <c r="JRE608" s="222"/>
      <c r="JRF608" s="222"/>
      <c r="JRG608" s="222"/>
      <c r="JRH608" s="222"/>
      <c r="JRI608" s="222"/>
      <c r="JRJ608" s="222"/>
      <c r="JRK608" s="223"/>
      <c r="JRL608" s="224"/>
      <c r="JRM608" s="222"/>
      <c r="JRN608" s="222"/>
      <c r="JRO608" s="222"/>
      <c r="JRP608" s="222"/>
      <c r="JRQ608" s="222"/>
      <c r="JRR608" s="222"/>
      <c r="JRS608" s="223"/>
      <c r="JRT608" s="224"/>
      <c r="JRU608" s="222"/>
      <c r="JRV608" s="222"/>
      <c r="JRW608" s="222"/>
      <c r="JRX608" s="222"/>
      <c r="JRY608" s="222"/>
      <c r="JRZ608" s="222"/>
      <c r="JSA608" s="223"/>
      <c r="JSB608" s="224"/>
      <c r="JSC608" s="222"/>
      <c r="JSD608" s="222"/>
      <c r="JSE608" s="222"/>
      <c r="JSF608" s="222"/>
      <c r="JSG608" s="222"/>
      <c r="JSH608" s="222"/>
      <c r="JSI608" s="223"/>
      <c r="JSJ608" s="224"/>
      <c r="JSK608" s="222"/>
      <c r="JSL608" s="222"/>
      <c r="JSM608" s="222"/>
      <c r="JSN608" s="222"/>
      <c r="JSO608" s="222"/>
      <c r="JSP608" s="222"/>
      <c r="JSQ608" s="223"/>
      <c r="JSR608" s="224"/>
      <c r="JSS608" s="222"/>
      <c r="JST608" s="222"/>
      <c r="JSU608" s="222"/>
      <c r="JSV608" s="222"/>
      <c r="JSW608" s="222"/>
      <c r="JSX608" s="222"/>
      <c r="JSY608" s="223"/>
      <c r="JSZ608" s="224"/>
      <c r="JTA608" s="222"/>
      <c r="JTB608" s="222"/>
      <c r="JTC608" s="222"/>
      <c r="JTD608" s="222"/>
      <c r="JTE608" s="222"/>
      <c r="JTF608" s="222"/>
      <c r="JTG608" s="223"/>
      <c r="JTH608" s="224"/>
      <c r="JTI608" s="222"/>
      <c r="JTJ608" s="222"/>
      <c r="JTK608" s="222"/>
      <c r="JTL608" s="222"/>
      <c r="JTM608" s="222"/>
      <c r="JTN608" s="222"/>
      <c r="JTO608" s="223"/>
      <c r="JTP608" s="224"/>
      <c r="JTQ608" s="222"/>
      <c r="JTR608" s="222"/>
      <c r="JTS608" s="222"/>
      <c r="JTT608" s="222"/>
      <c r="JTU608" s="222"/>
      <c r="JTV608" s="222"/>
      <c r="JTW608" s="223"/>
      <c r="JTX608" s="224"/>
      <c r="JTY608" s="222"/>
      <c r="JTZ608" s="222"/>
      <c r="JUA608" s="222"/>
      <c r="JUB608" s="222"/>
      <c r="JUC608" s="222"/>
      <c r="JUD608" s="222"/>
      <c r="JUE608" s="223"/>
      <c r="JUF608" s="224"/>
      <c r="JUG608" s="222"/>
      <c r="JUH608" s="222"/>
      <c r="JUI608" s="222"/>
      <c r="JUJ608" s="222"/>
      <c r="JUK608" s="222"/>
      <c r="JUL608" s="222"/>
      <c r="JUM608" s="223"/>
      <c r="JUN608" s="224"/>
      <c r="JUO608" s="222"/>
      <c r="JUP608" s="222"/>
      <c r="JUQ608" s="222"/>
      <c r="JUR608" s="222"/>
      <c r="JUS608" s="222"/>
      <c r="JUT608" s="222"/>
      <c r="JUU608" s="223"/>
      <c r="JUV608" s="224"/>
      <c r="JUW608" s="222"/>
      <c r="JUX608" s="222"/>
      <c r="JUY608" s="222"/>
      <c r="JUZ608" s="222"/>
      <c r="JVA608" s="222"/>
      <c r="JVB608" s="222"/>
      <c r="JVC608" s="223"/>
      <c r="JVD608" s="224"/>
      <c r="JVE608" s="222"/>
      <c r="JVF608" s="222"/>
      <c r="JVG608" s="222"/>
      <c r="JVH608" s="222"/>
      <c r="JVI608" s="222"/>
      <c r="JVJ608" s="222"/>
      <c r="JVK608" s="223"/>
      <c r="JVL608" s="224"/>
      <c r="JVM608" s="222"/>
      <c r="JVN608" s="222"/>
      <c r="JVO608" s="222"/>
      <c r="JVP608" s="222"/>
      <c r="JVQ608" s="222"/>
      <c r="JVR608" s="222"/>
      <c r="JVS608" s="223"/>
      <c r="JVT608" s="224"/>
      <c r="JVU608" s="222"/>
      <c r="JVV608" s="222"/>
      <c r="JVW608" s="222"/>
      <c r="JVX608" s="222"/>
      <c r="JVY608" s="222"/>
      <c r="JVZ608" s="222"/>
      <c r="JWA608" s="223"/>
      <c r="JWB608" s="224"/>
      <c r="JWC608" s="222"/>
      <c r="JWD608" s="222"/>
      <c r="JWE608" s="222"/>
      <c r="JWF608" s="222"/>
      <c r="JWG608" s="222"/>
      <c r="JWH608" s="222"/>
      <c r="JWI608" s="223"/>
      <c r="JWJ608" s="224"/>
      <c r="JWK608" s="222"/>
      <c r="JWL608" s="222"/>
      <c r="JWM608" s="222"/>
      <c r="JWN608" s="222"/>
      <c r="JWO608" s="222"/>
      <c r="JWP608" s="222"/>
      <c r="JWQ608" s="223"/>
      <c r="JWR608" s="224"/>
      <c r="JWS608" s="222"/>
      <c r="JWT608" s="222"/>
      <c r="JWU608" s="222"/>
      <c r="JWV608" s="222"/>
      <c r="JWW608" s="222"/>
      <c r="JWX608" s="222"/>
      <c r="JWY608" s="223"/>
      <c r="JWZ608" s="224"/>
      <c r="JXA608" s="222"/>
      <c r="JXB608" s="222"/>
      <c r="JXC608" s="222"/>
      <c r="JXD608" s="222"/>
      <c r="JXE608" s="222"/>
      <c r="JXF608" s="222"/>
      <c r="JXG608" s="223"/>
      <c r="JXH608" s="224"/>
      <c r="JXI608" s="222"/>
      <c r="JXJ608" s="222"/>
      <c r="JXK608" s="222"/>
      <c r="JXL608" s="222"/>
      <c r="JXM608" s="222"/>
      <c r="JXN608" s="222"/>
      <c r="JXO608" s="223"/>
      <c r="JXP608" s="224"/>
      <c r="JXQ608" s="222"/>
      <c r="JXR608" s="222"/>
      <c r="JXS608" s="222"/>
      <c r="JXT608" s="222"/>
      <c r="JXU608" s="222"/>
      <c r="JXV608" s="222"/>
      <c r="JXW608" s="223"/>
      <c r="JXX608" s="224"/>
      <c r="JXY608" s="222"/>
      <c r="JXZ608" s="222"/>
      <c r="JYA608" s="222"/>
      <c r="JYB608" s="222"/>
      <c r="JYC608" s="222"/>
      <c r="JYD608" s="222"/>
      <c r="JYE608" s="223"/>
      <c r="JYF608" s="224"/>
      <c r="JYG608" s="222"/>
      <c r="JYH608" s="222"/>
      <c r="JYI608" s="222"/>
      <c r="JYJ608" s="222"/>
      <c r="JYK608" s="222"/>
      <c r="JYL608" s="222"/>
      <c r="JYM608" s="223"/>
      <c r="JYN608" s="224"/>
      <c r="JYO608" s="222"/>
      <c r="JYP608" s="222"/>
      <c r="JYQ608" s="222"/>
      <c r="JYR608" s="222"/>
      <c r="JYS608" s="222"/>
      <c r="JYT608" s="222"/>
      <c r="JYU608" s="223"/>
      <c r="JYV608" s="224"/>
      <c r="JYW608" s="222"/>
      <c r="JYX608" s="222"/>
      <c r="JYY608" s="222"/>
      <c r="JYZ608" s="222"/>
      <c r="JZA608" s="222"/>
      <c r="JZB608" s="222"/>
      <c r="JZC608" s="223"/>
      <c r="JZD608" s="224"/>
      <c r="JZE608" s="222"/>
      <c r="JZF608" s="222"/>
      <c r="JZG608" s="222"/>
      <c r="JZH608" s="222"/>
      <c r="JZI608" s="222"/>
      <c r="JZJ608" s="222"/>
      <c r="JZK608" s="223"/>
      <c r="JZL608" s="224"/>
      <c r="JZM608" s="222"/>
      <c r="JZN608" s="222"/>
      <c r="JZO608" s="222"/>
      <c r="JZP608" s="222"/>
      <c r="JZQ608" s="222"/>
      <c r="JZR608" s="222"/>
      <c r="JZS608" s="223"/>
      <c r="JZT608" s="224"/>
      <c r="JZU608" s="222"/>
      <c r="JZV608" s="222"/>
      <c r="JZW608" s="222"/>
      <c r="JZX608" s="222"/>
      <c r="JZY608" s="222"/>
      <c r="JZZ608" s="222"/>
      <c r="KAA608" s="223"/>
      <c r="KAB608" s="224"/>
      <c r="KAC608" s="222"/>
      <c r="KAD608" s="222"/>
      <c r="KAE608" s="222"/>
      <c r="KAF608" s="222"/>
      <c r="KAG608" s="222"/>
      <c r="KAH608" s="222"/>
      <c r="KAI608" s="223"/>
      <c r="KAJ608" s="224"/>
      <c r="KAK608" s="222"/>
      <c r="KAL608" s="222"/>
      <c r="KAM608" s="222"/>
      <c r="KAN608" s="222"/>
      <c r="KAO608" s="222"/>
      <c r="KAP608" s="222"/>
      <c r="KAQ608" s="223"/>
      <c r="KAR608" s="224"/>
      <c r="KAS608" s="222"/>
      <c r="KAT608" s="222"/>
      <c r="KAU608" s="222"/>
      <c r="KAV608" s="222"/>
      <c r="KAW608" s="222"/>
      <c r="KAX608" s="222"/>
      <c r="KAY608" s="223"/>
      <c r="KAZ608" s="224"/>
      <c r="KBA608" s="222"/>
      <c r="KBB608" s="222"/>
      <c r="KBC608" s="222"/>
      <c r="KBD608" s="222"/>
      <c r="KBE608" s="222"/>
      <c r="KBF608" s="222"/>
      <c r="KBG608" s="223"/>
      <c r="KBH608" s="224"/>
      <c r="KBI608" s="222"/>
      <c r="KBJ608" s="222"/>
      <c r="KBK608" s="222"/>
      <c r="KBL608" s="222"/>
      <c r="KBM608" s="222"/>
      <c r="KBN608" s="222"/>
      <c r="KBO608" s="223"/>
      <c r="KBP608" s="224"/>
      <c r="KBQ608" s="222"/>
      <c r="KBR608" s="222"/>
      <c r="KBS608" s="222"/>
      <c r="KBT608" s="222"/>
      <c r="KBU608" s="222"/>
      <c r="KBV608" s="222"/>
      <c r="KBW608" s="223"/>
      <c r="KBX608" s="224"/>
      <c r="KBY608" s="222"/>
      <c r="KBZ608" s="222"/>
      <c r="KCA608" s="222"/>
      <c r="KCB608" s="222"/>
      <c r="KCC608" s="222"/>
      <c r="KCD608" s="222"/>
      <c r="KCE608" s="223"/>
      <c r="KCF608" s="224"/>
      <c r="KCG608" s="222"/>
      <c r="KCH608" s="222"/>
      <c r="KCI608" s="222"/>
      <c r="KCJ608" s="222"/>
      <c r="KCK608" s="222"/>
      <c r="KCL608" s="222"/>
      <c r="KCM608" s="223"/>
      <c r="KCN608" s="224"/>
      <c r="KCO608" s="222"/>
      <c r="KCP608" s="222"/>
      <c r="KCQ608" s="222"/>
      <c r="KCR608" s="222"/>
      <c r="KCS608" s="222"/>
      <c r="KCT608" s="222"/>
      <c r="KCU608" s="223"/>
      <c r="KCV608" s="224"/>
      <c r="KCW608" s="222"/>
      <c r="KCX608" s="222"/>
      <c r="KCY608" s="222"/>
      <c r="KCZ608" s="222"/>
      <c r="KDA608" s="222"/>
      <c r="KDB608" s="222"/>
      <c r="KDC608" s="223"/>
      <c r="KDD608" s="224"/>
      <c r="KDE608" s="222"/>
      <c r="KDF608" s="222"/>
      <c r="KDG608" s="222"/>
      <c r="KDH608" s="222"/>
      <c r="KDI608" s="222"/>
      <c r="KDJ608" s="222"/>
      <c r="KDK608" s="223"/>
      <c r="KDL608" s="224"/>
      <c r="KDM608" s="222"/>
      <c r="KDN608" s="222"/>
      <c r="KDO608" s="222"/>
      <c r="KDP608" s="222"/>
      <c r="KDQ608" s="222"/>
      <c r="KDR608" s="222"/>
      <c r="KDS608" s="223"/>
      <c r="KDT608" s="224"/>
      <c r="KDU608" s="222"/>
      <c r="KDV608" s="222"/>
      <c r="KDW608" s="222"/>
      <c r="KDX608" s="222"/>
      <c r="KDY608" s="222"/>
      <c r="KDZ608" s="222"/>
      <c r="KEA608" s="223"/>
      <c r="KEB608" s="224"/>
      <c r="KEC608" s="222"/>
      <c r="KED608" s="222"/>
      <c r="KEE608" s="222"/>
      <c r="KEF608" s="222"/>
      <c r="KEG608" s="222"/>
      <c r="KEH608" s="222"/>
      <c r="KEI608" s="223"/>
      <c r="KEJ608" s="224"/>
      <c r="KEK608" s="222"/>
      <c r="KEL608" s="222"/>
      <c r="KEM608" s="222"/>
      <c r="KEN608" s="222"/>
      <c r="KEO608" s="222"/>
      <c r="KEP608" s="222"/>
      <c r="KEQ608" s="223"/>
      <c r="KER608" s="224"/>
      <c r="KES608" s="222"/>
      <c r="KET608" s="222"/>
      <c r="KEU608" s="222"/>
      <c r="KEV608" s="222"/>
      <c r="KEW608" s="222"/>
      <c r="KEX608" s="222"/>
      <c r="KEY608" s="223"/>
      <c r="KEZ608" s="224"/>
      <c r="KFA608" s="222"/>
      <c r="KFB608" s="222"/>
      <c r="KFC608" s="222"/>
      <c r="KFD608" s="222"/>
      <c r="KFE608" s="222"/>
      <c r="KFF608" s="222"/>
      <c r="KFG608" s="223"/>
      <c r="KFH608" s="224"/>
      <c r="KFI608" s="222"/>
      <c r="KFJ608" s="222"/>
      <c r="KFK608" s="222"/>
      <c r="KFL608" s="222"/>
      <c r="KFM608" s="222"/>
      <c r="KFN608" s="222"/>
      <c r="KFO608" s="223"/>
      <c r="KFP608" s="224"/>
      <c r="KFQ608" s="222"/>
      <c r="KFR608" s="222"/>
      <c r="KFS608" s="222"/>
      <c r="KFT608" s="222"/>
      <c r="KFU608" s="222"/>
      <c r="KFV608" s="222"/>
      <c r="KFW608" s="223"/>
      <c r="KFX608" s="224"/>
      <c r="KFY608" s="222"/>
      <c r="KFZ608" s="222"/>
      <c r="KGA608" s="222"/>
      <c r="KGB608" s="222"/>
      <c r="KGC608" s="222"/>
      <c r="KGD608" s="222"/>
      <c r="KGE608" s="223"/>
      <c r="KGF608" s="224"/>
      <c r="KGG608" s="222"/>
      <c r="KGH608" s="222"/>
      <c r="KGI608" s="222"/>
      <c r="KGJ608" s="222"/>
      <c r="KGK608" s="222"/>
      <c r="KGL608" s="222"/>
      <c r="KGM608" s="223"/>
      <c r="KGN608" s="224"/>
      <c r="KGO608" s="222"/>
      <c r="KGP608" s="222"/>
      <c r="KGQ608" s="222"/>
      <c r="KGR608" s="222"/>
      <c r="KGS608" s="222"/>
      <c r="KGT608" s="222"/>
      <c r="KGU608" s="223"/>
      <c r="KGV608" s="224"/>
      <c r="KGW608" s="222"/>
      <c r="KGX608" s="222"/>
      <c r="KGY608" s="222"/>
      <c r="KGZ608" s="222"/>
      <c r="KHA608" s="222"/>
      <c r="KHB608" s="222"/>
      <c r="KHC608" s="223"/>
      <c r="KHD608" s="224"/>
      <c r="KHE608" s="222"/>
      <c r="KHF608" s="222"/>
      <c r="KHG608" s="222"/>
      <c r="KHH608" s="222"/>
      <c r="KHI608" s="222"/>
      <c r="KHJ608" s="222"/>
      <c r="KHK608" s="223"/>
      <c r="KHL608" s="224"/>
      <c r="KHM608" s="222"/>
      <c r="KHN608" s="222"/>
      <c r="KHO608" s="222"/>
      <c r="KHP608" s="222"/>
      <c r="KHQ608" s="222"/>
      <c r="KHR608" s="222"/>
      <c r="KHS608" s="223"/>
      <c r="KHT608" s="224"/>
      <c r="KHU608" s="222"/>
      <c r="KHV608" s="222"/>
      <c r="KHW608" s="222"/>
      <c r="KHX608" s="222"/>
      <c r="KHY608" s="222"/>
      <c r="KHZ608" s="222"/>
      <c r="KIA608" s="223"/>
      <c r="KIB608" s="224"/>
      <c r="KIC608" s="222"/>
      <c r="KID608" s="222"/>
      <c r="KIE608" s="222"/>
      <c r="KIF608" s="222"/>
      <c r="KIG608" s="222"/>
      <c r="KIH608" s="222"/>
      <c r="KII608" s="223"/>
      <c r="KIJ608" s="224"/>
      <c r="KIK608" s="222"/>
      <c r="KIL608" s="222"/>
      <c r="KIM608" s="222"/>
      <c r="KIN608" s="222"/>
      <c r="KIO608" s="222"/>
      <c r="KIP608" s="222"/>
      <c r="KIQ608" s="223"/>
      <c r="KIR608" s="224"/>
      <c r="KIS608" s="222"/>
      <c r="KIT608" s="222"/>
      <c r="KIU608" s="222"/>
      <c r="KIV608" s="222"/>
      <c r="KIW608" s="222"/>
      <c r="KIX608" s="222"/>
      <c r="KIY608" s="223"/>
      <c r="KIZ608" s="224"/>
      <c r="KJA608" s="222"/>
      <c r="KJB608" s="222"/>
      <c r="KJC608" s="222"/>
      <c r="KJD608" s="222"/>
      <c r="KJE608" s="222"/>
      <c r="KJF608" s="222"/>
      <c r="KJG608" s="223"/>
      <c r="KJH608" s="224"/>
      <c r="KJI608" s="222"/>
      <c r="KJJ608" s="222"/>
      <c r="KJK608" s="222"/>
      <c r="KJL608" s="222"/>
      <c r="KJM608" s="222"/>
      <c r="KJN608" s="222"/>
      <c r="KJO608" s="223"/>
      <c r="KJP608" s="224"/>
      <c r="KJQ608" s="222"/>
      <c r="KJR608" s="222"/>
      <c r="KJS608" s="222"/>
      <c r="KJT608" s="222"/>
      <c r="KJU608" s="222"/>
      <c r="KJV608" s="222"/>
      <c r="KJW608" s="223"/>
      <c r="KJX608" s="224"/>
      <c r="KJY608" s="222"/>
      <c r="KJZ608" s="222"/>
      <c r="KKA608" s="222"/>
      <c r="KKB608" s="222"/>
      <c r="KKC608" s="222"/>
      <c r="KKD608" s="222"/>
      <c r="KKE608" s="223"/>
      <c r="KKF608" s="224"/>
      <c r="KKG608" s="222"/>
      <c r="KKH608" s="222"/>
      <c r="KKI608" s="222"/>
      <c r="KKJ608" s="222"/>
      <c r="KKK608" s="222"/>
      <c r="KKL608" s="222"/>
      <c r="KKM608" s="223"/>
      <c r="KKN608" s="224"/>
      <c r="KKO608" s="222"/>
      <c r="KKP608" s="222"/>
      <c r="KKQ608" s="222"/>
      <c r="KKR608" s="222"/>
      <c r="KKS608" s="222"/>
      <c r="KKT608" s="222"/>
      <c r="KKU608" s="223"/>
      <c r="KKV608" s="224"/>
      <c r="KKW608" s="222"/>
      <c r="KKX608" s="222"/>
      <c r="KKY608" s="222"/>
      <c r="KKZ608" s="222"/>
      <c r="KLA608" s="222"/>
      <c r="KLB608" s="222"/>
      <c r="KLC608" s="223"/>
      <c r="KLD608" s="224"/>
      <c r="KLE608" s="222"/>
      <c r="KLF608" s="222"/>
      <c r="KLG608" s="222"/>
      <c r="KLH608" s="222"/>
      <c r="KLI608" s="222"/>
      <c r="KLJ608" s="222"/>
      <c r="KLK608" s="223"/>
      <c r="KLL608" s="224"/>
      <c r="KLM608" s="222"/>
      <c r="KLN608" s="222"/>
      <c r="KLO608" s="222"/>
      <c r="KLP608" s="222"/>
      <c r="KLQ608" s="222"/>
      <c r="KLR608" s="222"/>
      <c r="KLS608" s="223"/>
      <c r="KLT608" s="224"/>
      <c r="KLU608" s="222"/>
      <c r="KLV608" s="222"/>
      <c r="KLW608" s="222"/>
      <c r="KLX608" s="222"/>
      <c r="KLY608" s="222"/>
      <c r="KLZ608" s="222"/>
      <c r="KMA608" s="223"/>
      <c r="KMB608" s="224"/>
      <c r="KMC608" s="222"/>
      <c r="KMD608" s="222"/>
      <c r="KME608" s="222"/>
      <c r="KMF608" s="222"/>
      <c r="KMG608" s="222"/>
      <c r="KMH608" s="222"/>
      <c r="KMI608" s="223"/>
      <c r="KMJ608" s="224"/>
      <c r="KMK608" s="222"/>
      <c r="KML608" s="222"/>
      <c r="KMM608" s="222"/>
      <c r="KMN608" s="222"/>
      <c r="KMO608" s="222"/>
      <c r="KMP608" s="222"/>
      <c r="KMQ608" s="223"/>
      <c r="KMR608" s="224"/>
      <c r="KMS608" s="222"/>
      <c r="KMT608" s="222"/>
      <c r="KMU608" s="222"/>
      <c r="KMV608" s="222"/>
      <c r="KMW608" s="222"/>
      <c r="KMX608" s="222"/>
      <c r="KMY608" s="223"/>
      <c r="KMZ608" s="224"/>
      <c r="KNA608" s="222"/>
      <c r="KNB608" s="222"/>
      <c r="KNC608" s="222"/>
      <c r="KND608" s="222"/>
      <c r="KNE608" s="222"/>
      <c r="KNF608" s="222"/>
      <c r="KNG608" s="223"/>
      <c r="KNH608" s="224"/>
      <c r="KNI608" s="222"/>
      <c r="KNJ608" s="222"/>
      <c r="KNK608" s="222"/>
      <c r="KNL608" s="222"/>
      <c r="KNM608" s="222"/>
      <c r="KNN608" s="222"/>
      <c r="KNO608" s="223"/>
      <c r="KNP608" s="224"/>
      <c r="KNQ608" s="222"/>
      <c r="KNR608" s="222"/>
      <c r="KNS608" s="222"/>
      <c r="KNT608" s="222"/>
      <c r="KNU608" s="222"/>
      <c r="KNV608" s="222"/>
      <c r="KNW608" s="223"/>
      <c r="KNX608" s="224"/>
      <c r="KNY608" s="222"/>
      <c r="KNZ608" s="222"/>
      <c r="KOA608" s="222"/>
      <c r="KOB608" s="222"/>
      <c r="KOC608" s="222"/>
      <c r="KOD608" s="222"/>
      <c r="KOE608" s="223"/>
      <c r="KOF608" s="224"/>
      <c r="KOG608" s="222"/>
      <c r="KOH608" s="222"/>
      <c r="KOI608" s="222"/>
      <c r="KOJ608" s="222"/>
      <c r="KOK608" s="222"/>
      <c r="KOL608" s="222"/>
      <c r="KOM608" s="223"/>
      <c r="KON608" s="224"/>
      <c r="KOO608" s="222"/>
      <c r="KOP608" s="222"/>
      <c r="KOQ608" s="222"/>
      <c r="KOR608" s="222"/>
      <c r="KOS608" s="222"/>
      <c r="KOT608" s="222"/>
      <c r="KOU608" s="223"/>
      <c r="KOV608" s="224"/>
      <c r="KOW608" s="222"/>
      <c r="KOX608" s="222"/>
      <c r="KOY608" s="222"/>
      <c r="KOZ608" s="222"/>
      <c r="KPA608" s="222"/>
      <c r="KPB608" s="222"/>
      <c r="KPC608" s="223"/>
      <c r="KPD608" s="224"/>
      <c r="KPE608" s="222"/>
      <c r="KPF608" s="222"/>
      <c r="KPG608" s="222"/>
      <c r="KPH608" s="222"/>
      <c r="KPI608" s="222"/>
      <c r="KPJ608" s="222"/>
      <c r="KPK608" s="223"/>
      <c r="KPL608" s="224"/>
      <c r="KPM608" s="222"/>
      <c r="KPN608" s="222"/>
      <c r="KPO608" s="222"/>
      <c r="KPP608" s="222"/>
      <c r="KPQ608" s="222"/>
      <c r="KPR608" s="222"/>
      <c r="KPS608" s="223"/>
      <c r="KPT608" s="224"/>
      <c r="KPU608" s="222"/>
      <c r="KPV608" s="222"/>
      <c r="KPW608" s="222"/>
      <c r="KPX608" s="222"/>
      <c r="KPY608" s="222"/>
      <c r="KPZ608" s="222"/>
      <c r="KQA608" s="223"/>
      <c r="KQB608" s="224"/>
      <c r="KQC608" s="222"/>
      <c r="KQD608" s="222"/>
      <c r="KQE608" s="222"/>
      <c r="KQF608" s="222"/>
      <c r="KQG608" s="222"/>
      <c r="KQH608" s="222"/>
      <c r="KQI608" s="223"/>
      <c r="KQJ608" s="224"/>
      <c r="KQK608" s="222"/>
      <c r="KQL608" s="222"/>
      <c r="KQM608" s="222"/>
      <c r="KQN608" s="222"/>
      <c r="KQO608" s="222"/>
      <c r="KQP608" s="222"/>
      <c r="KQQ608" s="223"/>
      <c r="KQR608" s="224"/>
      <c r="KQS608" s="222"/>
      <c r="KQT608" s="222"/>
      <c r="KQU608" s="222"/>
      <c r="KQV608" s="222"/>
      <c r="KQW608" s="222"/>
      <c r="KQX608" s="222"/>
      <c r="KQY608" s="223"/>
      <c r="KQZ608" s="224"/>
      <c r="KRA608" s="222"/>
      <c r="KRB608" s="222"/>
      <c r="KRC608" s="222"/>
      <c r="KRD608" s="222"/>
      <c r="KRE608" s="222"/>
      <c r="KRF608" s="222"/>
      <c r="KRG608" s="223"/>
      <c r="KRH608" s="224"/>
      <c r="KRI608" s="222"/>
      <c r="KRJ608" s="222"/>
      <c r="KRK608" s="222"/>
      <c r="KRL608" s="222"/>
      <c r="KRM608" s="222"/>
      <c r="KRN608" s="222"/>
      <c r="KRO608" s="223"/>
      <c r="KRP608" s="224"/>
      <c r="KRQ608" s="222"/>
      <c r="KRR608" s="222"/>
      <c r="KRS608" s="222"/>
      <c r="KRT608" s="222"/>
      <c r="KRU608" s="222"/>
      <c r="KRV608" s="222"/>
      <c r="KRW608" s="223"/>
      <c r="KRX608" s="224"/>
      <c r="KRY608" s="222"/>
      <c r="KRZ608" s="222"/>
      <c r="KSA608" s="222"/>
      <c r="KSB608" s="222"/>
      <c r="KSC608" s="222"/>
      <c r="KSD608" s="222"/>
      <c r="KSE608" s="223"/>
      <c r="KSF608" s="224"/>
      <c r="KSG608" s="222"/>
      <c r="KSH608" s="222"/>
      <c r="KSI608" s="222"/>
      <c r="KSJ608" s="222"/>
      <c r="KSK608" s="222"/>
      <c r="KSL608" s="222"/>
      <c r="KSM608" s="223"/>
      <c r="KSN608" s="224"/>
      <c r="KSO608" s="222"/>
      <c r="KSP608" s="222"/>
      <c r="KSQ608" s="222"/>
      <c r="KSR608" s="222"/>
      <c r="KSS608" s="222"/>
      <c r="KST608" s="222"/>
      <c r="KSU608" s="223"/>
      <c r="KSV608" s="224"/>
      <c r="KSW608" s="222"/>
      <c r="KSX608" s="222"/>
      <c r="KSY608" s="222"/>
      <c r="KSZ608" s="222"/>
      <c r="KTA608" s="222"/>
      <c r="KTB608" s="222"/>
      <c r="KTC608" s="223"/>
      <c r="KTD608" s="224"/>
      <c r="KTE608" s="222"/>
      <c r="KTF608" s="222"/>
      <c r="KTG608" s="222"/>
      <c r="KTH608" s="222"/>
      <c r="KTI608" s="222"/>
      <c r="KTJ608" s="222"/>
      <c r="KTK608" s="223"/>
      <c r="KTL608" s="224"/>
      <c r="KTM608" s="222"/>
      <c r="KTN608" s="222"/>
      <c r="KTO608" s="222"/>
      <c r="KTP608" s="222"/>
      <c r="KTQ608" s="222"/>
      <c r="KTR608" s="222"/>
      <c r="KTS608" s="223"/>
      <c r="KTT608" s="224"/>
      <c r="KTU608" s="222"/>
      <c r="KTV608" s="222"/>
      <c r="KTW608" s="222"/>
      <c r="KTX608" s="222"/>
      <c r="KTY608" s="222"/>
      <c r="KTZ608" s="222"/>
      <c r="KUA608" s="223"/>
      <c r="KUB608" s="224"/>
      <c r="KUC608" s="222"/>
      <c r="KUD608" s="222"/>
      <c r="KUE608" s="222"/>
      <c r="KUF608" s="222"/>
      <c r="KUG608" s="222"/>
      <c r="KUH608" s="222"/>
      <c r="KUI608" s="223"/>
      <c r="KUJ608" s="224"/>
      <c r="KUK608" s="222"/>
      <c r="KUL608" s="222"/>
      <c r="KUM608" s="222"/>
      <c r="KUN608" s="222"/>
      <c r="KUO608" s="222"/>
      <c r="KUP608" s="222"/>
      <c r="KUQ608" s="223"/>
      <c r="KUR608" s="224"/>
      <c r="KUS608" s="222"/>
      <c r="KUT608" s="222"/>
      <c r="KUU608" s="222"/>
      <c r="KUV608" s="222"/>
      <c r="KUW608" s="222"/>
      <c r="KUX608" s="222"/>
      <c r="KUY608" s="223"/>
      <c r="KUZ608" s="224"/>
      <c r="KVA608" s="222"/>
      <c r="KVB608" s="222"/>
      <c r="KVC608" s="222"/>
      <c r="KVD608" s="222"/>
      <c r="KVE608" s="222"/>
      <c r="KVF608" s="222"/>
      <c r="KVG608" s="223"/>
      <c r="KVH608" s="224"/>
      <c r="KVI608" s="222"/>
      <c r="KVJ608" s="222"/>
      <c r="KVK608" s="222"/>
      <c r="KVL608" s="222"/>
      <c r="KVM608" s="222"/>
      <c r="KVN608" s="222"/>
      <c r="KVO608" s="223"/>
      <c r="KVP608" s="224"/>
      <c r="KVQ608" s="222"/>
      <c r="KVR608" s="222"/>
      <c r="KVS608" s="222"/>
      <c r="KVT608" s="222"/>
      <c r="KVU608" s="222"/>
      <c r="KVV608" s="222"/>
      <c r="KVW608" s="223"/>
      <c r="KVX608" s="224"/>
      <c r="KVY608" s="222"/>
      <c r="KVZ608" s="222"/>
      <c r="KWA608" s="222"/>
      <c r="KWB608" s="222"/>
      <c r="KWC608" s="222"/>
      <c r="KWD608" s="222"/>
      <c r="KWE608" s="223"/>
      <c r="KWF608" s="224"/>
      <c r="KWG608" s="222"/>
      <c r="KWH608" s="222"/>
      <c r="KWI608" s="222"/>
      <c r="KWJ608" s="222"/>
      <c r="KWK608" s="222"/>
      <c r="KWL608" s="222"/>
      <c r="KWM608" s="223"/>
      <c r="KWN608" s="224"/>
      <c r="KWO608" s="222"/>
      <c r="KWP608" s="222"/>
      <c r="KWQ608" s="222"/>
      <c r="KWR608" s="222"/>
      <c r="KWS608" s="222"/>
      <c r="KWT608" s="222"/>
      <c r="KWU608" s="223"/>
      <c r="KWV608" s="224"/>
      <c r="KWW608" s="222"/>
      <c r="KWX608" s="222"/>
      <c r="KWY608" s="222"/>
      <c r="KWZ608" s="222"/>
      <c r="KXA608" s="222"/>
      <c r="KXB608" s="222"/>
      <c r="KXC608" s="223"/>
      <c r="KXD608" s="224"/>
      <c r="KXE608" s="222"/>
      <c r="KXF608" s="222"/>
      <c r="KXG608" s="222"/>
      <c r="KXH608" s="222"/>
      <c r="KXI608" s="222"/>
      <c r="KXJ608" s="222"/>
      <c r="KXK608" s="223"/>
      <c r="KXL608" s="224"/>
      <c r="KXM608" s="222"/>
      <c r="KXN608" s="222"/>
      <c r="KXO608" s="222"/>
      <c r="KXP608" s="222"/>
      <c r="KXQ608" s="222"/>
      <c r="KXR608" s="222"/>
      <c r="KXS608" s="223"/>
      <c r="KXT608" s="224"/>
      <c r="KXU608" s="222"/>
      <c r="KXV608" s="222"/>
      <c r="KXW608" s="222"/>
      <c r="KXX608" s="222"/>
      <c r="KXY608" s="222"/>
      <c r="KXZ608" s="222"/>
      <c r="KYA608" s="223"/>
      <c r="KYB608" s="224"/>
      <c r="KYC608" s="222"/>
      <c r="KYD608" s="222"/>
      <c r="KYE608" s="222"/>
      <c r="KYF608" s="222"/>
      <c r="KYG608" s="222"/>
      <c r="KYH608" s="222"/>
      <c r="KYI608" s="223"/>
      <c r="KYJ608" s="224"/>
      <c r="KYK608" s="222"/>
      <c r="KYL608" s="222"/>
      <c r="KYM608" s="222"/>
      <c r="KYN608" s="222"/>
      <c r="KYO608" s="222"/>
      <c r="KYP608" s="222"/>
      <c r="KYQ608" s="223"/>
      <c r="KYR608" s="224"/>
      <c r="KYS608" s="222"/>
      <c r="KYT608" s="222"/>
      <c r="KYU608" s="222"/>
      <c r="KYV608" s="222"/>
      <c r="KYW608" s="222"/>
      <c r="KYX608" s="222"/>
      <c r="KYY608" s="223"/>
      <c r="KYZ608" s="224"/>
      <c r="KZA608" s="222"/>
      <c r="KZB608" s="222"/>
      <c r="KZC608" s="222"/>
      <c r="KZD608" s="222"/>
      <c r="KZE608" s="222"/>
      <c r="KZF608" s="222"/>
      <c r="KZG608" s="223"/>
      <c r="KZH608" s="224"/>
      <c r="KZI608" s="222"/>
      <c r="KZJ608" s="222"/>
      <c r="KZK608" s="222"/>
      <c r="KZL608" s="222"/>
      <c r="KZM608" s="222"/>
      <c r="KZN608" s="222"/>
      <c r="KZO608" s="223"/>
      <c r="KZP608" s="224"/>
      <c r="KZQ608" s="222"/>
      <c r="KZR608" s="222"/>
      <c r="KZS608" s="222"/>
      <c r="KZT608" s="222"/>
      <c r="KZU608" s="222"/>
      <c r="KZV608" s="222"/>
      <c r="KZW608" s="223"/>
      <c r="KZX608" s="224"/>
      <c r="KZY608" s="222"/>
      <c r="KZZ608" s="222"/>
      <c r="LAA608" s="222"/>
      <c r="LAB608" s="222"/>
      <c r="LAC608" s="222"/>
      <c r="LAD608" s="222"/>
      <c r="LAE608" s="223"/>
      <c r="LAF608" s="224"/>
      <c r="LAG608" s="222"/>
      <c r="LAH608" s="222"/>
      <c r="LAI608" s="222"/>
      <c r="LAJ608" s="222"/>
      <c r="LAK608" s="222"/>
      <c r="LAL608" s="222"/>
      <c r="LAM608" s="223"/>
      <c r="LAN608" s="224"/>
      <c r="LAO608" s="222"/>
      <c r="LAP608" s="222"/>
      <c r="LAQ608" s="222"/>
      <c r="LAR608" s="222"/>
      <c r="LAS608" s="222"/>
      <c r="LAT608" s="222"/>
      <c r="LAU608" s="223"/>
      <c r="LAV608" s="224"/>
      <c r="LAW608" s="222"/>
      <c r="LAX608" s="222"/>
      <c r="LAY608" s="222"/>
      <c r="LAZ608" s="222"/>
      <c r="LBA608" s="222"/>
      <c r="LBB608" s="222"/>
      <c r="LBC608" s="223"/>
      <c r="LBD608" s="224"/>
      <c r="LBE608" s="222"/>
      <c r="LBF608" s="222"/>
      <c r="LBG608" s="222"/>
      <c r="LBH608" s="222"/>
      <c r="LBI608" s="222"/>
      <c r="LBJ608" s="222"/>
      <c r="LBK608" s="223"/>
      <c r="LBL608" s="224"/>
      <c r="LBM608" s="222"/>
      <c r="LBN608" s="222"/>
      <c r="LBO608" s="222"/>
      <c r="LBP608" s="222"/>
      <c r="LBQ608" s="222"/>
      <c r="LBR608" s="222"/>
      <c r="LBS608" s="223"/>
      <c r="LBT608" s="224"/>
      <c r="LBU608" s="222"/>
      <c r="LBV608" s="222"/>
      <c r="LBW608" s="222"/>
      <c r="LBX608" s="222"/>
      <c r="LBY608" s="222"/>
      <c r="LBZ608" s="222"/>
      <c r="LCA608" s="223"/>
      <c r="LCB608" s="224"/>
      <c r="LCC608" s="222"/>
      <c r="LCD608" s="222"/>
      <c r="LCE608" s="222"/>
      <c r="LCF608" s="222"/>
      <c r="LCG608" s="222"/>
      <c r="LCH608" s="222"/>
      <c r="LCI608" s="223"/>
      <c r="LCJ608" s="224"/>
      <c r="LCK608" s="222"/>
      <c r="LCL608" s="222"/>
      <c r="LCM608" s="222"/>
      <c r="LCN608" s="222"/>
      <c r="LCO608" s="222"/>
      <c r="LCP608" s="222"/>
      <c r="LCQ608" s="223"/>
      <c r="LCR608" s="224"/>
      <c r="LCS608" s="222"/>
      <c r="LCT608" s="222"/>
      <c r="LCU608" s="222"/>
      <c r="LCV608" s="222"/>
      <c r="LCW608" s="222"/>
      <c r="LCX608" s="222"/>
      <c r="LCY608" s="223"/>
      <c r="LCZ608" s="224"/>
      <c r="LDA608" s="222"/>
      <c r="LDB608" s="222"/>
      <c r="LDC608" s="222"/>
      <c r="LDD608" s="222"/>
      <c r="LDE608" s="222"/>
      <c r="LDF608" s="222"/>
      <c r="LDG608" s="223"/>
      <c r="LDH608" s="224"/>
      <c r="LDI608" s="222"/>
      <c r="LDJ608" s="222"/>
      <c r="LDK608" s="222"/>
      <c r="LDL608" s="222"/>
      <c r="LDM608" s="222"/>
      <c r="LDN608" s="222"/>
      <c r="LDO608" s="223"/>
      <c r="LDP608" s="224"/>
      <c r="LDQ608" s="222"/>
      <c r="LDR608" s="222"/>
      <c r="LDS608" s="222"/>
      <c r="LDT608" s="222"/>
      <c r="LDU608" s="222"/>
      <c r="LDV608" s="222"/>
      <c r="LDW608" s="223"/>
      <c r="LDX608" s="224"/>
      <c r="LDY608" s="222"/>
      <c r="LDZ608" s="222"/>
      <c r="LEA608" s="222"/>
      <c r="LEB608" s="222"/>
      <c r="LEC608" s="222"/>
      <c r="LED608" s="222"/>
      <c r="LEE608" s="223"/>
      <c r="LEF608" s="224"/>
      <c r="LEG608" s="222"/>
      <c r="LEH608" s="222"/>
      <c r="LEI608" s="222"/>
      <c r="LEJ608" s="222"/>
      <c r="LEK608" s="222"/>
      <c r="LEL608" s="222"/>
      <c r="LEM608" s="223"/>
      <c r="LEN608" s="224"/>
      <c r="LEO608" s="222"/>
      <c r="LEP608" s="222"/>
      <c r="LEQ608" s="222"/>
      <c r="LER608" s="222"/>
      <c r="LES608" s="222"/>
      <c r="LET608" s="222"/>
      <c r="LEU608" s="223"/>
      <c r="LEV608" s="224"/>
      <c r="LEW608" s="222"/>
      <c r="LEX608" s="222"/>
      <c r="LEY608" s="222"/>
      <c r="LEZ608" s="222"/>
      <c r="LFA608" s="222"/>
      <c r="LFB608" s="222"/>
      <c r="LFC608" s="223"/>
      <c r="LFD608" s="224"/>
      <c r="LFE608" s="222"/>
      <c r="LFF608" s="222"/>
      <c r="LFG608" s="222"/>
      <c r="LFH608" s="222"/>
      <c r="LFI608" s="222"/>
      <c r="LFJ608" s="222"/>
      <c r="LFK608" s="223"/>
      <c r="LFL608" s="224"/>
      <c r="LFM608" s="222"/>
      <c r="LFN608" s="222"/>
      <c r="LFO608" s="222"/>
      <c r="LFP608" s="222"/>
      <c r="LFQ608" s="222"/>
      <c r="LFR608" s="222"/>
      <c r="LFS608" s="223"/>
      <c r="LFT608" s="224"/>
      <c r="LFU608" s="222"/>
      <c r="LFV608" s="222"/>
      <c r="LFW608" s="222"/>
      <c r="LFX608" s="222"/>
      <c r="LFY608" s="222"/>
      <c r="LFZ608" s="222"/>
      <c r="LGA608" s="223"/>
      <c r="LGB608" s="224"/>
      <c r="LGC608" s="222"/>
      <c r="LGD608" s="222"/>
      <c r="LGE608" s="222"/>
      <c r="LGF608" s="222"/>
      <c r="LGG608" s="222"/>
      <c r="LGH608" s="222"/>
      <c r="LGI608" s="223"/>
      <c r="LGJ608" s="224"/>
      <c r="LGK608" s="222"/>
      <c r="LGL608" s="222"/>
      <c r="LGM608" s="222"/>
      <c r="LGN608" s="222"/>
      <c r="LGO608" s="222"/>
      <c r="LGP608" s="222"/>
      <c r="LGQ608" s="223"/>
      <c r="LGR608" s="224"/>
      <c r="LGS608" s="222"/>
      <c r="LGT608" s="222"/>
      <c r="LGU608" s="222"/>
      <c r="LGV608" s="222"/>
      <c r="LGW608" s="222"/>
      <c r="LGX608" s="222"/>
      <c r="LGY608" s="223"/>
      <c r="LGZ608" s="224"/>
      <c r="LHA608" s="222"/>
      <c r="LHB608" s="222"/>
      <c r="LHC608" s="222"/>
      <c r="LHD608" s="222"/>
      <c r="LHE608" s="222"/>
      <c r="LHF608" s="222"/>
      <c r="LHG608" s="223"/>
      <c r="LHH608" s="224"/>
      <c r="LHI608" s="222"/>
      <c r="LHJ608" s="222"/>
      <c r="LHK608" s="222"/>
      <c r="LHL608" s="222"/>
      <c r="LHM608" s="222"/>
      <c r="LHN608" s="222"/>
      <c r="LHO608" s="223"/>
      <c r="LHP608" s="224"/>
      <c r="LHQ608" s="222"/>
      <c r="LHR608" s="222"/>
      <c r="LHS608" s="222"/>
      <c r="LHT608" s="222"/>
      <c r="LHU608" s="222"/>
      <c r="LHV608" s="222"/>
      <c r="LHW608" s="223"/>
      <c r="LHX608" s="224"/>
      <c r="LHY608" s="222"/>
      <c r="LHZ608" s="222"/>
      <c r="LIA608" s="222"/>
      <c r="LIB608" s="222"/>
      <c r="LIC608" s="222"/>
      <c r="LID608" s="222"/>
      <c r="LIE608" s="223"/>
      <c r="LIF608" s="224"/>
      <c r="LIG608" s="222"/>
      <c r="LIH608" s="222"/>
      <c r="LII608" s="222"/>
      <c r="LIJ608" s="222"/>
      <c r="LIK608" s="222"/>
      <c r="LIL608" s="222"/>
      <c r="LIM608" s="223"/>
      <c r="LIN608" s="224"/>
      <c r="LIO608" s="222"/>
      <c r="LIP608" s="222"/>
      <c r="LIQ608" s="222"/>
      <c r="LIR608" s="222"/>
      <c r="LIS608" s="222"/>
      <c r="LIT608" s="222"/>
      <c r="LIU608" s="223"/>
      <c r="LIV608" s="224"/>
      <c r="LIW608" s="222"/>
      <c r="LIX608" s="222"/>
      <c r="LIY608" s="222"/>
      <c r="LIZ608" s="222"/>
      <c r="LJA608" s="222"/>
      <c r="LJB608" s="222"/>
      <c r="LJC608" s="223"/>
      <c r="LJD608" s="224"/>
      <c r="LJE608" s="222"/>
      <c r="LJF608" s="222"/>
      <c r="LJG608" s="222"/>
      <c r="LJH608" s="222"/>
      <c r="LJI608" s="222"/>
      <c r="LJJ608" s="222"/>
      <c r="LJK608" s="223"/>
      <c r="LJL608" s="224"/>
      <c r="LJM608" s="222"/>
      <c r="LJN608" s="222"/>
      <c r="LJO608" s="222"/>
      <c r="LJP608" s="222"/>
      <c r="LJQ608" s="222"/>
      <c r="LJR608" s="222"/>
      <c r="LJS608" s="223"/>
      <c r="LJT608" s="224"/>
      <c r="LJU608" s="222"/>
      <c r="LJV608" s="222"/>
      <c r="LJW608" s="222"/>
      <c r="LJX608" s="222"/>
      <c r="LJY608" s="222"/>
      <c r="LJZ608" s="222"/>
      <c r="LKA608" s="223"/>
      <c r="LKB608" s="224"/>
      <c r="LKC608" s="222"/>
      <c r="LKD608" s="222"/>
      <c r="LKE608" s="222"/>
      <c r="LKF608" s="222"/>
      <c r="LKG608" s="222"/>
      <c r="LKH608" s="222"/>
      <c r="LKI608" s="223"/>
      <c r="LKJ608" s="224"/>
      <c r="LKK608" s="222"/>
      <c r="LKL608" s="222"/>
      <c r="LKM608" s="222"/>
      <c r="LKN608" s="222"/>
      <c r="LKO608" s="222"/>
      <c r="LKP608" s="222"/>
      <c r="LKQ608" s="223"/>
      <c r="LKR608" s="224"/>
      <c r="LKS608" s="222"/>
      <c r="LKT608" s="222"/>
      <c r="LKU608" s="222"/>
      <c r="LKV608" s="222"/>
      <c r="LKW608" s="222"/>
      <c r="LKX608" s="222"/>
      <c r="LKY608" s="223"/>
      <c r="LKZ608" s="224"/>
      <c r="LLA608" s="222"/>
      <c r="LLB608" s="222"/>
      <c r="LLC608" s="222"/>
      <c r="LLD608" s="222"/>
      <c r="LLE608" s="222"/>
      <c r="LLF608" s="222"/>
      <c r="LLG608" s="223"/>
      <c r="LLH608" s="224"/>
      <c r="LLI608" s="222"/>
      <c r="LLJ608" s="222"/>
      <c r="LLK608" s="222"/>
      <c r="LLL608" s="222"/>
      <c r="LLM608" s="222"/>
      <c r="LLN608" s="222"/>
      <c r="LLO608" s="223"/>
      <c r="LLP608" s="224"/>
      <c r="LLQ608" s="222"/>
      <c r="LLR608" s="222"/>
      <c r="LLS608" s="222"/>
      <c r="LLT608" s="222"/>
      <c r="LLU608" s="222"/>
      <c r="LLV608" s="222"/>
      <c r="LLW608" s="223"/>
      <c r="LLX608" s="224"/>
      <c r="LLY608" s="222"/>
      <c r="LLZ608" s="222"/>
      <c r="LMA608" s="222"/>
      <c r="LMB608" s="222"/>
      <c r="LMC608" s="222"/>
      <c r="LMD608" s="222"/>
      <c r="LME608" s="223"/>
      <c r="LMF608" s="224"/>
      <c r="LMG608" s="222"/>
      <c r="LMH608" s="222"/>
      <c r="LMI608" s="222"/>
      <c r="LMJ608" s="222"/>
      <c r="LMK608" s="222"/>
      <c r="LML608" s="222"/>
      <c r="LMM608" s="223"/>
      <c r="LMN608" s="224"/>
      <c r="LMO608" s="222"/>
      <c r="LMP608" s="222"/>
      <c r="LMQ608" s="222"/>
      <c r="LMR608" s="222"/>
      <c r="LMS608" s="222"/>
      <c r="LMT608" s="222"/>
      <c r="LMU608" s="223"/>
      <c r="LMV608" s="224"/>
      <c r="LMW608" s="222"/>
      <c r="LMX608" s="222"/>
      <c r="LMY608" s="222"/>
      <c r="LMZ608" s="222"/>
      <c r="LNA608" s="222"/>
      <c r="LNB608" s="222"/>
      <c r="LNC608" s="223"/>
      <c r="LND608" s="224"/>
      <c r="LNE608" s="222"/>
      <c r="LNF608" s="222"/>
      <c r="LNG608" s="222"/>
      <c r="LNH608" s="222"/>
      <c r="LNI608" s="222"/>
      <c r="LNJ608" s="222"/>
      <c r="LNK608" s="223"/>
      <c r="LNL608" s="224"/>
      <c r="LNM608" s="222"/>
      <c r="LNN608" s="222"/>
      <c r="LNO608" s="222"/>
      <c r="LNP608" s="222"/>
      <c r="LNQ608" s="222"/>
      <c r="LNR608" s="222"/>
      <c r="LNS608" s="223"/>
      <c r="LNT608" s="224"/>
      <c r="LNU608" s="222"/>
      <c r="LNV608" s="222"/>
      <c r="LNW608" s="222"/>
      <c r="LNX608" s="222"/>
      <c r="LNY608" s="222"/>
      <c r="LNZ608" s="222"/>
      <c r="LOA608" s="223"/>
      <c r="LOB608" s="224"/>
      <c r="LOC608" s="222"/>
      <c r="LOD608" s="222"/>
      <c r="LOE608" s="222"/>
      <c r="LOF608" s="222"/>
      <c r="LOG608" s="222"/>
      <c r="LOH608" s="222"/>
      <c r="LOI608" s="223"/>
      <c r="LOJ608" s="224"/>
      <c r="LOK608" s="222"/>
      <c r="LOL608" s="222"/>
      <c r="LOM608" s="222"/>
      <c r="LON608" s="222"/>
      <c r="LOO608" s="222"/>
      <c r="LOP608" s="222"/>
      <c r="LOQ608" s="223"/>
      <c r="LOR608" s="224"/>
      <c r="LOS608" s="222"/>
      <c r="LOT608" s="222"/>
      <c r="LOU608" s="222"/>
      <c r="LOV608" s="222"/>
      <c r="LOW608" s="222"/>
      <c r="LOX608" s="222"/>
      <c r="LOY608" s="223"/>
      <c r="LOZ608" s="224"/>
      <c r="LPA608" s="222"/>
      <c r="LPB608" s="222"/>
      <c r="LPC608" s="222"/>
      <c r="LPD608" s="222"/>
      <c r="LPE608" s="222"/>
      <c r="LPF608" s="222"/>
      <c r="LPG608" s="223"/>
      <c r="LPH608" s="224"/>
      <c r="LPI608" s="222"/>
      <c r="LPJ608" s="222"/>
      <c r="LPK608" s="222"/>
      <c r="LPL608" s="222"/>
      <c r="LPM608" s="222"/>
      <c r="LPN608" s="222"/>
      <c r="LPO608" s="223"/>
      <c r="LPP608" s="224"/>
      <c r="LPQ608" s="222"/>
      <c r="LPR608" s="222"/>
      <c r="LPS608" s="222"/>
      <c r="LPT608" s="222"/>
      <c r="LPU608" s="222"/>
      <c r="LPV608" s="222"/>
      <c r="LPW608" s="223"/>
      <c r="LPX608" s="224"/>
      <c r="LPY608" s="222"/>
      <c r="LPZ608" s="222"/>
      <c r="LQA608" s="222"/>
      <c r="LQB608" s="222"/>
      <c r="LQC608" s="222"/>
      <c r="LQD608" s="222"/>
      <c r="LQE608" s="223"/>
      <c r="LQF608" s="224"/>
      <c r="LQG608" s="222"/>
      <c r="LQH608" s="222"/>
      <c r="LQI608" s="222"/>
      <c r="LQJ608" s="222"/>
      <c r="LQK608" s="222"/>
      <c r="LQL608" s="222"/>
      <c r="LQM608" s="223"/>
      <c r="LQN608" s="224"/>
      <c r="LQO608" s="222"/>
      <c r="LQP608" s="222"/>
      <c r="LQQ608" s="222"/>
      <c r="LQR608" s="222"/>
      <c r="LQS608" s="222"/>
      <c r="LQT608" s="222"/>
      <c r="LQU608" s="223"/>
      <c r="LQV608" s="224"/>
      <c r="LQW608" s="222"/>
      <c r="LQX608" s="222"/>
      <c r="LQY608" s="222"/>
      <c r="LQZ608" s="222"/>
      <c r="LRA608" s="222"/>
      <c r="LRB608" s="222"/>
      <c r="LRC608" s="223"/>
      <c r="LRD608" s="224"/>
      <c r="LRE608" s="222"/>
      <c r="LRF608" s="222"/>
      <c r="LRG608" s="222"/>
      <c r="LRH608" s="222"/>
      <c r="LRI608" s="222"/>
      <c r="LRJ608" s="222"/>
      <c r="LRK608" s="223"/>
      <c r="LRL608" s="224"/>
      <c r="LRM608" s="222"/>
      <c r="LRN608" s="222"/>
      <c r="LRO608" s="222"/>
      <c r="LRP608" s="222"/>
      <c r="LRQ608" s="222"/>
      <c r="LRR608" s="222"/>
      <c r="LRS608" s="223"/>
      <c r="LRT608" s="224"/>
      <c r="LRU608" s="222"/>
      <c r="LRV608" s="222"/>
      <c r="LRW608" s="222"/>
      <c r="LRX608" s="222"/>
      <c r="LRY608" s="222"/>
      <c r="LRZ608" s="222"/>
      <c r="LSA608" s="223"/>
      <c r="LSB608" s="224"/>
      <c r="LSC608" s="222"/>
      <c r="LSD608" s="222"/>
      <c r="LSE608" s="222"/>
      <c r="LSF608" s="222"/>
      <c r="LSG608" s="222"/>
      <c r="LSH608" s="222"/>
      <c r="LSI608" s="223"/>
      <c r="LSJ608" s="224"/>
      <c r="LSK608" s="222"/>
      <c r="LSL608" s="222"/>
      <c r="LSM608" s="222"/>
      <c r="LSN608" s="222"/>
      <c r="LSO608" s="222"/>
      <c r="LSP608" s="222"/>
      <c r="LSQ608" s="223"/>
      <c r="LSR608" s="224"/>
      <c r="LSS608" s="222"/>
      <c r="LST608" s="222"/>
      <c r="LSU608" s="222"/>
      <c r="LSV608" s="222"/>
      <c r="LSW608" s="222"/>
      <c r="LSX608" s="222"/>
      <c r="LSY608" s="223"/>
      <c r="LSZ608" s="224"/>
      <c r="LTA608" s="222"/>
      <c r="LTB608" s="222"/>
      <c r="LTC608" s="222"/>
      <c r="LTD608" s="222"/>
      <c r="LTE608" s="222"/>
      <c r="LTF608" s="222"/>
      <c r="LTG608" s="223"/>
      <c r="LTH608" s="224"/>
      <c r="LTI608" s="222"/>
      <c r="LTJ608" s="222"/>
      <c r="LTK608" s="222"/>
      <c r="LTL608" s="222"/>
      <c r="LTM608" s="222"/>
      <c r="LTN608" s="222"/>
      <c r="LTO608" s="223"/>
      <c r="LTP608" s="224"/>
      <c r="LTQ608" s="222"/>
      <c r="LTR608" s="222"/>
      <c r="LTS608" s="222"/>
      <c r="LTT608" s="222"/>
      <c r="LTU608" s="222"/>
      <c r="LTV608" s="222"/>
      <c r="LTW608" s="223"/>
      <c r="LTX608" s="224"/>
      <c r="LTY608" s="222"/>
      <c r="LTZ608" s="222"/>
      <c r="LUA608" s="222"/>
      <c r="LUB608" s="222"/>
      <c r="LUC608" s="222"/>
      <c r="LUD608" s="222"/>
      <c r="LUE608" s="223"/>
      <c r="LUF608" s="224"/>
      <c r="LUG608" s="222"/>
      <c r="LUH608" s="222"/>
      <c r="LUI608" s="222"/>
      <c r="LUJ608" s="222"/>
      <c r="LUK608" s="222"/>
      <c r="LUL608" s="222"/>
      <c r="LUM608" s="223"/>
      <c r="LUN608" s="224"/>
      <c r="LUO608" s="222"/>
      <c r="LUP608" s="222"/>
      <c r="LUQ608" s="222"/>
      <c r="LUR608" s="222"/>
      <c r="LUS608" s="222"/>
      <c r="LUT608" s="222"/>
      <c r="LUU608" s="223"/>
      <c r="LUV608" s="224"/>
      <c r="LUW608" s="222"/>
      <c r="LUX608" s="222"/>
      <c r="LUY608" s="222"/>
      <c r="LUZ608" s="222"/>
      <c r="LVA608" s="222"/>
      <c r="LVB608" s="222"/>
      <c r="LVC608" s="223"/>
      <c r="LVD608" s="224"/>
      <c r="LVE608" s="222"/>
      <c r="LVF608" s="222"/>
      <c r="LVG608" s="222"/>
      <c r="LVH608" s="222"/>
      <c r="LVI608" s="222"/>
      <c r="LVJ608" s="222"/>
      <c r="LVK608" s="223"/>
      <c r="LVL608" s="224"/>
      <c r="LVM608" s="222"/>
      <c r="LVN608" s="222"/>
      <c r="LVO608" s="222"/>
      <c r="LVP608" s="222"/>
      <c r="LVQ608" s="222"/>
      <c r="LVR608" s="222"/>
      <c r="LVS608" s="223"/>
      <c r="LVT608" s="224"/>
      <c r="LVU608" s="222"/>
      <c r="LVV608" s="222"/>
      <c r="LVW608" s="222"/>
      <c r="LVX608" s="222"/>
      <c r="LVY608" s="222"/>
      <c r="LVZ608" s="222"/>
      <c r="LWA608" s="223"/>
      <c r="LWB608" s="224"/>
      <c r="LWC608" s="222"/>
      <c r="LWD608" s="222"/>
      <c r="LWE608" s="222"/>
      <c r="LWF608" s="222"/>
      <c r="LWG608" s="222"/>
      <c r="LWH608" s="222"/>
      <c r="LWI608" s="223"/>
      <c r="LWJ608" s="224"/>
      <c r="LWK608" s="222"/>
      <c r="LWL608" s="222"/>
      <c r="LWM608" s="222"/>
      <c r="LWN608" s="222"/>
      <c r="LWO608" s="222"/>
      <c r="LWP608" s="222"/>
      <c r="LWQ608" s="223"/>
      <c r="LWR608" s="224"/>
      <c r="LWS608" s="222"/>
      <c r="LWT608" s="222"/>
      <c r="LWU608" s="222"/>
      <c r="LWV608" s="222"/>
      <c r="LWW608" s="222"/>
      <c r="LWX608" s="222"/>
      <c r="LWY608" s="223"/>
      <c r="LWZ608" s="224"/>
      <c r="LXA608" s="222"/>
      <c r="LXB608" s="222"/>
      <c r="LXC608" s="222"/>
      <c r="LXD608" s="222"/>
      <c r="LXE608" s="222"/>
      <c r="LXF608" s="222"/>
      <c r="LXG608" s="223"/>
      <c r="LXH608" s="224"/>
      <c r="LXI608" s="222"/>
      <c r="LXJ608" s="222"/>
      <c r="LXK608" s="222"/>
      <c r="LXL608" s="222"/>
      <c r="LXM608" s="222"/>
      <c r="LXN608" s="222"/>
      <c r="LXO608" s="223"/>
      <c r="LXP608" s="224"/>
      <c r="LXQ608" s="222"/>
      <c r="LXR608" s="222"/>
      <c r="LXS608" s="222"/>
      <c r="LXT608" s="222"/>
      <c r="LXU608" s="222"/>
      <c r="LXV608" s="222"/>
      <c r="LXW608" s="223"/>
      <c r="LXX608" s="224"/>
      <c r="LXY608" s="222"/>
      <c r="LXZ608" s="222"/>
      <c r="LYA608" s="222"/>
      <c r="LYB608" s="222"/>
      <c r="LYC608" s="222"/>
      <c r="LYD608" s="222"/>
      <c r="LYE608" s="223"/>
      <c r="LYF608" s="224"/>
      <c r="LYG608" s="222"/>
      <c r="LYH608" s="222"/>
      <c r="LYI608" s="222"/>
      <c r="LYJ608" s="222"/>
      <c r="LYK608" s="222"/>
      <c r="LYL608" s="222"/>
      <c r="LYM608" s="223"/>
      <c r="LYN608" s="224"/>
      <c r="LYO608" s="222"/>
      <c r="LYP608" s="222"/>
      <c r="LYQ608" s="222"/>
      <c r="LYR608" s="222"/>
      <c r="LYS608" s="222"/>
      <c r="LYT608" s="222"/>
      <c r="LYU608" s="223"/>
      <c r="LYV608" s="224"/>
      <c r="LYW608" s="222"/>
      <c r="LYX608" s="222"/>
      <c r="LYY608" s="222"/>
      <c r="LYZ608" s="222"/>
      <c r="LZA608" s="222"/>
      <c r="LZB608" s="222"/>
      <c r="LZC608" s="223"/>
      <c r="LZD608" s="224"/>
      <c r="LZE608" s="222"/>
      <c r="LZF608" s="222"/>
      <c r="LZG608" s="222"/>
      <c r="LZH608" s="222"/>
      <c r="LZI608" s="222"/>
      <c r="LZJ608" s="222"/>
      <c r="LZK608" s="223"/>
      <c r="LZL608" s="224"/>
      <c r="LZM608" s="222"/>
      <c r="LZN608" s="222"/>
      <c r="LZO608" s="222"/>
      <c r="LZP608" s="222"/>
      <c r="LZQ608" s="222"/>
      <c r="LZR608" s="222"/>
      <c r="LZS608" s="223"/>
      <c r="LZT608" s="224"/>
      <c r="LZU608" s="222"/>
      <c r="LZV608" s="222"/>
      <c r="LZW608" s="222"/>
      <c r="LZX608" s="222"/>
      <c r="LZY608" s="222"/>
      <c r="LZZ608" s="222"/>
      <c r="MAA608" s="223"/>
      <c r="MAB608" s="224"/>
      <c r="MAC608" s="222"/>
      <c r="MAD608" s="222"/>
      <c r="MAE608" s="222"/>
      <c r="MAF608" s="222"/>
      <c r="MAG608" s="222"/>
      <c r="MAH608" s="222"/>
      <c r="MAI608" s="223"/>
      <c r="MAJ608" s="224"/>
      <c r="MAK608" s="222"/>
      <c r="MAL608" s="222"/>
      <c r="MAM608" s="222"/>
      <c r="MAN608" s="222"/>
      <c r="MAO608" s="222"/>
      <c r="MAP608" s="222"/>
      <c r="MAQ608" s="223"/>
      <c r="MAR608" s="224"/>
      <c r="MAS608" s="222"/>
      <c r="MAT608" s="222"/>
      <c r="MAU608" s="222"/>
      <c r="MAV608" s="222"/>
      <c r="MAW608" s="222"/>
      <c r="MAX608" s="222"/>
      <c r="MAY608" s="223"/>
      <c r="MAZ608" s="224"/>
      <c r="MBA608" s="222"/>
      <c r="MBB608" s="222"/>
      <c r="MBC608" s="222"/>
      <c r="MBD608" s="222"/>
      <c r="MBE608" s="222"/>
      <c r="MBF608" s="222"/>
      <c r="MBG608" s="223"/>
      <c r="MBH608" s="224"/>
      <c r="MBI608" s="222"/>
      <c r="MBJ608" s="222"/>
      <c r="MBK608" s="222"/>
      <c r="MBL608" s="222"/>
      <c r="MBM608" s="222"/>
      <c r="MBN608" s="222"/>
      <c r="MBO608" s="223"/>
      <c r="MBP608" s="224"/>
      <c r="MBQ608" s="222"/>
      <c r="MBR608" s="222"/>
      <c r="MBS608" s="222"/>
      <c r="MBT608" s="222"/>
      <c r="MBU608" s="222"/>
      <c r="MBV608" s="222"/>
      <c r="MBW608" s="223"/>
      <c r="MBX608" s="224"/>
      <c r="MBY608" s="222"/>
      <c r="MBZ608" s="222"/>
      <c r="MCA608" s="222"/>
      <c r="MCB608" s="222"/>
      <c r="MCC608" s="222"/>
      <c r="MCD608" s="222"/>
      <c r="MCE608" s="223"/>
      <c r="MCF608" s="224"/>
      <c r="MCG608" s="222"/>
      <c r="MCH608" s="222"/>
      <c r="MCI608" s="222"/>
      <c r="MCJ608" s="222"/>
      <c r="MCK608" s="222"/>
      <c r="MCL608" s="222"/>
      <c r="MCM608" s="223"/>
      <c r="MCN608" s="224"/>
      <c r="MCO608" s="222"/>
      <c r="MCP608" s="222"/>
      <c r="MCQ608" s="222"/>
      <c r="MCR608" s="222"/>
      <c r="MCS608" s="222"/>
      <c r="MCT608" s="222"/>
      <c r="MCU608" s="223"/>
      <c r="MCV608" s="224"/>
      <c r="MCW608" s="222"/>
      <c r="MCX608" s="222"/>
      <c r="MCY608" s="222"/>
      <c r="MCZ608" s="222"/>
      <c r="MDA608" s="222"/>
      <c r="MDB608" s="222"/>
      <c r="MDC608" s="223"/>
      <c r="MDD608" s="224"/>
      <c r="MDE608" s="222"/>
      <c r="MDF608" s="222"/>
      <c r="MDG608" s="222"/>
      <c r="MDH608" s="222"/>
      <c r="MDI608" s="222"/>
      <c r="MDJ608" s="222"/>
      <c r="MDK608" s="223"/>
      <c r="MDL608" s="224"/>
      <c r="MDM608" s="222"/>
      <c r="MDN608" s="222"/>
      <c r="MDO608" s="222"/>
      <c r="MDP608" s="222"/>
      <c r="MDQ608" s="222"/>
      <c r="MDR608" s="222"/>
      <c r="MDS608" s="223"/>
      <c r="MDT608" s="224"/>
      <c r="MDU608" s="222"/>
      <c r="MDV608" s="222"/>
      <c r="MDW608" s="222"/>
      <c r="MDX608" s="222"/>
      <c r="MDY608" s="222"/>
      <c r="MDZ608" s="222"/>
      <c r="MEA608" s="223"/>
      <c r="MEB608" s="224"/>
      <c r="MEC608" s="222"/>
      <c r="MED608" s="222"/>
      <c r="MEE608" s="222"/>
      <c r="MEF608" s="222"/>
      <c r="MEG608" s="222"/>
      <c r="MEH608" s="222"/>
      <c r="MEI608" s="223"/>
      <c r="MEJ608" s="224"/>
      <c r="MEK608" s="222"/>
      <c r="MEL608" s="222"/>
      <c r="MEM608" s="222"/>
      <c r="MEN608" s="222"/>
      <c r="MEO608" s="222"/>
      <c r="MEP608" s="222"/>
      <c r="MEQ608" s="223"/>
      <c r="MER608" s="224"/>
      <c r="MES608" s="222"/>
      <c r="MET608" s="222"/>
      <c r="MEU608" s="222"/>
      <c r="MEV608" s="222"/>
      <c r="MEW608" s="222"/>
      <c r="MEX608" s="222"/>
      <c r="MEY608" s="223"/>
      <c r="MEZ608" s="224"/>
      <c r="MFA608" s="222"/>
      <c r="MFB608" s="222"/>
      <c r="MFC608" s="222"/>
      <c r="MFD608" s="222"/>
      <c r="MFE608" s="222"/>
      <c r="MFF608" s="222"/>
      <c r="MFG608" s="223"/>
      <c r="MFH608" s="224"/>
      <c r="MFI608" s="222"/>
      <c r="MFJ608" s="222"/>
      <c r="MFK608" s="222"/>
      <c r="MFL608" s="222"/>
      <c r="MFM608" s="222"/>
      <c r="MFN608" s="222"/>
      <c r="MFO608" s="223"/>
      <c r="MFP608" s="224"/>
      <c r="MFQ608" s="222"/>
      <c r="MFR608" s="222"/>
      <c r="MFS608" s="222"/>
      <c r="MFT608" s="222"/>
      <c r="MFU608" s="222"/>
      <c r="MFV608" s="222"/>
      <c r="MFW608" s="223"/>
      <c r="MFX608" s="224"/>
      <c r="MFY608" s="222"/>
      <c r="MFZ608" s="222"/>
      <c r="MGA608" s="222"/>
      <c r="MGB608" s="222"/>
      <c r="MGC608" s="222"/>
      <c r="MGD608" s="222"/>
      <c r="MGE608" s="223"/>
      <c r="MGF608" s="224"/>
      <c r="MGG608" s="222"/>
      <c r="MGH608" s="222"/>
      <c r="MGI608" s="222"/>
      <c r="MGJ608" s="222"/>
      <c r="MGK608" s="222"/>
      <c r="MGL608" s="222"/>
      <c r="MGM608" s="223"/>
      <c r="MGN608" s="224"/>
      <c r="MGO608" s="222"/>
      <c r="MGP608" s="222"/>
      <c r="MGQ608" s="222"/>
      <c r="MGR608" s="222"/>
      <c r="MGS608" s="222"/>
      <c r="MGT608" s="222"/>
      <c r="MGU608" s="223"/>
      <c r="MGV608" s="224"/>
      <c r="MGW608" s="222"/>
      <c r="MGX608" s="222"/>
      <c r="MGY608" s="222"/>
      <c r="MGZ608" s="222"/>
      <c r="MHA608" s="222"/>
      <c r="MHB608" s="222"/>
      <c r="MHC608" s="223"/>
      <c r="MHD608" s="224"/>
      <c r="MHE608" s="222"/>
      <c r="MHF608" s="222"/>
      <c r="MHG608" s="222"/>
      <c r="MHH608" s="222"/>
      <c r="MHI608" s="222"/>
      <c r="MHJ608" s="222"/>
      <c r="MHK608" s="223"/>
      <c r="MHL608" s="224"/>
      <c r="MHM608" s="222"/>
      <c r="MHN608" s="222"/>
      <c r="MHO608" s="222"/>
      <c r="MHP608" s="222"/>
      <c r="MHQ608" s="222"/>
      <c r="MHR608" s="222"/>
      <c r="MHS608" s="223"/>
      <c r="MHT608" s="224"/>
      <c r="MHU608" s="222"/>
      <c r="MHV608" s="222"/>
      <c r="MHW608" s="222"/>
      <c r="MHX608" s="222"/>
      <c r="MHY608" s="222"/>
      <c r="MHZ608" s="222"/>
      <c r="MIA608" s="223"/>
      <c r="MIB608" s="224"/>
      <c r="MIC608" s="222"/>
      <c r="MID608" s="222"/>
      <c r="MIE608" s="222"/>
      <c r="MIF608" s="222"/>
      <c r="MIG608" s="222"/>
      <c r="MIH608" s="222"/>
      <c r="MII608" s="223"/>
      <c r="MIJ608" s="224"/>
      <c r="MIK608" s="222"/>
      <c r="MIL608" s="222"/>
      <c r="MIM608" s="222"/>
      <c r="MIN608" s="222"/>
      <c r="MIO608" s="222"/>
      <c r="MIP608" s="222"/>
      <c r="MIQ608" s="223"/>
      <c r="MIR608" s="224"/>
      <c r="MIS608" s="222"/>
      <c r="MIT608" s="222"/>
      <c r="MIU608" s="222"/>
      <c r="MIV608" s="222"/>
      <c r="MIW608" s="222"/>
      <c r="MIX608" s="222"/>
      <c r="MIY608" s="223"/>
      <c r="MIZ608" s="224"/>
      <c r="MJA608" s="222"/>
      <c r="MJB608" s="222"/>
      <c r="MJC608" s="222"/>
      <c r="MJD608" s="222"/>
      <c r="MJE608" s="222"/>
      <c r="MJF608" s="222"/>
      <c r="MJG608" s="223"/>
      <c r="MJH608" s="224"/>
      <c r="MJI608" s="222"/>
      <c r="MJJ608" s="222"/>
      <c r="MJK608" s="222"/>
      <c r="MJL608" s="222"/>
      <c r="MJM608" s="222"/>
      <c r="MJN608" s="222"/>
      <c r="MJO608" s="223"/>
      <c r="MJP608" s="224"/>
      <c r="MJQ608" s="222"/>
      <c r="MJR608" s="222"/>
      <c r="MJS608" s="222"/>
      <c r="MJT608" s="222"/>
      <c r="MJU608" s="222"/>
      <c r="MJV608" s="222"/>
      <c r="MJW608" s="223"/>
      <c r="MJX608" s="224"/>
      <c r="MJY608" s="222"/>
      <c r="MJZ608" s="222"/>
      <c r="MKA608" s="222"/>
      <c r="MKB608" s="222"/>
      <c r="MKC608" s="222"/>
      <c r="MKD608" s="222"/>
      <c r="MKE608" s="223"/>
      <c r="MKF608" s="224"/>
      <c r="MKG608" s="222"/>
      <c r="MKH608" s="222"/>
      <c r="MKI608" s="222"/>
      <c r="MKJ608" s="222"/>
      <c r="MKK608" s="222"/>
      <c r="MKL608" s="222"/>
      <c r="MKM608" s="223"/>
      <c r="MKN608" s="224"/>
      <c r="MKO608" s="222"/>
      <c r="MKP608" s="222"/>
      <c r="MKQ608" s="222"/>
      <c r="MKR608" s="222"/>
      <c r="MKS608" s="222"/>
      <c r="MKT608" s="222"/>
      <c r="MKU608" s="223"/>
      <c r="MKV608" s="224"/>
      <c r="MKW608" s="222"/>
      <c r="MKX608" s="222"/>
      <c r="MKY608" s="222"/>
      <c r="MKZ608" s="222"/>
      <c r="MLA608" s="222"/>
      <c r="MLB608" s="222"/>
      <c r="MLC608" s="223"/>
      <c r="MLD608" s="224"/>
      <c r="MLE608" s="222"/>
      <c r="MLF608" s="222"/>
      <c r="MLG608" s="222"/>
      <c r="MLH608" s="222"/>
      <c r="MLI608" s="222"/>
      <c r="MLJ608" s="222"/>
      <c r="MLK608" s="223"/>
      <c r="MLL608" s="224"/>
      <c r="MLM608" s="222"/>
      <c r="MLN608" s="222"/>
      <c r="MLO608" s="222"/>
      <c r="MLP608" s="222"/>
      <c r="MLQ608" s="222"/>
      <c r="MLR608" s="222"/>
      <c r="MLS608" s="223"/>
      <c r="MLT608" s="224"/>
      <c r="MLU608" s="222"/>
      <c r="MLV608" s="222"/>
      <c r="MLW608" s="222"/>
      <c r="MLX608" s="222"/>
      <c r="MLY608" s="222"/>
      <c r="MLZ608" s="222"/>
      <c r="MMA608" s="223"/>
      <c r="MMB608" s="224"/>
      <c r="MMC608" s="222"/>
      <c r="MMD608" s="222"/>
      <c r="MME608" s="222"/>
      <c r="MMF608" s="222"/>
      <c r="MMG608" s="222"/>
      <c r="MMH608" s="222"/>
      <c r="MMI608" s="223"/>
      <c r="MMJ608" s="224"/>
      <c r="MMK608" s="222"/>
      <c r="MML608" s="222"/>
      <c r="MMM608" s="222"/>
      <c r="MMN608" s="222"/>
      <c r="MMO608" s="222"/>
      <c r="MMP608" s="222"/>
      <c r="MMQ608" s="223"/>
      <c r="MMR608" s="224"/>
      <c r="MMS608" s="222"/>
      <c r="MMT608" s="222"/>
      <c r="MMU608" s="222"/>
      <c r="MMV608" s="222"/>
      <c r="MMW608" s="222"/>
      <c r="MMX608" s="222"/>
      <c r="MMY608" s="223"/>
      <c r="MMZ608" s="224"/>
      <c r="MNA608" s="222"/>
      <c r="MNB608" s="222"/>
      <c r="MNC608" s="222"/>
      <c r="MND608" s="222"/>
      <c r="MNE608" s="222"/>
      <c r="MNF608" s="222"/>
      <c r="MNG608" s="223"/>
      <c r="MNH608" s="224"/>
      <c r="MNI608" s="222"/>
      <c r="MNJ608" s="222"/>
      <c r="MNK608" s="222"/>
      <c r="MNL608" s="222"/>
      <c r="MNM608" s="222"/>
      <c r="MNN608" s="222"/>
      <c r="MNO608" s="223"/>
      <c r="MNP608" s="224"/>
      <c r="MNQ608" s="222"/>
      <c r="MNR608" s="222"/>
      <c r="MNS608" s="222"/>
      <c r="MNT608" s="222"/>
      <c r="MNU608" s="222"/>
      <c r="MNV608" s="222"/>
      <c r="MNW608" s="223"/>
      <c r="MNX608" s="224"/>
      <c r="MNY608" s="222"/>
      <c r="MNZ608" s="222"/>
      <c r="MOA608" s="222"/>
      <c r="MOB608" s="222"/>
      <c r="MOC608" s="222"/>
      <c r="MOD608" s="222"/>
      <c r="MOE608" s="223"/>
      <c r="MOF608" s="224"/>
      <c r="MOG608" s="222"/>
      <c r="MOH608" s="222"/>
      <c r="MOI608" s="222"/>
      <c r="MOJ608" s="222"/>
      <c r="MOK608" s="222"/>
      <c r="MOL608" s="222"/>
      <c r="MOM608" s="223"/>
      <c r="MON608" s="224"/>
      <c r="MOO608" s="222"/>
      <c r="MOP608" s="222"/>
      <c r="MOQ608" s="222"/>
      <c r="MOR608" s="222"/>
      <c r="MOS608" s="222"/>
      <c r="MOT608" s="222"/>
      <c r="MOU608" s="223"/>
      <c r="MOV608" s="224"/>
      <c r="MOW608" s="222"/>
      <c r="MOX608" s="222"/>
      <c r="MOY608" s="222"/>
      <c r="MOZ608" s="222"/>
      <c r="MPA608" s="222"/>
      <c r="MPB608" s="222"/>
      <c r="MPC608" s="223"/>
      <c r="MPD608" s="224"/>
      <c r="MPE608" s="222"/>
      <c r="MPF608" s="222"/>
      <c r="MPG608" s="222"/>
      <c r="MPH608" s="222"/>
      <c r="MPI608" s="222"/>
      <c r="MPJ608" s="222"/>
      <c r="MPK608" s="223"/>
      <c r="MPL608" s="224"/>
      <c r="MPM608" s="222"/>
      <c r="MPN608" s="222"/>
      <c r="MPO608" s="222"/>
      <c r="MPP608" s="222"/>
      <c r="MPQ608" s="222"/>
      <c r="MPR608" s="222"/>
      <c r="MPS608" s="223"/>
      <c r="MPT608" s="224"/>
      <c r="MPU608" s="222"/>
      <c r="MPV608" s="222"/>
      <c r="MPW608" s="222"/>
      <c r="MPX608" s="222"/>
      <c r="MPY608" s="222"/>
      <c r="MPZ608" s="222"/>
      <c r="MQA608" s="223"/>
      <c r="MQB608" s="224"/>
      <c r="MQC608" s="222"/>
      <c r="MQD608" s="222"/>
      <c r="MQE608" s="222"/>
      <c r="MQF608" s="222"/>
      <c r="MQG608" s="222"/>
      <c r="MQH608" s="222"/>
      <c r="MQI608" s="223"/>
      <c r="MQJ608" s="224"/>
      <c r="MQK608" s="222"/>
      <c r="MQL608" s="222"/>
      <c r="MQM608" s="222"/>
      <c r="MQN608" s="222"/>
      <c r="MQO608" s="222"/>
      <c r="MQP608" s="222"/>
      <c r="MQQ608" s="223"/>
      <c r="MQR608" s="224"/>
      <c r="MQS608" s="222"/>
      <c r="MQT608" s="222"/>
      <c r="MQU608" s="222"/>
      <c r="MQV608" s="222"/>
      <c r="MQW608" s="222"/>
      <c r="MQX608" s="222"/>
      <c r="MQY608" s="223"/>
      <c r="MQZ608" s="224"/>
      <c r="MRA608" s="222"/>
      <c r="MRB608" s="222"/>
      <c r="MRC608" s="222"/>
      <c r="MRD608" s="222"/>
      <c r="MRE608" s="222"/>
      <c r="MRF608" s="222"/>
      <c r="MRG608" s="223"/>
      <c r="MRH608" s="224"/>
      <c r="MRI608" s="222"/>
      <c r="MRJ608" s="222"/>
      <c r="MRK608" s="222"/>
      <c r="MRL608" s="222"/>
      <c r="MRM608" s="222"/>
      <c r="MRN608" s="222"/>
      <c r="MRO608" s="223"/>
      <c r="MRP608" s="224"/>
      <c r="MRQ608" s="222"/>
      <c r="MRR608" s="222"/>
      <c r="MRS608" s="222"/>
      <c r="MRT608" s="222"/>
      <c r="MRU608" s="222"/>
      <c r="MRV608" s="222"/>
      <c r="MRW608" s="223"/>
      <c r="MRX608" s="224"/>
      <c r="MRY608" s="222"/>
      <c r="MRZ608" s="222"/>
      <c r="MSA608" s="222"/>
      <c r="MSB608" s="222"/>
      <c r="MSC608" s="222"/>
      <c r="MSD608" s="222"/>
      <c r="MSE608" s="223"/>
      <c r="MSF608" s="224"/>
      <c r="MSG608" s="222"/>
      <c r="MSH608" s="222"/>
      <c r="MSI608" s="222"/>
      <c r="MSJ608" s="222"/>
      <c r="MSK608" s="222"/>
      <c r="MSL608" s="222"/>
      <c r="MSM608" s="223"/>
      <c r="MSN608" s="224"/>
      <c r="MSO608" s="222"/>
      <c r="MSP608" s="222"/>
      <c r="MSQ608" s="222"/>
      <c r="MSR608" s="222"/>
      <c r="MSS608" s="222"/>
      <c r="MST608" s="222"/>
      <c r="MSU608" s="223"/>
      <c r="MSV608" s="224"/>
      <c r="MSW608" s="222"/>
      <c r="MSX608" s="222"/>
      <c r="MSY608" s="222"/>
      <c r="MSZ608" s="222"/>
      <c r="MTA608" s="222"/>
      <c r="MTB608" s="222"/>
      <c r="MTC608" s="223"/>
      <c r="MTD608" s="224"/>
      <c r="MTE608" s="222"/>
      <c r="MTF608" s="222"/>
      <c r="MTG608" s="222"/>
      <c r="MTH608" s="222"/>
      <c r="MTI608" s="222"/>
      <c r="MTJ608" s="222"/>
      <c r="MTK608" s="223"/>
      <c r="MTL608" s="224"/>
      <c r="MTM608" s="222"/>
      <c r="MTN608" s="222"/>
      <c r="MTO608" s="222"/>
      <c r="MTP608" s="222"/>
      <c r="MTQ608" s="222"/>
      <c r="MTR608" s="222"/>
      <c r="MTS608" s="223"/>
      <c r="MTT608" s="224"/>
      <c r="MTU608" s="222"/>
      <c r="MTV608" s="222"/>
      <c r="MTW608" s="222"/>
      <c r="MTX608" s="222"/>
      <c r="MTY608" s="222"/>
      <c r="MTZ608" s="222"/>
      <c r="MUA608" s="223"/>
      <c r="MUB608" s="224"/>
      <c r="MUC608" s="222"/>
      <c r="MUD608" s="222"/>
      <c r="MUE608" s="222"/>
      <c r="MUF608" s="222"/>
      <c r="MUG608" s="222"/>
      <c r="MUH608" s="222"/>
      <c r="MUI608" s="223"/>
      <c r="MUJ608" s="224"/>
      <c r="MUK608" s="222"/>
      <c r="MUL608" s="222"/>
      <c r="MUM608" s="222"/>
      <c r="MUN608" s="222"/>
      <c r="MUO608" s="222"/>
      <c r="MUP608" s="222"/>
      <c r="MUQ608" s="223"/>
      <c r="MUR608" s="224"/>
      <c r="MUS608" s="222"/>
      <c r="MUT608" s="222"/>
      <c r="MUU608" s="222"/>
      <c r="MUV608" s="222"/>
      <c r="MUW608" s="222"/>
      <c r="MUX608" s="222"/>
      <c r="MUY608" s="223"/>
      <c r="MUZ608" s="224"/>
      <c r="MVA608" s="222"/>
      <c r="MVB608" s="222"/>
      <c r="MVC608" s="222"/>
      <c r="MVD608" s="222"/>
      <c r="MVE608" s="222"/>
      <c r="MVF608" s="222"/>
      <c r="MVG608" s="223"/>
      <c r="MVH608" s="224"/>
      <c r="MVI608" s="222"/>
      <c r="MVJ608" s="222"/>
      <c r="MVK608" s="222"/>
      <c r="MVL608" s="222"/>
      <c r="MVM608" s="222"/>
      <c r="MVN608" s="222"/>
      <c r="MVO608" s="223"/>
      <c r="MVP608" s="224"/>
      <c r="MVQ608" s="222"/>
      <c r="MVR608" s="222"/>
      <c r="MVS608" s="222"/>
      <c r="MVT608" s="222"/>
      <c r="MVU608" s="222"/>
      <c r="MVV608" s="222"/>
      <c r="MVW608" s="223"/>
      <c r="MVX608" s="224"/>
      <c r="MVY608" s="222"/>
      <c r="MVZ608" s="222"/>
      <c r="MWA608" s="222"/>
      <c r="MWB608" s="222"/>
      <c r="MWC608" s="222"/>
      <c r="MWD608" s="222"/>
      <c r="MWE608" s="223"/>
      <c r="MWF608" s="224"/>
      <c r="MWG608" s="222"/>
      <c r="MWH608" s="222"/>
      <c r="MWI608" s="222"/>
      <c r="MWJ608" s="222"/>
      <c r="MWK608" s="222"/>
      <c r="MWL608" s="222"/>
      <c r="MWM608" s="223"/>
      <c r="MWN608" s="224"/>
      <c r="MWO608" s="222"/>
      <c r="MWP608" s="222"/>
      <c r="MWQ608" s="222"/>
      <c r="MWR608" s="222"/>
      <c r="MWS608" s="222"/>
      <c r="MWT608" s="222"/>
      <c r="MWU608" s="223"/>
      <c r="MWV608" s="224"/>
      <c r="MWW608" s="222"/>
      <c r="MWX608" s="222"/>
      <c r="MWY608" s="222"/>
      <c r="MWZ608" s="222"/>
      <c r="MXA608" s="222"/>
      <c r="MXB608" s="222"/>
      <c r="MXC608" s="223"/>
      <c r="MXD608" s="224"/>
      <c r="MXE608" s="222"/>
      <c r="MXF608" s="222"/>
      <c r="MXG608" s="222"/>
      <c r="MXH608" s="222"/>
      <c r="MXI608" s="222"/>
      <c r="MXJ608" s="222"/>
      <c r="MXK608" s="223"/>
      <c r="MXL608" s="224"/>
      <c r="MXM608" s="222"/>
      <c r="MXN608" s="222"/>
      <c r="MXO608" s="222"/>
      <c r="MXP608" s="222"/>
      <c r="MXQ608" s="222"/>
      <c r="MXR608" s="222"/>
      <c r="MXS608" s="223"/>
      <c r="MXT608" s="224"/>
      <c r="MXU608" s="222"/>
      <c r="MXV608" s="222"/>
      <c r="MXW608" s="222"/>
      <c r="MXX608" s="222"/>
      <c r="MXY608" s="222"/>
      <c r="MXZ608" s="222"/>
      <c r="MYA608" s="223"/>
      <c r="MYB608" s="224"/>
      <c r="MYC608" s="222"/>
      <c r="MYD608" s="222"/>
      <c r="MYE608" s="222"/>
      <c r="MYF608" s="222"/>
      <c r="MYG608" s="222"/>
      <c r="MYH608" s="222"/>
      <c r="MYI608" s="223"/>
      <c r="MYJ608" s="224"/>
      <c r="MYK608" s="222"/>
      <c r="MYL608" s="222"/>
      <c r="MYM608" s="222"/>
      <c r="MYN608" s="222"/>
      <c r="MYO608" s="222"/>
      <c r="MYP608" s="222"/>
      <c r="MYQ608" s="223"/>
      <c r="MYR608" s="224"/>
      <c r="MYS608" s="222"/>
      <c r="MYT608" s="222"/>
      <c r="MYU608" s="222"/>
      <c r="MYV608" s="222"/>
      <c r="MYW608" s="222"/>
      <c r="MYX608" s="222"/>
      <c r="MYY608" s="223"/>
      <c r="MYZ608" s="224"/>
      <c r="MZA608" s="222"/>
      <c r="MZB608" s="222"/>
      <c r="MZC608" s="222"/>
      <c r="MZD608" s="222"/>
      <c r="MZE608" s="222"/>
      <c r="MZF608" s="222"/>
      <c r="MZG608" s="223"/>
      <c r="MZH608" s="224"/>
      <c r="MZI608" s="222"/>
      <c r="MZJ608" s="222"/>
      <c r="MZK608" s="222"/>
      <c r="MZL608" s="222"/>
      <c r="MZM608" s="222"/>
      <c r="MZN608" s="222"/>
      <c r="MZO608" s="223"/>
      <c r="MZP608" s="224"/>
      <c r="MZQ608" s="222"/>
      <c r="MZR608" s="222"/>
      <c r="MZS608" s="222"/>
      <c r="MZT608" s="222"/>
      <c r="MZU608" s="222"/>
      <c r="MZV608" s="222"/>
      <c r="MZW608" s="223"/>
      <c r="MZX608" s="224"/>
      <c r="MZY608" s="222"/>
      <c r="MZZ608" s="222"/>
      <c r="NAA608" s="222"/>
      <c r="NAB608" s="222"/>
      <c r="NAC608" s="222"/>
      <c r="NAD608" s="222"/>
      <c r="NAE608" s="223"/>
      <c r="NAF608" s="224"/>
      <c r="NAG608" s="222"/>
      <c r="NAH608" s="222"/>
      <c r="NAI608" s="222"/>
      <c r="NAJ608" s="222"/>
      <c r="NAK608" s="222"/>
      <c r="NAL608" s="222"/>
      <c r="NAM608" s="223"/>
      <c r="NAN608" s="224"/>
      <c r="NAO608" s="222"/>
      <c r="NAP608" s="222"/>
      <c r="NAQ608" s="222"/>
      <c r="NAR608" s="222"/>
      <c r="NAS608" s="222"/>
      <c r="NAT608" s="222"/>
      <c r="NAU608" s="223"/>
      <c r="NAV608" s="224"/>
      <c r="NAW608" s="222"/>
      <c r="NAX608" s="222"/>
      <c r="NAY608" s="222"/>
      <c r="NAZ608" s="222"/>
      <c r="NBA608" s="222"/>
      <c r="NBB608" s="222"/>
      <c r="NBC608" s="223"/>
      <c r="NBD608" s="224"/>
      <c r="NBE608" s="222"/>
      <c r="NBF608" s="222"/>
      <c r="NBG608" s="222"/>
      <c r="NBH608" s="222"/>
      <c r="NBI608" s="222"/>
      <c r="NBJ608" s="222"/>
      <c r="NBK608" s="223"/>
      <c r="NBL608" s="224"/>
      <c r="NBM608" s="222"/>
      <c r="NBN608" s="222"/>
      <c r="NBO608" s="222"/>
      <c r="NBP608" s="222"/>
      <c r="NBQ608" s="222"/>
      <c r="NBR608" s="222"/>
      <c r="NBS608" s="223"/>
      <c r="NBT608" s="224"/>
      <c r="NBU608" s="222"/>
      <c r="NBV608" s="222"/>
      <c r="NBW608" s="222"/>
      <c r="NBX608" s="222"/>
      <c r="NBY608" s="222"/>
      <c r="NBZ608" s="222"/>
      <c r="NCA608" s="223"/>
      <c r="NCB608" s="224"/>
      <c r="NCC608" s="222"/>
      <c r="NCD608" s="222"/>
      <c r="NCE608" s="222"/>
      <c r="NCF608" s="222"/>
      <c r="NCG608" s="222"/>
      <c r="NCH608" s="222"/>
      <c r="NCI608" s="223"/>
      <c r="NCJ608" s="224"/>
      <c r="NCK608" s="222"/>
      <c r="NCL608" s="222"/>
      <c r="NCM608" s="222"/>
      <c r="NCN608" s="222"/>
      <c r="NCO608" s="222"/>
      <c r="NCP608" s="222"/>
      <c r="NCQ608" s="223"/>
      <c r="NCR608" s="224"/>
      <c r="NCS608" s="222"/>
      <c r="NCT608" s="222"/>
      <c r="NCU608" s="222"/>
      <c r="NCV608" s="222"/>
      <c r="NCW608" s="222"/>
      <c r="NCX608" s="222"/>
      <c r="NCY608" s="223"/>
      <c r="NCZ608" s="224"/>
      <c r="NDA608" s="222"/>
      <c r="NDB608" s="222"/>
      <c r="NDC608" s="222"/>
      <c r="NDD608" s="222"/>
      <c r="NDE608" s="222"/>
      <c r="NDF608" s="222"/>
      <c r="NDG608" s="223"/>
      <c r="NDH608" s="224"/>
      <c r="NDI608" s="222"/>
      <c r="NDJ608" s="222"/>
      <c r="NDK608" s="222"/>
      <c r="NDL608" s="222"/>
      <c r="NDM608" s="222"/>
      <c r="NDN608" s="222"/>
      <c r="NDO608" s="223"/>
      <c r="NDP608" s="224"/>
      <c r="NDQ608" s="222"/>
      <c r="NDR608" s="222"/>
      <c r="NDS608" s="222"/>
      <c r="NDT608" s="222"/>
      <c r="NDU608" s="222"/>
      <c r="NDV608" s="222"/>
      <c r="NDW608" s="223"/>
      <c r="NDX608" s="224"/>
      <c r="NDY608" s="222"/>
      <c r="NDZ608" s="222"/>
      <c r="NEA608" s="222"/>
      <c r="NEB608" s="222"/>
      <c r="NEC608" s="222"/>
      <c r="NED608" s="222"/>
      <c r="NEE608" s="223"/>
      <c r="NEF608" s="224"/>
      <c r="NEG608" s="222"/>
      <c r="NEH608" s="222"/>
      <c r="NEI608" s="222"/>
      <c r="NEJ608" s="222"/>
      <c r="NEK608" s="222"/>
      <c r="NEL608" s="222"/>
      <c r="NEM608" s="223"/>
      <c r="NEN608" s="224"/>
      <c r="NEO608" s="222"/>
      <c r="NEP608" s="222"/>
      <c r="NEQ608" s="222"/>
      <c r="NER608" s="222"/>
      <c r="NES608" s="222"/>
      <c r="NET608" s="222"/>
      <c r="NEU608" s="223"/>
      <c r="NEV608" s="224"/>
      <c r="NEW608" s="222"/>
      <c r="NEX608" s="222"/>
      <c r="NEY608" s="222"/>
      <c r="NEZ608" s="222"/>
      <c r="NFA608" s="222"/>
      <c r="NFB608" s="222"/>
      <c r="NFC608" s="223"/>
      <c r="NFD608" s="224"/>
      <c r="NFE608" s="222"/>
      <c r="NFF608" s="222"/>
      <c r="NFG608" s="222"/>
      <c r="NFH608" s="222"/>
      <c r="NFI608" s="222"/>
      <c r="NFJ608" s="222"/>
      <c r="NFK608" s="223"/>
      <c r="NFL608" s="224"/>
      <c r="NFM608" s="222"/>
      <c r="NFN608" s="222"/>
      <c r="NFO608" s="222"/>
      <c r="NFP608" s="222"/>
      <c r="NFQ608" s="222"/>
      <c r="NFR608" s="222"/>
      <c r="NFS608" s="223"/>
      <c r="NFT608" s="224"/>
      <c r="NFU608" s="222"/>
      <c r="NFV608" s="222"/>
      <c r="NFW608" s="222"/>
      <c r="NFX608" s="222"/>
      <c r="NFY608" s="222"/>
      <c r="NFZ608" s="222"/>
      <c r="NGA608" s="223"/>
      <c r="NGB608" s="224"/>
      <c r="NGC608" s="222"/>
      <c r="NGD608" s="222"/>
      <c r="NGE608" s="222"/>
      <c r="NGF608" s="222"/>
      <c r="NGG608" s="222"/>
      <c r="NGH608" s="222"/>
      <c r="NGI608" s="223"/>
      <c r="NGJ608" s="224"/>
      <c r="NGK608" s="222"/>
      <c r="NGL608" s="222"/>
      <c r="NGM608" s="222"/>
      <c r="NGN608" s="222"/>
      <c r="NGO608" s="222"/>
      <c r="NGP608" s="222"/>
      <c r="NGQ608" s="223"/>
      <c r="NGR608" s="224"/>
      <c r="NGS608" s="222"/>
      <c r="NGT608" s="222"/>
      <c r="NGU608" s="222"/>
      <c r="NGV608" s="222"/>
      <c r="NGW608" s="222"/>
      <c r="NGX608" s="222"/>
      <c r="NGY608" s="223"/>
      <c r="NGZ608" s="224"/>
      <c r="NHA608" s="222"/>
      <c r="NHB608" s="222"/>
      <c r="NHC608" s="222"/>
      <c r="NHD608" s="222"/>
      <c r="NHE608" s="222"/>
      <c r="NHF608" s="222"/>
      <c r="NHG608" s="223"/>
      <c r="NHH608" s="224"/>
      <c r="NHI608" s="222"/>
      <c r="NHJ608" s="222"/>
      <c r="NHK608" s="222"/>
      <c r="NHL608" s="222"/>
      <c r="NHM608" s="222"/>
      <c r="NHN608" s="222"/>
      <c r="NHO608" s="223"/>
      <c r="NHP608" s="224"/>
      <c r="NHQ608" s="222"/>
      <c r="NHR608" s="222"/>
      <c r="NHS608" s="222"/>
      <c r="NHT608" s="222"/>
      <c r="NHU608" s="222"/>
      <c r="NHV608" s="222"/>
      <c r="NHW608" s="223"/>
      <c r="NHX608" s="224"/>
      <c r="NHY608" s="222"/>
      <c r="NHZ608" s="222"/>
      <c r="NIA608" s="222"/>
      <c r="NIB608" s="222"/>
      <c r="NIC608" s="222"/>
      <c r="NID608" s="222"/>
      <c r="NIE608" s="223"/>
      <c r="NIF608" s="224"/>
      <c r="NIG608" s="222"/>
      <c r="NIH608" s="222"/>
      <c r="NII608" s="222"/>
      <c r="NIJ608" s="222"/>
      <c r="NIK608" s="222"/>
      <c r="NIL608" s="222"/>
      <c r="NIM608" s="223"/>
      <c r="NIN608" s="224"/>
      <c r="NIO608" s="222"/>
      <c r="NIP608" s="222"/>
      <c r="NIQ608" s="222"/>
      <c r="NIR608" s="222"/>
      <c r="NIS608" s="222"/>
      <c r="NIT608" s="222"/>
      <c r="NIU608" s="223"/>
      <c r="NIV608" s="224"/>
      <c r="NIW608" s="222"/>
      <c r="NIX608" s="222"/>
      <c r="NIY608" s="222"/>
      <c r="NIZ608" s="222"/>
      <c r="NJA608" s="222"/>
      <c r="NJB608" s="222"/>
      <c r="NJC608" s="223"/>
      <c r="NJD608" s="224"/>
      <c r="NJE608" s="222"/>
      <c r="NJF608" s="222"/>
      <c r="NJG608" s="222"/>
      <c r="NJH608" s="222"/>
      <c r="NJI608" s="222"/>
      <c r="NJJ608" s="222"/>
      <c r="NJK608" s="223"/>
      <c r="NJL608" s="224"/>
      <c r="NJM608" s="222"/>
      <c r="NJN608" s="222"/>
      <c r="NJO608" s="222"/>
      <c r="NJP608" s="222"/>
      <c r="NJQ608" s="222"/>
      <c r="NJR608" s="222"/>
      <c r="NJS608" s="223"/>
      <c r="NJT608" s="224"/>
      <c r="NJU608" s="222"/>
      <c r="NJV608" s="222"/>
      <c r="NJW608" s="222"/>
      <c r="NJX608" s="222"/>
      <c r="NJY608" s="222"/>
      <c r="NJZ608" s="222"/>
      <c r="NKA608" s="223"/>
      <c r="NKB608" s="224"/>
      <c r="NKC608" s="222"/>
      <c r="NKD608" s="222"/>
      <c r="NKE608" s="222"/>
      <c r="NKF608" s="222"/>
      <c r="NKG608" s="222"/>
      <c r="NKH608" s="222"/>
      <c r="NKI608" s="223"/>
      <c r="NKJ608" s="224"/>
      <c r="NKK608" s="222"/>
      <c r="NKL608" s="222"/>
      <c r="NKM608" s="222"/>
      <c r="NKN608" s="222"/>
      <c r="NKO608" s="222"/>
      <c r="NKP608" s="222"/>
      <c r="NKQ608" s="223"/>
      <c r="NKR608" s="224"/>
      <c r="NKS608" s="222"/>
      <c r="NKT608" s="222"/>
      <c r="NKU608" s="222"/>
      <c r="NKV608" s="222"/>
      <c r="NKW608" s="222"/>
      <c r="NKX608" s="222"/>
      <c r="NKY608" s="223"/>
      <c r="NKZ608" s="224"/>
      <c r="NLA608" s="222"/>
      <c r="NLB608" s="222"/>
      <c r="NLC608" s="222"/>
      <c r="NLD608" s="222"/>
      <c r="NLE608" s="222"/>
      <c r="NLF608" s="222"/>
      <c r="NLG608" s="223"/>
      <c r="NLH608" s="224"/>
      <c r="NLI608" s="222"/>
      <c r="NLJ608" s="222"/>
      <c r="NLK608" s="222"/>
      <c r="NLL608" s="222"/>
      <c r="NLM608" s="222"/>
      <c r="NLN608" s="222"/>
      <c r="NLO608" s="223"/>
      <c r="NLP608" s="224"/>
      <c r="NLQ608" s="222"/>
      <c r="NLR608" s="222"/>
      <c r="NLS608" s="222"/>
      <c r="NLT608" s="222"/>
      <c r="NLU608" s="222"/>
      <c r="NLV608" s="222"/>
      <c r="NLW608" s="223"/>
      <c r="NLX608" s="224"/>
      <c r="NLY608" s="222"/>
      <c r="NLZ608" s="222"/>
      <c r="NMA608" s="222"/>
      <c r="NMB608" s="222"/>
      <c r="NMC608" s="222"/>
      <c r="NMD608" s="222"/>
      <c r="NME608" s="223"/>
      <c r="NMF608" s="224"/>
      <c r="NMG608" s="222"/>
      <c r="NMH608" s="222"/>
      <c r="NMI608" s="222"/>
      <c r="NMJ608" s="222"/>
      <c r="NMK608" s="222"/>
      <c r="NML608" s="222"/>
      <c r="NMM608" s="223"/>
      <c r="NMN608" s="224"/>
      <c r="NMO608" s="222"/>
      <c r="NMP608" s="222"/>
      <c r="NMQ608" s="222"/>
      <c r="NMR608" s="222"/>
      <c r="NMS608" s="222"/>
      <c r="NMT608" s="222"/>
      <c r="NMU608" s="223"/>
      <c r="NMV608" s="224"/>
      <c r="NMW608" s="222"/>
      <c r="NMX608" s="222"/>
      <c r="NMY608" s="222"/>
      <c r="NMZ608" s="222"/>
      <c r="NNA608" s="222"/>
      <c r="NNB608" s="222"/>
      <c r="NNC608" s="223"/>
      <c r="NND608" s="224"/>
      <c r="NNE608" s="222"/>
      <c r="NNF608" s="222"/>
      <c r="NNG608" s="222"/>
      <c r="NNH608" s="222"/>
      <c r="NNI608" s="222"/>
      <c r="NNJ608" s="222"/>
      <c r="NNK608" s="223"/>
      <c r="NNL608" s="224"/>
      <c r="NNM608" s="222"/>
      <c r="NNN608" s="222"/>
      <c r="NNO608" s="222"/>
      <c r="NNP608" s="222"/>
      <c r="NNQ608" s="222"/>
      <c r="NNR608" s="222"/>
      <c r="NNS608" s="223"/>
      <c r="NNT608" s="224"/>
      <c r="NNU608" s="222"/>
      <c r="NNV608" s="222"/>
      <c r="NNW608" s="222"/>
      <c r="NNX608" s="222"/>
      <c r="NNY608" s="222"/>
      <c r="NNZ608" s="222"/>
      <c r="NOA608" s="223"/>
      <c r="NOB608" s="224"/>
      <c r="NOC608" s="222"/>
      <c r="NOD608" s="222"/>
      <c r="NOE608" s="222"/>
      <c r="NOF608" s="222"/>
      <c r="NOG608" s="222"/>
      <c r="NOH608" s="222"/>
      <c r="NOI608" s="223"/>
      <c r="NOJ608" s="224"/>
      <c r="NOK608" s="222"/>
      <c r="NOL608" s="222"/>
      <c r="NOM608" s="222"/>
      <c r="NON608" s="222"/>
      <c r="NOO608" s="222"/>
      <c r="NOP608" s="222"/>
      <c r="NOQ608" s="223"/>
      <c r="NOR608" s="224"/>
      <c r="NOS608" s="222"/>
      <c r="NOT608" s="222"/>
      <c r="NOU608" s="222"/>
      <c r="NOV608" s="222"/>
      <c r="NOW608" s="222"/>
      <c r="NOX608" s="222"/>
      <c r="NOY608" s="223"/>
      <c r="NOZ608" s="224"/>
      <c r="NPA608" s="222"/>
      <c r="NPB608" s="222"/>
      <c r="NPC608" s="222"/>
      <c r="NPD608" s="222"/>
      <c r="NPE608" s="222"/>
      <c r="NPF608" s="222"/>
      <c r="NPG608" s="223"/>
      <c r="NPH608" s="224"/>
      <c r="NPI608" s="222"/>
      <c r="NPJ608" s="222"/>
      <c r="NPK608" s="222"/>
      <c r="NPL608" s="222"/>
      <c r="NPM608" s="222"/>
      <c r="NPN608" s="222"/>
      <c r="NPO608" s="223"/>
      <c r="NPP608" s="224"/>
      <c r="NPQ608" s="222"/>
      <c r="NPR608" s="222"/>
      <c r="NPS608" s="222"/>
      <c r="NPT608" s="222"/>
      <c r="NPU608" s="222"/>
      <c r="NPV608" s="222"/>
      <c r="NPW608" s="223"/>
      <c r="NPX608" s="224"/>
      <c r="NPY608" s="222"/>
      <c r="NPZ608" s="222"/>
      <c r="NQA608" s="222"/>
      <c r="NQB608" s="222"/>
      <c r="NQC608" s="222"/>
      <c r="NQD608" s="222"/>
      <c r="NQE608" s="223"/>
      <c r="NQF608" s="224"/>
      <c r="NQG608" s="222"/>
      <c r="NQH608" s="222"/>
      <c r="NQI608" s="222"/>
      <c r="NQJ608" s="222"/>
      <c r="NQK608" s="222"/>
      <c r="NQL608" s="222"/>
      <c r="NQM608" s="223"/>
      <c r="NQN608" s="224"/>
      <c r="NQO608" s="222"/>
      <c r="NQP608" s="222"/>
      <c r="NQQ608" s="222"/>
      <c r="NQR608" s="222"/>
      <c r="NQS608" s="222"/>
      <c r="NQT608" s="222"/>
      <c r="NQU608" s="223"/>
      <c r="NQV608" s="224"/>
      <c r="NQW608" s="222"/>
      <c r="NQX608" s="222"/>
      <c r="NQY608" s="222"/>
      <c r="NQZ608" s="222"/>
      <c r="NRA608" s="222"/>
      <c r="NRB608" s="222"/>
      <c r="NRC608" s="223"/>
      <c r="NRD608" s="224"/>
      <c r="NRE608" s="222"/>
      <c r="NRF608" s="222"/>
      <c r="NRG608" s="222"/>
      <c r="NRH608" s="222"/>
      <c r="NRI608" s="222"/>
      <c r="NRJ608" s="222"/>
      <c r="NRK608" s="223"/>
      <c r="NRL608" s="224"/>
      <c r="NRM608" s="222"/>
      <c r="NRN608" s="222"/>
      <c r="NRO608" s="222"/>
      <c r="NRP608" s="222"/>
      <c r="NRQ608" s="222"/>
      <c r="NRR608" s="222"/>
      <c r="NRS608" s="223"/>
      <c r="NRT608" s="224"/>
      <c r="NRU608" s="222"/>
      <c r="NRV608" s="222"/>
      <c r="NRW608" s="222"/>
      <c r="NRX608" s="222"/>
      <c r="NRY608" s="222"/>
      <c r="NRZ608" s="222"/>
      <c r="NSA608" s="223"/>
      <c r="NSB608" s="224"/>
      <c r="NSC608" s="222"/>
      <c r="NSD608" s="222"/>
      <c r="NSE608" s="222"/>
      <c r="NSF608" s="222"/>
      <c r="NSG608" s="222"/>
      <c r="NSH608" s="222"/>
      <c r="NSI608" s="223"/>
      <c r="NSJ608" s="224"/>
      <c r="NSK608" s="222"/>
      <c r="NSL608" s="222"/>
      <c r="NSM608" s="222"/>
      <c r="NSN608" s="222"/>
      <c r="NSO608" s="222"/>
      <c r="NSP608" s="222"/>
      <c r="NSQ608" s="223"/>
      <c r="NSR608" s="224"/>
      <c r="NSS608" s="222"/>
      <c r="NST608" s="222"/>
      <c r="NSU608" s="222"/>
      <c r="NSV608" s="222"/>
      <c r="NSW608" s="222"/>
      <c r="NSX608" s="222"/>
      <c r="NSY608" s="223"/>
      <c r="NSZ608" s="224"/>
      <c r="NTA608" s="222"/>
      <c r="NTB608" s="222"/>
      <c r="NTC608" s="222"/>
      <c r="NTD608" s="222"/>
      <c r="NTE608" s="222"/>
      <c r="NTF608" s="222"/>
      <c r="NTG608" s="223"/>
      <c r="NTH608" s="224"/>
      <c r="NTI608" s="222"/>
      <c r="NTJ608" s="222"/>
      <c r="NTK608" s="222"/>
      <c r="NTL608" s="222"/>
      <c r="NTM608" s="222"/>
      <c r="NTN608" s="222"/>
      <c r="NTO608" s="223"/>
      <c r="NTP608" s="224"/>
      <c r="NTQ608" s="222"/>
      <c r="NTR608" s="222"/>
      <c r="NTS608" s="222"/>
      <c r="NTT608" s="222"/>
      <c r="NTU608" s="222"/>
      <c r="NTV608" s="222"/>
      <c r="NTW608" s="223"/>
      <c r="NTX608" s="224"/>
      <c r="NTY608" s="222"/>
      <c r="NTZ608" s="222"/>
      <c r="NUA608" s="222"/>
      <c r="NUB608" s="222"/>
      <c r="NUC608" s="222"/>
      <c r="NUD608" s="222"/>
      <c r="NUE608" s="223"/>
      <c r="NUF608" s="224"/>
      <c r="NUG608" s="222"/>
      <c r="NUH608" s="222"/>
      <c r="NUI608" s="222"/>
      <c r="NUJ608" s="222"/>
      <c r="NUK608" s="222"/>
      <c r="NUL608" s="222"/>
      <c r="NUM608" s="223"/>
      <c r="NUN608" s="224"/>
      <c r="NUO608" s="222"/>
      <c r="NUP608" s="222"/>
      <c r="NUQ608" s="222"/>
      <c r="NUR608" s="222"/>
      <c r="NUS608" s="222"/>
      <c r="NUT608" s="222"/>
      <c r="NUU608" s="223"/>
      <c r="NUV608" s="224"/>
      <c r="NUW608" s="222"/>
      <c r="NUX608" s="222"/>
      <c r="NUY608" s="222"/>
      <c r="NUZ608" s="222"/>
      <c r="NVA608" s="222"/>
      <c r="NVB608" s="222"/>
      <c r="NVC608" s="223"/>
      <c r="NVD608" s="224"/>
      <c r="NVE608" s="222"/>
      <c r="NVF608" s="222"/>
      <c r="NVG608" s="222"/>
      <c r="NVH608" s="222"/>
      <c r="NVI608" s="222"/>
      <c r="NVJ608" s="222"/>
      <c r="NVK608" s="223"/>
      <c r="NVL608" s="224"/>
      <c r="NVM608" s="222"/>
      <c r="NVN608" s="222"/>
      <c r="NVO608" s="222"/>
      <c r="NVP608" s="222"/>
      <c r="NVQ608" s="222"/>
      <c r="NVR608" s="222"/>
      <c r="NVS608" s="223"/>
      <c r="NVT608" s="224"/>
      <c r="NVU608" s="222"/>
      <c r="NVV608" s="222"/>
      <c r="NVW608" s="222"/>
      <c r="NVX608" s="222"/>
      <c r="NVY608" s="222"/>
      <c r="NVZ608" s="222"/>
      <c r="NWA608" s="223"/>
      <c r="NWB608" s="224"/>
      <c r="NWC608" s="222"/>
      <c r="NWD608" s="222"/>
      <c r="NWE608" s="222"/>
      <c r="NWF608" s="222"/>
      <c r="NWG608" s="222"/>
      <c r="NWH608" s="222"/>
      <c r="NWI608" s="223"/>
      <c r="NWJ608" s="224"/>
      <c r="NWK608" s="222"/>
      <c r="NWL608" s="222"/>
      <c r="NWM608" s="222"/>
      <c r="NWN608" s="222"/>
      <c r="NWO608" s="222"/>
      <c r="NWP608" s="222"/>
      <c r="NWQ608" s="223"/>
      <c r="NWR608" s="224"/>
      <c r="NWS608" s="222"/>
      <c r="NWT608" s="222"/>
      <c r="NWU608" s="222"/>
      <c r="NWV608" s="222"/>
      <c r="NWW608" s="222"/>
      <c r="NWX608" s="222"/>
      <c r="NWY608" s="223"/>
      <c r="NWZ608" s="224"/>
      <c r="NXA608" s="222"/>
      <c r="NXB608" s="222"/>
      <c r="NXC608" s="222"/>
      <c r="NXD608" s="222"/>
      <c r="NXE608" s="222"/>
      <c r="NXF608" s="222"/>
      <c r="NXG608" s="223"/>
      <c r="NXH608" s="224"/>
      <c r="NXI608" s="222"/>
      <c r="NXJ608" s="222"/>
      <c r="NXK608" s="222"/>
      <c r="NXL608" s="222"/>
      <c r="NXM608" s="222"/>
      <c r="NXN608" s="222"/>
      <c r="NXO608" s="223"/>
      <c r="NXP608" s="224"/>
      <c r="NXQ608" s="222"/>
      <c r="NXR608" s="222"/>
      <c r="NXS608" s="222"/>
      <c r="NXT608" s="222"/>
      <c r="NXU608" s="222"/>
      <c r="NXV608" s="222"/>
      <c r="NXW608" s="223"/>
      <c r="NXX608" s="224"/>
      <c r="NXY608" s="222"/>
      <c r="NXZ608" s="222"/>
      <c r="NYA608" s="222"/>
      <c r="NYB608" s="222"/>
      <c r="NYC608" s="222"/>
      <c r="NYD608" s="222"/>
      <c r="NYE608" s="223"/>
      <c r="NYF608" s="224"/>
      <c r="NYG608" s="222"/>
      <c r="NYH608" s="222"/>
      <c r="NYI608" s="222"/>
      <c r="NYJ608" s="222"/>
      <c r="NYK608" s="222"/>
      <c r="NYL608" s="222"/>
      <c r="NYM608" s="223"/>
      <c r="NYN608" s="224"/>
      <c r="NYO608" s="222"/>
      <c r="NYP608" s="222"/>
      <c r="NYQ608" s="222"/>
      <c r="NYR608" s="222"/>
      <c r="NYS608" s="222"/>
      <c r="NYT608" s="222"/>
      <c r="NYU608" s="223"/>
      <c r="NYV608" s="224"/>
      <c r="NYW608" s="222"/>
      <c r="NYX608" s="222"/>
      <c r="NYY608" s="222"/>
      <c r="NYZ608" s="222"/>
      <c r="NZA608" s="222"/>
      <c r="NZB608" s="222"/>
      <c r="NZC608" s="223"/>
      <c r="NZD608" s="224"/>
      <c r="NZE608" s="222"/>
      <c r="NZF608" s="222"/>
      <c r="NZG608" s="222"/>
      <c r="NZH608" s="222"/>
      <c r="NZI608" s="222"/>
      <c r="NZJ608" s="222"/>
      <c r="NZK608" s="223"/>
      <c r="NZL608" s="224"/>
      <c r="NZM608" s="222"/>
      <c r="NZN608" s="222"/>
      <c r="NZO608" s="222"/>
      <c r="NZP608" s="222"/>
      <c r="NZQ608" s="222"/>
      <c r="NZR608" s="222"/>
      <c r="NZS608" s="223"/>
      <c r="NZT608" s="224"/>
      <c r="NZU608" s="222"/>
      <c r="NZV608" s="222"/>
      <c r="NZW608" s="222"/>
      <c r="NZX608" s="222"/>
      <c r="NZY608" s="222"/>
      <c r="NZZ608" s="222"/>
      <c r="OAA608" s="223"/>
      <c r="OAB608" s="224"/>
      <c r="OAC608" s="222"/>
      <c r="OAD608" s="222"/>
      <c r="OAE608" s="222"/>
      <c r="OAF608" s="222"/>
      <c r="OAG608" s="222"/>
      <c r="OAH608" s="222"/>
      <c r="OAI608" s="223"/>
      <c r="OAJ608" s="224"/>
      <c r="OAK608" s="222"/>
      <c r="OAL608" s="222"/>
      <c r="OAM608" s="222"/>
      <c r="OAN608" s="222"/>
      <c r="OAO608" s="222"/>
      <c r="OAP608" s="222"/>
      <c r="OAQ608" s="223"/>
      <c r="OAR608" s="224"/>
      <c r="OAS608" s="222"/>
      <c r="OAT608" s="222"/>
      <c r="OAU608" s="222"/>
      <c r="OAV608" s="222"/>
      <c r="OAW608" s="222"/>
      <c r="OAX608" s="222"/>
      <c r="OAY608" s="223"/>
      <c r="OAZ608" s="224"/>
      <c r="OBA608" s="222"/>
      <c r="OBB608" s="222"/>
      <c r="OBC608" s="222"/>
      <c r="OBD608" s="222"/>
      <c r="OBE608" s="222"/>
      <c r="OBF608" s="222"/>
      <c r="OBG608" s="223"/>
      <c r="OBH608" s="224"/>
      <c r="OBI608" s="222"/>
      <c r="OBJ608" s="222"/>
      <c r="OBK608" s="222"/>
      <c r="OBL608" s="222"/>
      <c r="OBM608" s="222"/>
      <c r="OBN608" s="222"/>
      <c r="OBO608" s="223"/>
      <c r="OBP608" s="224"/>
      <c r="OBQ608" s="222"/>
      <c r="OBR608" s="222"/>
      <c r="OBS608" s="222"/>
      <c r="OBT608" s="222"/>
      <c r="OBU608" s="222"/>
      <c r="OBV608" s="222"/>
      <c r="OBW608" s="223"/>
      <c r="OBX608" s="224"/>
      <c r="OBY608" s="222"/>
      <c r="OBZ608" s="222"/>
      <c r="OCA608" s="222"/>
      <c r="OCB608" s="222"/>
      <c r="OCC608" s="222"/>
      <c r="OCD608" s="222"/>
      <c r="OCE608" s="223"/>
      <c r="OCF608" s="224"/>
      <c r="OCG608" s="222"/>
      <c r="OCH608" s="222"/>
      <c r="OCI608" s="222"/>
      <c r="OCJ608" s="222"/>
      <c r="OCK608" s="222"/>
      <c r="OCL608" s="222"/>
      <c r="OCM608" s="223"/>
      <c r="OCN608" s="224"/>
      <c r="OCO608" s="222"/>
      <c r="OCP608" s="222"/>
      <c r="OCQ608" s="222"/>
      <c r="OCR608" s="222"/>
      <c r="OCS608" s="222"/>
      <c r="OCT608" s="222"/>
      <c r="OCU608" s="223"/>
      <c r="OCV608" s="224"/>
      <c r="OCW608" s="222"/>
      <c r="OCX608" s="222"/>
      <c r="OCY608" s="222"/>
      <c r="OCZ608" s="222"/>
      <c r="ODA608" s="222"/>
      <c r="ODB608" s="222"/>
      <c r="ODC608" s="223"/>
      <c r="ODD608" s="224"/>
      <c r="ODE608" s="222"/>
      <c r="ODF608" s="222"/>
      <c r="ODG608" s="222"/>
      <c r="ODH608" s="222"/>
      <c r="ODI608" s="222"/>
      <c r="ODJ608" s="222"/>
      <c r="ODK608" s="223"/>
      <c r="ODL608" s="224"/>
      <c r="ODM608" s="222"/>
      <c r="ODN608" s="222"/>
      <c r="ODO608" s="222"/>
      <c r="ODP608" s="222"/>
      <c r="ODQ608" s="222"/>
      <c r="ODR608" s="222"/>
      <c r="ODS608" s="223"/>
      <c r="ODT608" s="224"/>
      <c r="ODU608" s="222"/>
      <c r="ODV608" s="222"/>
      <c r="ODW608" s="222"/>
      <c r="ODX608" s="222"/>
      <c r="ODY608" s="222"/>
      <c r="ODZ608" s="222"/>
      <c r="OEA608" s="223"/>
      <c r="OEB608" s="224"/>
      <c r="OEC608" s="222"/>
      <c r="OED608" s="222"/>
      <c r="OEE608" s="222"/>
      <c r="OEF608" s="222"/>
      <c r="OEG608" s="222"/>
      <c r="OEH608" s="222"/>
      <c r="OEI608" s="223"/>
      <c r="OEJ608" s="224"/>
      <c r="OEK608" s="222"/>
      <c r="OEL608" s="222"/>
      <c r="OEM608" s="222"/>
      <c r="OEN608" s="222"/>
      <c r="OEO608" s="222"/>
      <c r="OEP608" s="222"/>
      <c r="OEQ608" s="223"/>
      <c r="OER608" s="224"/>
      <c r="OES608" s="222"/>
      <c r="OET608" s="222"/>
      <c r="OEU608" s="222"/>
      <c r="OEV608" s="222"/>
      <c r="OEW608" s="222"/>
      <c r="OEX608" s="222"/>
      <c r="OEY608" s="223"/>
      <c r="OEZ608" s="224"/>
      <c r="OFA608" s="222"/>
      <c r="OFB608" s="222"/>
      <c r="OFC608" s="222"/>
      <c r="OFD608" s="222"/>
      <c r="OFE608" s="222"/>
      <c r="OFF608" s="222"/>
      <c r="OFG608" s="223"/>
      <c r="OFH608" s="224"/>
      <c r="OFI608" s="222"/>
      <c r="OFJ608" s="222"/>
      <c r="OFK608" s="222"/>
      <c r="OFL608" s="222"/>
      <c r="OFM608" s="222"/>
      <c r="OFN608" s="222"/>
      <c r="OFO608" s="223"/>
      <c r="OFP608" s="224"/>
      <c r="OFQ608" s="222"/>
      <c r="OFR608" s="222"/>
      <c r="OFS608" s="222"/>
      <c r="OFT608" s="222"/>
      <c r="OFU608" s="222"/>
      <c r="OFV608" s="222"/>
      <c r="OFW608" s="223"/>
      <c r="OFX608" s="224"/>
      <c r="OFY608" s="222"/>
      <c r="OFZ608" s="222"/>
      <c r="OGA608" s="222"/>
      <c r="OGB608" s="222"/>
      <c r="OGC608" s="222"/>
      <c r="OGD608" s="222"/>
      <c r="OGE608" s="223"/>
      <c r="OGF608" s="224"/>
      <c r="OGG608" s="222"/>
      <c r="OGH608" s="222"/>
      <c r="OGI608" s="222"/>
      <c r="OGJ608" s="222"/>
      <c r="OGK608" s="222"/>
      <c r="OGL608" s="222"/>
      <c r="OGM608" s="223"/>
      <c r="OGN608" s="224"/>
      <c r="OGO608" s="222"/>
      <c r="OGP608" s="222"/>
      <c r="OGQ608" s="222"/>
      <c r="OGR608" s="222"/>
      <c r="OGS608" s="222"/>
      <c r="OGT608" s="222"/>
      <c r="OGU608" s="223"/>
      <c r="OGV608" s="224"/>
      <c r="OGW608" s="222"/>
      <c r="OGX608" s="222"/>
      <c r="OGY608" s="222"/>
      <c r="OGZ608" s="222"/>
      <c r="OHA608" s="222"/>
      <c r="OHB608" s="222"/>
      <c r="OHC608" s="223"/>
      <c r="OHD608" s="224"/>
      <c r="OHE608" s="222"/>
      <c r="OHF608" s="222"/>
      <c r="OHG608" s="222"/>
      <c r="OHH608" s="222"/>
      <c r="OHI608" s="222"/>
      <c r="OHJ608" s="222"/>
      <c r="OHK608" s="223"/>
      <c r="OHL608" s="224"/>
      <c r="OHM608" s="222"/>
      <c r="OHN608" s="222"/>
      <c r="OHO608" s="222"/>
      <c r="OHP608" s="222"/>
      <c r="OHQ608" s="222"/>
      <c r="OHR608" s="222"/>
      <c r="OHS608" s="223"/>
      <c r="OHT608" s="224"/>
      <c r="OHU608" s="222"/>
      <c r="OHV608" s="222"/>
      <c r="OHW608" s="222"/>
      <c r="OHX608" s="222"/>
      <c r="OHY608" s="222"/>
      <c r="OHZ608" s="222"/>
      <c r="OIA608" s="223"/>
      <c r="OIB608" s="224"/>
      <c r="OIC608" s="222"/>
      <c r="OID608" s="222"/>
      <c r="OIE608" s="222"/>
      <c r="OIF608" s="222"/>
      <c r="OIG608" s="222"/>
      <c r="OIH608" s="222"/>
      <c r="OII608" s="223"/>
      <c r="OIJ608" s="224"/>
      <c r="OIK608" s="222"/>
      <c r="OIL608" s="222"/>
      <c r="OIM608" s="222"/>
      <c r="OIN608" s="222"/>
      <c r="OIO608" s="222"/>
      <c r="OIP608" s="222"/>
      <c r="OIQ608" s="223"/>
      <c r="OIR608" s="224"/>
      <c r="OIS608" s="222"/>
      <c r="OIT608" s="222"/>
      <c r="OIU608" s="222"/>
      <c r="OIV608" s="222"/>
      <c r="OIW608" s="222"/>
      <c r="OIX608" s="222"/>
      <c r="OIY608" s="223"/>
      <c r="OIZ608" s="224"/>
      <c r="OJA608" s="222"/>
      <c r="OJB608" s="222"/>
      <c r="OJC608" s="222"/>
      <c r="OJD608" s="222"/>
      <c r="OJE608" s="222"/>
      <c r="OJF608" s="222"/>
      <c r="OJG608" s="223"/>
      <c r="OJH608" s="224"/>
      <c r="OJI608" s="222"/>
      <c r="OJJ608" s="222"/>
      <c r="OJK608" s="222"/>
      <c r="OJL608" s="222"/>
      <c r="OJM608" s="222"/>
      <c r="OJN608" s="222"/>
      <c r="OJO608" s="223"/>
      <c r="OJP608" s="224"/>
      <c r="OJQ608" s="222"/>
      <c r="OJR608" s="222"/>
      <c r="OJS608" s="222"/>
      <c r="OJT608" s="222"/>
      <c r="OJU608" s="222"/>
      <c r="OJV608" s="222"/>
      <c r="OJW608" s="223"/>
      <c r="OJX608" s="224"/>
      <c r="OJY608" s="222"/>
      <c r="OJZ608" s="222"/>
      <c r="OKA608" s="222"/>
      <c r="OKB608" s="222"/>
      <c r="OKC608" s="222"/>
      <c r="OKD608" s="222"/>
      <c r="OKE608" s="223"/>
      <c r="OKF608" s="224"/>
      <c r="OKG608" s="222"/>
      <c r="OKH608" s="222"/>
      <c r="OKI608" s="222"/>
      <c r="OKJ608" s="222"/>
      <c r="OKK608" s="222"/>
      <c r="OKL608" s="222"/>
      <c r="OKM608" s="223"/>
      <c r="OKN608" s="224"/>
      <c r="OKO608" s="222"/>
      <c r="OKP608" s="222"/>
      <c r="OKQ608" s="222"/>
      <c r="OKR608" s="222"/>
      <c r="OKS608" s="222"/>
      <c r="OKT608" s="222"/>
      <c r="OKU608" s="223"/>
      <c r="OKV608" s="224"/>
      <c r="OKW608" s="222"/>
      <c r="OKX608" s="222"/>
      <c r="OKY608" s="222"/>
      <c r="OKZ608" s="222"/>
      <c r="OLA608" s="222"/>
      <c r="OLB608" s="222"/>
      <c r="OLC608" s="223"/>
      <c r="OLD608" s="224"/>
      <c r="OLE608" s="222"/>
      <c r="OLF608" s="222"/>
      <c r="OLG608" s="222"/>
      <c r="OLH608" s="222"/>
      <c r="OLI608" s="222"/>
      <c r="OLJ608" s="222"/>
      <c r="OLK608" s="223"/>
      <c r="OLL608" s="224"/>
      <c r="OLM608" s="222"/>
      <c r="OLN608" s="222"/>
      <c r="OLO608" s="222"/>
      <c r="OLP608" s="222"/>
      <c r="OLQ608" s="222"/>
      <c r="OLR608" s="222"/>
      <c r="OLS608" s="223"/>
      <c r="OLT608" s="224"/>
      <c r="OLU608" s="222"/>
      <c r="OLV608" s="222"/>
      <c r="OLW608" s="222"/>
      <c r="OLX608" s="222"/>
      <c r="OLY608" s="222"/>
      <c r="OLZ608" s="222"/>
      <c r="OMA608" s="223"/>
      <c r="OMB608" s="224"/>
      <c r="OMC608" s="222"/>
      <c r="OMD608" s="222"/>
      <c r="OME608" s="222"/>
      <c r="OMF608" s="222"/>
      <c r="OMG608" s="222"/>
      <c r="OMH608" s="222"/>
      <c r="OMI608" s="223"/>
      <c r="OMJ608" s="224"/>
      <c r="OMK608" s="222"/>
      <c r="OML608" s="222"/>
      <c r="OMM608" s="222"/>
      <c r="OMN608" s="222"/>
      <c r="OMO608" s="222"/>
      <c r="OMP608" s="222"/>
      <c r="OMQ608" s="223"/>
      <c r="OMR608" s="224"/>
      <c r="OMS608" s="222"/>
      <c r="OMT608" s="222"/>
      <c r="OMU608" s="222"/>
      <c r="OMV608" s="222"/>
      <c r="OMW608" s="222"/>
      <c r="OMX608" s="222"/>
      <c r="OMY608" s="223"/>
      <c r="OMZ608" s="224"/>
      <c r="ONA608" s="222"/>
      <c r="ONB608" s="222"/>
      <c r="ONC608" s="222"/>
      <c r="OND608" s="222"/>
      <c r="ONE608" s="222"/>
      <c r="ONF608" s="222"/>
      <c r="ONG608" s="223"/>
      <c r="ONH608" s="224"/>
      <c r="ONI608" s="222"/>
      <c r="ONJ608" s="222"/>
      <c r="ONK608" s="222"/>
      <c r="ONL608" s="222"/>
      <c r="ONM608" s="222"/>
      <c r="ONN608" s="222"/>
      <c r="ONO608" s="223"/>
      <c r="ONP608" s="224"/>
      <c r="ONQ608" s="222"/>
      <c r="ONR608" s="222"/>
      <c r="ONS608" s="222"/>
      <c r="ONT608" s="222"/>
      <c r="ONU608" s="222"/>
      <c r="ONV608" s="222"/>
      <c r="ONW608" s="223"/>
      <c r="ONX608" s="224"/>
      <c r="ONY608" s="222"/>
      <c r="ONZ608" s="222"/>
      <c r="OOA608" s="222"/>
      <c r="OOB608" s="222"/>
      <c r="OOC608" s="222"/>
      <c r="OOD608" s="222"/>
      <c r="OOE608" s="223"/>
      <c r="OOF608" s="224"/>
      <c r="OOG608" s="222"/>
      <c r="OOH608" s="222"/>
      <c r="OOI608" s="222"/>
      <c r="OOJ608" s="222"/>
      <c r="OOK608" s="222"/>
      <c r="OOL608" s="222"/>
      <c r="OOM608" s="223"/>
      <c r="OON608" s="224"/>
      <c r="OOO608" s="222"/>
      <c r="OOP608" s="222"/>
      <c r="OOQ608" s="222"/>
      <c r="OOR608" s="222"/>
      <c r="OOS608" s="222"/>
      <c r="OOT608" s="222"/>
      <c r="OOU608" s="223"/>
      <c r="OOV608" s="224"/>
      <c r="OOW608" s="222"/>
      <c r="OOX608" s="222"/>
      <c r="OOY608" s="222"/>
      <c r="OOZ608" s="222"/>
      <c r="OPA608" s="222"/>
      <c r="OPB608" s="222"/>
      <c r="OPC608" s="223"/>
      <c r="OPD608" s="224"/>
      <c r="OPE608" s="222"/>
      <c r="OPF608" s="222"/>
      <c r="OPG608" s="222"/>
      <c r="OPH608" s="222"/>
      <c r="OPI608" s="222"/>
      <c r="OPJ608" s="222"/>
      <c r="OPK608" s="223"/>
      <c r="OPL608" s="224"/>
      <c r="OPM608" s="222"/>
      <c r="OPN608" s="222"/>
      <c r="OPO608" s="222"/>
      <c r="OPP608" s="222"/>
      <c r="OPQ608" s="222"/>
      <c r="OPR608" s="222"/>
      <c r="OPS608" s="223"/>
      <c r="OPT608" s="224"/>
      <c r="OPU608" s="222"/>
      <c r="OPV608" s="222"/>
      <c r="OPW608" s="222"/>
      <c r="OPX608" s="222"/>
      <c r="OPY608" s="222"/>
      <c r="OPZ608" s="222"/>
      <c r="OQA608" s="223"/>
      <c r="OQB608" s="224"/>
      <c r="OQC608" s="222"/>
      <c r="OQD608" s="222"/>
      <c r="OQE608" s="222"/>
      <c r="OQF608" s="222"/>
      <c r="OQG608" s="222"/>
      <c r="OQH608" s="222"/>
      <c r="OQI608" s="223"/>
      <c r="OQJ608" s="224"/>
      <c r="OQK608" s="222"/>
      <c r="OQL608" s="222"/>
      <c r="OQM608" s="222"/>
      <c r="OQN608" s="222"/>
      <c r="OQO608" s="222"/>
      <c r="OQP608" s="222"/>
      <c r="OQQ608" s="223"/>
      <c r="OQR608" s="224"/>
      <c r="OQS608" s="222"/>
      <c r="OQT608" s="222"/>
      <c r="OQU608" s="222"/>
      <c r="OQV608" s="222"/>
      <c r="OQW608" s="222"/>
      <c r="OQX608" s="222"/>
      <c r="OQY608" s="223"/>
      <c r="OQZ608" s="224"/>
      <c r="ORA608" s="222"/>
      <c r="ORB608" s="222"/>
      <c r="ORC608" s="222"/>
      <c r="ORD608" s="222"/>
      <c r="ORE608" s="222"/>
      <c r="ORF608" s="222"/>
      <c r="ORG608" s="223"/>
      <c r="ORH608" s="224"/>
      <c r="ORI608" s="222"/>
      <c r="ORJ608" s="222"/>
      <c r="ORK608" s="222"/>
      <c r="ORL608" s="222"/>
      <c r="ORM608" s="222"/>
      <c r="ORN608" s="222"/>
      <c r="ORO608" s="223"/>
      <c r="ORP608" s="224"/>
      <c r="ORQ608" s="222"/>
      <c r="ORR608" s="222"/>
      <c r="ORS608" s="222"/>
      <c r="ORT608" s="222"/>
      <c r="ORU608" s="222"/>
      <c r="ORV608" s="222"/>
      <c r="ORW608" s="223"/>
      <c r="ORX608" s="224"/>
      <c r="ORY608" s="222"/>
      <c r="ORZ608" s="222"/>
      <c r="OSA608" s="222"/>
      <c r="OSB608" s="222"/>
      <c r="OSC608" s="222"/>
      <c r="OSD608" s="222"/>
      <c r="OSE608" s="223"/>
      <c r="OSF608" s="224"/>
      <c r="OSG608" s="222"/>
      <c r="OSH608" s="222"/>
      <c r="OSI608" s="222"/>
      <c r="OSJ608" s="222"/>
      <c r="OSK608" s="222"/>
      <c r="OSL608" s="222"/>
      <c r="OSM608" s="223"/>
      <c r="OSN608" s="224"/>
      <c r="OSO608" s="222"/>
      <c r="OSP608" s="222"/>
      <c r="OSQ608" s="222"/>
      <c r="OSR608" s="222"/>
      <c r="OSS608" s="222"/>
      <c r="OST608" s="222"/>
      <c r="OSU608" s="223"/>
      <c r="OSV608" s="224"/>
      <c r="OSW608" s="222"/>
      <c r="OSX608" s="222"/>
      <c r="OSY608" s="222"/>
      <c r="OSZ608" s="222"/>
      <c r="OTA608" s="222"/>
      <c r="OTB608" s="222"/>
      <c r="OTC608" s="223"/>
      <c r="OTD608" s="224"/>
      <c r="OTE608" s="222"/>
      <c r="OTF608" s="222"/>
      <c r="OTG608" s="222"/>
      <c r="OTH608" s="222"/>
      <c r="OTI608" s="222"/>
      <c r="OTJ608" s="222"/>
      <c r="OTK608" s="223"/>
      <c r="OTL608" s="224"/>
      <c r="OTM608" s="222"/>
      <c r="OTN608" s="222"/>
      <c r="OTO608" s="222"/>
      <c r="OTP608" s="222"/>
      <c r="OTQ608" s="222"/>
      <c r="OTR608" s="222"/>
      <c r="OTS608" s="223"/>
      <c r="OTT608" s="224"/>
      <c r="OTU608" s="222"/>
      <c r="OTV608" s="222"/>
      <c r="OTW608" s="222"/>
      <c r="OTX608" s="222"/>
      <c r="OTY608" s="222"/>
      <c r="OTZ608" s="222"/>
      <c r="OUA608" s="223"/>
      <c r="OUB608" s="224"/>
      <c r="OUC608" s="222"/>
      <c r="OUD608" s="222"/>
      <c r="OUE608" s="222"/>
      <c r="OUF608" s="222"/>
      <c r="OUG608" s="222"/>
      <c r="OUH608" s="222"/>
      <c r="OUI608" s="223"/>
      <c r="OUJ608" s="224"/>
      <c r="OUK608" s="222"/>
      <c r="OUL608" s="222"/>
      <c r="OUM608" s="222"/>
      <c r="OUN608" s="222"/>
      <c r="OUO608" s="222"/>
      <c r="OUP608" s="222"/>
      <c r="OUQ608" s="223"/>
      <c r="OUR608" s="224"/>
      <c r="OUS608" s="222"/>
      <c r="OUT608" s="222"/>
      <c r="OUU608" s="222"/>
      <c r="OUV608" s="222"/>
      <c r="OUW608" s="222"/>
      <c r="OUX608" s="222"/>
      <c r="OUY608" s="223"/>
      <c r="OUZ608" s="224"/>
      <c r="OVA608" s="222"/>
      <c r="OVB608" s="222"/>
      <c r="OVC608" s="222"/>
      <c r="OVD608" s="222"/>
      <c r="OVE608" s="222"/>
      <c r="OVF608" s="222"/>
      <c r="OVG608" s="223"/>
      <c r="OVH608" s="224"/>
      <c r="OVI608" s="222"/>
      <c r="OVJ608" s="222"/>
      <c r="OVK608" s="222"/>
      <c r="OVL608" s="222"/>
      <c r="OVM608" s="222"/>
      <c r="OVN608" s="222"/>
      <c r="OVO608" s="223"/>
      <c r="OVP608" s="224"/>
      <c r="OVQ608" s="222"/>
      <c r="OVR608" s="222"/>
      <c r="OVS608" s="222"/>
      <c r="OVT608" s="222"/>
      <c r="OVU608" s="222"/>
      <c r="OVV608" s="222"/>
      <c r="OVW608" s="223"/>
      <c r="OVX608" s="224"/>
      <c r="OVY608" s="222"/>
      <c r="OVZ608" s="222"/>
      <c r="OWA608" s="222"/>
      <c r="OWB608" s="222"/>
      <c r="OWC608" s="222"/>
      <c r="OWD608" s="222"/>
      <c r="OWE608" s="223"/>
      <c r="OWF608" s="224"/>
      <c r="OWG608" s="222"/>
      <c r="OWH608" s="222"/>
      <c r="OWI608" s="222"/>
      <c r="OWJ608" s="222"/>
      <c r="OWK608" s="222"/>
      <c r="OWL608" s="222"/>
      <c r="OWM608" s="223"/>
      <c r="OWN608" s="224"/>
      <c r="OWO608" s="222"/>
      <c r="OWP608" s="222"/>
      <c r="OWQ608" s="222"/>
      <c r="OWR608" s="222"/>
      <c r="OWS608" s="222"/>
      <c r="OWT608" s="222"/>
      <c r="OWU608" s="223"/>
      <c r="OWV608" s="224"/>
      <c r="OWW608" s="222"/>
      <c r="OWX608" s="222"/>
      <c r="OWY608" s="222"/>
      <c r="OWZ608" s="222"/>
      <c r="OXA608" s="222"/>
      <c r="OXB608" s="222"/>
      <c r="OXC608" s="223"/>
      <c r="OXD608" s="224"/>
      <c r="OXE608" s="222"/>
      <c r="OXF608" s="222"/>
      <c r="OXG608" s="222"/>
      <c r="OXH608" s="222"/>
      <c r="OXI608" s="222"/>
      <c r="OXJ608" s="222"/>
      <c r="OXK608" s="223"/>
      <c r="OXL608" s="224"/>
      <c r="OXM608" s="222"/>
      <c r="OXN608" s="222"/>
      <c r="OXO608" s="222"/>
      <c r="OXP608" s="222"/>
      <c r="OXQ608" s="222"/>
      <c r="OXR608" s="222"/>
      <c r="OXS608" s="223"/>
      <c r="OXT608" s="224"/>
      <c r="OXU608" s="222"/>
      <c r="OXV608" s="222"/>
      <c r="OXW608" s="222"/>
      <c r="OXX608" s="222"/>
      <c r="OXY608" s="222"/>
      <c r="OXZ608" s="222"/>
      <c r="OYA608" s="223"/>
      <c r="OYB608" s="224"/>
      <c r="OYC608" s="222"/>
      <c r="OYD608" s="222"/>
      <c r="OYE608" s="222"/>
      <c r="OYF608" s="222"/>
      <c r="OYG608" s="222"/>
      <c r="OYH608" s="222"/>
      <c r="OYI608" s="223"/>
      <c r="OYJ608" s="224"/>
      <c r="OYK608" s="222"/>
      <c r="OYL608" s="222"/>
      <c r="OYM608" s="222"/>
      <c r="OYN608" s="222"/>
      <c r="OYO608" s="222"/>
      <c r="OYP608" s="222"/>
      <c r="OYQ608" s="223"/>
      <c r="OYR608" s="224"/>
      <c r="OYS608" s="222"/>
      <c r="OYT608" s="222"/>
      <c r="OYU608" s="222"/>
      <c r="OYV608" s="222"/>
      <c r="OYW608" s="222"/>
      <c r="OYX608" s="222"/>
      <c r="OYY608" s="223"/>
      <c r="OYZ608" s="224"/>
      <c r="OZA608" s="222"/>
      <c r="OZB608" s="222"/>
      <c r="OZC608" s="222"/>
      <c r="OZD608" s="222"/>
      <c r="OZE608" s="222"/>
      <c r="OZF608" s="222"/>
      <c r="OZG608" s="223"/>
      <c r="OZH608" s="224"/>
      <c r="OZI608" s="222"/>
      <c r="OZJ608" s="222"/>
      <c r="OZK608" s="222"/>
      <c r="OZL608" s="222"/>
      <c r="OZM608" s="222"/>
      <c r="OZN608" s="222"/>
      <c r="OZO608" s="223"/>
      <c r="OZP608" s="224"/>
      <c r="OZQ608" s="222"/>
      <c r="OZR608" s="222"/>
      <c r="OZS608" s="222"/>
      <c r="OZT608" s="222"/>
      <c r="OZU608" s="222"/>
      <c r="OZV608" s="222"/>
      <c r="OZW608" s="223"/>
      <c r="OZX608" s="224"/>
      <c r="OZY608" s="222"/>
      <c r="OZZ608" s="222"/>
      <c r="PAA608" s="222"/>
      <c r="PAB608" s="222"/>
      <c r="PAC608" s="222"/>
      <c r="PAD608" s="222"/>
      <c r="PAE608" s="223"/>
      <c r="PAF608" s="224"/>
      <c r="PAG608" s="222"/>
      <c r="PAH608" s="222"/>
      <c r="PAI608" s="222"/>
      <c r="PAJ608" s="222"/>
      <c r="PAK608" s="222"/>
      <c r="PAL608" s="222"/>
      <c r="PAM608" s="223"/>
      <c r="PAN608" s="224"/>
      <c r="PAO608" s="222"/>
      <c r="PAP608" s="222"/>
      <c r="PAQ608" s="222"/>
      <c r="PAR608" s="222"/>
      <c r="PAS608" s="222"/>
      <c r="PAT608" s="222"/>
      <c r="PAU608" s="223"/>
      <c r="PAV608" s="224"/>
      <c r="PAW608" s="222"/>
      <c r="PAX608" s="222"/>
      <c r="PAY608" s="222"/>
      <c r="PAZ608" s="222"/>
      <c r="PBA608" s="222"/>
      <c r="PBB608" s="222"/>
      <c r="PBC608" s="223"/>
      <c r="PBD608" s="224"/>
      <c r="PBE608" s="222"/>
      <c r="PBF608" s="222"/>
      <c r="PBG608" s="222"/>
      <c r="PBH608" s="222"/>
      <c r="PBI608" s="222"/>
      <c r="PBJ608" s="222"/>
      <c r="PBK608" s="223"/>
      <c r="PBL608" s="224"/>
      <c r="PBM608" s="222"/>
      <c r="PBN608" s="222"/>
      <c r="PBO608" s="222"/>
      <c r="PBP608" s="222"/>
      <c r="PBQ608" s="222"/>
      <c r="PBR608" s="222"/>
      <c r="PBS608" s="223"/>
      <c r="PBT608" s="224"/>
      <c r="PBU608" s="222"/>
      <c r="PBV608" s="222"/>
      <c r="PBW608" s="222"/>
      <c r="PBX608" s="222"/>
      <c r="PBY608" s="222"/>
      <c r="PBZ608" s="222"/>
      <c r="PCA608" s="223"/>
      <c r="PCB608" s="224"/>
      <c r="PCC608" s="222"/>
      <c r="PCD608" s="222"/>
      <c r="PCE608" s="222"/>
      <c r="PCF608" s="222"/>
      <c r="PCG608" s="222"/>
      <c r="PCH608" s="222"/>
      <c r="PCI608" s="223"/>
      <c r="PCJ608" s="224"/>
      <c r="PCK608" s="222"/>
      <c r="PCL608" s="222"/>
      <c r="PCM608" s="222"/>
      <c r="PCN608" s="222"/>
      <c r="PCO608" s="222"/>
      <c r="PCP608" s="222"/>
      <c r="PCQ608" s="223"/>
      <c r="PCR608" s="224"/>
      <c r="PCS608" s="222"/>
      <c r="PCT608" s="222"/>
      <c r="PCU608" s="222"/>
      <c r="PCV608" s="222"/>
      <c r="PCW608" s="222"/>
      <c r="PCX608" s="222"/>
      <c r="PCY608" s="223"/>
      <c r="PCZ608" s="224"/>
      <c r="PDA608" s="222"/>
      <c r="PDB608" s="222"/>
      <c r="PDC608" s="222"/>
      <c r="PDD608" s="222"/>
      <c r="PDE608" s="222"/>
      <c r="PDF608" s="222"/>
      <c r="PDG608" s="223"/>
      <c r="PDH608" s="224"/>
      <c r="PDI608" s="222"/>
      <c r="PDJ608" s="222"/>
      <c r="PDK608" s="222"/>
      <c r="PDL608" s="222"/>
      <c r="PDM608" s="222"/>
      <c r="PDN608" s="222"/>
      <c r="PDO608" s="223"/>
      <c r="PDP608" s="224"/>
      <c r="PDQ608" s="222"/>
      <c r="PDR608" s="222"/>
      <c r="PDS608" s="222"/>
      <c r="PDT608" s="222"/>
      <c r="PDU608" s="222"/>
      <c r="PDV608" s="222"/>
      <c r="PDW608" s="223"/>
      <c r="PDX608" s="224"/>
      <c r="PDY608" s="222"/>
      <c r="PDZ608" s="222"/>
      <c r="PEA608" s="222"/>
      <c r="PEB608" s="222"/>
      <c r="PEC608" s="222"/>
      <c r="PED608" s="222"/>
      <c r="PEE608" s="223"/>
      <c r="PEF608" s="224"/>
      <c r="PEG608" s="222"/>
      <c r="PEH608" s="222"/>
      <c r="PEI608" s="222"/>
      <c r="PEJ608" s="222"/>
      <c r="PEK608" s="222"/>
      <c r="PEL608" s="222"/>
      <c r="PEM608" s="223"/>
      <c r="PEN608" s="224"/>
      <c r="PEO608" s="222"/>
      <c r="PEP608" s="222"/>
      <c r="PEQ608" s="222"/>
      <c r="PER608" s="222"/>
      <c r="PES608" s="222"/>
      <c r="PET608" s="222"/>
      <c r="PEU608" s="223"/>
      <c r="PEV608" s="224"/>
      <c r="PEW608" s="222"/>
      <c r="PEX608" s="222"/>
      <c r="PEY608" s="222"/>
      <c r="PEZ608" s="222"/>
      <c r="PFA608" s="222"/>
      <c r="PFB608" s="222"/>
      <c r="PFC608" s="223"/>
      <c r="PFD608" s="224"/>
      <c r="PFE608" s="222"/>
      <c r="PFF608" s="222"/>
      <c r="PFG608" s="222"/>
      <c r="PFH608" s="222"/>
      <c r="PFI608" s="222"/>
      <c r="PFJ608" s="222"/>
      <c r="PFK608" s="223"/>
      <c r="PFL608" s="224"/>
      <c r="PFM608" s="222"/>
      <c r="PFN608" s="222"/>
      <c r="PFO608" s="222"/>
      <c r="PFP608" s="222"/>
      <c r="PFQ608" s="222"/>
      <c r="PFR608" s="222"/>
      <c r="PFS608" s="223"/>
      <c r="PFT608" s="224"/>
      <c r="PFU608" s="222"/>
      <c r="PFV608" s="222"/>
      <c r="PFW608" s="222"/>
      <c r="PFX608" s="222"/>
      <c r="PFY608" s="222"/>
      <c r="PFZ608" s="222"/>
      <c r="PGA608" s="223"/>
      <c r="PGB608" s="224"/>
      <c r="PGC608" s="222"/>
      <c r="PGD608" s="222"/>
      <c r="PGE608" s="222"/>
      <c r="PGF608" s="222"/>
      <c r="PGG608" s="222"/>
      <c r="PGH608" s="222"/>
      <c r="PGI608" s="223"/>
      <c r="PGJ608" s="224"/>
      <c r="PGK608" s="222"/>
      <c r="PGL608" s="222"/>
      <c r="PGM608" s="222"/>
      <c r="PGN608" s="222"/>
      <c r="PGO608" s="222"/>
      <c r="PGP608" s="222"/>
      <c r="PGQ608" s="223"/>
      <c r="PGR608" s="224"/>
      <c r="PGS608" s="222"/>
      <c r="PGT608" s="222"/>
      <c r="PGU608" s="222"/>
      <c r="PGV608" s="222"/>
      <c r="PGW608" s="222"/>
      <c r="PGX608" s="222"/>
      <c r="PGY608" s="223"/>
      <c r="PGZ608" s="224"/>
      <c r="PHA608" s="222"/>
      <c r="PHB608" s="222"/>
      <c r="PHC608" s="222"/>
      <c r="PHD608" s="222"/>
      <c r="PHE608" s="222"/>
      <c r="PHF608" s="222"/>
      <c r="PHG608" s="223"/>
      <c r="PHH608" s="224"/>
      <c r="PHI608" s="222"/>
      <c r="PHJ608" s="222"/>
      <c r="PHK608" s="222"/>
      <c r="PHL608" s="222"/>
      <c r="PHM608" s="222"/>
      <c r="PHN608" s="222"/>
      <c r="PHO608" s="223"/>
      <c r="PHP608" s="224"/>
      <c r="PHQ608" s="222"/>
      <c r="PHR608" s="222"/>
      <c r="PHS608" s="222"/>
      <c r="PHT608" s="222"/>
      <c r="PHU608" s="222"/>
      <c r="PHV608" s="222"/>
      <c r="PHW608" s="223"/>
      <c r="PHX608" s="224"/>
      <c r="PHY608" s="222"/>
      <c r="PHZ608" s="222"/>
      <c r="PIA608" s="222"/>
      <c r="PIB608" s="222"/>
      <c r="PIC608" s="222"/>
      <c r="PID608" s="222"/>
      <c r="PIE608" s="223"/>
      <c r="PIF608" s="224"/>
      <c r="PIG608" s="222"/>
      <c r="PIH608" s="222"/>
      <c r="PII608" s="222"/>
      <c r="PIJ608" s="222"/>
      <c r="PIK608" s="222"/>
      <c r="PIL608" s="222"/>
      <c r="PIM608" s="223"/>
      <c r="PIN608" s="224"/>
      <c r="PIO608" s="222"/>
      <c r="PIP608" s="222"/>
      <c r="PIQ608" s="222"/>
      <c r="PIR608" s="222"/>
      <c r="PIS608" s="222"/>
      <c r="PIT608" s="222"/>
      <c r="PIU608" s="223"/>
      <c r="PIV608" s="224"/>
      <c r="PIW608" s="222"/>
      <c r="PIX608" s="222"/>
      <c r="PIY608" s="222"/>
      <c r="PIZ608" s="222"/>
      <c r="PJA608" s="222"/>
      <c r="PJB608" s="222"/>
      <c r="PJC608" s="223"/>
      <c r="PJD608" s="224"/>
      <c r="PJE608" s="222"/>
      <c r="PJF608" s="222"/>
      <c r="PJG608" s="222"/>
      <c r="PJH608" s="222"/>
      <c r="PJI608" s="222"/>
      <c r="PJJ608" s="222"/>
      <c r="PJK608" s="223"/>
      <c r="PJL608" s="224"/>
      <c r="PJM608" s="222"/>
      <c r="PJN608" s="222"/>
      <c r="PJO608" s="222"/>
      <c r="PJP608" s="222"/>
      <c r="PJQ608" s="222"/>
      <c r="PJR608" s="222"/>
      <c r="PJS608" s="223"/>
      <c r="PJT608" s="224"/>
      <c r="PJU608" s="222"/>
      <c r="PJV608" s="222"/>
      <c r="PJW608" s="222"/>
      <c r="PJX608" s="222"/>
      <c r="PJY608" s="222"/>
      <c r="PJZ608" s="222"/>
      <c r="PKA608" s="223"/>
      <c r="PKB608" s="224"/>
      <c r="PKC608" s="222"/>
      <c r="PKD608" s="222"/>
      <c r="PKE608" s="222"/>
      <c r="PKF608" s="222"/>
      <c r="PKG608" s="222"/>
      <c r="PKH608" s="222"/>
      <c r="PKI608" s="223"/>
      <c r="PKJ608" s="224"/>
      <c r="PKK608" s="222"/>
      <c r="PKL608" s="222"/>
      <c r="PKM608" s="222"/>
      <c r="PKN608" s="222"/>
      <c r="PKO608" s="222"/>
      <c r="PKP608" s="222"/>
      <c r="PKQ608" s="223"/>
      <c r="PKR608" s="224"/>
      <c r="PKS608" s="222"/>
      <c r="PKT608" s="222"/>
      <c r="PKU608" s="222"/>
      <c r="PKV608" s="222"/>
      <c r="PKW608" s="222"/>
      <c r="PKX608" s="222"/>
      <c r="PKY608" s="223"/>
      <c r="PKZ608" s="224"/>
      <c r="PLA608" s="222"/>
      <c r="PLB608" s="222"/>
      <c r="PLC608" s="222"/>
      <c r="PLD608" s="222"/>
      <c r="PLE608" s="222"/>
      <c r="PLF608" s="222"/>
      <c r="PLG608" s="223"/>
      <c r="PLH608" s="224"/>
      <c r="PLI608" s="222"/>
      <c r="PLJ608" s="222"/>
      <c r="PLK608" s="222"/>
      <c r="PLL608" s="222"/>
      <c r="PLM608" s="222"/>
      <c r="PLN608" s="222"/>
      <c r="PLO608" s="223"/>
      <c r="PLP608" s="224"/>
      <c r="PLQ608" s="222"/>
      <c r="PLR608" s="222"/>
      <c r="PLS608" s="222"/>
      <c r="PLT608" s="222"/>
      <c r="PLU608" s="222"/>
      <c r="PLV608" s="222"/>
      <c r="PLW608" s="223"/>
      <c r="PLX608" s="224"/>
      <c r="PLY608" s="222"/>
      <c r="PLZ608" s="222"/>
      <c r="PMA608" s="222"/>
      <c r="PMB608" s="222"/>
      <c r="PMC608" s="222"/>
      <c r="PMD608" s="222"/>
      <c r="PME608" s="223"/>
      <c r="PMF608" s="224"/>
      <c r="PMG608" s="222"/>
      <c r="PMH608" s="222"/>
      <c r="PMI608" s="222"/>
      <c r="PMJ608" s="222"/>
      <c r="PMK608" s="222"/>
      <c r="PML608" s="222"/>
      <c r="PMM608" s="223"/>
      <c r="PMN608" s="224"/>
      <c r="PMO608" s="222"/>
      <c r="PMP608" s="222"/>
      <c r="PMQ608" s="222"/>
      <c r="PMR608" s="222"/>
      <c r="PMS608" s="222"/>
      <c r="PMT608" s="222"/>
      <c r="PMU608" s="223"/>
      <c r="PMV608" s="224"/>
      <c r="PMW608" s="222"/>
      <c r="PMX608" s="222"/>
      <c r="PMY608" s="222"/>
      <c r="PMZ608" s="222"/>
      <c r="PNA608" s="222"/>
      <c r="PNB608" s="222"/>
      <c r="PNC608" s="223"/>
      <c r="PND608" s="224"/>
      <c r="PNE608" s="222"/>
      <c r="PNF608" s="222"/>
      <c r="PNG608" s="222"/>
      <c r="PNH608" s="222"/>
      <c r="PNI608" s="222"/>
      <c r="PNJ608" s="222"/>
      <c r="PNK608" s="223"/>
      <c r="PNL608" s="224"/>
      <c r="PNM608" s="222"/>
      <c r="PNN608" s="222"/>
      <c r="PNO608" s="222"/>
      <c r="PNP608" s="222"/>
      <c r="PNQ608" s="222"/>
      <c r="PNR608" s="222"/>
      <c r="PNS608" s="223"/>
      <c r="PNT608" s="224"/>
      <c r="PNU608" s="222"/>
      <c r="PNV608" s="222"/>
      <c r="PNW608" s="222"/>
      <c r="PNX608" s="222"/>
      <c r="PNY608" s="222"/>
      <c r="PNZ608" s="222"/>
      <c r="POA608" s="223"/>
      <c r="POB608" s="224"/>
      <c r="POC608" s="222"/>
      <c r="POD608" s="222"/>
      <c r="POE608" s="222"/>
      <c r="POF608" s="222"/>
      <c r="POG608" s="222"/>
      <c r="POH608" s="222"/>
      <c r="POI608" s="223"/>
      <c r="POJ608" s="224"/>
      <c r="POK608" s="222"/>
      <c r="POL608" s="222"/>
      <c r="POM608" s="222"/>
      <c r="PON608" s="222"/>
      <c r="POO608" s="222"/>
      <c r="POP608" s="222"/>
      <c r="POQ608" s="223"/>
      <c r="POR608" s="224"/>
      <c r="POS608" s="222"/>
      <c r="POT608" s="222"/>
      <c r="POU608" s="222"/>
      <c r="POV608" s="222"/>
      <c r="POW608" s="222"/>
      <c r="POX608" s="222"/>
      <c r="POY608" s="223"/>
      <c r="POZ608" s="224"/>
      <c r="PPA608" s="222"/>
      <c r="PPB608" s="222"/>
      <c r="PPC608" s="222"/>
      <c r="PPD608" s="222"/>
      <c r="PPE608" s="222"/>
      <c r="PPF608" s="222"/>
      <c r="PPG608" s="223"/>
      <c r="PPH608" s="224"/>
      <c r="PPI608" s="222"/>
      <c r="PPJ608" s="222"/>
      <c r="PPK608" s="222"/>
      <c r="PPL608" s="222"/>
      <c r="PPM608" s="222"/>
      <c r="PPN608" s="222"/>
      <c r="PPO608" s="223"/>
      <c r="PPP608" s="224"/>
      <c r="PPQ608" s="222"/>
      <c r="PPR608" s="222"/>
      <c r="PPS608" s="222"/>
      <c r="PPT608" s="222"/>
      <c r="PPU608" s="222"/>
      <c r="PPV608" s="222"/>
      <c r="PPW608" s="223"/>
      <c r="PPX608" s="224"/>
      <c r="PPY608" s="222"/>
      <c r="PPZ608" s="222"/>
      <c r="PQA608" s="222"/>
      <c r="PQB608" s="222"/>
      <c r="PQC608" s="222"/>
      <c r="PQD608" s="222"/>
      <c r="PQE608" s="223"/>
      <c r="PQF608" s="224"/>
      <c r="PQG608" s="222"/>
      <c r="PQH608" s="222"/>
      <c r="PQI608" s="222"/>
      <c r="PQJ608" s="222"/>
      <c r="PQK608" s="222"/>
      <c r="PQL608" s="222"/>
      <c r="PQM608" s="223"/>
      <c r="PQN608" s="224"/>
      <c r="PQO608" s="222"/>
      <c r="PQP608" s="222"/>
      <c r="PQQ608" s="222"/>
      <c r="PQR608" s="222"/>
      <c r="PQS608" s="222"/>
      <c r="PQT608" s="222"/>
      <c r="PQU608" s="223"/>
      <c r="PQV608" s="224"/>
      <c r="PQW608" s="222"/>
      <c r="PQX608" s="222"/>
      <c r="PQY608" s="222"/>
      <c r="PQZ608" s="222"/>
      <c r="PRA608" s="222"/>
      <c r="PRB608" s="222"/>
      <c r="PRC608" s="223"/>
      <c r="PRD608" s="224"/>
      <c r="PRE608" s="222"/>
      <c r="PRF608" s="222"/>
      <c r="PRG608" s="222"/>
      <c r="PRH608" s="222"/>
      <c r="PRI608" s="222"/>
      <c r="PRJ608" s="222"/>
      <c r="PRK608" s="223"/>
      <c r="PRL608" s="224"/>
      <c r="PRM608" s="222"/>
      <c r="PRN608" s="222"/>
      <c r="PRO608" s="222"/>
      <c r="PRP608" s="222"/>
      <c r="PRQ608" s="222"/>
      <c r="PRR608" s="222"/>
      <c r="PRS608" s="223"/>
      <c r="PRT608" s="224"/>
      <c r="PRU608" s="222"/>
      <c r="PRV608" s="222"/>
      <c r="PRW608" s="222"/>
      <c r="PRX608" s="222"/>
      <c r="PRY608" s="222"/>
      <c r="PRZ608" s="222"/>
      <c r="PSA608" s="223"/>
      <c r="PSB608" s="224"/>
      <c r="PSC608" s="222"/>
      <c r="PSD608" s="222"/>
      <c r="PSE608" s="222"/>
      <c r="PSF608" s="222"/>
      <c r="PSG608" s="222"/>
      <c r="PSH608" s="222"/>
      <c r="PSI608" s="223"/>
      <c r="PSJ608" s="224"/>
      <c r="PSK608" s="222"/>
      <c r="PSL608" s="222"/>
      <c r="PSM608" s="222"/>
      <c r="PSN608" s="222"/>
      <c r="PSO608" s="222"/>
      <c r="PSP608" s="222"/>
      <c r="PSQ608" s="223"/>
      <c r="PSR608" s="224"/>
      <c r="PSS608" s="222"/>
      <c r="PST608" s="222"/>
      <c r="PSU608" s="222"/>
      <c r="PSV608" s="222"/>
      <c r="PSW608" s="222"/>
      <c r="PSX608" s="222"/>
      <c r="PSY608" s="223"/>
      <c r="PSZ608" s="224"/>
      <c r="PTA608" s="222"/>
      <c r="PTB608" s="222"/>
      <c r="PTC608" s="222"/>
      <c r="PTD608" s="222"/>
      <c r="PTE608" s="222"/>
      <c r="PTF608" s="222"/>
      <c r="PTG608" s="223"/>
      <c r="PTH608" s="224"/>
      <c r="PTI608" s="222"/>
      <c r="PTJ608" s="222"/>
      <c r="PTK608" s="222"/>
      <c r="PTL608" s="222"/>
      <c r="PTM608" s="222"/>
      <c r="PTN608" s="222"/>
      <c r="PTO608" s="223"/>
      <c r="PTP608" s="224"/>
      <c r="PTQ608" s="222"/>
      <c r="PTR608" s="222"/>
      <c r="PTS608" s="222"/>
      <c r="PTT608" s="222"/>
      <c r="PTU608" s="222"/>
      <c r="PTV608" s="222"/>
      <c r="PTW608" s="223"/>
      <c r="PTX608" s="224"/>
      <c r="PTY608" s="222"/>
      <c r="PTZ608" s="222"/>
      <c r="PUA608" s="222"/>
      <c r="PUB608" s="222"/>
      <c r="PUC608" s="222"/>
      <c r="PUD608" s="222"/>
      <c r="PUE608" s="223"/>
      <c r="PUF608" s="224"/>
      <c r="PUG608" s="222"/>
      <c r="PUH608" s="222"/>
      <c r="PUI608" s="222"/>
      <c r="PUJ608" s="222"/>
      <c r="PUK608" s="222"/>
      <c r="PUL608" s="222"/>
      <c r="PUM608" s="223"/>
      <c r="PUN608" s="224"/>
      <c r="PUO608" s="222"/>
      <c r="PUP608" s="222"/>
      <c r="PUQ608" s="222"/>
      <c r="PUR608" s="222"/>
      <c r="PUS608" s="222"/>
      <c r="PUT608" s="222"/>
      <c r="PUU608" s="223"/>
      <c r="PUV608" s="224"/>
      <c r="PUW608" s="222"/>
      <c r="PUX608" s="222"/>
      <c r="PUY608" s="222"/>
      <c r="PUZ608" s="222"/>
      <c r="PVA608" s="222"/>
      <c r="PVB608" s="222"/>
      <c r="PVC608" s="223"/>
      <c r="PVD608" s="224"/>
      <c r="PVE608" s="222"/>
      <c r="PVF608" s="222"/>
      <c r="PVG608" s="222"/>
      <c r="PVH608" s="222"/>
      <c r="PVI608" s="222"/>
      <c r="PVJ608" s="222"/>
      <c r="PVK608" s="223"/>
      <c r="PVL608" s="224"/>
      <c r="PVM608" s="222"/>
      <c r="PVN608" s="222"/>
      <c r="PVO608" s="222"/>
      <c r="PVP608" s="222"/>
      <c r="PVQ608" s="222"/>
      <c r="PVR608" s="222"/>
      <c r="PVS608" s="223"/>
      <c r="PVT608" s="224"/>
      <c r="PVU608" s="222"/>
      <c r="PVV608" s="222"/>
      <c r="PVW608" s="222"/>
      <c r="PVX608" s="222"/>
      <c r="PVY608" s="222"/>
      <c r="PVZ608" s="222"/>
      <c r="PWA608" s="223"/>
      <c r="PWB608" s="224"/>
      <c r="PWC608" s="222"/>
      <c r="PWD608" s="222"/>
      <c r="PWE608" s="222"/>
      <c r="PWF608" s="222"/>
      <c r="PWG608" s="222"/>
      <c r="PWH608" s="222"/>
      <c r="PWI608" s="223"/>
      <c r="PWJ608" s="224"/>
      <c r="PWK608" s="222"/>
      <c r="PWL608" s="222"/>
      <c r="PWM608" s="222"/>
      <c r="PWN608" s="222"/>
      <c r="PWO608" s="222"/>
      <c r="PWP608" s="222"/>
      <c r="PWQ608" s="223"/>
      <c r="PWR608" s="224"/>
      <c r="PWS608" s="222"/>
      <c r="PWT608" s="222"/>
      <c r="PWU608" s="222"/>
      <c r="PWV608" s="222"/>
      <c r="PWW608" s="222"/>
      <c r="PWX608" s="222"/>
      <c r="PWY608" s="223"/>
      <c r="PWZ608" s="224"/>
      <c r="PXA608" s="222"/>
      <c r="PXB608" s="222"/>
      <c r="PXC608" s="222"/>
      <c r="PXD608" s="222"/>
      <c r="PXE608" s="222"/>
      <c r="PXF608" s="222"/>
      <c r="PXG608" s="223"/>
      <c r="PXH608" s="224"/>
      <c r="PXI608" s="222"/>
      <c r="PXJ608" s="222"/>
      <c r="PXK608" s="222"/>
      <c r="PXL608" s="222"/>
      <c r="PXM608" s="222"/>
      <c r="PXN608" s="222"/>
      <c r="PXO608" s="223"/>
      <c r="PXP608" s="224"/>
      <c r="PXQ608" s="222"/>
      <c r="PXR608" s="222"/>
      <c r="PXS608" s="222"/>
      <c r="PXT608" s="222"/>
      <c r="PXU608" s="222"/>
      <c r="PXV608" s="222"/>
      <c r="PXW608" s="223"/>
      <c r="PXX608" s="224"/>
      <c r="PXY608" s="222"/>
      <c r="PXZ608" s="222"/>
      <c r="PYA608" s="222"/>
      <c r="PYB608" s="222"/>
      <c r="PYC608" s="222"/>
      <c r="PYD608" s="222"/>
      <c r="PYE608" s="223"/>
      <c r="PYF608" s="224"/>
      <c r="PYG608" s="222"/>
      <c r="PYH608" s="222"/>
      <c r="PYI608" s="222"/>
      <c r="PYJ608" s="222"/>
      <c r="PYK608" s="222"/>
      <c r="PYL608" s="222"/>
      <c r="PYM608" s="223"/>
      <c r="PYN608" s="224"/>
      <c r="PYO608" s="222"/>
      <c r="PYP608" s="222"/>
      <c r="PYQ608" s="222"/>
      <c r="PYR608" s="222"/>
      <c r="PYS608" s="222"/>
      <c r="PYT608" s="222"/>
      <c r="PYU608" s="223"/>
      <c r="PYV608" s="224"/>
      <c r="PYW608" s="222"/>
      <c r="PYX608" s="222"/>
      <c r="PYY608" s="222"/>
      <c r="PYZ608" s="222"/>
      <c r="PZA608" s="222"/>
      <c r="PZB608" s="222"/>
      <c r="PZC608" s="223"/>
      <c r="PZD608" s="224"/>
      <c r="PZE608" s="222"/>
      <c r="PZF608" s="222"/>
      <c r="PZG608" s="222"/>
      <c r="PZH608" s="222"/>
      <c r="PZI608" s="222"/>
      <c r="PZJ608" s="222"/>
      <c r="PZK608" s="223"/>
      <c r="PZL608" s="224"/>
      <c r="PZM608" s="222"/>
      <c r="PZN608" s="222"/>
      <c r="PZO608" s="222"/>
      <c r="PZP608" s="222"/>
      <c r="PZQ608" s="222"/>
      <c r="PZR608" s="222"/>
      <c r="PZS608" s="223"/>
      <c r="PZT608" s="224"/>
      <c r="PZU608" s="222"/>
      <c r="PZV608" s="222"/>
      <c r="PZW608" s="222"/>
      <c r="PZX608" s="222"/>
      <c r="PZY608" s="222"/>
      <c r="PZZ608" s="222"/>
      <c r="QAA608" s="223"/>
      <c r="QAB608" s="224"/>
      <c r="QAC608" s="222"/>
      <c r="QAD608" s="222"/>
      <c r="QAE608" s="222"/>
      <c r="QAF608" s="222"/>
      <c r="QAG608" s="222"/>
      <c r="QAH608" s="222"/>
      <c r="QAI608" s="223"/>
      <c r="QAJ608" s="224"/>
      <c r="QAK608" s="222"/>
      <c r="QAL608" s="222"/>
      <c r="QAM608" s="222"/>
      <c r="QAN608" s="222"/>
      <c r="QAO608" s="222"/>
      <c r="QAP608" s="222"/>
      <c r="QAQ608" s="223"/>
      <c r="QAR608" s="224"/>
      <c r="QAS608" s="222"/>
      <c r="QAT608" s="222"/>
      <c r="QAU608" s="222"/>
      <c r="QAV608" s="222"/>
      <c r="QAW608" s="222"/>
      <c r="QAX608" s="222"/>
      <c r="QAY608" s="223"/>
      <c r="QAZ608" s="224"/>
      <c r="QBA608" s="222"/>
      <c r="QBB608" s="222"/>
      <c r="QBC608" s="222"/>
      <c r="QBD608" s="222"/>
      <c r="QBE608" s="222"/>
      <c r="QBF608" s="222"/>
      <c r="QBG608" s="223"/>
      <c r="QBH608" s="224"/>
      <c r="QBI608" s="222"/>
      <c r="QBJ608" s="222"/>
      <c r="QBK608" s="222"/>
      <c r="QBL608" s="222"/>
      <c r="QBM608" s="222"/>
      <c r="QBN608" s="222"/>
      <c r="QBO608" s="223"/>
      <c r="QBP608" s="224"/>
      <c r="QBQ608" s="222"/>
      <c r="QBR608" s="222"/>
      <c r="QBS608" s="222"/>
      <c r="QBT608" s="222"/>
      <c r="QBU608" s="222"/>
      <c r="QBV608" s="222"/>
      <c r="QBW608" s="223"/>
      <c r="QBX608" s="224"/>
      <c r="QBY608" s="222"/>
      <c r="QBZ608" s="222"/>
      <c r="QCA608" s="222"/>
      <c r="QCB608" s="222"/>
      <c r="QCC608" s="222"/>
      <c r="QCD608" s="222"/>
      <c r="QCE608" s="223"/>
      <c r="QCF608" s="224"/>
      <c r="QCG608" s="222"/>
      <c r="QCH608" s="222"/>
      <c r="QCI608" s="222"/>
      <c r="QCJ608" s="222"/>
      <c r="QCK608" s="222"/>
      <c r="QCL608" s="222"/>
      <c r="QCM608" s="223"/>
      <c r="QCN608" s="224"/>
      <c r="QCO608" s="222"/>
      <c r="QCP608" s="222"/>
      <c r="QCQ608" s="222"/>
      <c r="QCR608" s="222"/>
      <c r="QCS608" s="222"/>
      <c r="QCT608" s="222"/>
      <c r="QCU608" s="223"/>
      <c r="QCV608" s="224"/>
      <c r="QCW608" s="222"/>
      <c r="QCX608" s="222"/>
      <c r="QCY608" s="222"/>
      <c r="QCZ608" s="222"/>
      <c r="QDA608" s="222"/>
      <c r="QDB608" s="222"/>
      <c r="QDC608" s="223"/>
      <c r="QDD608" s="224"/>
      <c r="QDE608" s="222"/>
      <c r="QDF608" s="222"/>
      <c r="QDG608" s="222"/>
      <c r="QDH608" s="222"/>
      <c r="QDI608" s="222"/>
      <c r="QDJ608" s="222"/>
      <c r="QDK608" s="223"/>
      <c r="QDL608" s="224"/>
      <c r="QDM608" s="222"/>
      <c r="QDN608" s="222"/>
      <c r="QDO608" s="222"/>
      <c r="QDP608" s="222"/>
      <c r="QDQ608" s="222"/>
      <c r="QDR608" s="222"/>
      <c r="QDS608" s="223"/>
      <c r="QDT608" s="224"/>
      <c r="QDU608" s="222"/>
      <c r="QDV608" s="222"/>
      <c r="QDW608" s="222"/>
      <c r="QDX608" s="222"/>
      <c r="QDY608" s="222"/>
      <c r="QDZ608" s="222"/>
      <c r="QEA608" s="223"/>
      <c r="QEB608" s="224"/>
      <c r="QEC608" s="222"/>
      <c r="QED608" s="222"/>
      <c r="QEE608" s="222"/>
      <c r="QEF608" s="222"/>
      <c r="QEG608" s="222"/>
      <c r="QEH608" s="222"/>
      <c r="QEI608" s="223"/>
      <c r="QEJ608" s="224"/>
      <c r="QEK608" s="222"/>
      <c r="QEL608" s="222"/>
      <c r="QEM608" s="222"/>
      <c r="QEN608" s="222"/>
      <c r="QEO608" s="222"/>
      <c r="QEP608" s="222"/>
      <c r="QEQ608" s="223"/>
      <c r="QER608" s="224"/>
      <c r="QES608" s="222"/>
      <c r="QET608" s="222"/>
      <c r="QEU608" s="222"/>
      <c r="QEV608" s="222"/>
      <c r="QEW608" s="222"/>
      <c r="QEX608" s="222"/>
      <c r="QEY608" s="223"/>
      <c r="QEZ608" s="224"/>
      <c r="QFA608" s="222"/>
      <c r="QFB608" s="222"/>
      <c r="QFC608" s="222"/>
      <c r="QFD608" s="222"/>
      <c r="QFE608" s="222"/>
      <c r="QFF608" s="222"/>
      <c r="QFG608" s="223"/>
      <c r="QFH608" s="224"/>
      <c r="QFI608" s="222"/>
      <c r="QFJ608" s="222"/>
      <c r="QFK608" s="222"/>
      <c r="QFL608" s="222"/>
      <c r="QFM608" s="222"/>
      <c r="QFN608" s="222"/>
      <c r="QFO608" s="223"/>
      <c r="QFP608" s="224"/>
      <c r="QFQ608" s="222"/>
      <c r="QFR608" s="222"/>
      <c r="QFS608" s="222"/>
      <c r="QFT608" s="222"/>
      <c r="QFU608" s="222"/>
      <c r="QFV608" s="222"/>
      <c r="QFW608" s="223"/>
      <c r="QFX608" s="224"/>
      <c r="QFY608" s="222"/>
      <c r="QFZ608" s="222"/>
      <c r="QGA608" s="222"/>
      <c r="QGB608" s="222"/>
      <c r="QGC608" s="222"/>
      <c r="QGD608" s="222"/>
      <c r="QGE608" s="223"/>
      <c r="QGF608" s="224"/>
      <c r="QGG608" s="222"/>
      <c r="QGH608" s="222"/>
      <c r="QGI608" s="222"/>
      <c r="QGJ608" s="222"/>
      <c r="QGK608" s="222"/>
      <c r="QGL608" s="222"/>
      <c r="QGM608" s="223"/>
      <c r="QGN608" s="224"/>
      <c r="QGO608" s="222"/>
      <c r="QGP608" s="222"/>
      <c r="QGQ608" s="222"/>
      <c r="QGR608" s="222"/>
      <c r="QGS608" s="222"/>
      <c r="QGT608" s="222"/>
      <c r="QGU608" s="223"/>
      <c r="QGV608" s="224"/>
      <c r="QGW608" s="222"/>
      <c r="QGX608" s="222"/>
      <c r="QGY608" s="222"/>
      <c r="QGZ608" s="222"/>
      <c r="QHA608" s="222"/>
      <c r="QHB608" s="222"/>
      <c r="QHC608" s="223"/>
      <c r="QHD608" s="224"/>
      <c r="QHE608" s="222"/>
      <c r="QHF608" s="222"/>
      <c r="QHG608" s="222"/>
      <c r="QHH608" s="222"/>
      <c r="QHI608" s="222"/>
      <c r="QHJ608" s="222"/>
      <c r="QHK608" s="223"/>
      <c r="QHL608" s="224"/>
      <c r="QHM608" s="222"/>
      <c r="QHN608" s="222"/>
      <c r="QHO608" s="222"/>
      <c r="QHP608" s="222"/>
      <c r="QHQ608" s="222"/>
      <c r="QHR608" s="222"/>
      <c r="QHS608" s="223"/>
      <c r="QHT608" s="224"/>
      <c r="QHU608" s="222"/>
      <c r="QHV608" s="222"/>
      <c r="QHW608" s="222"/>
      <c r="QHX608" s="222"/>
      <c r="QHY608" s="222"/>
      <c r="QHZ608" s="222"/>
      <c r="QIA608" s="223"/>
      <c r="QIB608" s="224"/>
      <c r="QIC608" s="222"/>
      <c r="QID608" s="222"/>
      <c r="QIE608" s="222"/>
      <c r="QIF608" s="222"/>
      <c r="QIG608" s="222"/>
      <c r="QIH608" s="222"/>
      <c r="QII608" s="223"/>
      <c r="QIJ608" s="224"/>
      <c r="QIK608" s="222"/>
      <c r="QIL608" s="222"/>
      <c r="QIM608" s="222"/>
      <c r="QIN608" s="222"/>
      <c r="QIO608" s="222"/>
      <c r="QIP608" s="222"/>
      <c r="QIQ608" s="223"/>
      <c r="QIR608" s="224"/>
      <c r="QIS608" s="222"/>
      <c r="QIT608" s="222"/>
      <c r="QIU608" s="222"/>
      <c r="QIV608" s="222"/>
      <c r="QIW608" s="222"/>
      <c r="QIX608" s="222"/>
      <c r="QIY608" s="223"/>
      <c r="QIZ608" s="224"/>
      <c r="QJA608" s="222"/>
      <c r="QJB608" s="222"/>
      <c r="QJC608" s="222"/>
      <c r="QJD608" s="222"/>
      <c r="QJE608" s="222"/>
      <c r="QJF608" s="222"/>
      <c r="QJG608" s="223"/>
      <c r="QJH608" s="224"/>
      <c r="QJI608" s="222"/>
      <c r="QJJ608" s="222"/>
      <c r="QJK608" s="222"/>
      <c r="QJL608" s="222"/>
      <c r="QJM608" s="222"/>
      <c r="QJN608" s="222"/>
      <c r="QJO608" s="223"/>
      <c r="QJP608" s="224"/>
      <c r="QJQ608" s="222"/>
      <c r="QJR608" s="222"/>
      <c r="QJS608" s="222"/>
      <c r="QJT608" s="222"/>
      <c r="QJU608" s="222"/>
      <c r="QJV608" s="222"/>
      <c r="QJW608" s="223"/>
      <c r="QJX608" s="224"/>
      <c r="QJY608" s="222"/>
      <c r="QJZ608" s="222"/>
      <c r="QKA608" s="222"/>
      <c r="QKB608" s="222"/>
      <c r="QKC608" s="222"/>
      <c r="QKD608" s="222"/>
      <c r="QKE608" s="223"/>
      <c r="QKF608" s="224"/>
      <c r="QKG608" s="222"/>
      <c r="QKH608" s="222"/>
      <c r="QKI608" s="222"/>
      <c r="QKJ608" s="222"/>
      <c r="QKK608" s="222"/>
      <c r="QKL608" s="222"/>
      <c r="QKM608" s="223"/>
      <c r="QKN608" s="224"/>
      <c r="QKO608" s="222"/>
      <c r="QKP608" s="222"/>
      <c r="QKQ608" s="222"/>
      <c r="QKR608" s="222"/>
      <c r="QKS608" s="222"/>
      <c r="QKT608" s="222"/>
      <c r="QKU608" s="223"/>
      <c r="QKV608" s="224"/>
      <c r="QKW608" s="222"/>
      <c r="QKX608" s="222"/>
      <c r="QKY608" s="222"/>
      <c r="QKZ608" s="222"/>
      <c r="QLA608" s="222"/>
      <c r="QLB608" s="222"/>
      <c r="QLC608" s="223"/>
      <c r="QLD608" s="224"/>
      <c r="QLE608" s="222"/>
      <c r="QLF608" s="222"/>
      <c r="QLG608" s="222"/>
      <c r="QLH608" s="222"/>
      <c r="QLI608" s="222"/>
      <c r="QLJ608" s="222"/>
      <c r="QLK608" s="223"/>
      <c r="QLL608" s="224"/>
      <c r="QLM608" s="222"/>
      <c r="QLN608" s="222"/>
      <c r="QLO608" s="222"/>
      <c r="QLP608" s="222"/>
      <c r="QLQ608" s="222"/>
      <c r="QLR608" s="222"/>
      <c r="QLS608" s="223"/>
      <c r="QLT608" s="224"/>
      <c r="QLU608" s="222"/>
      <c r="QLV608" s="222"/>
      <c r="QLW608" s="222"/>
      <c r="QLX608" s="222"/>
      <c r="QLY608" s="222"/>
      <c r="QLZ608" s="222"/>
      <c r="QMA608" s="223"/>
      <c r="QMB608" s="224"/>
      <c r="QMC608" s="222"/>
      <c r="QMD608" s="222"/>
      <c r="QME608" s="222"/>
      <c r="QMF608" s="222"/>
      <c r="QMG608" s="222"/>
      <c r="QMH608" s="222"/>
      <c r="QMI608" s="223"/>
      <c r="QMJ608" s="224"/>
      <c r="QMK608" s="222"/>
      <c r="QML608" s="222"/>
      <c r="QMM608" s="222"/>
      <c r="QMN608" s="222"/>
      <c r="QMO608" s="222"/>
      <c r="QMP608" s="222"/>
      <c r="QMQ608" s="223"/>
      <c r="QMR608" s="224"/>
      <c r="QMS608" s="222"/>
      <c r="QMT608" s="222"/>
      <c r="QMU608" s="222"/>
      <c r="QMV608" s="222"/>
      <c r="QMW608" s="222"/>
      <c r="QMX608" s="222"/>
      <c r="QMY608" s="223"/>
      <c r="QMZ608" s="224"/>
      <c r="QNA608" s="222"/>
      <c r="QNB608" s="222"/>
      <c r="QNC608" s="222"/>
      <c r="QND608" s="222"/>
      <c r="QNE608" s="222"/>
      <c r="QNF608" s="222"/>
      <c r="QNG608" s="223"/>
      <c r="QNH608" s="224"/>
      <c r="QNI608" s="222"/>
      <c r="QNJ608" s="222"/>
      <c r="QNK608" s="222"/>
      <c r="QNL608" s="222"/>
      <c r="QNM608" s="222"/>
      <c r="QNN608" s="222"/>
      <c r="QNO608" s="223"/>
      <c r="QNP608" s="224"/>
      <c r="QNQ608" s="222"/>
      <c r="QNR608" s="222"/>
      <c r="QNS608" s="222"/>
      <c r="QNT608" s="222"/>
      <c r="QNU608" s="222"/>
      <c r="QNV608" s="222"/>
      <c r="QNW608" s="223"/>
      <c r="QNX608" s="224"/>
      <c r="QNY608" s="222"/>
      <c r="QNZ608" s="222"/>
      <c r="QOA608" s="222"/>
      <c r="QOB608" s="222"/>
      <c r="QOC608" s="222"/>
      <c r="QOD608" s="222"/>
      <c r="QOE608" s="223"/>
      <c r="QOF608" s="224"/>
      <c r="QOG608" s="222"/>
      <c r="QOH608" s="222"/>
      <c r="QOI608" s="222"/>
      <c r="QOJ608" s="222"/>
      <c r="QOK608" s="222"/>
      <c r="QOL608" s="222"/>
      <c r="QOM608" s="223"/>
      <c r="QON608" s="224"/>
      <c r="QOO608" s="222"/>
      <c r="QOP608" s="222"/>
      <c r="QOQ608" s="222"/>
      <c r="QOR608" s="222"/>
      <c r="QOS608" s="222"/>
      <c r="QOT608" s="222"/>
      <c r="QOU608" s="223"/>
      <c r="QOV608" s="224"/>
      <c r="QOW608" s="222"/>
      <c r="QOX608" s="222"/>
      <c r="QOY608" s="222"/>
      <c r="QOZ608" s="222"/>
      <c r="QPA608" s="222"/>
      <c r="QPB608" s="222"/>
      <c r="QPC608" s="223"/>
      <c r="QPD608" s="224"/>
      <c r="QPE608" s="222"/>
      <c r="QPF608" s="222"/>
      <c r="QPG608" s="222"/>
      <c r="QPH608" s="222"/>
      <c r="QPI608" s="222"/>
      <c r="QPJ608" s="222"/>
      <c r="QPK608" s="223"/>
      <c r="QPL608" s="224"/>
      <c r="QPM608" s="222"/>
      <c r="QPN608" s="222"/>
      <c r="QPO608" s="222"/>
      <c r="QPP608" s="222"/>
      <c r="QPQ608" s="222"/>
      <c r="QPR608" s="222"/>
      <c r="QPS608" s="223"/>
      <c r="QPT608" s="224"/>
      <c r="QPU608" s="222"/>
      <c r="QPV608" s="222"/>
      <c r="QPW608" s="222"/>
      <c r="QPX608" s="222"/>
      <c r="QPY608" s="222"/>
      <c r="QPZ608" s="222"/>
      <c r="QQA608" s="223"/>
      <c r="QQB608" s="224"/>
      <c r="QQC608" s="222"/>
      <c r="QQD608" s="222"/>
      <c r="QQE608" s="222"/>
      <c r="QQF608" s="222"/>
      <c r="QQG608" s="222"/>
      <c r="QQH608" s="222"/>
      <c r="QQI608" s="223"/>
      <c r="QQJ608" s="224"/>
      <c r="QQK608" s="222"/>
      <c r="QQL608" s="222"/>
      <c r="QQM608" s="222"/>
      <c r="QQN608" s="222"/>
      <c r="QQO608" s="222"/>
      <c r="QQP608" s="222"/>
      <c r="QQQ608" s="223"/>
      <c r="QQR608" s="224"/>
      <c r="QQS608" s="222"/>
      <c r="QQT608" s="222"/>
      <c r="QQU608" s="222"/>
      <c r="QQV608" s="222"/>
      <c r="QQW608" s="222"/>
      <c r="QQX608" s="222"/>
      <c r="QQY608" s="223"/>
      <c r="QQZ608" s="224"/>
      <c r="QRA608" s="222"/>
      <c r="QRB608" s="222"/>
      <c r="QRC608" s="222"/>
      <c r="QRD608" s="222"/>
      <c r="QRE608" s="222"/>
      <c r="QRF608" s="222"/>
      <c r="QRG608" s="223"/>
      <c r="QRH608" s="224"/>
      <c r="QRI608" s="222"/>
      <c r="QRJ608" s="222"/>
      <c r="QRK608" s="222"/>
      <c r="QRL608" s="222"/>
      <c r="QRM608" s="222"/>
      <c r="QRN608" s="222"/>
      <c r="QRO608" s="223"/>
      <c r="QRP608" s="224"/>
      <c r="QRQ608" s="222"/>
      <c r="QRR608" s="222"/>
      <c r="QRS608" s="222"/>
      <c r="QRT608" s="222"/>
      <c r="QRU608" s="222"/>
      <c r="QRV608" s="222"/>
      <c r="QRW608" s="223"/>
      <c r="QRX608" s="224"/>
      <c r="QRY608" s="222"/>
      <c r="QRZ608" s="222"/>
      <c r="QSA608" s="222"/>
      <c r="QSB608" s="222"/>
      <c r="QSC608" s="222"/>
      <c r="QSD608" s="222"/>
      <c r="QSE608" s="223"/>
      <c r="QSF608" s="224"/>
      <c r="QSG608" s="222"/>
      <c r="QSH608" s="222"/>
      <c r="QSI608" s="222"/>
      <c r="QSJ608" s="222"/>
      <c r="QSK608" s="222"/>
      <c r="QSL608" s="222"/>
      <c r="QSM608" s="223"/>
      <c r="QSN608" s="224"/>
      <c r="QSO608" s="222"/>
      <c r="QSP608" s="222"/>
      <c r="QSQ608" s="222"/>
      <c r="QSR608" s="222"/>
      <c r="QSS608" s="222"/>
      <c r="QST608" s="222"/>
      <c r="QSU608" s="223"/>
      <c r="QSV608" s="224"/>
      <c r="QSW608" s="222"/>
      <c r="QSX608" s="222"/>
      <c r="QSY608" s="222"/>
      <c r="QSZ608" s="222"/>
      <c r="QTA608" s="222"/>
      <c r="QTB608" s="222"/>
      <c r="QTC608" s="223"/>
      <c r="QTD608" s="224"/>
      <c r="QTE608" s="222"/>
      <c r="QTF608" s="222"/>
      <c r="QTG608" s="222"/>
      <c r="QTH608" s="222"/>
      <c r="QTI608" s="222"/>
      <c r="QTJ608" s="222"/>
      <c r="QTK608" s="223"/>
      <c r="QTL608" s="224"/>
      <c r="QTM608" s="222"/>
      <c r="QTN608" s="222"/>
      <c r="QTO608" s="222"/>
      <c r="QTP608" s="222"/>
      <c r="QTQ608" s="222"/>
      <c r="QTR608" s="222"/>
      <c r="QTS608" s="223"/>
      <c r="QTT608" s="224"/>
      <c r="QTU608" s="222"/>
      <c r="QTV608" s="222"/>
      <c r="QTW608" s="222"/>
      <c r="QTX608" s="222"/>
      <c r="QTY608" s="222"/>
      <c r="QTZ608" s="222"/>
      <c r="QUA608" s="223"/>
      <c r="QUB608" s="224"/>
      <c r="QUC608" s="222"/>
      <c r="QUD608" s="222"/>
      <c r="QUE608" s="222"/>
      <c r="QUF608" s="222"/>
      <c r="QUG608" s="222"/>
      <c r="QUH608" s="222"/>
      <c r="QUI608" s="223"/>
      <c r="QUJ608" s="224"/>
      <c r="QUK608" s="222"/>
      <c r="QUL608" s="222"/>
      <c r="QUM608" s="222"/>
      <c r="QUN608" s="222"/>
      <c r="QUO608" s="222"/>
      <c r="QUP608" s="222"/>
      <c r="QUQ608" s="223"/>
      <c r="QUR608" s="224"/>
      <c r="QUS608" s="222"/>
      <c r="QUT608" s="222"/>
      <c r="QUU608" s="222"/>
      <c r="QUV608" s="222"/>
      <c r="QUW608" s="222"/>
      <c r="QUX608" s="222"/>
      <c r="QUY608" s="223"/>
      <c r="QUZ608" s="224"/>
      <c r="QVA608" s="222"/>
      <c r="QVB608" s="222"/>
      <c r="QVC608" s="222"/>
      <c r="QVD608" s="222"/>
      <c r="QVE608" s="222"/>
      <c r="QVF608" s="222"/>
      <c r="QVG608" s="223"/>
      <c r="QVH608" s="224"/>
      <c r="QVI608" s="222"/>
      <c r="QVJ608" s="222"/>
      <c r="QVK608" s="222"/>
      <c r="QVL608" s="222"/>
      <c r="QVM608" s="222"/>
      <c r="QVN608" s="222"/>
      <c r="QVO608" s="223"/>
      <c r="QVP608" s="224"/>
      <c r="QVQ608" s="222"/>
      <c r="QVR608" s="222"/>
      <c r="QVS608" s="222"/>
      <c r="QVT608" s="222"/>
      <c r="QVU608" s="222"/>
      <c r="QVV608" s="222"/>
      <c r="QVW608" s="223"/>
      <c r="QVX608" s="224"/>
      <c r="QVY608" s="222"/>
      <c r="QVZ608" s="222"/>
      <c r="QWA608" s="222"/>
      <c r="QWB608" s="222"/>
      <c r="QWC608" s="222"/>
      <c r="QWD608" s="222"/>
      <c r="QWE608" s="223"/>
      <c r="QWF608" s="224"/>
      <c r="QWG608" s="222"/>
      <c r="QWH608" s="222"/>
      <c r="QWI608" s="222"/>
      <c r="QWJ608" s="222"/>
      <c r="QWK608" s="222"/>
      <c r="QWL608" s="222"/>
      <c r="QWM608" s="223"/>
      <c r="QWN608" s="224"/>
      <c r="QWO608" s="222"/>
      <c r="QWP608" s="222"/>
      <c r="QWQ608" s="222"/>
      <c r="QWR608" s="222"/>
      <c r="QWS608" s="222"/>
      <c r="QWT608" s="222"/>
      <c r="QWU608" s="223"/>
      <c r="QWV608" s="224"/>
      <c r="QWW608" s="222"/>
      <c r="QWX608" s="222"/>
      <c r="QWY608" s="222"/>
      <c r="QWZ608" s="222"/>
      <c r="QXA608" s="222"/>
      <c r="QXB608" s="222"/>
      <c r="QXC608" s="223"/>
      <c r="QXD608" s="224"/>
      <c r="QXE608" s="222"/>
      <c r="QXF608" s="222"/>
      <c r="QXG608" s="222"/>
      <c r="QXH608" s="222"/>
      <c r="QXI608" s="222"/>
      <c r="QXJ608" s="222"/>
      <c r="QXK608" s="223"/>
      <c r="QXL608" s="224"/>
      <c r="QXM608" s="222"/>
      <c r="QXN608" s="222"/>
      <c r="QXO608" s="222"/>
      <c r="QXP608" s="222"/>
      <c r="QXQ608" s="222"/>
      <c r="QXR608" s="222"/>
      <c r="QXS608" s="223"/>
      <c r="QXT608" s="224"/>
      <c r="QXU608" s="222"/>
      <c r="QXV608" s="222"/>
      <c r="QXW608" s="222"/>
      <c r="QXX608" s="222"/>
      <c r="QXY608" s="222"/>
      <c r="QXZ608" s="222"/>
      <c r="QYA608" s="223"/>
      <c r="QYB608" s="224"/>
      <c r="QYC608" s="222"/>
      <c r="QYD608" s="222"/>
      <c r="QYE608" s="222"/>
      <c r="QYF608" s="222"/>
      <c r="QYG608" s="222"/>
      <c r="QYH608" s="222"/>
      <c r="QYI608" s="223"/>
      <c r="QYJ608" s="224"/>
      <c r="QYK608" s="222"/>
      <c r="QYL608" s="222"/>
      <c r="QYM608" s="222"/>
      <c r="QYN608" s="222"/>
      <c r="QYO608" s="222"/>
      <c r="QYP608" s="222"/>
      <c r="QYQ608" s="223"/>
      <c r="QYR608" s="224"/>
      <c r="QYS608" s="222"/>
      <c r="QYT608" s="222"/>
      <c r="QYU608" s="222"/>
      <c r="QYV608" s="222"/>
      <c r="QYW608" s="222"/>
      <c r="QYX608" s="222"/>
      <c r="QYY608" s="223"/>
      <c r="QYZ608" s="224"/>
      <c r="QZA608" s="222"/>
      <c r="QZB608" s="222"/>
      <c r="QZC608" s="222"/>
      <c r="QZD608" s="222"/>
      <c r="QZE608" s="222"/>
      <c r="QZF608" s="222"/>
      <c r="QZG608" s="223"/>
      <c r="QZH608" s="224"/>
      <c r="QZI608" s="222"/>
      <c r="QZJ608" s="222"/>
      <c r="QZK608" s="222"/>
      <c r="QZL608" s="222"/>
      <c r="QZM608" s="222"/>
      <c r="QZN608" s="222"/>
      <c r="QZO608" s="223"/>
      <c r="QZP608" s="224"/>
      <c r="QZQ608" s="222"/>
      <c r="QZR608" s="222"/>
      <c r="QZS608" s="222"/>
      <c r="QZT608" s="222"/>
      <c r="QZU608" s="222"/>
      <c r="QZV608" s="222"/>
      <c r="QZW608" s="223"/>
      <c r="QZX608" s="224"/>
      <c r="QZY608" s="222"/>
      <c r="QZZ608" s="222"/>
      <c r="RAA608" s="222"/>
      <c r="RAB608" s="222"/>
      <c r="RAC608" s="222"/>
      <c r="RAD608" s="222"/>
      <c r="RAE608" s="223"/>
      <c r="RAF608" s="224"/>
      <c r="RAG608" s="222"/>
      <c r="RAH608" s="222"/>
      <c r="RAI608" s="222"/>
      <c r="RAJ608" s="222"/>
      <c r="RAK608" s="222"/>
      <c r="RAL608" s="222"/>
      <c r="RAM608" s="223"/>
      <c r="RAN608" s="224"/>
      <c r="RAO608" s="222"/>
      <c r="RAP608" s="222"/>
      <c r="RAQ608" s="222"/>
      <c r="RAR608" s="222"/>
      <c r="RAS608" s="222"/>
      <c r="RAT608" s="222"/>
      <c r="RAU608" s="223"/>
      <c r="RAV608" s="224"/>
      <c r="RAW608" s="222"/>
      <c r="RAX608" s="222"/>
      <c r="RAY608" s="222"/>
      <c r="RAZ608" s="222"/>
      <c r="RBA608" s="222"/>
      <c r="RBB608" s="222"/>
      <c r="RBC608" s="223"/>
      <c r="RBD608" s="224"/>
      <c r="RBE608" s="222"/>
      <c r="RBF608" s="222"/>
      <c r="RBG608" s="222"/>
      <c r="RBH608" s="222"/>
      <c r="RBI608" s="222"/>
      <c r="RBJ608" s="222"/>
      <c r="RBK608" s="223"/>
      <c r="RBL608" s="224"/>
      <c r="RBM608" s="222"/>
      <c r="RBN608" s="222"/>
      <c r="RBO608" s="222"/>
      <c r="RBP608" s="222"/>
      <c r="RBQ608" s="222"/>
      <c r="RBR608" s="222"/>
      <c r="RBS608" s="223"/>
      <c r="RBT608" s="224"/>
      <c r="RBU608" s="222"/>
      <c r="RBV608" s="222"/>
      <c r="RBW608" s="222"/>
      <c r="RBX608" s="222"/>
      <c r="RBY608" s="222"/>
      <c r="RBZ608" s="222"/>
      <c r="RCA608" s="223"/>
      <c r="RCB608" s="224"/>
      <c r="RCC608" s="222"/>
      <c r="RCD608" s="222"/>
      <c r="RCE608" s="222"/>
      <c r="RCF608" s="222"/>
      <c r="RCG608" s="222"/>
      <c r="RCH608" s="222"/>
      <c r="RCI608" s="223"/>
      <c r="RCJ608" s="224"/>
      <c r="RCK608" s="222"/>
      <c r="RCL608" s="222"/>
      <c r="RCM608" s="222"/>
      <c r="RCN608" s="222"/>
      <c r="RCO608" s="222"/>
      <c r="RCP608" s="222"/>
      <c r="RCQ608" s="223"/>
      <c r="RCR608" s="224"/>
      <c r="RCS608" s="222"/>
      <c r="RCT608" s="222"/>
      <c r="RCU608" s="222"/>
      <c r="RCV608" s="222"/>
      <c r="RCW608" s="222"/>
      <c r="RCX608" s="222"/>
      <c r="RCY608" s="223"/>
      <c r="RCZ608" s="224"/>
      <c r="RDA608" s="222"/>
      <c r="RDB608" s="222"/>
      <c r="RDC608" s="222"/>
      <c r="RDD608" s="222"/>
      <c r="RDE608" s="222"/>
      <c r="RDF608" s="222"/>
      <c r="RDG608" s="223"/>
      <c r="RDH608" s="224"/>
      <c r="RDI608" s="222"/>
      <c r="RDJ608" s="222"/>
      <c r="RDK608" s="222"/>
      <c r="RDL608" s="222"/>
      <c r="RDM608" s="222"/>
      <c r="RDN608" s="222"/>
      <c r="RDO608" s="223"/>
      <c r="RDP608" s="224"/>
      <c r="RDQ608" s="222"/>
      <c r="RDR608" s="222"/>
      <c r="RDS608" s="222"/>
      <c r="RDT608" s="222"/>
      <c r="RDU608" s="222"/>
      <c r="RDV608" s="222"/>
      <c r="RDW608" s="223"/>
      <c r="RDX608" s="224"/>
      <c r="RDY608" s="222"/>
      <c r="RDZ608" s="222"/>
      <c r="REA608" s="222"/>
      <c r="REB608" s="222"/>
      <c r="REC608" s="222"/>
      <c r="RED608" s="222"/>
      <c r="REE608" s="223"/>
      <c r="REF608" s="224"/>
      <c r="REG608" s="222"/>
      <c r="REH608" s="222"/>
      <c r="REI608" s="222"/>
      <c r="REJ608" s="222"/>
      <c r="REK608" s="222"/>
      <c r="REL608" s="222"/>
      <c r="REM608" s="223"/>
      <c r="REN608" s="224"/>
      <c r="REO608" s="222"/>
      <c r="REP608" s="222"/>
      <c r="REQ608" s="222"/>
      <c r="RER608" s="222"/>
      <c r="RES608" s="222"/>
      <c r="RET608" s="222"/>
      <c r="REU608" s="223"/>
      <c r="REV608" s="224"/>
      <c r="REW608" s="222"/>
      <c r="REX608" s="222"/>
      <c r="REY608" s="222"/>
      <c r="REZ608" s="222"/>
      <c r="RFA608" s="222"/>
      <c r="RFB608" s="222"/>
      <c r="RFC608" s="223"/>
      <c r="RFD608" s="224"/>
      <c r="RFE608" s="222"/>
      <c r="RFF608" s="222"/>
      <c r="RFG608" s="222"/>
      <c r="RFH608" s="222"/>
      <c r="RFI608" s="222"/>
      <c r="RFJ608" s="222"/>
      <c r="RFK608" s="223"/>
      <c r="RFL608" s="224"/>
      <c r="RFM608" s="222"/>
      <c r="RFN608" s="222"/>
      <c r="RFO608" s="222"/>
      <c r="RFP608" s="222"/>
      <c r="RFQ608" s="222"/>
      <c r="RFR608" s="222"/>
      <c r="RFS608" s="223"/>
      <c r="RFT608" s="224"/>
      <c r="RFU608" s="222"/>
      <c r="RFV608" s="222"/>
      <c r="RFW608" s="222"/>
      <c r="RFX608" s="222"/>
      <c r="RFY608" s="222"/>
      <c r="RFZ608" s="222"/>
      <c r="RGA608" s="223"/>
      <c r="RGB608" s="224"/>
      <c r="RGC608" s="222"/>
      <c r="RGD608" s="222"/>
      <c r="RGE608" s="222"/>
      <c r="RGF608" s="222"/>
      <c r="RGG608" s="222"/>
      <c r="RGH608" s="222"/>
      <c r="RGI608" s="223"/>
      <c r="RGJ608" s="224"/>
      <c r="RGK608" s="222"/>
      <c r="RGL608" s="222"/>
      <c r="RGM608" s="222"/>
      <c r="RGN608" s="222"/>
      <c r="RGO608" s="222"/>
      <c r="RGP608" s="222"/>
      <c r="RGQ608" s="223"/>
      <c r="RGR608" s="224"/>
      <c r="RGS608" s="222"/>
      <c r="RGT608" s="222"/>
      <c r="RGU608" s="222"/>
      <c r="RGV608" s="222"/>
      <c r="RGW608" s="222"/>
      <c r="RGX608" s="222"/>
      <c r="RGY608" s="223"/>
      <c r="RGZ608" s="224"/>
      <c r="RHA608" s="222"/>
      <c r="RHB608" s="222"/>
      <c r="RHC608" s="222"/>
      <c r="RHD608" s="222"/>
      <c r="RHE608" s="222"/>
      <c r="RHF608" s="222"/>
      <c r="RHG608" s="223"/>
      <c r="RHH608" s="224"/>
      <c r="RHI608" s="222"/>
      <c r="RHJ608" s="222"/>
      <c r="RHK608" s="222"/>
      <c r="RHL608" s="222"/>
      <c r="RHM608" s="222"/>
      <c r="RHN608" s="222"/>
      <c r="RHO608" s="223"/>
      <c r="RHP608" s="224"/>
      <c r="RHQ608" s="222"/>
      <c r="RHR608" s="222"/>
      <c r="RHS608" s="222"/>
      <c r="RHT608" s="222"/>
      <c r="RHU608" s="222"/>
      <c r="RHV608" s="222"/>
      <c r="RHW608" s="223"/>
      <c r="RHX608" s="224"/>
      <c r="RHY608" s="222"/>
      <c r="RHZ608" s="222"/>
      <c r="RIA608" s="222"/>
      <c r="RIB608" s="222"/>
      <c r="RIC608" s="222"/>
      <c r="RID608" s="222"/>
      <c r="RIE608" s="223"/>
      <c r="RIF608" s="224"/>
      <c r="RIG608" s="222"/>
      <c r="RIH608" s="222"/>
      <c r="RII608" s="222"/>
      <c r="RIJ608" s="222"/>
      <c r="RIK608" s="222"/>
      <c r="RIL608" s="222"/>
      <c r="RIM608" s="223"/>
      <c r="RIN608" s="224"/>
      <c r="RIO608" s="222"/>
      <c r="RIP608" s="222"/>
      <c r="RIQ608" s="222"/>
      <c r="RIR608" s="222"/>
      <c r="RIS608" s="222"/>
      <c r="RIT608" s="222"/>
      <c r="RIU608" s="223"/>
      <c r="RIV608" s="224"/>
      <c r="RIW608" s="222"/>
      <c r="RIX608" s="222"/>
      <c r="RIY608" s="222"/>
      <c r="RIZ608" s="222"/>
      <c r="RJA608" s="222"/>
      <c r="RJB608" s="222"/>
      <c r="RJC608" s="223"/>
      <c r="RJD608" s="224"/>
      <c r="RJE608" s="222"/>
      <c r="RJF608" s="222"/>
      <c r="RJG608" s="222"/>
      <c r="RJH608" s="222"/>
      <c r="RJI608" s="222"/>
      <c r="RJJ608" s="222"/>
      <c r="RJK608" s="223"/>
      <c r="RJL608" s="224"/>
      <c r="RJM608" s="222"/>
      <c r="RJN608" s="222"/>
      <c r="RJO608" s="222"/>
      <c r="RJP608" s="222"/>
      <c r="RJQ608" s="222"/>
      <c r="RJR608" s="222"/>
      <c r="RJS608" s="223"/>
      <c r="RJT608" s="224"/>
      <c r="RJU608" s="222"/>
      <c r="RJV608" s="222"/>
      <c r="RJW608" s="222"/>
      <c r="RJX608" s="222"/>
      <c r="RJY608" s="222"/>
      <c r="RJZ608" s="222"/>
      <c r="RKA608" s="223"/>
      <c r="RKB608" s="224"/>
      <c r="RKC608" s="222"/>
      <c r="RKD608" s="222"/>
      <c r="RKE608" s="222"/>
      <c r="RKF608" s="222"/>
      <c r="RKG608" s="222"/>
      <c r="RKH608" s="222"/>
      <c r="RKI608" s="223"/>
      <c r="RKJ608" s="224"/>
      <c r="RKK608" s="222"/>
      <c r="RKL608" s="222"/>
      <c r="RKM608" s="222"/>
      <c r="RKN608" s="222"/>
      <c r="RKO608" s="222"/>
      <c r="RKP608" s="222"/>
      <c r="RKQ608" s="223"/>
      <c r="RKR608" s="224"/>
      <c r="RKS608" s="222"/>
      <c r="RKT608" s="222"/>
      <c r="RKU608" s="222"/>
      <c r="RKV608" s="222"/>
      <c r="RKW608" s="222"/>
      <c r="RKX608" s="222"/>
      <c r="RKY608" s="223"/>
      <c r="RKZ608" s="224"/>
      <c r="RLA608" s="222"/>
      <c r="RLB608" s="222"/>
      <c r="RLC608" s="222"/>
      <c r="RLD608" s="222"/>
      <c r="RLE608" s="222"/>
      <c r="RLF608" s="222"/>
      <c r="RLG608" s="223"/>
      <c r="RLH608" s="224"/>
      <c r="RLI608" s="222"/>
      <c r="RLJ608" s="222"/>
      <c r="RLK608" s="222"/>
      <c r="RLL608" s="222"/>
      <c r="RLM608" s="222"/>
      <c r="RLN608" s="222"/>
      <c r="RLO608" s="223"/>
      <c r="RLP608" s="224"/>
      <c r="RLQ608" s="222"/>
      <c r="RLR608" s="222"/>
      <c r="RLS608" s="222"/>
      <c r="RLT608" s="222"/>
      <c r="RLU608" s="222"/>
      <c r="RLV608" s="222"/>
      <c r="RLW608" s="223"/>
      <c r="RLX608" s="224"/>
      <c r="RLY608" s="222"/>
      <c r="RLZ608" s="222"/>
      <c r="RMA608" s="222"/>
      <c r="RMB608" s="222"/>
      <c r="RMC608" s="222"/>
      <c r="RMD608" s="222"/>
      <c r="RME608" s="223"/>
      <c r="RMF608" s="224"/>
      <c r="RMG608" s="222"/>
      <c r="RMH608" s="222"/>
      <c r="RMI608" s="222"/>
      <c r="RMJ608" s="222"/>
      <c r="RMK608" s="222"/>
      <c r="RML608" s="222"/>
      <c r="RMM608" s="223"/>
      <c r="RMN608" s="224"/>
      <c r="RMO608" s="222"/>
      <c r="RMP608" s="222"/>
      <c r="RMQ608" s="222"/>
      <c r="RMR608" s="222"/>
      <c r="RMS608" s="222"/>
      <c r="RMT608" s="222"/>
      <c r="RMU608" s="223"/>
      <c r="RMV608" s="224"/>
      <c r="RMW608" s="222"/>
      <c r="RMX608" s="222"/>
      <c r="RMY608" s="222"/>
      <c r="RMZ608" s="222"/>
      <c r="RNA608" s="222"/>
      <c r="RNB608" s="222"/>
      <c r="RNC608" s="223"/>
      <c r="RND608" s="224"/>
      <c r="RNE608" s="222"/>
      <c r="RNF608" s="222"/>
      <c r="RNG608" s="222"/>
      <c r="RNH608" s="222"/>
      <c r="RNI608" s="222"/>
      <c r="RNJ608" s="222"/>
      <c r="RNK608" s="223"/>
      <c r="RNL608" s="224"/>
      <c r="RNM608" s="222"/>
      <c r="RNN608" s="222"/>
      <c r="RNO608" s="222"/>
      <c r="RNP608" s="222"/>
      <c r="RNQ608" s="222"/>
      <c r="RNR608" s="222"/>
      <c r="RNS608" s="223"/>
      <c r="RNT608" s="224"/>
      <c r="RNU608" s="222"/>
      <c r="RNV608" s="222"/>
      <c r="RNW608" s="222"/>
      <c r="RNX608" s="222"/>
      <c r="RNY608" s="222"/>
      <c r="RNZ608" s="222"/>
      <c r="ROA608" s="223"/>
      <c r="ROB608" s="224"/>
      <c r="ROC608" s="222"/>
      <c r="ROD608" s="222"/>
      <c r="ROE608" s="222"/>
      <c r="ROF608" s="222"/>
      <c r="ROG608" s="222"/>
      <c r="ROH608" s="222"/>
      <c r="ROI608" s="223"/>
      <c r="ROJ608" s="224"/>
      <c r="ROK608" s="222"/>
      <c r="ROL608" s="222"/>
      <c r="ROM608" s="222"/>
      <c r="RON608" s="222"/>
      <c r="ROO608" s="222"/>
      <c r="ROP608" s="222"/>
      <c r="ROQ608" s="223"/>
      <c r="ROR608" s="224"/>
      <c r="ROS608" s="222"/>
      <c r="ROT608" s="222"/>
      <c r="ROU608" s="222"/>
      <c r="ROV608" s="222"/>
      <c r="ROW608" s="222"/>
      <c r="ROX608" s="222"/>
      <c r="ROY608" s="223"/>
      <c r="ROZ608" s="224"/>
      <c r="RPA608" s="222"/>
      <c r="RPB608" s="222"/>
      <c r="RPC608" s="222"/>
      <c r="RPD608" s="222"/>
      <c r="RPE608" s="222"/>
      <c r="RPF608" s="222"/>
      <c r="RPG608" s="223"/>
      <c r="RPH608" s="224"/>
      <c r="RPI608" s="222"/>
      <c r="RPJ608" s="222"/>
      <c r="RPK608" s="222"/>
      <c r="RPL608" s="222"/>
      <c r="RPM608" s="222"/>
      <c r="RPN608" s="222"/>
      <c r="RPO608" s="223"/>
      <c r="RPP608" s="224"/>
      <c r="RPQ608" s="222"/>
      <c r="RPR608" s="222"/>
      <c r="RPS608" s="222"/>
      <c r="RPT608" s="222"/>
      <c r="RPU608" s="222"/>
      <c r="RPV608" s="222"/>
      <c r="RPW608" s="223"/>
      <c r="RPX608" s="224"/>
      <c r="RPY608" s="222"/>
      <c r="RPZ608" s="222"/>
      <c r="RQA608" s="222"/>
      <c r="RQB608" s="222"/>
      <c r="RQC608" s="222"/>
      <c r="RQD608" s="222"/>
      <c r="RQE608" s="223"/>
      <c r="RQF608" s="224"/>
      <c r="RQG608" s="222"/>
      <c r="RQH608" s="222"/>
      <c r="RQI608" s="222"/>
      <c r="RQJ608" s="222"/>
      <c r="RQK608" s="222"/>
      <c r="RQL608" s="222"/>
      <c r="RQM608" s="223"/>
      <c r="RQN608" s="224"/>
      <c r="RQO608" s="222"/>
      <c r="RQP608" s="222"/>
      <c r="RQQ608" s="222"/>
      <c r="RQR608" s="222"/>
      <c r="RQS608" s="222"/>
      <c r="RQT608" s="222"/>
      <c r="RQU608" s="223"/>
      <c r="RQV608" s="224"/>
      <c r="RQW608" s="222"/>
      <c r="RQX608" s="222"/>
      <c r="RQY608" s="222"/>
      <c r="RQZ608" s="222"/>
      <c r="RRA608" s="222"/>
      <c r="RRB608" s="222"/>
      <c r="RRC608" s="223"/>
      <c r="RRD608" s="224"/>
      <c r="RRE608" s="222"/>
      <c r="RRF608" s="222"/>
      <c r="RRG608" s="222"/>
      <c r="RRH608" s="222"/>
      <c r="RRI608" s="222"/>
      <c r="RRJ608" s="222"/>
      <c r="RRK608" s="223"/>
      <c r="RRL608" s="224"/>
      <c r="RRM608" s="222"/>
      <c r="RRN608" s="222"/>
      <c r="RRO608" s="222"/>
      <c r="RRP608" s="222"/>
      <c r="RRQ608" s="222"/>
      <c r="RRR608" s="222"/>
      <c r="RRS608" s="223"/>
      <c r="RRT608" s="224"/>
      <c r="RRU608" s="222"/>
      <c r="RRV608" s="222"/>
      <c r="RRW608" s="222"/>
      <c r="RRX608" s="222"/>
      <c r="RRY608" s="222"/>
      <c r="RRZ608" s="222"/>
      <c r="RSA608" s="223"/>
      <c r="RSB608" s="224"/>
      <c r="RSC608" s="222"/>
      <c r="RSD608" s="222"/>
      <c r="RSE608" s="222"/>
      <c r="RSF608" s="222"/>
      <c r="RSG608" s="222"/>
      <c r="RSH608" s="222"/>
      <c r="RSI608" s="223"/>
      <c r="RSJ608" s="224"/>
      <c r="RSK608" s="222"/>
      <c r="RSL608" s="222"/>
      <c r="RSM608" s="222"/>
      <c r="RSN608" s="222"/>
      <c r="RSO608" s="222"/>
      <c r="RSP608" s="222"/>
      <c r="RSQ608" s="223"/>
      <c r="RSR608" s="224"/>
      <c r="RSS608" s="222"/>
      <c r="RST608" s="222"/>
      <c r="RSU608" s="222"/>
      <c r="RSV608" s="222"/>
      <c r="RSW608" s="222"/>
      <c r="RSX608" s="222"/>
      <c r="RSY608" s="223"/>
      <c r="RSZ608" s="224"/>
      <c r="RTA608" s="222"/>
      <c r="RTB608" s="222"/>
      <c r="RTC608" s="222"/>
      <c r="RTD608" s="222"/>
      <c r="RTE608" s="222"/>
      <c r="RTF608" s="222"/>
      <c r="RTG608" s="223"/>
      <c r="RTH608" s="224"/>
      <c r="RTI608" s="222"/>
      <c r="RTJ608" s="222"/>
      <c r="RTK608" s="222"/>
      <c r="RTL608" s="222"/>
      <c r="RTM608" s="222"/>
      <c r="RTN608" s="222"/>
      <c r="RTO608" s="223"/>
      <c r="RTP608" s="224"/>
      <c r="RTQ608" s="222"/>
      <c r="RTR608" s="222"/>
      <c r="RTS608" s="222"/>
      <c r="RTT608" s="222"/>
      <c r="RTU608" s="222"/>
      <c r="RTV608" s="222"/>
      <c r="RTW608" s="223"/>
      <c r="RTX608" s="224"/>
      <c r="RTY608" s="222"/>
      <c r="RTZ608" s="222"/>
      <c r="RUA608" s="222"/>
      <c r="RUB608" s="222"/>
      <c r="RUC608" s="222"/>
      <c r="RUD608" s="222"/>
      <c r="RUE608" s="223"/>
      <c r="RUF608" s="224"/>
      <c r="RUG608" s="222"/>
      <c r="RUH608" s="222"/>
      <c r="RUI608" s="222"/>
      <c r="RUJ608" s="222"/>
      <c r="RUK608" s="222"/>
      <c r="RUL608" s="222"/>
      <c r="RUM608" s="223"/>
      <c r="RUN608" s="224"/>
      <c r="RUO608" s="222"/>
      <c r="RUP608" s="222"/>
      <c r="RUQ608" s="222"/>
      <c r="RUR608" s="222"/>
      <c r="RUS608" s="222"/>
      <c r="RUT608" s="222"/>
      <c r="RUU608" s="223"/>
      <c r="RUV608" s="224"/>
      <c r="RUW608" s="222"/>
      <c r="RUX608" s="222"/>
      <c r="RUY608" s="222"/>
      <c r="RUZ608" s="222"/>
      <c r="RVA608" s="222"/>
      <c r="RVB608" s="222"/>
      <c r="RVC608" s="223"/>
      <c r="RVD608" s="224"/>
      <c r="RVE608" s="222"/>
      <c r="RVF608" s="222"/>
      <c r="RVG608" s="222"/>
      <c r="RVH608" s="222"/>
      <c r="RVI608" s="222"/>
      <c r="RVJ608" s="222"/>
      <c r="RVK608" s="223"/>
      <c r="RVL608" s="224"/>
      <c r="RVM608" s="222"/>
      <c r="RVN608" s="222"/>
      <c r="RVO608" s="222"/>
      <c r="RVP608" s="222"/>
      <c r="RVQ608" s="222"/>
      <c r="RVR608" s="222"/>
      <c r="RVS608" s="223"/>
      <c r="RVT608" s="224"/>
      <c r="RVU608" s="222"/>
      <c r="RVV608" s="222"/>
      <c r="RVW608" s="222"/>
      <c r="RVX608" s="222"/>
      <c r="RVY608" s="222"/>
      <c r="RVZ608" s="222"/>
      <c r="RWA608" s="223"/>
      <c r="RWB608" s="224"/>
      <c r="RWC608" s="222"/>
      <c r="RWD608" s="222"/>
      <c r="RWE608" s="222"/>
      <c r="RWF608" s="222"/>
      <c r="RWG608" s="222"/>
      <c r="RWH608" s="222"/>
      <c r="RWI608" s="223"/>
      <c r="RWJ608" s="224"/>
      <c r="RWK608" s="222"/>
      <c r="RWL608" s="222"/>
      <c r="RWM608" s="222"/>
      <c r="RWN608" s="222"/>
      <c r="RWO608" s="222"/>
      <c r="RWP608" s="222"/>
      <c r="RWQ608" s="223"/>
      <c r="RWR608" s="224"/>
      <c r="RWS608" s="222"/>
      <c r="RWT608" s="222"/>
      <c r="RWU608" s="222"/>
      <c r="RWV608" s="222"/>
      <c r="RWW608" s="222"/>
      <c r="RWX608" s="222"/>
      <c r="RWY608" s="223"/>
      <c r="RWZ608" s="224"/>
      <c r="RXA608" s="222"/>
      <c r="RXB608" s="222"/>
      <c r="RXC608" s="222"/>
      <c r="RXD608" s="222"/>
      <c r="RXE608" s="222"/>
      <c r="RXF608" s="222"/>
      <c r="RXG608" s="223"/>
      <c r="RXH608" s="224"/>
      <c r="RXI608" s="222"/>
      <c r="RXJ608" s="222"/>
      <c r="RXK608" s="222"/>
      <c r="RXL608" s="222"/>
      <c r="RXM608" s="222"/>
      <c r="RXN608" s="222"/>
      <c r="RXO608" s="223"/>
      <c r="RXP608" s="224"/>
      <c r="RXQ608" s="222"/>
      <c r="RXR608" s="222"/>
      <c r="RXS608" s="222"/>
      <c r="RXT608" s="222"/>
      <c r="RXU608" s="222"/>
      <c r="RXV608" s="222"/>
      <c r="RXW608" s="223"/>
      <c r="RXX608" s="224"/>
      <c r="RXY608" s="222"/>
      <c r="RXZ608" s="222"/>
      <c r="RYA608" s="222"/>
      <c r="RYB608" s="222"/>
      <c r="RYC608" s="222"/>
      <c r="RYD608" s="222"/>
      <c r="RYE608" s="223"/>
      <c r="RYF608" s="224"/>
      <c r="RYG608" s="222"/>
      <c r="RYH608" s="222"/>
      <c r="RYI608" s="222"/>
      <c r="RYJ608" s="222"/>
      <c r="RYK608" s="222"/>
      <c r="RYL608" s="222"/>
      <c r="RYM608" s="223"/>
      <c r="RYN608" s="224"/>
      <c r="RYO608" s="222"/>
      <c r="RYP608" s="222"/>
      <c r="RYQ608" s="222"/>
      <c r="RYR608" s="222"/>
      <c r="RYS608" s="222"/>
      <c r="RYT608" s="222"/>
      <c r="RYU608" s="223"/>
      <c r="RYV608" s="224"/>
      <c r="RYW608" s="222"/>
      <c r="RYX608" s="222"/>
      <c r="RYY608" s="222"/>
      <c r="RYZ608" s="222"/>
      <c r="RZA608" s="222"/>
      <c r="RZB608" s="222"/>
      <c r="RZC608" s="223"/>
      <c r="RZD608" s="224"/>
      <c r="RZE608" s="222"/>
      <c r="RZF608" s="222"/>
      <c r="RZG608" s="222"/>
      <c r="RZH608" s="222"/>
      <c r="RZI608" s="222"/>
      <c r="RZJ608" s="222"/>
      <c r="RZK608" s="223"/>
      <c r="RZL608" s="224"/>
      <c r="RZM608" s="222"/>
      <c r="RZN608" s="222"/>
      <c r="RZO608" s="222"/>
      <c r="RZP608" s="222"/>
      <c r="RZQ608" s="222"/>
      <c r="RZR608" s="222"/>
      <c r="RZS608" s="223"/>
      <c r="RZT608" s="224"/>
      <c r="RZU608" s="222"/>
      <c r="RZV608" s="222"/>
      <c r="RZW608" s="222"/>
      <c r="RZX608" s="222"/>
      <c r="RZY608" s="222"/>
      <c r="RZZ608" s="222"/>
      <c r="SAA608" s="223"/>
      <c r="SAB608" s="224"/>
      <c r="SAC608" s="222"/>
      <c r="SAD608" s="222"/>
      <c r="SAE608" s="222"/>
      <c r="SAF608" s="222"/>
      <c r="SAG608" s="222"/>
      <c r="SAH608" s="222"/>
      <c r="SAI608" s="223"/>
      <c r="SAJ608" s="224"/>
      <c r="SAK608" s="222"/>
      <c r="SAL608" s="222"/>
      <c r="SAM608" s="222"/>
      <c r="SAN608" s="222"/>
      <c r="SAO608" s="222"/>
      <c r="SAP608" s="222"/>
      <c r="SAQ608" s="223"/>
      <c r="SAR608" s="224"/>
      <c r="SAS608" s="222"/>
      <c r="SAT608" s="222"/>
      <c r="SAU608" s="222"/>
      <c r="SAV608" s="222"/>
      <c r="SAW608" s="222"/>
      <c r="SAX608" s="222"/>
      <c r="SAY608" s="223"/>
      <c r="SAZ608" s="224"/>
      <c r="SBA608" s="222"/>
      <c r="SBB608" s="222"/>
      <c r="SBC608" s="222"/>
      <c r="SBD608" s="222"/>
      <c r="SBE608" s="222"/>
      <c r="SBF608" s="222"/>
      <c r="SBG608" s="223"/>
      <c r="SBH608" s="224"/>
      <c r="SBI608" s="222"/>
      <c r="SBJ608" s="222"/>
      <c r="SBK608" s="222"/>
      <c r="SBL608" s="222"/>
      <c r="SBM608" s="222"/>
      <c r="SBN608" s="222"/>
      <c r="SBO608" s="223"/>
      <c r="SBP608" s="224"/>
      <c r="SBQ608" s="222"/>
      <c r="SBR608" s="222"/>
      <c r="SBS608" s="222"/>
      <c r="SBT608" s="222"/>
      <c r="SBU608" s="222"/>
      <c r="SBV608" s="222"/>
      <c r="SBW608" s="223"/>
      <c r="SBX608" s="224"/>
      <c r="SBY608" s="222"/>
      <c r="SBZ608" s="222"/>
      <c r="SCA608" s="222"/>
      <c r="SCB608" s="222"/>
      <c r="SCC608" s="222"/>
      <c r="SCD608" s="222"/>
      <c r="SCE608" s="223"/>
      <c r="SCF608" s="224"/>
      <c r="SCG608" s="222"/>
      <c r="SCH608" s="222"/>
      <c r="SCI608" s="222"/>
      <c r="SCJ608" s="222"/>
      <c r="SCK608" s="222"/>
      <c r="SCL608" s="222"/>
      <c r="SCM608" s="223"/>
      <c r="SCN608" s="224"/>
      <c r="SCO608" s="222"/>
      <c r="SCP608" s="222"/>
      <c r="SCQ608" s="222"/>
      <c r="SCR608" s="222"/>
      <c r="SCS608" s="222"/>
      <c r="SCT608" s="222"/>
      <c r="SCU608" s="223"/>
      <c r="SCV608" s="224"/>
      <c r="SCW608" s="222"/>
      <c r="SCX608" s="222"/>
      <c r="SCY608" s="222"/>
      <c r="SCZ608" s="222"/>
      <c r="SDA608" s="222"/>
      <c r="SDB608" s="222"/>
      <c r="SDC608" s="223"/>
      <c r="SDD608" s="224"/>
      <c r="SDE608" s="222"/>
      <c r="SDF608" s="222"/>
      <c r="SDG608" s="222"/>
      <c r="SDH608" s="222"/>
      <c r="SDI608" s="222"/>
      <c r="SDJ608" s="222"/>
      <c r="SDK608" s="223"/>
      <c r="SDL608" s="224"/>
      <c r="SDM608" s="222"/>
      <c r="SDN608" s="222"/>
      <c r="SDO608" s="222"/>
      <c r="SDP608" s="222"/>
      <c r="SDQ608" s="222"/>
      <c r="SDR608" s="222"/>
      <c r="SDS608" s="223"/>
      <c r="SDT608" s="224"/>
      <c r="SDU608" s="222"/>
      <c r="SDV608" s="222"/>
      <c r="SDW608" s="222"/>
      <c r="SDX608" s="222"/>
      <c r="SDY608" s="222"/>
      <c r="SDZ608" s="222"/>
      <c r="SEA608" s="223"/>
      <c r="SEB608" s="224"/>
      <c r="SEC608" s="222"/>
      <c r="SED608" s="222"/>
      <c r="SEE608" s="222"/>
      <c r="SEF608" s="222"/>
      <c r="SEG608" s="222"/>
      <c r="SEH608" s="222"/>
      <c r="SEI608" s="223"/>
      <c r="SEJ608" s="224"/>
      <c r="SEK608" s="222"/>
      <c r="SEL608" s="222"/>
      <c r="SEM608" s="222"/>
      <c r="SEN608" s="222"/>
      <c r="SEO608" s="222"/>
      <c r="SEP608" s="222"/>
      <c r="SEQ608" s="223"/>
      <c r="SER608" s="224"/>
      <c r="SES608" s="222"/>
      <c r="SET608" s="222"/>
      <c r="SEU608" s="222"/>
      <c r="SEV608" s="222"/>
      <c r="SEW608" s="222"/>
      <c r="SEX608" s="222"/>
      <c r="SEY608" s="223"/>
      <c r="SEZ608" s="224"/>
      <c r="SFA608" s="222"/>
      <c r="SFB608" s="222"/>
      <c r="SFC608" s="222"/>
      <c r="SFD608" s="222"/>
      <c r="SFE608" s="222"/>
      <c r="SFF608" s="222"/>
      <c r="SFG608" s="223"/>
      <c r="SFH608" s="224"/>
      <c r="SFI608" s="222"/>
      <c r="SFJ608" s="222"/>
      <c r="SFK608" s="222"/>
      <c r="SFL608" s="222"/>
      <c r="SFM608" s="222"/>
      <c r="SFN608" s="222"/>
      <c r="SFO608" s="223"/>
      <c r="SFP608" s="224"/>
      <c r="SFQ608" s="222"/>
      <c r="SFR608" s="222"/>
      <c r="SFS608" s="222"/>
      <c r="SFT608" s="222"/>
      <c r="SFU608" s="222"/>
      <c r="SFV608" s="222"/>
      <c r="SFW608" s="223"/>
      <c r="SFX608" s="224"/>
      <c r="SFY608" s="222"/>
      <c r="SFZ608" s="222"/>
      <c r="SGA608" s="222"/>
      <c r="SGB608" s="222"/>
      <c r="SGC608" s="222"/>
      <c r="SGD608" s="222"/>
      <c r="SGE608" s="223"/>
      <c r="SGF608" s="224"/>
      <c r="SGG608" s="222"/>
      <c r="SGH608" s="222"/>
      <c r="SGI608" s="222"/>
      <c r="SGJ608" s="222"/>
      <c r="SGK608" s="222"/>
      <c r="SGL608" s="222"/>
      <c r="SGM608" s="223"/>
      <c r="SGN608" s="224"/>
      <c r="SGO608" s="222"/>
      <c r="SGP608" s="222"/>
      <c r="SGQ608" s="222"/>
      <c r="SGR608" s="222"/>
      <c r="SGS608" s="222"/>
      <c r="SGT608" s="222"/>
      <c r="SGU608" s="223"/>
      <c r="SGV608" s="224"/>
      <c r="SGW608" s="222"/>
      <c r="SGX608" s="222"/>
      <c r="SGY608" s="222"/>
      <c r="SGZ608" s="222"/>
      <c r="SHA608" s="222"/>
      <c r="SHB608" s="222"/>
      <c r="SHC608" s="223"/>
      <c r="SHD608" s="224"/>
      <c r="SHE608" s="222"/>
      <c r="SHF608" s="222"/>
      <c r="SHG608" s="222"/>
      <c r="SHH608" s="222"/>
      <c r="SHI608" s="222"/>
      <c r="SHJ608" s="222"/>
      <c r="SHK608" s="223"/>
      <c r="SHL608" s="224"/>
      <c r="SHM608" s="222"/>
      <c r="SHN608" s="222"/>
      <c r="SHO608" s="222"/>
      <c r="SHP608" s="222"/>
      <c r="SHQ608" s="222"/>
      <c r="SHR608" s="222"/>
      <c r="SHS608" s="223"/>
      <c r="SHT608" s="224"/>
      <c r="SHU608" s="222"/>
      <c r="SHV608" s="222"/>
      <c r="SHW608" s="222"/>
      <c r="SHX608" s="222"/>
      <c r="SHY608" s="222"/>
      <c r="SHZ608" s="222"/>
      <c r="SIA608" s="223"/>
      <c r="SIB608" s="224"/>
      <c r="SIC608" s="222"/>
      <c r="SID608" s="222"/>
      <c r="SIE608" s="222"/>
      <c r="SIF608" s="222"/>
      <c r="SIG608" s="222"/>
      <c r="SIH608" s="222"/>
      <c r="SII608" s="223"/>
      <c r="SIJ608" s="224"/>
      <c r="SIK608" s="222"/>
      <c r="SIL608" s="222"/>
      <c r="SIM608" s="222"/>
      <c r="SIN608" s="222"/>
      <c r="SIO608" s="222"/>
      <c r="SIP608" s="222"/>
      <c r="SIQ608" s="223"/>
      <c r="SIR608" s="224"/>
      <c r="SIS608" s="222"/>
      <c r="SIT608" s="222"/>
      <c r="SIU608" s="222"/>
      <c r="SIV608" s="222"/>
      <c r="SIW608" s="222"/>
      <c r="SIX608" s="222"/>
      <c r="SIY608" s="223"/>
      <c r="SIZ608" s="224"/>
      <c r="SJA608" s="222"/>
      <c r="SJB608" s="222"/>
      <c r="SJC608" s="222"/>
      <c r="SJD608" s="222"/>
      <c r="SJE608" s="222"/>
      <c r="SJF608" s="222"/>
      <c r="SJG608" s="223"/>
      <c r="SJH608" s="224"/>
      <c r="SJI608" s="222"/>
      <c r="SJJ608" s="222"/>
      <c r="SJK608" s="222"/>
      <c r="SJL608" s="222"/>
      <c r="SJM608" s="222"/>
      <c r="SJN608" s="222"/>
      <c r="SJO608" s="223"/>
      <c r="SJP608" s="224"/>
      <c r="SJQ608" s="222"/>
      <c r="SJR608" s="222"/>
      <c r="SJS608" s="222"/>
      <c r="SJT608" s="222"/>
      <c r="SJU608" s="222"/>
      <c r="SJV608" s="222"/>
      <c r="SJW608" s="223"/>
      <c r="SJX608" s="224"/>
      <c r="SJY608" s="222"/>
      <c r="SJZ608" s="222"/>
      <c r="SKA608" s="222"/>
      <c r="SKB608" s="222"/>
      <c r="SKC608" s="222"/>
      <c r="SKD608" s="222"/>
      <c r="SKE608" s="223"/>
      <c r="SKF608" s="224"/>
      <c r="SKG608" s="222"/>
      <c r="SKH608" s="222"/>
      <c r="SKI608" s="222"/>
      <c r="SKJ608" s="222"/>
      <c r="SKK608" s="222"/>
      <c r="SKL608" s="222"/>
      <c r="SKM608" s="223"/>
      <c r="SKN608" s="224"/>
      <c r="SKO608" s="222"/>
      <c r="SKP608" s="222"/>
      <c r="SKQ608" s="222"/>
      <c r="SKR608" s="222"/>
      <c r="SKS608" s="222"/>
      <c r="SKT608" s="222"/>
      <c r="SKU608" s="223"/>
      <c r="SKV608" s="224"/>
      <c r="SKW608" s="222"/>
      <c r="SKX608" s="222"/>
      <c r="SKY608" s="222"/>
      <c r="SKZ608" s="222"/>
      <c r="SLA608" s="222"/>
      <c r="SLB608" s="222"/>
      <c r="SLC608" s="223"/>
      <c r="SLD608" s="224"/>
      <c r="SLE608" s="222"/>
      <c r="SLF608" s="222"/>
      <c r="SLG608" s="222"/>
      <c r="SLH608" s="222"/>
      <c r="SLI608" s="222"/>
      <c r="SLJ608" s="222"/>
      <c r="SLK608" s="223"/>
      <c r="SLL608" s="224"/>
      <c r="SLM608" s="222"/>
      <c r="SLN608" s="222"/>
      <c r="SLO608" s="222"/>
      <c r="SLP608" s="222"/>
      <c r="SLQ608" s="222"/>
      <c r="SLR608" s="222"/>
      <c r="SLS608" s="223"/>
      <c r="SLT608" s="224"/>
      <c r="SLU608" s="222"/>
      <c r="SLV608" s="222"/>
      <c r="SLW608" s="222"/>
      <c r="SLX608" s="222"/>
      <c r="SLY608" s="222"/>
      <c r="SLZ608" s="222"/>
      <c r="SMA608" s="223"/>
      <c r="SMB608" s="224"/>
      <c r="SMC608" s="222"/>
      <c r="SMD608" s="222"/>
      <c r="SME608" s="222"/>
      <c r="SMF608" s="222"/>
      <c r="SMG608" s="222"/>
      <c r="SMH608" s="222"/>
      <c r="SMI608" s="223"/>
      <c r="SMJ608" s="224"/>
      <c r="SMK608" s="222"/>
      <c r="SML608" s="222"/>
      <c r="SMM608" s="222"/>
      <c r="SMN608" s="222"/>
      <c r="SMO608" s="222"/>
      <c r="SMP608" s="222"/>
      <c r="SMQ608" s="223"/>
      <c r="SMR608" s="224"/>
      <c r="SMS608" s="222"/>
      <c r="SMT608" s="222"/>
      <c r="SMU608" s="222"/>
      <c r="SMV608" s="222"/>
      <c r="SMW608" s="222"/>
      <c r="SMX608" s="222"/>
      <c r="SMY608" s="223"/>
      <c r="SMZ608" s="224"/>
      <c r="SNA608" s="222"/>
      <c r="SNB608" s="222"/>
      <c r="SNC608" s="222"/>
      <c r="SND608" s="222"/>
      <c r="SNE608" s="222"/>
      <c r="SNF608" s="222"/>
      <c r="SNG608" s="223"/>
      <c r="SNH608" s="224"/>
      <c r="SNI608" s="222"/>
      <c r="SNJ608" s="222"/>
      <c r="SNK608" s="222"/>
      <c r="SNL608" s="222"/>
      <c r="SNM608" s="222"/>
      <c r="SNN608" s="222"/>
      <c r="SNO608" s="223"/>
      <c r="SNP608" s="224"/>
      <c r="SNQ608" s="222"/>
      <c r="SNR608" s="222"/>
      <c r="SNS608" s="222"/>
      <c r="SNT608" s="222"/>
      <c r="SNU608" s="222"/>
      <c r="SNV608" s="222"/>
      <c r="SNW608" s="223"/>
      <c r="SNX608" s="224"/>
      <c r="SNY608" s="222"/>
      <c r="SNZ608" s="222"/>
      <c r="SOA608" s="222"/>
      <c r="SOB608" s="222"/>
      <c r="SOC608" s="222"/>
      <c r="SOD608" s="222"/>
      <c r="SOE608" s="223"/>
      <c r="SOF608" s="224"/>
      <c r="SOG608" s="222"/>
      <c r="SOH608" s="222"/>
      <c r="SOI608" s="222"/>
      <c r="SOJ608" s="222"/>
      <c r="SOK608" s="222"/>
      <c r="SOL608" s="222"/>
      <c r="SOM608" s="223"/>
      <c r="SON608" s="224"/>
      <c r="SOO608" s="222"/>
      <c r="SOP608" s="222"/>
      <c r="SOQ608" s="222"/>
      <c r="SOR608" s="222"/>
      <c r="SOS608" s="222"/>
      <c r="SOT608" s="222"/>
      <c r="SOU608" s="223"/>
      <c r="SOV608" s="224"/>
      <c r="SOW608" s="222"/>
      <c r="SOX608" s="222"/>
      <c r="SOY608" s="222"/>
      <c r="SOZ608" s="222"/>
      <c r="SPA608" s="222"/>
      <c r="SPB608" s="222"/>
      <c r="SPC608" s="223"/>
      <c r="SPD608" s="224"/>
      <c r="SPE608" s="222"/>
      <c r="SPF608" s="222"/>
      <c r="SPG608" s="222"/>
      <c r="SPH608" s="222"/>
      <c r="SPI608" s="222"/>
      <c r="SPJ608" s="222"/>
      <c r="SPK608" s="223"/>
      <c r="SPL608" s="224"/>
      <c r="SPM608" s="222"/>
      <c r="SPN608" s="222"/>
      <c r="SPO608" s="222"/>
      <c r="SPP608" s="222"/>
      <c r="SPQ608" s="222"/>
      <c r="SPR608" s="222"/>
      <c r="SPS608" s="223"/>
      <c r="SPT608" s="224"/>
      <c r="SPU608" s="222"/>
      <c r="SPV608" s="222"/>
      <c r="SPW608" s="222"/>
      <c r="SPX608" s="222"/>
      <c r="SPY608" s="222"/>
      <c r="SPZ608" s="222"/>
      <c r="SQA608" s="223"/>
      <c r="SQB608" s="224"/>
      <c r="SQC608" s="222"/>
      <c r="SQD608" s="222"/>
      <c r="SQE608" s="222"/>
      <c r="SQF608" s="222"/>
      <c r="SQG608" s="222"/>
      <c r="SQH608" s="222"/>
      <c r="SQI608" s="223"/>
      <c r="SQJ608" s="224"/>
      <c r="SQK608" s="222"/>
      <c r="SQL608" s="222"/>
      <c r="SQM608" s="222"/>
      <c r="SQN608" s="222"/>
      <c r="SQO608" s="222"/>
      <c r="SQP608" s="222"/>
      <c r="SQQ608" s="223"/>
      <c r="SQR608" s="224"/>
      <c r="SQS608" s="222"/>
      <c r="SQT608" s="222"/>
      <c r="SQU608" s="222"/>
      <c r="SQV608" s="222"/>
      <c r="SQW608" s="222"/>
      <c r="SQX608" s="222"/>
      <c r="SQY608" s="223"/>
      <c r="SQZ608" s="224"/>
      <c r="SRA608" s="222"/>
      <c r="SRB608" s="222"/>
      <c r="SRC608" s="222"/>
      <c r="SRD608" s="222"/>
      <c r="SRE608" s="222"/>
      <c r="SRF608" s="222"/>
      <c r="SRG608" s="223"/>
      <c r="SRH608" s="224"/>
      <c r="SRI608" s="222"/>
      <c r="SRJ608" s="222"/>
      <c r="SRK608" s="222"/>
      <c r="SRL608" s="222"/>
      <c r="SRM608" s="222"/>
      <c r="SRN608" s="222"/>
      <c r="SRO608" s="223"/>
      <c r="SRP608" s="224"/>
      <c r="SRQ608" s="222"/>
      <c r="SRR608" s="222"/>
      <c r="SRS608" s="222"/>
      <c r="SRT608" s="222"/>
      <c r="SRU608" s="222"/>
      <c r="SRV608" s="222"/>
      <c r="SRW608" s="223"/>
      <c r="SRX608" s="224"/>
      <c r="SRY608" s="222"/>
      <c r="SRZ608" s="222"/>
      <c r="SSA608" s="222"/>
      <c r="SSB608" s="222"/>
      <c r="SSC608" s="222"/>
      <c r="SSD608" s="222"/>
      <c r="SSE608" s="223"/>
      <c r="SSF608" s="224"/>
      <c r="SSG608" s="222"/>
      <c r="SSH608" s="222"/>
      <c r="SSI608" s="222"/>
      <c r="SSJ608" s="222"/>
      <c r="SSK608" s="222"/>
      <c r="SSL608" s="222"/>
      <c r="SSM608" s="223"/>
      <c r="SSN608" s="224"/>
      <c r="SSO608" s="222"/>
      <c r="SSP608" s="222"/>
      <c r="SSQ608" s="222"/>
      <c r="SSR608" s="222"/>
      <c r="SSS608" s="222"/>
      <c r="SST608" s="222"/>
      <c r="SSU608" s="223"/>
      <c r="SSV608" s="224"/>
      <c r="SSW608" s="222"/>
      <c r="SSX608" s="222"/>
      <c r="SSY608" s="222"/>
      <c r="SSZ608" s="222"/>
      <c r="STA608" s="222"/>
      <c r="STB608" s="222"/>
      <c r="STC608" s="223"/>
      <c r="STD608" s="224"/>
      <c r="STE608" s="222"/>
      <c r="STF608" s="222"/>
      <c r="STG608" s="222"/>
      <c r="STH608" s="222"/>
      <c r="STI608" s="222"/>
      <c r="STJ608" s="222"/>
      <c r="STK608" s="223"/>
      <c r="STL608" s="224"/>
      <c r="STM608" s="222"/>
      <c r="STN608" s="222"/>
      <c r="STO608" s="222"/>
      <c r="STP608" s="222"/>
      <c r="STQ608" s="222"/>
      <c r="STR608" s="222"/>
      <c r="STS608" s="223"/>
      <c r="STT608" s="224"/>
      <c r="STU608" s="222"/>
      <c r="STV608" s="222"/>
      <c r="STW608" s="222"/>
      <c r="STX608" s="222"/>
      <c r="STY608" s="222"/>
      <c r="STZ608" s="222"/>
      <c r="SUA608" s="223"/>
      <c r="SUB608" s="224"/>
      <c r="SUC608" s="222"/>
      <c r="SUD608" s="222"/>
      <c r="SUE608" s="222"/>
      <c r="SUF608" s="222"/>
      <c r="SUG608" s="222"/>
      <c r="SUH608" s="222"/>
      <c r="SUI608" s="223"/>
      <c r="SUJ608" s="224"/>
      <c r="SUK608" s="222"/>
      <c r="SUL608" s="222"/>
      <c r="SUM608" s="222"/>
      <c r="SUN608" s="222"/>
      <c r="SUO608" s="222"/>
      <c r="SUP608" s="222"/>
      <c r="SUQ608" s="223"/>
      <c r="SUR608" s="224"/>
      <c r="SUS608" s="222"/>
      <c r="SUT608" s="222"/>
      <c r="SUU608" s="222"/>
      <c r="SUV608" s="222"/>
      <c r="SUW608" s="222"/>
      <c r="SUX608" s="222"/>
      <c r="SUY608" s="223"/>
      <c r="SUZ608" s="224"/>
      <c r="SVA608" s="222"/>
      <c r="SVB608" s="222"/>
      <c r="SVC608" s="222"/>
      <c r="SVD608" s="222"/>
      <c r="SVE608" s="222"/>
      <c r="SVF608" s="222"/>
      <c r="SVG608" s="223"/>
      <c r="SVH608" s="224"/>
      <c r="SVI608" s="222"/>
      <c r="SVJ608" s="222"/>
      <c r="SVK608" s="222"/>
      <c r="SVL608" s="222"/>
      <c r="SVM608" s="222"/>
      <c r="SVN608" s="222"/>
      <c r="SVO608" s="223"/>
      <c r="SVP608" s="224"/>
      <c r="SVQ608" s="222"/>
      <c r="SVR608" s="222"/>
      <c r="SVS608" s="222"/>
      <c r="SVT608" s="222"/>
      <c r="SVU608" s="222"/>
      <c r="SVV608" s="222"/>
      <c r="SVW608" s="223"/>
      <c r="SVX608" s="224"/>
      <c r="SVY608" s="222"/>
      <c r="SVZ608" s="222"/>
      <c r="SWA608" s="222"/>
      <c r="SWB608" s="222"/>
      <c r="SWC608" s="222"/>
      <c r="SWD608" s="222"/>
      <c r="SWE608" s="223"/>
      <c r="SWF608" s="224"/>
      <c r="SWG608" s="222"/>
      <c r="SWH608" s="222"/>
      <c r="SWI608" s="222"/>
      <c r="SWJ608" s="222"/>
      <c r="SWK608" s="222"/>
      <c r="SWL608" s="222"/>
      <c r="SWM608" s="223"/>
      <c r="SWN608" s="224"/>
      <c r="SWO608" s="222"/>
      <c r="SWP608" s="222"/>
      <c r="SWQ608" s="222"/>
      <c r="SWR608" s="222"/>
      <c r="SWS608" s="222"/>
      <c r="SWT608" s="222"/>
      <c r="SWU608" s="223"/>
      <c r="SWV608" s="224"/>
      <c r="SWW608" s="222"/>
      <c r="SWX608" s="222"/>
      <c r="SWY608" s="222"/>
      <c r="SWZ608" s="222"/>
      <c r="SXA608" s="222"/>
      <c r="SXB608" s="222"/>
      <c r="SXC608" s="223"/>
      <c r="SXD608" s="224"/>
      <c r="SXE608" s="222"/>
      <c r="SXF608" s="222"/>
      <c r="SXG608" s="222"/>
      <c r="SXH608" s="222"/>
      <c r="SXI608" s="222"/>
      <c r="SXJ608" s="222"/>
      <c r="SXK608" s="223"/>
      <c r="SXL608" s="224"/>
      <c r="SXM608" s="222"/>
      <c r="SXN608" s="222"/>
      <c r="SXO608" s="222"/>
      <c r="SXP608" s="222"/>
      <c r="SXQ608" s="222"/>
      <c r="SXR608" s="222"/>
      <c r="SXS608" s="223"/>
      <c r="SXT608" s="224"/>
      <c r="SXU608" s="222"/>
      <c r="SXV608" s="222"/>
      <c r="SXW608" s="222"/>
      <c r="SXX608" s="222"/>
      <c r="SXY608" s="222"/>
      <c r="SXZ608" s="222"/>
      <c r="SYA608" s="223"/>
      <c r="SYB608" s="224"/>
      <c r="SYC608" s="222"/>
      <c r="SYD608" s="222"/>
      <c r="SYE608" s="222"/>
      <c r="SYF608" s="222"/>
      <c r="SYG608" s="222"/>
      <c r="SYH608" s="222"/>
      <c r="SYI608" s="223"/>
      <c r="SYJ608" s="224"/>
      <c r="SYK608" s="222"/>
      <c r="SYL608" s="222"/>
      <c r="SYM608" s="222"/>
      <c r="SYN608" s="222"/>
      <c r="SYO608" s="222"/>
      <c r="SYP608" s="222"/>
      <c r="SYQ608" s="223"/>
      <c r="SYR608" s="224"/>
      <c r="SYS608" s="222"/>
      <c r="SYT608" s="222"/>
      <c r="SYU608" s="222"/>
      <c r="SYV608" s="222"/>
      <c r="SYW608" s="222"/>
      <c r="SYX608" s="222"/>
      <c r="SYY608" s="223"/>
      <c r="SYZ608" s="224"/>
      <c r="SZA608" s="222"/>
      <c r="SZB608" s="222"/>
      <c r="SZC608" s="222"/>
      <c r="SZD608" s="222"/>
      <c r="SZE608" s="222"/>
      <c r="SZF608" s="222"/>
      <c r="SZG608" s="223"/>
      <c r="SZH608" s="224"/>
      <c r="SZI608" s="222"/>
      <c r="SZJ608" s="222"/>
      <c r="SZK608" s="222"/>
      <c r="SZL608" s="222"/>
      <c r="SZM608" s="222"/>
      <c r="SZN608" s="222"/>
      <c r="SZO608" s="223"/>
      <c r="SZP608" s="224"/>
      <c r="SZQ608" s="222"/>
      <c r="SZR608" s="222"/>
      <c r="SZS608" s="222"/>
      <c r="SZT608" s="222"/>
      <c r="SZU608" s="222"/>
      <c r="SZV608" s="222"/>
      <c r="SZW608" s="223"/>
      <c r="SZX608" s="224"/>
      <c r="SZY608" s="222"/>
      <c r="SZZ608" s="222"/>
      <c r="TAA608" s="222"/>
      <c r="TAB608" s="222"/>
      <c r="TAC608" s="222"/>
      <c r="TAD608" s="222"/>
      <c r="TAE608" s="223"/>
      <c r="TAF608" s="224"/>
      <c r="TAG608" s="222"/>
      <c r="TAH608" s="222"/>
      <c r="TAI608" s="222"/>
      <c r="TAJ608" s="222"/>
      <c r="TAK608" s="222"/>
      <c r="TAL608" s="222"/>
      <c r="TAM608" s="223"/>
      <c r="TAN608" s="224"/>
      <c r="TAO608" s="222"/>
      <c r="TAP608" s="222"/>
      <c r="TAQ608" s="222"/>
      <c r="TAR608" s="222"/>
      <c r="TAS608" s="222"/>
      <c r="TAT608" s="222"/>
      <c r="TAU608" s="223"/>
      <c r="TAV608" s="224"/>
      <c r="TAW608" s="222"/>
      <c r="TAX608" s="222"/>
      <c r="TAY608" s="222"/>
      <c r="TAZ608" s="222"/>
      <c r="TBA608" s="222"/>
      <c r="TBB608" s="222"/>
      <c r="TBC608" s="223"/>
      <c r="TBD608" s="224"/>
      <c r="TBE608" s="222"/>
      <c r="TBF608" s="222"/>
      <c r="TBG608" s="222"/>
      <c r="TBH608" s="222"/>
      <c r="TBI608" s="222"/>
      <c r="TBJ608" s="222"/>
      <c r="TBK608" s="223"/>
      <c r="TBL608" s="224"/>
      <c r="TBM608" s="222"/>
      <c r="TBN608" s="222"/>
      <c r="TBO608" s="222"/>
      <c r="TBP608" s="222"/>
      <c r="TBQ608" s="222"/>
      <c r="TBR608" s="222"/>
      <c r="TBS608" s="223"/>
      <c r="TBT608" s="224"/>
      <c r="TBU608" s="222"/>
      <c r="TBV608" s="222"/>
      <c r="TBW608" s="222"/>
      <c r="TBX608" s="222"/>
      <c r="TBY608" s="222"/>
      <c r="TBZ608" s="222"/>
      <c r="TCA608" s="223"/>
      <c r="TCB608" s="224"/>
      <c r="TCC608" s="222"/>
      <c r="TCD608" s="222"/>
      <c r="TCE608" s="222"/>
      <c r="TCF608" s="222"/>
      <c r="TCG608" s="222"/>
      <c r="TCH608" s="222"/>
      <c r="TCI608" s="223"/>
      <c r="TCJ608" s="224"/>
      <c r="TCK608" s="222"/>
      <c r="TCL608" s="222"/>
      <c r="TCM608" s="222"/>
      <c r="TCN608" s="222"/>
      <c r="TCO608" s="222"/>
      <c r="TCP608" s="222"/>
      <c r="TCQ608" s="223"/>
      <c r="TCR608" s="224"/>
      <c r="TCS608" s="222"/>
      <c r="TCT608" s="222"/>
      <c r="TCU608" s="222"/>
      <c r="TCV608" s="222"/>
      <c r="TCW608" s="222"/>
      <c r="TCX608" s="222"/>
      <c r="TCY608" s="223"/>
      <c r="TCZ608" s="224"/>
      <c r="TDA608" s="222"/>
      <c r="TDB608" s="222"/>
      <c r="TDC608" s="222"/>
      <c r="TDD608" s="222"/>
      <c r="TDE608" s="222"/>
      <c r="TDF608" s="222"/>
      <c r="TDG608" s="223"/>
      <c r="TDH608" s="224"/>
      <c r="TDI608" s="222"/>
      <c r="TDJ608" s="222"/>
      <c r="TDK608" s="222"/>
      <c r="TDL608" s="222"/>
      <c r="TDM608" s="222"/>
      <c r="TDN608" s="222"/>
      <c r="TDO608" s="223"/>
      <c r="TDP608" s="224"/>
      <c r="TDQ608" s="222"/>
      <c r="TDR608" s="222"/>
      <c r="TDS608" s="222"/>
      <c r="TDT608" s="222"/>
      <c r="TDU608" s="222"/>
      <c r="TDV608" s="222"/>
      <c r="TDW608" s="223"/>
      <c r="TDX608" s="224"/>
      <c r="TDY608" s="222"/>
      <c r="TDZ608" s="222"/>
      <c r="TEA608" s="222"/>
      <c r="TEB608" s="222"/>
      <c r="TEC608" s="222"/>
      <c r="TED608" s="222"/>
      <c r="TEE608" s="223"/>
      <c r="TEF608" s="224"/>
      <c r="TEG608" s="222"/>
      <c r="TEH608" s="222"/>
      <c r="TEI608" s="222"/>
      <c r="TEJ608" s="222"/>
      <c r="TEK608" s="222"/>
      <c r="TEL608" s="222"/>
      <c r="TEM608" s="223"/>
      <c r="TEN608" s="224"/>
      <c r="TEO608" s="222"/>
      <c r="TEP608" s="222"/>
      <c r="TEQ608" s="222"/>
      <c r="TER608" s="222"/>
      <c r="TES608" s="222"/>
      <c r="TET608" s="222"/>
      <c r="TEU608" s="223"/>
      <c r="TEV608" s="224"/>
      <c r="TEW608" s="222"/>
      <c r="TEX608" s="222"/>
      <c r="TEY608" s="222"/>
      <c r="TEZ608" s="222"/>
      <c r="TFA608" s="222"/>
      <c r="TFB608" s="222"/>
      <c r="TFC608" s="223"/>
      <c r="TFD608" s="224"/>
      <c r="TFE608" s="222"/>
      <c r="TFF608" s="222"/>
      <c r="TFG608" s="222"/>
      <c r="TFH608" s="222"/>
      <c r="TFI608" s="222"/>
      <c r="TFJ608" s="222"/>
      <c r="TFK608" s="223"/>
      <c r="TFL608" s="224"/>
      <c r="TFM608" s="222"/>
      <c r="TFN608" s="222"/>
      <c r="TFO608" s="222"/>
      <c r="TFP608" s="222"/>
      <c r="TFQ608" s="222"/>
      <c r="TFR608" s="222"/>
      <c r="TFS608" s="223"/>
      <c r="TFT608" s="224"/>
      <c r="TFU608" s="222"/>
      <c r="TFV608" s="222"/>
      <c r="TFW608" s="222"/>
      <c r="TFX608" s="222"/>
      <c r="TFY608" s="222"/>
      <c r="TFZ608" s="222"/>
      <c r="TGA608" s="223"/>
      <c r="TGB608" s="224"/>
      <c r="TGC608" s="222"/>
      <c r="TGD608" s="222"/>
      <c r="TGE608" s="222"/>
      <c r="TGF608" s="222"/>
      <c r="TGG608" s="222"/>
      <c r="TGH608" s="222"/>
      <c r="TGI608" s="223"/>
      <c r="TGJ608" s="224"/>
      <c r="TGK608" s="222"/>
      <c r="TGL608" s="222"/>
      <c r="TGM608" s="222"/>
      <c r="TGN608" s="222"/>
      <c r="TGO608" s="222"/>
      <c r="TGP608" s="222"/>
      <c r="TGQ608" s="223"/>
      <c r="TGR608" s="224"/>
      <c r="TGS608" s="222"/>
      <c r="TGT608" s="222"/>
      <c r="TGU608" s="222"/>
      <c r="TGV608" s="222"/>
      <c r="TGW608" s="222"/>
      <c r="TGX608" s="222"/>
      <c r="TGY608" s="223"/>
      <c r="TGZ608" s="224"/>
      <c r="THA608" s="222"/>
      <c r="THB608" s="222"/>
      <c r="THC608" s="222"/>
      <c r="THD608" s="222"/>
      <c r="THE608" s="222"/>
      <c r="THF608" s="222"/>
      <c r="THG608" s="223"/>
      <c r="THH608" s="224"/>
      <c r="THI608" s="222"/>
      <c r="THJ608" s="222"/>
      <c r="THK608" s="222"/>
      <c r="THL608" s="222"/>
      <c r="THM608" s="222"/>
      <c r="THN608" s="222"/>
      <c r="THO608" s="223"/>
      <c r="THP608" s="224"/>
      <c r="THQ608" s="222"/>
      <c r="THR608" s="222"/>
      <c r="THS608" s="222"/>
      <c r="THT608" s="222"/>
      <c r="THU608" s="222"/>
      <c r="THV608" s="222"/>
      <c r="THW608" s="223"/>
      <c r="THX608" s="224"/>
      <c r="THY608" s="222"/>
      <c r="THZ608" s="222"/>
      <c r="TIA608" s="222"/>
      <c r="TIB608" s="222"/>
      <c r="TIC608" s="222"/>
      <c r="TID608" s="222"/>
      <c r="TIE608" s="223"/>
      <c r="TIF608" s="224"/>
      <c r="TIG608" s="222"/>
      <c r="TIH608" s="222"/>
      <c r="TII608" s="222"/>
      <c r="TIJ608" s="222"/>
      <c r="TIK608" s="222"/>
      <c r="TIL608" s="222"/>
      <c r="TIM608" s="223"/>
      <c r="TIN608" s="224"/>
      <c r="TIO608" s="222"/>
      <c r="TIP608" s="222"/>
      <c r="TIQ608" s="222"/>
      <c r="TIR608" s="222"/>
      <c r="TIS608" s="222"/>
      <c r="TIT608" s="222"/>
      <c r="TIU608" s="223"/>
      <c r="TIV608" s="224"/>
      <c r="TIW608" s="222"/>
      <c r="TIX608" s="222"/>
      <c r="TIY608" s="222"/>
      <c r="TIZ608" s="222"/>
      <c r="TJA608" s="222"/>
      <c r="TJB608" s="222"/>
      <c r="TJC608" s="223"/>
      <c r="TJD608" s="224"/>
      <c r="TJE608" s="222"/>
      <c r="TJF608" s="222"/>
      <c r="TJG608" s="222"/>
      <c r="TJH608" s="222"/>
      <c r="TJI608" s="222"/>
      <c r="TJJ608" s="222"/>
      <c r="TJK608" s="223"/>
      <c r="TJL608" s="224"/>
      <c r="TJM608" s="222"/>
      <c r="TJN608" s="222"/>
      <c r="TJO608" s="222"/>
      <c r="TJP608" s="222"/>
      <c r="TJQ608" s="222"/>
      <c r="TJR608" s="222"/>
      <c r="TJS608" s="223"/>
      <c r="TJT608" s="224"/>
      <c r="TJU608" s="222"/>
      <c r="TJV608" s="222"/>
      <c r="TJW608" s="222"/>
      <c r="TJX608" s="222"/>
      <c r="TJY608" s="222"/>
      <c r="TJZ608" s="222"/>
      <c r="TKA608" s="223"/>
      <c r="TKB608" s="224"/>
      <c r="TKC608" s="222"/>
      <c r="TKD608" s="222"/>
      <c r="TKE608" s="222"/>
      <c r="TKF608" s="222"/>
      <c r="TKG608" s="222"/>
      <c r="TKH608" s="222"/>
      <c r="TKI608" s="223"/>
      <c r="TKJ608" s="224"/>
      <c r="TKK608" s="222"/>
      <c r="TKL608" s="222"/>
      <c r="TKM608" s="222"/>
      <c r="TKN608" s="222"/>
      <c r="TKO608" s="222"/>
      <c r="TKP608" s="222"/>
      <c r="TKQ608" s="223"/>
      <c r="TKR608" s="224"/>
      <c r="TKS608" s="222"/>
      <c r="TKT608" s="222"/>
      <c r="TKU608" s="222"/>
      <c r="TKV608" s="222"/>
      <c r="TKW608" s="222"/>
      <c r="TKX608" s="222"/>
      <c r="TKY608" s="223"/>
      <c r="TKZ608" s="224"/>
      <c r="TLA608" s="222"/>
      <c r="TLB608" s="222"/>
      <c r="TLC608" s="222"/>
      <c r="TLD608" s="222"/>
      <c r="TLE608" s="222"/>
      <c r="TLF608" s="222"/>
      <c r="TLG608" s="223"/>
      <c r="TLH608" s="224"/>
      <c r="TLI608" s="222"/>
      <c r="TLJ608" s="222"/>
      <c r="TLK608" s="222"/>
      <c r="TLL608" s="222"/>
      <c r="TLM608" s="222"/>
      <c r="TLN608" s="222"/>
      <c r="TLO608" s="223"/>
      <c r="TLP608" s="224"/>
      <c r="TLQ608" s="222"/>
      <c r="TLR608" s="222"/>
      <c r="TLS608" s="222"/>
      <c r="TLT608" s="222"/>
      <c r="TLU608" s="222"/>
      <c r="TLV608" s="222"/>
      <c r="TLW608" s="223"/>
      <c r="TLX608" s="224"/>
      <c r="TLY608" s="222"/>
      <c r="TLZ608" s="222"/>
      <c r="TMA608" s="222"/>
      <c r="TMB608" s="222"/>
      <c r="TMC608" s="222"/>
      <c r="TMD608" s="222"/>
      <c r="TME608" s="223"/>
      <c r="TMF608" s="224"/>
      <c r="TMG608" s="222"/>
      <c r="TMH608" s="222"/>
      <c r="TMI608" s="222"/>
      <c r="TMJ608" s="222"/>
      <c r="TMK608" s="222"/>
      <c r="TML608" s="222"/>
      <c r="TMM608" s="223"/>
      <c r="TMN608" s="224"/>
      <c r="TMO608" s="222"/>
      <c r="TMP608" s="222"/>
      <c r="TMQ608" s="222"/>
      <c r="TMR608" s="222"/>
      <c r="TMS608" s="222"/>
      <c r="TMT608" s="222"/>
      <c r="TMU608" s="223"/>
      <c r="TMV608" s="224"/>
      <c r="TMW608" s="222"/>
      <c r="TMX608" s="222"/>
      <c r="TMY608" s="222"/>
      <c r="TMZ608" s="222"/>
      <c r="TNA608" s="222"/>
      <c r="TNB608" s="222"/>
      <c r="TNC608" s="223"/>
      <c r="TND608" s="224"/>
      <c r="TNE608" s="222"/>
      <c r="TNF608" s="222"/>
      <c r="TNG608" s="222"/>
      <c r="TNH608" s="222"/>
      <c r="TNI608" s="222"/>
      <c r="TNJ608" s="222"/>
      <c r="TNK608" s="223"/>
      <c r="TNL608" s="224"/>
      <c r="TNM608" s="222"/>
      <c r="TNN608" s="222"/>
      <c r="TNO608" s="222"/>
      <c r="TNP608" s="222"/>
      <c r="TNQ608" s="222"/>
      <c r="TNR608" s="222"/>
      <c r="TNS608" s="223"/>
      <c r="TNT608" s="224"/>
      <c r="TNU608" s="222"/>
      <c r="TNV608" s="222"/>
      <c r="TNW608" s="222"/>
      <c r="TNX608" s="222"/>
      <c r="TNY608" s="222"/>
      <c r="TNZ608" s="222"/>
      <c r="TOA608" s="223"/>
      <c r="TOB608" s="224"/>
      <c r="TOC608" s="222"/>
      <c r="TOD608" s="222"/>
      <c r="TOE608" s="222"/>
      <c r="TOF608" s="222"/>
      <c r="TOG608" s="222"/>
      <c r="TOH608" s="222"/>
      <c r="TOI608" s="223"/>
      <c r="TOJ608" s="224"/>
      <c r="TOK608" s="222"/>
      <c r="TOL608" s="222"/>
      <c r="TOM608" s="222"/>
      <c r="TON608" s="222"/>
      <c r="TOO608" s="222"/>
      <c r="TOP608" s="222"/>
      <c r="TOQ608" s="223"/>
      <c r="TOR608" s="224"/>
      <c r="TOS608" s="222"/>
      <c r="TOT608" s="222"/>
      <c r="TOU608" s="222"/>
      <c r="TOV608" s="222"/>
      <c r="TOW608" s="222"/>
      <c r="TOX608" s="222"/>
      <c r="TOY608" s="223"/>
      <c r="TOZ608" s="224"/>
      <c r="TPA608" s="222"/>
      <c r="TPB608" s="222"/>
      <c r="TPC608" s="222"/>
      <c r="TPD608" s="222"/>
      <c r="TPE608" s="222"/>
      <c r="TPF608" s="222"/>
      <c r="TPG608" s="223"/>
      <c r="TPH608" s="224"/>
      <c r="TPI608" s="222"/>
      <c r="TPJ608" s="222"/>
      <c r="TPK608" s="222"/>
      <c r="TPL608" s="222"/>
      <c r="TPM608" s="222"/>
      <c r="TPN608" s="222"/>
      <c r="TPO608" s="223"/>
      <c r="TPP608" s="224"/>
      <c r="TPQ608" s="222"/>
      <c r="TPR608" s="222"/>
      <c r="TPS608" s="222"/>
      <c r="TPT608" s="222"/>
      <c r="TPU608" s="222"/>
      <c r="TPV608" s="222"/>
      <c r="TPW608" s="223"/>
      <c r="TPX608" s="224"/>
      <c r="TPY608" s="222"/>
      <c r="TPZ608" s="222"/>
      <c r="TQA608" s="222"/>
      <c r="TQB608" s="222"/>
      <c r="TQC608" s="222"/>
      <c r="TQD608" s="222"/>
      <c r="TQE608" s="223"/>
      <c r="TQF608" s="224"/>
      <c r="TQG608" s="222"/>
      <c r="TQH608" s="222"/>
      <c r="TQI608" s="222"/>
      <c r="TQJ608" s="222"/>
      <c r="TQK608" s="222"/>
      <c r="TQL608" s="222"/>
      <c r="TQM608" s="223"/>
      <c r="TQN608" s="224"/>
      <c r="TQO608" s="222"/>
      <c r="TQP608" s="222"/>
      <c r="TQQ608" s="222"/>
      <c r="TQR608" s="222"/>
      <c r="TQS608" s="222"/>
      <c r="TQT608" s="222"/>
      <c r="TQU608" s="223"/>
      <c r="TQV608" s="224"/>
      <c r="TQW608" s="222"/>
      <c r="TQX608" s="222"/>
      <c r="TQY608" s="222"/>
      <c r="TQZ608" s="222"/>
      <c r="TRA608" s="222"/>
      <c r="TRB608" s="222"/>
      <c r="TRC608" s="223"/>
      <c r="TRD608" s="224"/>
      <c r="TRE608" s="222"/>
      <c r="TRF608" s="222"/>
      <c r="TRG608" s="222"/>
      <c r="TRH608" s="222"/>
      <c r="TRI608" s="222"/>
      <c r="TRJ608" s="222"/>
      <c r="TRK608" s="223"/>
      <c r="TRL608" s="224"/>
      <c r="TRM608" s="222"/>
      <c r="TRN608" s="222"/>
      <c r="TRO608" s="222"/>
      <c r="TRP608" s="222"/>
      <c r="TRQ608" s="222"/>
      <c r="TRR608" s="222"/>
      <c r="TRS608" s="223"/>
      <c r="TRT608" s="224"/>
      <c r="TRU608" s="222"/>
      <c r="TRV608" s="222"/>
      <c r="TRW608" s="222"/>
      <c r="TRX608" s="222"/>
      <c r="TRY608" s="222"/>
      <c r="TRZ608" s="222"/>
      <c r="TSA608" s="223"/>
      <c r="TSB608" s="224"/>
      <c r="TSC608" s="222"/>
      <c r="TSD608" s="222"/>
      <c r="TSE608" s="222"/>
      <c r="TSF608" s="222"/>
      <c r="TSG608" s="222"/>
      <c r="TSH608" s="222"/>
      <c r="TSI608" s="223"/>
      <c r="TSJ608" s="224"/>
      <c r="TSK608" s="222"/>
      <c r="TSL608" s="222"/>
      <c r="TSM608" s="222"/>
      <c r="TSN608" s="222"/>
      <c r="TSO608" s="222"/>
      <c r="TSP608" s="222"/>
      <c r="TSQ608" s="223"/>
      <c r="TSR608" s="224"/>
      <c r="TSS608" s="222"/>
      <c r="TST608" s="222"/>
      <c r="TSU608" s="222"/>
      <c r="TSV608" s="222"/>
      <c r="TSW608" s="222"/>
      <c r="TSX608" s="222"/>
      <c r="TSY608" s="223"/>
      <c r="TSZ608" s="224"/>
      <c r="TTA608" s="222"/>
      <c r="TTB608" s="222"/>
      <c r="TTC608" s="222"/>
      <c r="TTD608" s="222"/>
      <c r="TTE608" s="222"/>
      <c r="TTF608" s="222"/>
      <c r="TTG608" s="223"/>
      <c r="TTH608" s="224"/>
      <c r="TTI608" s="222"/>
      <c r="TTJ608" s="222"/>
      <c r="TTK608" s="222"/>
      <c r="TTL608" s="222"/>
      <c r="TTM608" s="222"/>
      <c r="TTN608" s="222"/>
      <c r="TTO608" s="223"/>
      <c r="TTP608" s="224"/>
      <c r="TTQ608" s="222"/>
      <c r="TTR608" s="222"/>
      <c r="TTS608" s="222"/>
      <c r="TTT608" s="222"/>
      <c r="TTU608" s="222"/>
      <c r="TTV608" s="222"/>
      <c r="TTW608" s="223"/>
      <c r="TTX608" s="224"/>
      <c r="TTY608" s="222"/>
      <c r="TTZ608" s="222"/>
      <c r="TUA608" s="222"/>
      <c r="TUB608" s="222"/>
      <c r="TUC608" s="222"/>
      <c r="TUD608" s="222"/>
      <c r="TUE608" s="223"/>
      <c r="TUF608" s="224"/>
      <c r="TUG608" s="222"/>
      <c r="TUH608" s="222"/>
      <c r="TUI608" s="222"/>
      <c r="TUJ608" s="222"/>
      <c r="TUK608" s="222"/>
      <c r="TUL608" s="222"/>
      <c r="TUM608" s="223"/>
      <c r="TUN608" s="224"/>
      <c r="TUO608" s="222"/>
      <c r="TUP608" s="222"/>
      <c r="TUQ608" s="222"/>
      <c r="TUR608" s="222"/>
      <c r="TUS608" s="222"/>
      <c r="TUT608" s="222"/>
      <c r="TUU608" s="223"/>
      <c r="TUV608" s="224"/>
      <c r="TUW608" s="222"/>
      <c r="TUX608" s="222"/>
      <c r="TUY608" s="222"/>
      <c r="TUZ608" s="222"/>
      <c r="TVA608" s="222"/>
      <c r="TVB608" s="222"/>
      <c r="TVC608" s="223"/>
      <c r="TVD608" s="224"/>
      <c r="TVE608" s="222"/>
      <c r="TVF608" s="222"/>
      <c r="TVG608" s="222"/>
      <c r="TVH608" s="222"/>
      <c r="TVI608" s="222"/>
      <c r="TVJ608" s="222"/>
      <c r="TVK608" s="223"/>
      <c r="TVL608" s="224"/>
      <c r="TVM608" s="222"/>
      <c r="TVN608" s="222"/>
      <c r="TVO608" s="222"/>
      <c r="TVP608" s="222"/>
      <c r="TVQ608" s="222"/>
      <c r="TVR608" s="222"/>
      <c r="TVS608" s="223"/>
      <c r="TVT608" s="224"/>
      <c r="TVU608" s="222"/>
      <c r="TVV608" s="222"/>
      <c r="TVW608" s="222"/>
      <c r="TVX608" s="222"/>
      <c r="TVY608" s="222"/>
      <c r="TVZ608" s="222"/>
      <c r="TWA608" s="223"/>
      <c r="TWB608" s="224"/>
      <c r="TWC608" s="222"/>
      <c r="TWD608" s="222"/>
      <c r="TWE608" s="222"/>
      <c r="TWF608" s="222"/>
      <c r="TWG608" s="222"/>
      <c r="TWH608" s="222"/>
      <c r="TWI608" s="223"/>
      <c r="TWJ608" s="224"/>
      <c r="TWK608" s="222"/>
      <c r="TWL608" s="222"/>
      <c r="TWM608" s="222"/>
      <c r="TWN608" s="222"/>
      <c r="TWO608" s="222"/>
      <c r="TWP608" s="222"/>
      <c r="TWQ608" s="223"/>
      <c r="TWR608" s="224"/>
      <c r="TWS608" s="222"/>
      <c r="TWT608" s="222"/>
      <c r="TWU608" s="222"/>
      <c r="TWV608" s="222"/>
      <c r="TWW608" s="222"/>
      <c r="TWX608" s="222"/>
      <c r="TWY608" s="223"/>
      <c r="TWZ608" s="224"/>
      <c r="TXA608" s="222"/>
      <c r="TXB608" s="222"/>
      <c r="TXC608" s="222"/>
      <c r="TXD608" s="222"/>
      <c r="TXE608" s="222"/>
      <c r="TXF608" s="222"/>
      <c r="TXG608" s="223"/>
      <c r="TXH608" s="224"/>
      <c r="TXI608" s="222"/>
      <c r="TXJ608" s="222"/>
      <c r="TXK608" s="222"/>
      <c r="TXL608" s="222"/>
      <c r="TXM608" s="222"/>
      <c r="TXN608" s="222"/>
      <c r="TXO608" s="223"/>
      <c r="TXP608" s="224"/>
      <c r="TXQ608" s="222"/>
      <c r="TXR608" s="222"/>
      <c r="TXS608" s="222"/>
      <c r="TXT608" s="222"/>
      <c r="TXU608" s="222"/>
      <c r="TXV608" s="222"/>
      <c r="TXW608" s="223"/>
      <c r="TXX608" s="224"/>
      <c r="TXY608" s="222"/>
      <c r="TXZ608" s="222"/>
      <c r="TYA608" s="222"/>
      <c r="TYB608" s="222"/>
      <c r="TYC608" s="222"/>
      <c r="TYD608" s="222"/>
      <c r="TYE608" s="223"/>
      <c r="TYF608" s="224"/>
      <c r="TYG608" s="222"/>
      <c r="TYH608" s="222"/>
      <c r="TYI608" s="222"/>
      <c r="TYJ608" s="222"/>
      <c r="TYK608" s="222"/>
      <c r="TYL608" s="222"/>
      <c r="TYM608" s="223"/>
      <c r="TYN608" s="224"/>
      <c r="TYO608" s="222"/>
      <c r="TYP608" s="222"/>
      <c r="TYQ608" s="222"/>
      <c r="TYR608" s="222"/>
      <c r="TYS608" s="222"/>
      <c r="TYT608" s="222"/>
      <c r="TYU608" s="223"/>
      <c r="TYV608" s="224"/>
      <c r="TYW608" s="222"/>
      <c r="TYX608" s="222"/>
      <c r="TYY608" s="222"/>
      <c r="TYZ608" s="222"/>
      <c r="TZA608" s="222"/>
      <c r="TZB608" s="222"/>
      <c r="TZC608" s="223"/>
      <c r="TZD608" s="224"/>
      <c r="TZE608" s="222"/>
      <c r="TZF608" s="222"/>
      <c r="TZG608" s="222"/>
      <c r="TZH608" s="222"/>
      <c r="TZI608" s="222"/>
      <c r="TZJ608" s="222"/>
      <c r="TZK608" s="223"/>
      <c r="TZL608" s="224"/>
      <c r="TZM608" s="222"/>
      <c r="TZN608" s="222"/>
      <c r="TZO608" s="222"/>
      <c r="TZP608" s="222"/>
      <c r="TZQ608" s="222"/>
      <c r="TZR608" s="222"/>
      <c r="TZS608" s="223"/>
      <c r="TZT608" s="224"/>
      <c r="TZU608" s="222"/>
      <c r="TZV608" s="222"/>
      <c r="TZW608" s="222"/>
      <c r="TZX608" s="222"/>
      <c r="TZY608" s="222"/>
      <c r="TZZ608" s="222"/>
      <c r="UAA608" s="223"/>
      <c r="UAB608" s="224"/>
      <c r="UAC608" s="222"/>
      <c r="UAD608" s="222"/>
      <c r="UAE608" s="222"/>
      <c r="UAF608" s="222"/>
      <c r="UAG608" s="222"/>
      <c r="UAH608" s="222"/>
      <c r="UAI608" s="223"/>
      <c r="UAJ608" s="224"/>
      <c r="UAK608" s="222"/>
      <c r="UAL608" s="222"/>
      <c r="UAM608" s="222"/>
      <c r="UAN608" s="222"/>
      <c r="UAO608" s="222"/>
      <c r="UAP608" s="222"/>
      <c r="UAQ608" s="223"/>
      <c r="UAR608" s="224"/>
      <c r="UAS608" s="222"/>
      <c r="UAT608" s="222"/>
      <c r="UAU608" s="222"/>
      <c r="UAV608" s="222"/>
      <c r="UAW608" s="222"/>
      <c r="UAX608" s="222"/>
      <c r="UAY608" s="223"/>
      <c r="UAZ608" s="224"/>
      <c r="UBA608" s="222"/>
      <c r="UBB608" s="222"/>
      <c r="UBC608" s="222"/>
      <c r="UBD608" s="222"/>
      <c r="UBE608" s="222"/>
      <c r="UBF608" s="222"/>
      <c r="UBG608" s="223"/>
      <c r="UBH608" s="224"/>
      <c r="UBI608" s="222"/>
      <c r="UBJ608" s="222"/>
      <c r="UBK608" s="222"/>
      <c r="UBL608" s="222"/>
      <c r="UBM608" s="222"/>
      <c r="UBN608" s="222"/>
      <c r="UBO608" s="223"/>
      <c r="UBP608" s="224"/>
      <c r="UBQ608" s="222"/>
      <c r="UBR608" s="222"/>
      <c r="UBS608" s="222"/>
      <c r="UBT608" s="222"/>
      <c r="UBU608" s="222"/>
      <c r="UBV608" s="222"/>
      <c r="UBW608" s="223"/>
      <c r="UBX608" s="224"/>
      <c r="UBY608" s="222"/>
      <c r="UBZ608" s="222"/>
      <c r="UCA608" s="222"/>
      <c r="UCB608" s="222"/>
      <c r="UCC608" s="222"/>
      <c r="UCD608" s="222"/>
      <c r="UCE608" s="223"/>
      <c r="UCF608" s="224"/>
      <c r="UCG608" s="222"/>
      <c r="UCH608" s="222"/>
      <c r="UCI608" s="222"/>
      <c r="UCJ608" s="222"/>
      <c r="UCK608" s="222"/>
      <c r="UCL608" s="222"/>
      <c r="UCM608" s="223"/>
      <c r="UCN608" s="224"/>
      <c r="UCO608" s="222"/>
      <c r="UCP608" s="222"/>
      <c r="UCQ608" s="222"/>
      <c r="UCR608" s="222"/>
      <c r="UCS608" s="222"/>
      <c r="UCT608" s="222"/>
      <c r="UCU608" s="223"/>
      <c r="UCV608" s="224"/>
      <c r="UCW608" s="222"/>
      <c r="UCX608" s="222"/>
      <c r="UCY608" s="222"/>
      <c r="UCZ608" s="222"/>
      <c r="UDA608" s="222"/>
      <c r="UDB608" s="222"/>
      <c r="UDC608" s="223"/>
      <c r="UDD608" s="224"/>
      <c r="UDE608" s="222"/>
      <c r="UDF608" s="222"/>
      <c r="UDG608" s="222"/>
      <c r="UDH608" s="222"/>
      <c r="UDI608" s="222"/>
      <c r="UDJ608" s="222"/>
      <c r="UDK608" s="223"/>
      <c r="UDL608" s="224"/>
      <c r="UDM608" s="222"/>
      <c r="UDN608" s="222"/>
      <c r="UDO608" s="222"/>
      <c r="UDP608" s="222"/>
      <c r="UDQ608" s="222"/>
      <c r="UDR608" s="222"/>
      <c r="UDS608" s="223"/>
      <c r="UDT608" s="224"/>
      <c r="UDU608" s="222"/>
      <c r="UDV608" s="222"/>
      <c r="UDW608" s="222"/>
      <c r="UDX608" s="222"/>
      <c r="UDY608" s="222"/>
      <c r="UDZ608" s="222"/>
      <c r="UEA608" s="223"/>
      <c r="UEB608" s="224"/>
      <c r="UEC608" s="222"/>
      <c r="UED608" s="222"/>
      <c r="UEE608" s="222"/>
      <c r="UEF608" s="222"/>
      <c r="UEG608" s="222"/>
      <c r="UEH608" s="222"/>
      <c r="UEI608" s="223"/>
      <c r="UEJ608" s="224"/>
      <c r="UEK608" s="222"/>
      <c r="UEL608" s="222"/>
      <c r="UEM608" s="222"/>
      <c r="UEN608" s="222"/>
      <c r="UEO608" s="222"/>
      <c r="UEP608" s="222"/>
      <c r="UEQ608" s="223"/>
      <c r="UER608" s="224"/>
      <c r="UES608" s="222"/>
      <c r="UET608" s="222"/>
      <c r="UEU608" s="222"/>
      <c r="UEV608" s="222"/>
      <c r="UEW608" s="222"/>
      <c r="UEX608" s="222"/>
      <c r="UEY608" s="223"/>
      <c r="UEZ608" s="224"/>
      <c r="UFA608" s="222"/>
      <c r="UFB608" s="222"/>
      <c r="UFC608" s="222"/>
      <c r="UFD608" s="222"/>
      <c r="UFE608" s="222"/>
      <c r="UFF608" s="222"/>
      <c r="UFG608" s="223"/>
      <c r="UFH608" s="224"/>
      <c r="UFI608" s="222"/>
      <c r="UFJ608" s="222"/>
      <c r="UFK608" s="222"/>
      <c r="UFL608" s="222"/>
      <c r="UFM608" s="222"/>
      <c r="UFN608" s="222"/>
      <c r="UFO608" s="223"/>
      <c r="UFP608" s="224"/>
      <c r="UFQ608" s="222"/>
      <c r="UFR608" s="222"/>
      <c r="UFS608" s="222"/>
      <c r="UFT608" s="222"/>
      <c r="UFU608" s="222"/>
      <c r="UFV608" s="222"/>
      <c r="UFW608" s="223"/>
      <c r="UFX608" s="224"/>
      <c r="UFY608" s="222"/>
      <c r="UFZ608" s="222"/>
      <c r="UGA608" s="222"/>
      <c r="UGB608" s="222"/>
      <c r="UGC608" s="222"/>
      <c r="UGD608" s="222"/>
      <c r="UGE608" s="223"/>
      <c r="UGF608" s="224"/>
      <c r="UGG608" s="222"/>
      <c r="UGH608" s="222"/>
      <c r="UGI608" s="222"/>
      <c r="UGJ608" s="222"/>
      <c r="UGK608" s="222"/>
      <c r="UGL608" s="222"/>
      <c r="UGM608" s="223"/>
      <c r="UGN608" s="224"/>
      <c r="UGO608" s="222"/>
      <c r="UGP608" s="222"/>
      <c r="UGQ608" s="222"/>
      <c r="UGR608" s="222"/>
      <c r="UGS608" s="222"/>
      <c r="UGT608" s="222"/>
      <c r="UGU608" s="223"/>
      <c r="UGV608" s="224"/>
      <c r="UGW608" s="222"/>
      <c r="UGX608" s="222"/>
      <c r="UGY608" s="222"/>
      <c r="UGZ608" s="222"/>
      <c r="UHA608" s="222"/>
      <c r="UHB608" s="222"/>
      <c r="UHC608" s="223"/>
      <c r="UHD608" s="224"/>
      <c r="UHE608" s="222"/>
      <c r="UHF608" s="222"/>
      <c r="UHG608" s="222"/>
      <c r="UHH608" s="222"/>
      <c r="UHI608" s="222"/>
      <c r="UHJ608" s="222"/>
      <c r="UHK608" s="223"/>
      <c r="UHL608" s="224"/>
      <c r="UHM608" s="222"/>
      <c r="UHN608" s="222"/>
      <c r="UHO608" s="222"/>
      <c r="UHP608" s="222"/>
      <c r="UHQ608" s="222"/>
      <c r="UHR608" s="222"/>
      <c r="UHS608" s="223"/>
      <c r="UHT608" s="224"/>
      <c r="UHU608" s="222"/>
      <c r="UHV608" s="222"/>
      <c r="UHW608" s="222"/>
      <c r="UHX608" s="222"/>
      <c r="UHY608" s="222"/>
      <c r="UHZ608" s="222"/>
      <c r="UIA608" s="223"/>
      <c r="UIB608" s="224"/>
      <c r="UIC608" s="222"/>
      <c r="UID608" s="222"/>
      <c r="UIE608" s="222"/>
      <c r="UIF608" s="222"/>
      <c r="UIG608" s="222"/>
      <c r="UIH608" s="222"/>
      <c r="UII608" s="223"/>
      <c r="UIJ608" s="224"/>
      <c r="UIK608" s="222"/>
      <c r="UIL608" s="222"/>
      <c r="UIM608" s="222"/>
      <c r="UIN608" s="222"/>
      <c r="UIO608" s="222"/>
      <c r="UIP608" s="222"/>
      <c r="UIQ608" s="223"/>
      <c r="UIR608" s="224"/>
      <c r="UIS608" s="222"/>
      <c r="UIT608" s="222"/>
      <c r="UIU608" s="222"/>
      <c r="UIV608" s="222"/>
      <c r="UIW608" s="222"/>
      <c r="UIX608" s="222"/>
      <c r="UIY608" s="223"/>
      <c r="UIZ608" s="224"/>
      <c r="UJA608" s="222"/>
      <c r="UJB608" s="222"/>
      <c r="UJC608" s="222"/>
      <c r="UJD608" s="222"/>
      <c r="UJE608" s="222"/>
      <c r="UJF608" s="222"/>
      <c r="UJG608" s="223"/>
      <c r="UJH608" s="224"/>
      <c r="UJI608" s="222"/>
      <c r="UJJ608" s="222"/>
      <c r="UJK608" s="222"/>
      <c r="UJL608" s="222"/>
      <c r="UJM608" s="222"/>
      <c r="UJN608" s="222"/>
      <c r="UJO608" s="223"/>
      <c r="UJP608" s="224"/>
      <c r="UJQ608" s="222"/>
      <c r="UJR608" s="222"/>
      <c r="UJS608" s="222"/>
      <c r="UJT608" s="222"/>
      <c r="UJU608" s="222"/>
      <c r="UJV608" s="222"/>
      <c r="UJW608" s="223"/>
      <c r="UJX608" s="224"/>
      <c r="UJY608" s="222"/>
      <c r="UJZ608" s="222"/>
      <c r="UKA608" s="222"/>
      <c r="UKB608" s="222"/>
      <c r="UKC608" s="222"/>
      <c r="UKD608" s="222"/>
      <c r="UKE608" s="223"/>
      <c r="UKF608" s="224"/>
      <c r="UKG608" s="222"/>
      <c r="UKH608" s="222"/>
      <c r="UKI608" s="222"/>
      <c r="UKJ608" s="222"/>
      <c r="UKK608" s="222"/>
      <c r="UKL608" s="222"/>
      <c r="UKM608" s="223"/>
      <c r="UKN608" s="224"/>
      <c r="UKO608" s="222"/>
      <c r="UKP608" s="222"/>
      <c r="UKQ608" s="222"/>
      <c r="UKR608" s="222"/>
      <c r="UKS608" s="222"/>
      <c r="UKT608" s="222"/>
      <c r="UKU608" s="223"/>
      <c r="UKV608" s="224"/>
      <c r="UKW608" s="222"/>
      <c r="UKX608" s="222"/>
      <c r="UKY608" s="222"/>
      <c r="UKZ608" s="222"/>
      <c r="ULA608" s="222"/>
      <c r="ULB608" s="222"/>
      <c r="ULC608" s="223"/>
      <c r="ULD608" s="224"/>
      <c r="ULE608" s="222"/>
      <c r="ULF608" s="222"/>
      <c r="ULG608" s="222"/>
      <c r="ULH608" s="222"/>
      <c r="ULI608" s="222"/>
      <c r="ULJ608" s="222"/>
      <c r="ULK608" s="223"/>
      <c r="ULL608" s="224"/>
      <c r="ULM608" s="222"/>
      <c r="ULN608" s="222"/>
      <c r="ULO608" s="222"/>
      <c r="ULP608" s="222"/>
      <c r="ULQ608" s="222"/>
      <c r="ULR608" s="222"/>
      <c r="ULS608" s="223"/>
      <c r="ULT608" s="224"/>
      <c r="ULU608" s="222"/>
      <c r="ULV608" s="222"/>
      <c r="ULW608" s="222"/>
      <c r="ULX608" s="222"/>
      <c r="ULY608" s="222"/>
      <c r="ULZ608" s="222"/>
      <c r="UMA608" s="223"/>
      <c r="UMB608" s="224"/>
      <c r="UMC608" s="222"/>
      <c r="UMD608" s="222"/>
      <c r="UME608" s="222"/>
      <c r="UMF608" s="222"/>
      <c r="UMG608" s="222"/>
      <c r="UMH608" s="222"/>
      <c r="UMI608" s="223"/>
      <c r="UMJ608" s="224"/>
      <c r="UMK608" s="222"/>
      <c r="UML608" s="222"/>
      <c r="UMM608" s="222"/>
      <c r="UMN608" s="222"/>
      <c r="UMO608" s="222"/>
      <c r="UMP608" s="222"/>
      <c r="UMQ608" s="223"/>
      <c r="UMR608" s="224"/>
      <c r="UMS608" s="222"/>
      <c r="UMT608" s="222"/>
      <c r="UMU608" s="222"/>
      <c r="UMV608" s="222"/>
      <c r="UMW608" s="222"/>
      <c r="UMX608" s="222"/>
      <c r="UMY608" s="223"/>
      <c r="UMZ608" s="224"/>
      <c r="UNA608" s="222"/>
      <c r="UNB608" s="222"/>
      <c r="UNC608" s="222"/>
      <c r="UND608" s="222"/>
      <c r="UNE608" s="222"/>
      <c r="UNF608" s="222"/>
      <c r="UNG608" s="223"/>
      <c r="UNH608" s="224"/>
      <c r="UNI608" s="222"/>
      <c r="UNJ608" s="222"/>
      <c r="UNK608" s="222"/>
      <c r="UNL608" s="222"/>
      <c r="UNM608" s="222"/>
      <c r="UNN608" s="222"/>
      <c r="UNO608" s="223"/>
      <c r="UNP608" s="224"/>
      <c r="UNQ608" s="222"/>
      <c r="UNR608" s="222"/>
      <c r="UNS608" s="222"/>
      <c r="UNT608" s="222"/>
      <c r="UNU608" s="222"/>
      <c r="UNV608" s="222"/>
      <c r="UNW608" s="223"/>
      <c r="UNX608" s="224"/>
      <c r="UNY608" s="222"/>
      <c r="UNZ608" s="222"/>
      <c r="UOA608" s="222"/>
      <c r="UOB608" s="222"/>
      <c r="UOC608" s="222"/>
      <c r="UOD608" s="222"/>
      <c r="UOE608" s="223"/>
      <c r="UOF608" s="224"/>
      <c r="UOG608" s="222"/>
      <c r="UOH608" s="222"/>
      <c r="UOI608" s="222"/>
      <c r="UOJ608" s="222"/>
      <c r="UOK608" s="222"/>
      <c r="UOL608" s="222"/>
      <c r="UOM608" s="223"/>
      <c r="UON608" s="224"/>
      <c r="UOO608" s="222"/>
      <c r="UOP608" s="222"/>
      <c r="UOQ608" s="222"/>
      <c r="UOR608" s="222"/>
      <c r="UOS608" s="222"/>
      <c r="UOT608" s="222"/>
      <c r="UOU608" s="223"/>
      <c r="UOV608" s="224"/>
      <c r="UOW608" s="222"/>
      <c r="UOX608" s="222"/>
      <c r="UOY608" s="222"/>
      <c r="UOZ608" s="222"/>
      <c r="UPA608" s="222"/>
      <c r="UPB608" s="222"/>
      <c r="UPC608" s="223"/>
      <c r="UPD608" s="224"/>
      <c r="UPE608" s="222"/>
      <c r="UPF608" s="222"/>
      <c r="UPG608" s="222"/>
      <c r="UPH608" s="222"/>
      <c r="UPI608" s="222"/>
      <c r="UPJ608" s="222"/>
      <c r="UPK608" s="223"/>
      <c r="UPL608" s="224"/>
      <c r="UPM608" s="222"/>
      <c r="UPN608" s="222"/>
      <c r="UPO608" s="222"/>
      <c r="UPP608" s="222"/>
      <c r="UPQ608" s="222"/>
      <c r="UPR608" s="222"/>
      <c r="UPS608" s="223"/>
      <c r="UPT608" s="224"/>
      <c r="UPU608" s="222"/>
      <c r="UPV608" s="222"/>
      <c r="UPW608" s="222"/>
      <c r="UPX608" s="222"/>
      <c r="UPY608" s="222"/>
      <c r="UPZ608" s="222"/>
      <c r="UQA608" s="223"/>
      <c r="UQB608" s="224"/>
      <c r="UQC608" s="222"/>
      <c r="UQD608" s="222"/>
      <c r="UQE608" s="222"/>
      <c r="UQF608" s="222"/>
      <c r="UQG608" s="222"/>
      <c r="UQH608" s="222"/>
      <c r="UQI608" s="223"/>
      <c r="UQJ608" s="224"/>
      <c r="UQK608" s="222"/>
      <c r="UQL608" s="222"/>
      <c r="UQM608" s="222"/>
      <c r="UQN608" s="222"/>
      <c r="UQO608" s="222"/>
      <c r="UQP608" s="222"/>
      <c r="UQQ608" s="223"/>
      <c r="UQR608" s="224"/>
      <c r="UQS608" s="222"/>
      <c r="UQT608" s="222"/>
      <c r="UQU608" s="222"/>
      <c r="UQV608" s="222"/>
      <c r="UQW608" s="222"/>
      <c r="UQX608" s="222"/>
      <c r="UQY608" s="223"/>
      <c r="UQZ608" s="224"/>
      <c r="URA608" s="222"/>
      <c r="URB608" s="222"/>
      <c r="URC608" s="222"/>
      <c r="URD608" s="222"/>
      <c r="URE608" s="222"/>
      <c r="URF608" s="222"/>
      <c r="URG608" s="223"/>
      <c r="URH608" s="224"/>
      <c r="URI608" s="222"/>
      <c r="URJ608" s="222"/>
      <c r="URK608" s="222"/>
      <c r="URL608" s="222"/>
      <c r="URM608" s="222"/>
      <c r="URN608" s="222"/>
      <c r="URO608" s="223"/>
      <c r="URP608" s="224"/>
      <c r="URQ608" s="222"/>
      <c r="URR608" s="222"/>
      <c r="URS608" s="222"/>
      <c r="URT608" s="222"/>
      <c r="URU608" s="222"/>
      <c r="URV608" s="222"/>
      <c r="URW608" s="223"/>
      <c r="URX608" s="224"/>
      <c r="URY608" s="222"/>
      <c r="URZ608" s="222"/>
      <c r="USA608" s="222"/>
      <c r="USB608" s="222"/>
      <c r="USC608" s="222"/>
      <c r="USD608" s="222"/>
      <c r="USE608" s="223"/>
      <c r="USF608" s="224"/>
      <c r="USG608" s="222"/>
      <c r="USH608" s="222"/>
      <c r="USI608" s="222"/>
      <c r="USJ608" s="222"/>
      <c r="USK608" s="222"/>
      <c r="USL608" s="222"/>
      <c r="USM608" s="223"/>
      <c r="USN608" s="224"/>
      <c r="USO608" s="222"/>
      <c r="USP608" s="222"/>
      <c r="USQ608" s="222"/>
      <c r="USR608" s="222"/>
      <c r="USS608" s="222"/>
      <c r="UST608" s="222"/>
      <c r="USU608" s="223"/>
      <c r="USV608" s="224"/>
      <c r="USW608" s="222"/>
      <c r="USX608" s="222"/>
      <c r="USY608" s="222"/>
      <c r="USZ608" s="222"/>
      <c r="UTA608" s="222"/>
      <c r="UTB608" s="222"/>
      <c r="UTC608" s="223"/>
      <c r="UTD608" s="224"/>
      <c r="UTE608" s="222"/>
      <c r="UTF608" s="222"/>
      <c r="UTG608" s="222"/>
      <c r="UTH608" s="222"/>
      <c r="UTI608" s="222"/>
      <c r="UTJ608" s="222"/>
      <c r="UTK608" s="223"/>
      <c r="UTL608" s="224"/>
      <c r="UTM608" s="222"/>
      <c r="UTN608" s="222"/>
      <c r="UTO608" s="222"/>
      <c r="UTP608" s="222"/>
      <c r="UTQ608" s="222"/>
      <c r="UTR608" s="222"/>
      <c r="UTS608" s="223"/>
      <c r="UTT608" s="224"/>
      <c r="UTU608" s="222"/>
      <c r="UTV608" s="222"/>
      <c r="UTW608" s="222"/>
      <c r="UTX608" s="222"/>
      <c r="UTY608" s="222"/>
      <c r="UTZ608" s="222"/>
      <c r="UUA608" s="223"/>
      <c r="UUB608" s="224"/>
      <c r="UUC608" s="222"/>
      <c r="UUD608" s="222"/>
      <c r="UUE608" s="222"/>
      <c r="UUF608" s="222"/>
      <c r="UUG608" s="222"/>
      <c r="UUH608" s="222"/>
      <c r="UUI608" s="223"/>
      <c r="UUJ608" s="224"/>
      <c r="UUK608" s="222"/>
      <c r="UUL608" s="222"/>
      <c r="UUM608" s="222"/>
      <c r="UUN608" s="222"/>
      <c r="UUO608" s="222"/>
      <c r="UUP608" s="222"/>
      <c r="UUQ608" s="223"/>
      <c r="UUR608" s="224"/>
      <c r="UUS608" s="222"/>
      <c r="UUT608" s="222"/>
      <c r="UUU608" s="222"/>
      <c r="UUV608" s="222"/>
      <c r="UUW608" s="222"/>
      <c r="UUX608" s="222"/>
      <c r="UUY608" s="223"/>
      <c r="UUZ608" s="224"/>
      <c r="UVA608" s="222"/>
      <c r="UVB608" s="222"/>
      <c r="UVC608" s="222"/>
      <c r="UVD608" s="222"/>
      <c r="UVE608" s="222"/>
      <c r="UVF608" s="222"/>
      <c r="UVG608" s="223"/>
      <c r="UVH608" s="224"/>
      <c r="UVI608" s="222"/>
      <c r="UVJ608" s="222"/>
      <c r="UVK608" s="222"/>
      <c r="UVL608" s="222"/>
      <c r="UVM608" s="222"/>
      <c r="UVN608" s="222"/>
      <c r="UVO608" s="223"/>
      <c r="UVP608" s="224"/>
      <c r="UVQ608" s="222"/>
      <c r="UVR608" s="222"/>
      <c r="UVS608" s="222"/>
      <c r="UVT608" s="222"/>
      <c r="UVU608" s="222"/>
      <c r="UVV608" s="222"/>
      <c r="UVW608" s="223"/>
      <c r="UVX608" s="224"/>
      <c r="UVY608" s="222"/>
      <c r="UVZ608" s="222"/>
      <c r="UWA608" s="222"/>
      <c r="UWB608" s="222"/>
      <c r="UWC608" s="222"/>
      <c r="UWD608" s="222"/>
      <c r="UWE608" s="223"/>
      <c r="UWF608" s="224"/>
      <c r="UWG608" s="222"/>
      <c r="UWH608" s="222"/>
      <c r="UWI608" s="222"/>
      <c r="UWJ608" s="222"/>
      <c r="UWK608" s="222"/>
      <c r="UWL608" s="222"/>
      <c r="UWM608" s="223"/>
      <c r="UWN608" s="224"/>
      <c r="UWO608" s="222"/>
      <c r="UWP608" s="222"/>
      <c r="UWQ608" s="222"/>
      <c r="UWR608" s="222"/>
      <c r="UWS608" s="222"/>
      <c r="UWT608" s="222"/>
      <c r="UWU608" s="223"/>
      <c r="UWV608" s="224"/>
      <c r="UWW608" s="222"/>
      <c r="UWX608" s="222"/>
      <c r="UWY608" s="222"/>
      <c r="UWZ608" s="222"/>
      <c r="UXA608" s="222"/>
      <c r="UXB608" s="222"/>
      <c r="UXC608" s="223"/>
      <c r="UXD608" s="224"/>
      <c r="UXE608" s="222"/>
      <c r="UXF608" s="222"/>
      <c r="UXG608" s="222"/>
      <c r="UXH608" s="222"/>
      <c r="UXI608" s="222"/>
      <c r="UXJ608" s="222"/>
      <c r="UXK608" s="223"/>
      <c r="UXL608" s="224"/>
      <c r="UXM608" s="222"/>
      <c r="UXN608" s="222"/>
      <c r="UXO608" s="222"/>
      <c r="UXP608" s="222"/>
      <c r="UXQ608" s="222"/>
      <c r="UXR608" s="222"/>
      <c r="UXS608" s="223"/>
      <c r="UXT608" s="224"/>
      <c r="UXU608" s="222"/>
      <c r="UXV608" s="222"/>
      <c r="UXW608" s="222"/>
      <c r="UXX608" s="222"/>
      <c r="UXY608" s="222"/>
      <c r="UXZ608" s="222"/>
      <c r="UYA608" s="223"/>
      <c r="UYB608" s="224"/>
      <c r="UYC608" s="222"/>
      <c r="UYD608" s="222"/>
      <c r="UYE608" s="222"/>
      <c r="UYF608" s="222"/>
      <c r="UYG608" s="222"/>
      <c r="UYH608" s="222"/>
      <c r="UYI608" s="223"/>
      <c r="UYJ608" s="224"/>
      <c r="UYK608" s="222"/>
      <c r="UYL608" s="222"/>
      <c r="UYM608" s="222"/>
      <c r="UYN608" s="222"/>
      <c r="UYO608" s="222"/>
      <c r="UYP608" s="222"/>
      <c r="UYQ608" s="223"/>
      <c r="UYR608" s="224"/>
      <c r="UYS608" s="222"/>
      <c r="UYT608" s="222"/>
      <c r="UYU608" s="222"/>
      <c r="UYV608" s="222"/>
      <c r="UYW608" s="222"/>
      <c r="UYX608" s="222"/>
      <c r="UYY608" s="223"/>
      <c r="UYZ608" s="224"/>
      <c r="UZA608" s="222"/>
      <c r="UZB608" s="222"/>
      <c r="UZC608" s="222"/>
      <c r="UZD608" s="222"/>
      <c r="UZE608" s="222"/>
      <c r="UZF608" s="222"/>
      <c r="UZG608" s="223"/>
      <c r="UZH608" s="224"/>
      <c r="UZI608" s="222"/>
      <c r="UZJ608" s="222"/>
      <c r="UZK608" s="222"/>
      <c r="UZL608" s="222"/>
      <c r="UZM608" s="222"/>
      <c r="UZN608" s="222"/>
      <c r="UZO608" s="223"/>
      <c r="UZP608" s="224"/>
      <c r="UZQ608" s="222"/>
      <c r="UZR608" s="222"/>
      <c r="UZS608" s="222"/>
      <c r="UZT608" s="222"/>
      <c r="UZU608" s="222"/>
      <c r="UZV608" s="222"/>
      <c r="UZW608" s="223"/>
      <c r="UZX608" s="224"/>
      <c r="UZY608" s="222"/>
      <c r="UZZ608" s="222"/>
      <c r="VAA608" s="222"/>
      <c r="VAB608" s="222"/>
      <c r="VAC608" s="222"/>
      <c r="VAD608" s="222"/>
      <c r="VAE608" s="223"/>
      <c r="VAF608" s="224"/>
      <c r="VAG608" s="222"/>
      <c r="VAH608" s="222"/>
      <c r="VAI608" s="222"/>
      <c r="VAJ608" s="222"/>
      <c r="VAK608" s="222"/>
      <c r="VAL608" s="222"/>
      <c r="VAM608" s="223"/>
      <c r="VAN608" s="224"/>
      <c r="VAO608" s="222"/>
      <c r="VAP608" s="222"/>
      <c r="VAQ608" s="222"/>
      <c r="VAR608" s="222"/>
      <c r="VAS608" s="222"/>
      <c r="VAT608" s="222"/>
      <c r="VAU608" s="223"/>
      <c r="VAV608" s="224"/>
      <c r="VAW608" s="222"/>
      <c r="VAX608" s="222"/>
      <c r="VAY608" s="222"/>
      <c r="VAZ608" s="222"/>
      <c r="VBA608" s="222"/>
      <c r="VBB608" s="222"/>
      <c r="VBC608" s="223"/>
      <c r="VBD608" s="224"/>
      <c r="VBE608" s="222"/>
      <c r="VBF608" s="222"/>
      <c r="VBG608" s="222"/>
      <c r="VBH608" s="222"/>
      <c r="VBI608" s="222"/>
      <c r="VBJ608" s="222"/>
      <c r="VBK608" s="223"/>
      <c r="VBL608" s="224"/>
      <c r="VBM608" s="222"/>
      <c r="VBN608" s="222"/>
      <c r="VBO608" s="222"/>
      <c r="VBP608" s="222"/>
      <c r="VBQ608" s="222"/>
      <c r="VBR608" s="222"/>
      <c r="VBS608" s="223"/>
      <c r="VBT608" s="224"/>
      <c r="VBU608" s="222"/>
      <c r="VBV608" s="222"/>
      <c r="VBW608" s="222"/>
      <c r="VBX608" s="222"/>
      <c r="VBY608" s="222"/>
      <c r="VBZ608" s="222"/>
      <c r="VCA608" s="223"/>
      <c r="VCB608" s="224"/>
      <c r="VCC608" s="222"/>
      <c r="VCD608" s="222"/>
      <c r="VCE608" s="222"/>
      <c r="VCF608" s="222"/>
      <c r="VCG608" s="222"/>
      <c r="VCH608" s="222"/>
      <c r="VCI608" s="223"/>
      <c r="VCJ608" s="224"/>
      <c r="VCK608" s="222"/>
      <c r="VCL608" s="222"/>
      <c r="VCM608" s="222"/>
      <c r="VCN608" s="222"/>
      <c r="VCO608" s="222"/>
      <c r="VCP608" s="222"/>
      <c r="VCQ608" s="223"/>
      <c r="VCR608" s="224"/>
      <c r="VCS608" s="222"/>
      <c r="VCT608" s="222"/>
      <c r="VCU608" s="222"/>
      <c r="VCV608" s="222"/>
      <c r="VCW608" s="222"/>
      <c r="VCX608" s="222"/>
      <c r="VCY608" s="223"/>
      <c r="VCZ608" s="224"/>
      <c r="VDA608" s="222"/>
      <c r="VDB608" s="222"/>
      <c r="VDC608" s="222"/>
      <c r="VDD608" s="222"/>
      <c r="VDE608" s="222"/>
      <c r="VDF608" s="222"/>
      <c r="VDG608" s="223"/>
      <c r="VDH608" s="224"/>
      <c r="VDI608" s="222"/>
      <c r="VDJ608" s="222"/>
      <c r="VDK608" s="222"/>
      <c r="VDL608" s="222"/>
      <c r="VDM608" s="222"/>
      <c r="VDN608" s="222"/>
      <c r="VDO608" s="223"/>
      <c r="VDP608" s="224"/>
      <c r="VDQ608" s="222"/>
      <c r="VDR608" s="222"/>
      <c r="VDS608" s="222"/>
      <c r="VDT608" s="222"/>
      <c r="VDU608" s="222"/>
      <c r="VDV608" s="222"/>
      <c r="VDW608" s="223"/>
      <c r="VDX608" s="224"/>
      <c r="VDY608" s="222"/>
      <c r="VDZ608" s="222"/>
      <c r="VEA608" s="222"/>
      <c r="VEB608" s="222"/>
      <c r="VEC608" s="222"/>
      <c r="VED608" s="222"/>
      <c r="VEE608" s="223"/>
      <c r="VEF608" s="224"/>
      <c r="VEG608" s="222"/>
      <c r="VEH608" s="222"/>
      <c r="VEI608" s="222"/>
      <c r="VEJ608" s="222"/>
      <c r="VEK608" s="222"/>
      <c r="VEL608" s="222"/>
      <c r="VEM608" s="223"/>
      <c r="VEN608" s="224"/>
      <c r="VEO608" s="222"/>
      <c r="VEP608" s="222"/>
      <c r="VEQ608" s="222"/>
      <c r="VER608" s="222"/>
      <c r="VES608" s="222"/>
      <c r="VET608" s="222"/>
      <c r="VEU608" s="223"/>
      <c r="VEV608" s="224"/>
      <c r="VEW608" s="222"/>
      <c r="VEX608" s="222"/>
      <c r="VEY608" s="222"/>
      <c r="VEZ608" s="222"/>
      <c r="VFA608" s="222"/>
      <c r="VFB608" s="222"/>
      <c r="VFC608" s="223"/>
      <c r="VFD608" s="224"/>
      <c r="VFE608" s="222"/>
      <c r="VFF608" s="222"/>
      <c r="VFG608" s="222"/>
      <c r="VFH608" s="222"/>
      <c r="VFI608" s="222"/>
      <c r="VFJ608" s="222"/>
      <c r="VFK608" s="223"/>
      <c r="VFL608" s="224"/>
      <c r="VFM608" s="222"/>
      <c r="VFN608" s="222"/>
      <c r="VFO608" s="222"/>
      <c r="VFP608" s="222"/>
      <c r="VFQ608" s="222"/>
      <c r="VFR608" s="222"/>
      <c r="VFS608" s="223"/>
      <c r="VFT608" s="224"/>
      <c r="VFU608" s="222"/>
      <c r="VFV608" s="222"/>
      <c r="VFW608" s="222"/>
      <c r="VFX608" s="222"/>
      <c r="VFY608" s="222"/>
      <c r="VFZ608" s="222"/>
      <c r="VGA608" s="223"/>
      <c r="VGB608" s="224"/>
      <c r="VGC608" s="222"/>
      <c r="VGD608" s="222"/>
      <c r="VGE608" s="222"/>
      <c r="VGF608" s="222"/>
      <c r="VGG608" s="222"/>
      <c r="VGH608" s="222"/>
      <c r="VGI608" s="223"/>
      <c r="VGJ608" s="224"/>
      <c r="VGK608" s="222"/>
      <c r="VGL608" s="222"/>
      <c r="VGM608" s="222"/>
      <c r="VGN608" s="222"/>
      <c r="VGO608" s="222"/>
      <c r="VGP608" s="222"/>
      <c r="VGQ608" s="223"/>
      <c r="VGR608" s="224"/>
      <c r="VGS608" s="222"/>
      <c r="VGT608" s="222"/>
      <c r="VGU608" s="222"/>
      <c r="VGV608" s="222"/>
      <c r="VGW608" s="222"/>
      <c r="VGX608" s="222"/>
      <c r="VGY608" s="223"/>
      <c r="VGZ608" s="224"/>
      <c r="VHA608" s="222"/>
      <c r="VHB608" s="222"/>
      <c r="VHC608" s="222"/>
      <c r="VHD608" s="222"/>
      <c r="VHE608" s="222"/>
      <c r="VHF608" s="222"/>
      <c r="VHG608" s="223"/>
      <c r="VHH608" s="224"/>
      <c r="VHI608" s="222"/>
      <c r="VHJ608" s="222"/>
      <c r="VHK608" s="222"/>
      <c r="VHL608" s="222"/>
      <c r="VHM608" s="222"/>
      <c r="VHN608" s="222"/>
      <c r="VHO608" s="223"/>
      <c r="VHP608" s="224"/>
      <c r="VHQ608" s="222"/>
      <c r="VHR608" s="222"/>
      <c r="VHS608" s="222"/>
      <c r="VHT608" s="222"/>
      <c r="VHU608" s="222"/>
      <c r="VHV608" s="222"/>
      <c r="VHW608" s="223"/>
      <c r="VHX608" s="224"/>
      <c r="VHY608" s="222"/>
      <c r="VHZ608" s="222"/>
      <c r="VIA608" s="222"/>
      <c r="VIB608" s="222"/>
      <c r="VIC608" s="222"/>
      <c r="VID608" s="222"/>
      <c r="VIE608" s="223"/>
      <c r="VIF608" s="224"/>
      <c r="VIG608" s="222"/>
      <c r="VIH608" s="222"/>
      <c r="VII608" s="222"/>
      <c r="VIJ608" s="222"/>
      <c r="VIK608" s="222"/>
      <c r="VIL608" s="222"/>
      <c r="VIM608" s="223"/>
      <c r="VIN608" s="224"/>
      <c r="VIO608" s="222"/>
      <c r="VIP608" s="222"/>
      <c r="VIQ608" s="222"/>
      <c r="VIR608" s="222"/>
      <c r="VIS608" s="222"/>
      <c r="VIT608" s="222"/>
      <c r="VIU608" s="223"/>
      <c r="VIV608" s="224"/>
      <c r="VIW608" s="222"/>
      <c r="VIX608" s="222"/>
      <c r="VIY608" s="222"/>
      <c r="VIZ608" s="222"/>
      <c r="VJA608" s="222"/>
      <c r="VJB608" s="222"/>
      <c r="VJC608" s="223"/>
      <c r="VJD608" s="224"/>
      <c r="VJE608" s="222"/>
      <c r="VJF608" s="222"/>
      <c r="VJG608" s="222"/>
      <c r="VJH608" s="222"/>
      <c r="VJI608" s="222"/>
      <c r="VJJ608" s="222"/>
      <c r="VJK608" s="223"/>
      <c r="VJL608" s="224"/>
      <c r="VJM608" s="222"/>
      <c r="VJN608" s="222"/>
      <c r="VJO608" s="222"/>
      <c r="VJP608" s="222"/>
      <c r="VJQ608" s="222"/>
      <c r="VJR608" s="222"/>
      <c r="VJS608" s="223"/>
      <c r="VJT608" s="224"/>
      <c r="VJU608" s="222"/>
      <c r="VJV608" s="222"/>
      <c r="VJW608" s="222"/>
      <c r="VJX608" s="222"/>
      <c r="VJY608" s="222"/>
      <c r="VJZ608" s="222"/>
      <c r="VKA608" s="223"/>
      <c r="VKB608" s="224"/>
      <c r="VKC608" s="222"/>
      <c r="VKD608" s="222"/>
      <c r="VKE608" s="222"/>
      <c r="VKF608" s="222"/>
      <c r="VKG608" s="222"/>
      <c r="VKH608" s="222"/>
      <c r="VKI608" s="223"/>
      <c r="VKJ608" s="224"/>
      <c r="VKK608" s="222"/>
      <c r="VKL608" s="222"/>
      <c r="VKM608" s="222"/>
      <c r="VKN608" s="222"/>
      <c r="VKO608" s="222"/>
      <c r="VKP608" s="222"/>
      <c r="VKQ608" s="223"/>
      <c r="VKR608" s="224"/>
      <c r="VKS608" s="222"/>
      <c r="VKT608" s="222"/>
      <c r="VKU608" s="222"/>
      <c r="VKV608" s="222"/>
      <c r="VKW608" s="222"/>
      <c r="VKX608" s="222"/>
      <c r="VKY608" s="223"/>
      <c r="VKZ608" s="224"/>
      <c r="VLA608" s="222"/>
      <c r="VLB608" s="222"/>
      <c r="VLC608" s="222"/>
      <c r="VLD608" s="222"/>
      <c r="VLE608" s="222"/>
      <c r="VLF608" s="222"/>
      <c r="VLG608" s="223"/>
      <c r="VLH608" s="224"/>
      <c r="VLI608" s="222"/>
      <c r="VLJ608" s="222"/>
      <c r="VLK608" s="222"/>
      <c r="VLL608" s="222"/>
      <c r="VLM608" s="222"/>
      <c r="VLN608" s="222"/>
      <c r="VLO608" s="223"/>
      <c r="VLP608" s="224"/>
      <c r="VLQ608" s="222"/>
      <c r="VLR608" s="222"/>
      <c r="VLS608" s="222"/>
      <c r="VLT608" s="222"/>
      <c r="VLU608" s="222"/>
      <c r="VLV608" s="222"/>
      <c r="VLW608" s="223"/>
      <c r="VLX608" s="224"/>
      <c r="VLY608" s="222"/>
      <c r="VLZ608" s="222"/>
      <c r="VMA608" s="222"/>
      <c r="VMB608" s="222"/>
      <c r="VMC608" s="222"/>
      <c r="VMD608" s="222"/>
      <c r="VME608" s="223"/>
      <c r="VMF608" s="224"/>
      <c r="VMG608" s="222"/>
      <c r="VMH608" s="222"/>
      <c r="VMI608" s="222"/>
      <c r="VMJ608" s="222"/>
      <c r="VMK608" s="222"/>
      <c r="VML608" s="222"/>
      <c r="VMM608" s="223"/>
      <c r="VMN608" s="224"/>
      <c r="VMO608" s="222"/>
      <c r="VMP608" s="222"/>
      <c r="VMQ608" s="222"/>
      <c r="VMR608" s="222"/>
      <c r="VMS608" s="222"/>
      <c r="VMT608" s="222"/>
      <c r="VMU608" s="223"/>
      <c r="VMV608" s="224"/>
      <c r="VMW608" s="222"/>
      <c r="VMX608" s="222"/>
      <c r="VMY608" s="222"/>
      <c r="VMZ608" s="222"/>
      <c r="VNA608" s="222"/>
      <c r="VNB608" s="222"/>
      <c r="VNC608" s="223"/>
      <c r="VND608" s="224"/>
      <c r="VNE608" s="222"/>
      <c r="VNF608" s="222"/>
      <c r="VNG608" s="222"/>
      <c r="VNH608" s="222"/>
      <c r="VNI608" s="222"/>
      <c r="VNJ608" s="222"/>
      <c r="VNK608" s="223"/>
      <c r="VNL608" s="224"/>
      <c r="VNM608" s="222"/>
      <c r="VNN608" s="222"/>
      <c r="VNO608" s="222"/>
      <c r="VNP608" s="222"/>
      <c r="VNQ608" s="222"/>
      <c r="VNR608" s="222"/>
      <c r="VNS608" s="223"/>
      <c r="VNT608" s="224"/>
      <c r="VNU608" s="222"/>
      <c r="VNV608" s="222"/>
      <c r="VNW608" s="222"/>
      <c r="VNX608" s="222"/>
      <c r="VNY608" s="222"/>
      <c r="VNZ608" s="222"/>
      <c r="VOA608" s="223"/>
      <c r="VOB608" s="224"/>
      <c r="VOC608" s="222"/>
      <c r="VOD608" s="222"/>
      <c r="VOE608" s="222"/>
      <c r="VOF608" s="222"/>
      <c r="VOG608" s="222"/>
      <c r="VOH608" s="222"/>
      <c r="VOI608" s="223"/>
      <c r="VOJ608" s="224"/>
      <c r="VOK608" s="222"/>
      <c r="VOL608" s="222"/>
      <c r="VOM608" s="222"/>
      <c r="VON608" s="222"/>
      <c r="VOO608" s="222"/>
      <c r="VOP608" s="222"/>
      <c r="VOQ608" s="223"/>
      <c r="VOR608" s="224"/>
      <c r="VOS608" s="222"/>
      <c r="VOT608" s="222"/>
      <c r="VOU608" s="222"/>
      <c r="VOV608" s="222"/>
      <c r="VOW608" s="222"/>
      <c r="VOX608" s="222"/>
      <c r="VOY608" s="223"/>
      <c r="VOZ608" s="224"/>
      <c r="VPA608" s="222"/>
      <c r="VPB608" s="222"/>
      <c r="VPC608" s="222"/>
      <c r="VPD608" s="222"/>
      <c r="VPE608" s="222"/>
      <c r="VPF608" s="222"/>
      <c r="VPG608" s="223"/>
      <c r="VPH608" s="224"/>
      <c r="VPI608" s="222"/>
      <c r="VPJ608" s="222"/>
      <c r="VPK608" s="222"/>
      <c r="VPL608" s="222"/>
      <c r="VPM608" s="222"/>
      <c r="VPN608" s="222"/>
      <c r="VPO608" s="223"/>
      <c r="VPP608" s="224"/>
      <c r="VPQ608" s="222"/>
      <c r="VPR608" s="222"/>
      <c r="VPS608" s="222"/>
      <c r="VPT608" s="222"/>
      <c r="VPU608" s="222"/>
      <c r="VPV608" s="222"/>
      <c r="VPW608" s="223"/>
      <c r="VPX608" s="224"/>
      <c r="VPY608" s="222"/>
      <c r="VPZ608" s="222"/>
      <c r="VQA608" s="222"/>
      <c r="VQB608" s="222"/>
      <c r="VQC608" s="222"/>
      <c r="VQD608" s="222"/>
      <c r="VQE608" s="223"/>
      <c r="VQF608" s="224"/>
      <c r="VQG608" s="222"/>
      <c r="VQH608" s="222"/>
      <c r="VQI608" s="222"/>
      <c r="VQJ608" s="222"/>
      <c r="VQK608" s="222"/>
      <c r="VQL608" s="222"/>
      <c r="VQM608" s="223"/>
      <c r="VQN608" s="224"/>
      <c r="VQO608" s="222"/>
      <c r="VQP608" s="222"/>
      <c r="VQQ608" s="222"/>
      <c r="VQR608" s="222"/>
      <c r="VQS608" s="222"/>
      <c r="VQT608" s="222"/>
      <c r="VQU608" s="223"/>
      <c r="VQV608" s="224"/>
      <c r="VQW608" s="222"/>
      <c r="VQX608" s="222"/>
      <c r="VQY608" s="222"/>
      <c r="VQZ608" s="222"/>
      <c r="VRA608" s="222"/>
      <c r="VRB608" s="222"/>
      <c r="VRC608" s="223"/>
      <c r="VRD608" s="224"/>
      <c r="VRE608" s="222"/>
      <c r="VRF608" s="222"/>
      <c r="VRG608" s="222"/>
      <c r="VRH608" s="222"/>
      <c r="VRI608" s="222"/>
      <c r="VRJ608" s="222"/>
      <c r="VRK608" s="223"/>
      <c r="VRL608" s="224"/>
      <c r="VRM608" s="222"/>
      <c r="VRN608" s="222"/>
      <c r="VRO608" s="222"/>
      <c r="VRP608" s="222"/>
      <c r="VRQ608" s="222"/>
      <c r="VRR608" s="222"/>
      <c r="VRS608" s="223"/>
      <c r="VRT608" s="224"/>
      <c r="VRU608" s="222"/>
      <c r="VRV608" s="222"/>
      <c r="VRW608" s="222"/>
      <c r="VRX608" s="222"/>
      <c r="VRY608" s="222"/>
      <c r="VRZ608" s="222"/>
      <c r="VSA608" s="223"/>
      <c r="VSB608" s="224"/>
      <c r="VSC608" s="222"/>
      <c r="VSD608" s="222"/>
      <c r="VSE608" s="222"/>
      <c r="VSF608" s="222"/>
      <c r="VSG608" s="222"/>
      <c r="VSH608" s="222"/>
      <c r="VSI608" s="223"/>
      <c r="VSJ608" s="224"/>
      <c r="VSK608" s="222"/>
      <c r="VSL608" s="222"/>
      <c r="VSM608" s="222"/>
      <c r="VSN608" s="222"/>
      <c r="VSO608" s="222"/>
      <c r="VSP608" s="222"/>
      <c r="VSQ608" s="223"/>
      <c r="VSR608" s="224"/>
      <c r="VSS608" s="222"/>
      <c r="VST608" s="222"/>
      <c r="VSU608" s="222"/>
      <c r="VSV608" s="222"/>
      <c r="VSW608" s="222"/>
      <c r="VSX608" s="222"/>
      <c r="VSY608" s="223"/>
      <c r="VSZ608" s="224"/>
      <c r="VTA608" s="222"/>
      <c r="VTB608" s="222"/>
      <c r="VTC608" s="222"/>
      <c r="VTD608" s="222"/>
      <c r="VTE608" s="222"/>
      <c r="VTF608" s="222"/>
      <c r="VTG608" s="223"/>
      <c r="VTH608" s="224"/>
      <c r="VTI608" s="222"/>
      <c r="VTJ608" s="222"/>
      <c r="VTK608" s="222"/>
      <c r="VTL608" s="222"/>
      <c r="VTM608" s="222"/>
      <c r="VTN608" s="222"/>
      <c r="VTO608" s="223"/>
      <c r="VTP608" s="224"/>
      <c r="VTQ608" s="222"/>
      <c r="VTR608" s="222"/>
      <c r="VTS608" s="222"/>
      <c r="VTT608" s="222"/>
      <c r="VTU608" s="222"/>
      <c r="VTV608" s="222"/>
      <c r="VTW608" s="223"/>
      <c r="VTX608" s="224"/>
      <c r="VTY608" s="222"/>
      <c r="VTZ608" s="222"/>
      <c r="VUA608" s="222"/>
      <c r="VUB608" s="222"/>
      <c r="VUC608" s="222"/>
      <c r="VUD608" s="222"/>
      <c r="VUE608" s="223"/>
      <c r="VUF608" s="224"/>
      <c r="VUG608" s="222"/>
      <c r="VUH608" s="222"/>
      <c r="VUI608" s="222"/>
      <c r="VUJ608" s="222"/>
      <c r="VUK608" s="222"/>
      <c r="VUL608" s="222"/>
      <c r="VUM608" s="223"/>
      <c r="VUN608" s="224"/>
      <c r="VUO608" s="222"/>
      <c r="VUP608" s="222"/>
      <c r="VUQ608" s="222"/>
      <c r="VUR608" s="222"/>
      <c r="VUS608" s="222"/>
      <c r="VUT608" s="222"/>
      <c r="VUU608" s="223"/>
      <c r="VUV608" s="224"/>
      <c r="VUW608" s="222"/>
      <c r="VUX608" s="222"/>
      <c r="VUY608" s="222"/>
      <c r="VUZ608" s="222"/>
      <c r="VVA608" s="222"/>
      <c r="VVB608" s="222"/>
      <c r="VVC608" s="223"/>
      <c r="VVD608" s="224"/>
      <c r="VVE608" s="222"/>
      <c r="VVF608" s="222"/>
      <c r="VVG608" s="222"/>
      <c r="VVH608" s="222"/>
      <c r="VVI608" s="222"/>
      <c r="VVJ608" s="222"/>
      <c r="VVK608" s="223"/>
      <c r="VVL608" s="224"/>
      <c r="VVM608" s="222"/>
      <c r="VVN608" s="222"/>
      <c r="VVO608" s="222"/>
      <c r="VVP608" s="222"/>
      <c r="VVQ608" s="222"/>
      <c r="VVR608" s="222"/>
      <c r="VVS608" s="223"/>
      <c r="VVT608" s="224"/>
      <c r="VVU608" s="222"/>
      <c r="VVV608" s="222"/>
      <c r="VVW608" s="222"/>
      <c r="VVX608" s="222"/>
      <c r="VVY608" s="222"/>
      <c r="VVZ608" s="222"/>
      <c r="VWA608" s="223"/>
      <c r="VWB608" s="224"/>
      <c r="VWC608" s="222"/>
      <c r="VWD608" s="222"/>
      <c r="VWE608" s="222"/>
      <c r="VWF608" s="222"/>
      <c r="VWG608" s="222"/>
      <c r="VWH608" s="222"/>
      <c r="VWI608" s="223"/>
      <c r="VWJ608" s="224"/>
      <c r="VWK608" s="222"/>
      <c r="VWL608" s="222"/>
      <c r="VWM608" s="222"/>
      <c r="VWN608" s="222"/>
      <c r="VWO608" s="222"/>
      <c r="VWP608" s="222"/>
      <c r="VWQ608" s="223"/>
      <c r="VWR608" s="224"/>
      <c r="VWS608" s="222"/>
      <c r="VWT608" s="222"/>
      <c r="VWU608" s="222"/>
      <c r="VWV608" s="222"/>
      <c r="VWW608" s="222"/>
      <c r="VWX608" s="222"/>
      <c r="VWY608" s="223"/>
      <c r="VWZ608" s="224"/>
      <c r="VXA608" s="222"/>
      <c r="VXB608" s="222"/>
      <c r="VXC608" s="222"/>
      <c r="VXD608" s="222"/>
      <c r="VXE608" s="222"/>
      <c r="VXF608" s="222"/>
      <c r="VXG608" s="223"/>
      <c r="VXH608" s="224"/>
      <c r="VXI608" s="222"/>
      <c r="VXJ608" s="222"/>
      <c r="VXK608" s="222"/>
      <c r="VXL608" s="222"/>
      <c r="VXM608" s="222"/>
      <c r="VXN608" s="222"/>
      <c r="VXO608" s="223"/>
      <c r="VXP608" s="224"/>
      <c r="VXQ608" s="222"/>
      <c r="VXR608" s="222"/>
      <c r="VXS608" s="222"/>
      <c r="VXT608" s="222"/>
      <c r="VXU608" s="222"/>
      <c r="VXV608" s="222"/>
      <c r="VXW608" s="223"/>
      <c r="VXX608" s="224"/>
      <c r="VXY608" s="222"/>
      <c r="VXZ608" s="222"/>
      <c r="VYA608" s="222"/>
      <c r="VYB608" s="222"/>
      <c r="VYC608" s="222"/>
      <c r="VYD608" s="222"/>
      <c r="VYE608" s="223"/>
      <c r="VYF608" s="224"/>
      <c r="VYG608" s="222"/>
      <c r="VYH608" s="222"/>
      <c r="VYI608" s="222"/>
      <c r="VYJ608" s="222"/>
      <c r="VYK608" s="222"/>
      <c r="VYL608" s="222"/>
      <c r="VYM608" s="223"/>
      <c r="VYN608" s="224"/>
      <c r="VYO608" s="222"/>
      <c r="VYP608" s="222"/>
      <c r="VYQ608" s="222"/>
      <c r="VYR608" s="222"/>
      <c r="VYS608" s="222"/>
      <c r="VYT608" s="222"/>
      <c r="VYU608" s="223"/>
      <c r="VYV608" s="224"/>
      <c r="VYW608" s="222"/>
      <c r="VYX608" s="222"/>
      <c r="VYY608" s="222"/>
      <c r="VYZ608" s="222"/>
      <c r="VZA608" s="222"/>
      <c r="VZB608" s="222"/>
      <c r="VZC608" s="223"/>
      <c r="VZD608" s="224"/>
      <c r="VZE608" s="222"/>
      <c r="VZF608" s="222"/>
      <c r="VZG608" s="222"/>
      <c r="VZH608" s="222"/>
      <c r="VZI608" s="222"/>
      <c r="VZJ608" s="222"/>
      <c r="VZK608" s="223"/>
      <c r="VZL608" s="224"/>
      <c r="VZM608" s="222"/>
      <c r="VZN608" s="222"/>
      <c r="VZO608" s="222"/>
      <c r="VZP608" s="222"/>
      <c r="VZQ608" s="222"/>
      <c r="VZR608" s="222"/>
      <c r="VZS608" s="223"/>
      <c r="VZT608" s="224"/>
      <c r="VZU608" s="222"/>
      <c r="VZV608" s="222"/>
      <c r="VZW608" s="222"/>
      <c r="VZX608" s="222"/>
      <c r="VZY608" s="222"/>
      <c r="VZZ608" s="222"/>
      <c r="WAA608" s="223"/>
      <c r="WAB608" s="224"/>
      <c r="WAC608" s="222"/>
      <c r="WAD608" s="222"/>
      <c r="WAE608" s="222"/>
      <c r="WAF608" s="222"/>
      <c r="WAG608" s="222"/>
      <c r="WAH608" s="222"/>
      <c r="WAI608" s="223"/>
      <c r="WAJ608" s="224"/>
      <c r="WAK608" s="222"/>
      <c r="WAL608" s="222"/>
      <c r="WAM608" s="222"/>
      <c r="WAN608" s="222"/>
      <c r="WAO608" s="222"/>
      <c r="WAP608" s="222"/>
      <c r="WAQ608" s="223"/>
      <c r="WAR608" s="224"/>
      <c r="WAS608" s="222"/>
      <c r="WAT608" s="222"/>
      <c r="WAU608" s="222"/>
      <c r="WAV608" s="222"/>
      <c r="WAW608" s="222"/>
      <c r="WAX608" s="222"/>
      <c r="WAY608" s="223"/>
      <c r="WAZ608" s="224"/>
      <c r="WBA608" s="222"/>
      <c r="WBB608" s="222"/>
      <c r="WBC608" s="222"/>
      <c r="WBD608" s="222"/>
      <c r="WBE608" s="222"/>
      <c r="WBF608" s="222"/>
      <c r="WBG608" s="223"/>
      <c r="WBH608" s="224"/>
      <c r="WBI608" s="222"/>
      <c r="WBJ608" s="222"/>
      <c r="WBK608" s="222"/>
      <c r="WBL608" s="222"/>
      <c r="WBM608" s="222"/>
      <c r="WBN608" s="222"/>
      <c r="WBO608" s="223"/>
      <c r="WBP608" s="224"/>
      <c r="WBQ608" s="222"/>
      <c r="WBR608" s="222"/>
      <c r="WBS608" s="222"/>
      <c r="WBT608" s="222"/>
      <c r="WBU608" s="222"/>
      <c r="WBV608" s="222"/>
      <c r="WBW608" s="223"/>
      <c r="WBX608" s="224"/>
      <c r="WBY608" s="222"/>
      <c r="WBZ608" s="222"/>
      <c r="WCA608" s="222"/>
      <c r="WCB608" s="222"/>
      <c r="WCC608" s="222"/>
      <c r="WCD608" s="222"/>
      <c r="WCE608" s="223"/>
      <c r="WCF608" s="224"/>
      <c r="WCG608" s="222"/>
      <c r="WCH608" s="222"/>
      <c r="WCI608" s="222"/>
      <c r="WCJ608" s="222"/>
      <c r="WCK608" s="222"/>
      <c r="WCL608" s="222"/>
      <c r="WCM608" s="223"/>
      <c r="WCN608" s="224"/>
      <c r="WCO608" s="222"/>
      <c r="WCP608" s="222"/>
      <c r="WCQ608" s="222"/>
      <c r="WCR608" s="222"/>
      <c r="WCS608" s="222"/>
      <c r="WCT608" s="222"/>
      <c r="WCU608" s="223"/>
      <c r="WCV608" s="224"/>
      <c r="WCW608" s="222"/>
      <c r="WCX608" s="222"/>
      <c r="WCY608" s="222"/>
      <c r="WCZ608" s="222"/>
      <c r="WDA608" s="222"/>
      <c r="WDB608" s="222"/>
      <c r="WDC608" s="223"/>
      <c r="WDD608" s="224"/>
      <c r="WDE608" s="222"/>
      <c r="WDF608" s="222"/>
      <c r="WDG608" s="222"/>
      <c r="WDH608" s="222"/>
      <c r="WDI608" s="222"/>
      <c r="WDJ608" s="222"/>
      <c r="WDK608" s="223"/>
      <c r="WDL608" s="224"/>
      <c r="WDM608" s="222"/>
      <c r="WDN608" s="222"/>
      <c r="WDO608" s="222"/>
      <c r="WDP608" s="222"/>
      <c r="WDQ608" s="222"/>
      <c r="WDR608" s="222"/>
      <c r="WDS608" s="223"/>
      <c r="WDT608" s="224"/>
      <c r="WDU608" s="222"/>
      <c r="WDV608" s="222"/>
      <c r="WDW608" s="222"/>
      <c r="WDX608" s="222"/>
      <c r="WDY608" s="222"/>
      <c r="WDZ608" s="222"/>
      <c r="WEA608" s="223"/>
      <c r="WEB608" s="224"/>
      <c r="WEC608" s="222"/>
      <c r="WED608" s="222"/>
      <c r="WEE608" s="222"/>
      <c r="WEF608" s="222"/>
      <c r="WEG608" s="222"/>
      <c r="WEH608" s="222"/>
      <c r="WEI608" s="223"/>
      <c r="WEJ608" s="224"/>
      <c r="WEK608" s="222"/>
      <c r="WEL608" s="222"/>
      <c r="WEM608" s="222"/>
      <c r="WEN608" s="222"/>
      <c r="WEO608" s="222"/>
      <c r="WEP608" s="222"/>
      <c r="WEQ608" s="223"/>
      <c r="WER608" s="224"/>
      <c r="WES608" s="222"/>
      <c r="WET608" s="222"/>
      <c r="WEU608" s="222"/>
      <c r="WEV608" s="222"/>
      <c r="WEW608" s="222"/>
      <c r="WEX608" s="222"/>
      <c r="WEY608" s="223"/>
      <c r="WEZ608" s="224"/>
      <c r="WFA608" s="222"/>
      <c r="WFB608" s="222"/>
      <c r="WFC608" s="222"/>
      <c r="WFD608" s="222"/>
      <c r="WFE608" s="222"/>
      <c r="WFF608" s="222"/>
      <c r="WFG608" s="223"/>
      <c r="WFH608" s="224"/>
      <c r="WFI608" s="222"/>
      <c r="WFJ608" s="222"/>
      <c r="WFK608" s="222"/>
      <c r="WFL608" s="222"/>
      <c r="WFM608" s="222"/>
      <c r="WFN608" s="222"/>
      <c r="WFO608" s="223"/>
      <c r="WFP608" s="224"/>
      <c r="WFQ608" s="222"/>
      <c r="WFR608" s="222"/>
      <c r="WFS608" s="222"/>
      <c r="WFT608" s="222"/>
      <c r="WFU608" s="222"/>
      <c r="WFV608" s="222"/>
      <c r="WFW608" s="223"/>
      <c r="WFX608" s="224"/>
      <c r="WFY608" s="222"/>
      <c r="WFZ608" s="222"/>
      <c r="WGA608" s="222"/>
      <c r="WGB608" s="222"/>
      <c r="WGC608" s="222"/>
      <c r="WGD608" s="222"/>
      <c r="WGE608" s="223"/>
      <c r="WGF608" s="224"/>
      <c r="WGG608" s="222"/>
      <c r="WGH608" s="222"/>
      <c r="WGI608" s="222"/>
      <c r="WGJ608" s="222"/>
      <c r="WGK608" s="222"/>
      <c r="WGL608" s="222"/>
      <c r="WGM608" s="223"/>
      <c r="WGN608" s="224"/>
      <c r="WGO608" s="222"/>
      <c r="WGP608" s="222"/>
      <c r="WGQ608" s="222"/>
      <c r="WGR608" s="222"/>
      <c r="WGS608" s="222"/>
      <c r="WGT608" s="222"/>
      <c r="WGU608" s="223"/>
      <c r="WGV608" s="224"/>
      <c r="WGW608" s="222"/>
      <c r="WGX608" s="222"/>
      <c r="WGY608" s="222"/>
      <c r="WGZ608" s="222"/>
      <c r="WHA608" s="222"/>
      <c r="WHB608" s="222"/>
      <c r="WHC608" s="223"/>
      <c r="WHD608" s="224"/>
      <c r="WHE608" s="222"/>
      <c r="WHF608" s="222"/>
      <c r="WHG608" s="222"/>
      <c r="WHH608" s="222"/>
      <c r="WHI608" s="222"/>
      <c r="WHJ608" s="222"/>
      <c r="WHK608" s="223"/>
      <c r="WHL608" s="224"/>
      <c r="WHM608" s="222"/>
      <c r="WHN608" s="222"/>
      <c r="WHO608" s="222"/>
      <c r="WHP608" s="222"/>
      <c r="WHQ608" s="222"/>
      <c r="WHR608" s="222"/>
      <c r="WHS608" s="223"/>
      <c r="WHT608" s="224"/>
      <c r="WHU608" s="222"/>
      <c r="WHV608" s="222"/>
      <c r="WHW608" s="222"/>
      <c r="WHX608" s="222"/>
      <c r="WHY608" s="222"/>
      <c r="WHZ608" s="222"/>
      <c r="WIA608" s="223"/>
      <c r="WIB608" s="224"/>
      <c r="WIC608" s="222"/>
      <c r="WID608" s="222"/>
      <c r="WIE608" s="222"/>
      <c r="WIF608" s="222"/>
      <c r="WIG608" s="222"/>
      <c r="WIH608" s="222"/>
      <c r="WII608" s="223"/>
      <c r="WIJ608" s="224"/>
      <c r="WIK608" s="222"/>
      <c r="WIL608" s="222"/>
      <c r="WIM608" s="222"/>
      <c r="WIN608" s="222"/>
      <c r="WIO608" s="222"/>
      <c r="WIP608" s="222"/>
      <c r="WIQ608" s="223"/>
      <c r="WIR608" s="224"/>
      <c r="WIS608" s="222"/>
      <c r="WIT608" s="222"/>
      <c r="WIU608" s="222"/>
      <c r="WIV608" s="222"/>
      <c r="WIW608" s="222"/>
      <c r="WIX608" s="222"/>
      <c r="WIY608" s="223"/>
      <c r="WIZ608" s="224"/>
      <c r="WJA608" s="222"/>
      <c r="WJB608" s="222"/>
      <c r="WJC608" s="222"/>
      <c r="WJD608" s="222"/>
      <c r="WJE608" s="222"/>
      <c r="WJF608" s="222"/>
      <c r="WJG608" s="223"/>
      <c r="WJH608" s="224"/>
      <c r="WJI608" s="222"/>
      <c r="WJJ608" s="222"/>
      <c r="WJK608" s="222"/>
      <c r="WJL608" s="222"/>
      <c r="WJM608" s="222"/>
      <c r="WJN608" s="222"/>
      <c r="WJO608" s="223"/>
      <c r="WJP608" s="224"/>
      <c r="WJQ608" s="222"/>
      <c r="WJR608" s="222"/>
      <c r="WJS608" s="222"/>
      <c r="WJT608" s="222"/>
      <c r="WJU608" s="222"/>
      <c r="WJV608" s="222"/>
      <c r="WJW608" s="223"/>
      <c r="WJX608" s="224"/>
      <c r="WJY608" s="222"/>
      <c r="WJZ608" s="222"/>
      <c r="WKA608" s="222"/>
      <c r="WKB608" s="222"/>
      <c r="WKC608" s="222"/>
      <c r="WKD608" s="222"/>
      <c r="WKE608" s="223"/>
      <c r="WKF608" s="224"/>
      <c r="WKG608" s="222"/>
      <c r="WKH608" s="222"/>
      <c r="WKI608" s="222"/>
      <c r="WKJ608" s="222"/>
      <c r="WKK608" s="222"/>
      <c r="WKL608" s="222"/>
      <c r="WKM608" s="223"/>
      <c r="WKN608" s="224"/>
      <c r="WKO608" s="222"/>
      <c r="WKP608" s="222"/>
      <c r="WKQ608" s="222"/>
      <c r="WKR608" s="222"/>
      <c r="WKS608" s="222"/>
      <c r="WKT608" s="222"/>
      <c r="WKU608" s="223"/>
      <c r="WKV608" s="224"/>
      <c r="WKW608" s="222"/>
      <c r="WKX608" s="222"/>
      <c r="WKY608" s="222"/>
      <c r="WKZ608" s="222"/>
      <c r="WLA608" s="222"/>
      <c r="WLB608" s="222"/>
      <c r="WLC608" s="223"/>
      <c r="WLD608" s="224"/>
      <c r="WLE608" s="222"/>
      <c r="WLF608" s="222"/>
      <c r="WLG608" s="222"/>
      <c r="WLH608" s="222"/>
      <c r="WLI608" s="222"/>
      <c r="WLJ608" s="222"/>
      <c r="WLK608" s="223"/>
      <c r="WLL608" s="224"/>
      <c r="WLM608" s="222"/>
      <c r="WLN608" s="222"/>
      <c r="WLO608" s="222"/>
      <c r="WLP608" s="222"/>
      <c r="WLQ608" s="222"/>
      <c r="WLR608" s="222"/>
      <c r="WLS608" s="223"/>
      <c r="WLT608" s="224"/>
      <c r="WLU608" s="222"/>
      <c r="WLV608" s="222"/>
      <c r="WLW608" s="222"/>
      <c r="WLX608" s="222"/>
      <c r="WLY608" s="222"/>
      <c r="WLZ608" s="222"/>
      <c r="WMA608" s="223"/>
      <c r="WMB608" s="224"/>
      <c r="WMC608" s="222"/>
      <c r="WMD608" s="222"/>
      <c r="WME608" s="222"/>
      <c r="WMF608" s="222"/>
      <c r="WMG608" s="222"/>
      <c r="WMH608" s="222"/>
      <c r="WMI608" s="223"/>
      <c r="WMJ608" s="224"/>
      <c r="WMK608" s="222"/>
      <c r="WML608" s="222"/>
      <c r="WMM608" s="222"/>
      <c r="WMN608" s="222"/>
      <c r="WMO608" s="222"/>
      <c r="WMP608" s="222"/>
      <c r="WMQ608" s="223"/>
      <c r="WMR608" s="224"/>
      <c r="WMS608" s="222"/>
      <c r="WMT608" s="222"/>
      <c r="WMU608" s="222"/>
      <c r="WMV608" s="222"/>
      <c r="WMW608" s="222"/>
      <c r="WMX608" s="222"/>
      <c r="WMY608" s="223"/>
      <c r="WMZ608" s="224"/>
      <c r="WNA608" s="222"/>
      <c r="WNB608" s="222"/>
      <c r="WNC608" s="222"/>
      <c r="WND608" s="222"/>
      <c r="WNE608" s="222"/>
      <c r="WNF608" s="222"/>
      <c r="WNG608" s="223"/>
      <c r="WNH608" s="224"/>
      <c r="WNI608" s="222"/>
      <c r="WNJ608" s="222"/>
      <c r="WNK608" s="222"/>
      <c r="WNL608" s="222"/>
      <c r="WNM608" s="222"/>
      <c r="WNN608" s="222"/>
      <c r="WNO608" s="223"/>
      <c r="WNP608" s="224"/>
      <c r="WNQ608" s="222"/>
      <c r="WNR608" s="222"/>
      <c r="WNS608" s="222"/>
      <c r="WNT608" s="222"/>
      <c r="WNU608" s="222"/>
      <c r="WNV608" s="222"/>
      <c r="WNW608" s="223"/>
      <c r="WNX608" s="224"/>
      <c r="WNY608" s="222"/>
      <c r="WNZ608" s="222"/>
      <c r="WOA608" s="222"/>
      <c r="WOB608" s="222"/>
      <c r="WOC608" s="222"/>
      <c r="WOD608" s="222"/>
      <c r="WOE608" s="223"/>
      <c r="WOF608" s="224"/>
      <c r="WOG608" s="222"/>
      <c r="WOH608" s="222"/>
      <c r="WOI608" s="222"/>
      <c r="WOJ608" s="222"/>
      <c r="WOK608" s="222"/>
      <c r="WOL608" s="222"/>
      <c r="WOM608" s="223"/>
      <c r="WON608" s="224"/>
      <c r="WOO608" s="222"/>
      <c r="WOP608" s="222"/>
      <c r="WOQ608" s="222"/>
      <c r="WOR608" s="222"/>
      <c r="WOS608" s="222"/>
      <c r="WOT608" s="222"/>
      <c r="WOU608" s="223"/>
      <c r="WOV608" s="224"/>
      <c r="WOW608" s="222"/>
      <c r="WOX608" s="222"/>
      <c r="WOY608" s="222"/>
      <c r="WOZ608" s="222"/>
      <c r="WPA608" s="222"/>
      <c r="WPB608" s="222"/>
      <c r="WPC608" s="223"/>
      <c r="WPD608" s="224"/>
      <c r="WPE608" s="222"/>
      <c r="WPF608" s="222"/>
      <c r="WPG608" s="222"/>
      <c r="WPH608" s="222"/>
      <c r="WPI608" s="222"/>
      <c r="WPJ608" s="222"/>
      <c r="WPK608" s="223"/>
      <c r="WPL608" s="224"/>
      <c r="WPM608" s="222"/>
      <c r="WPN608" s="222"/>
      <c r="WPO608" s="222"/>
      <c r="WPP608" s="222"/>
      <c r="WPQ608" s="222"/>
      <c r="WPR608" s="222"/>
      <c r="WPS608" s="223"/>
      <c r="WPT608" s="224"/>
      <c r="WPU608" s="222"/>
      <c r="WPV608" s="222"/>
      <c r="WPW608" s="222"/>
      <c r="WPX608" s="222"/>
      <c r="WPY608" s="222"/>
      <c r="WPZ608" s="222"/>
      <c r="WQA608" s="223"/>
      <c r="WQB608" s="224"/>
      <c r="WQC608" s="222"/>
      <c r="WQD608" s="222"/>
      <c r="WQE608" s="222"/>
      <c r="WQF608" s="222"/>
      <c r="WQG608" s="222"/>
      <c r="WQH608" s="222"/>
      <c r="WQI608" s="223"/>
      <c r="WQJ608" s="224"/>
      <c r="WQK608" s="222"/>
      <c r="WQL608" s="222"/>
      <c r="WQM608" s="222"/>
      <c r="WQN608" s="222"/>
      <c r="WQO608" s="222"/>
      <c r="WQP608" s="222"/>
      <c r="WQQ608" s="223"/>
      <c r="WQR608" s="224"/>
      <c r="WQS608" s="222"/>
      <c r="WQT608" s="222"/>
      <c r="WQU608" s="222"/>
      <c r="WQV608" s="222"/>
      <c r="WQW608" s="222"/>
      <c r="WQX608" s="222"/>
      <c r="WQY608" s="223"/>
      <c r="WQZ608" s="224"/>
      <c r="WRA608" s="222"/>
      <c r="WRB608" s="222"/>
      <c r="WRC608" s="222"/>
      <c r="WRD608" s="222"/>
      <c r="WRE608" s="222"/>
      <c r="WRF608" s="222"/>
      <c r="WRG608" s="223"/>
      <c r="WRH608" s="224"/>
      <c r="WRI608" s="222"/>
      <c r="WRJ608" s="222"/>
      <c r="WRK608" s="222"/>
      <c r="WRL608" s="222"/>
      <c r="WRM608" s="222"/>
      <c r="WRN608" s="222"/>
      <c r="WRO608" s="223"/>
      <c r="WRP608" s="224"/>
      <c r="WRQ608" s="222"/>
      <c r="WRR608" s="222"/>
      <c r="WRS608" s="222"/>
      <c r="WRT608" s="222"/>
      <c r="WRU608" s="222"/>
      <c r="WRV608" s="222"/>
      <c r="WRW608" s="223"/>
      <c r="WRX608" s="224"/>
      <c r="WRY608" s="222"/>
      <c r="WRZ608" s="222"/>
      <c r="WSA608" s="222"/>
      <c r="WSB608" s="222"/>
      <c r="WSC608" s="222"/>
      <c r="WSD608" s="222"/>
      <c r="WSE608" s="223"/>
      <c r="WSF608" s="224"/>
      <c r="WSG608" s="222"/>
      <c r="WSH608" s="222"/>
      <c r="WSI608" s="222"/>
      <c r="WSJ608" s="222"/>
      <c r="WSK608" s="222"/>
      <c r="WSL608" s="222"/>
      <c r="WSM608" s="223"/>
      <c r="WSN608" s="224"/>
      <c r="WSO608" s="222"/>
      <c r="WSP608" s="222"/>
      <c r="WSQ608" s="222"/>
      <c r="WSR608" s="222"/>
      <c r="WSS608" s="222"/>
      <c r="WST608" s="222"/>
      <c r="WSU608" s="223"/>
      <c r="WSV608" s="224"/>
      <c r="WSW608" s="222"/>
      <c r="WSX608" s="222"/>
      <c r="WSY608" s="222"/>
      <c r="WSZ608" s="222"/>
      <c r="WTA608" s="222"/>
      <c r="WTB608" s="222"/>
      <c r="WTC608" s="223"/>
      <c r="WTD608" s="224"/>
      <c r="WTE608" s="222"/>
      <c r="WTF608" s="222"/>
      <c r="WTG608" s="222"/>
      <c r="WTH608" s="222"/>
      <c r="WTI608" s="222"/>
      <c r="WTJ608" s="222"/>
      <c r="WTK608" s="223"/>
      <c r="WTL608" s="224"/>
      <c r="WTM608" s="222"/>
      <c r="WTN608" s="222"/>
      <c r="WTO608" s="222"/>
      <c r="WTP608" s="222"/>
      <c r="WTQ608" s="222"/>
      <c r="WTR608" s="222"/>
      <c r="WTS608" s="223"/>
      <c r="WTT608" s="224"/>
      <c r="WTU608" s="222"/>
      <c r="WTV608" s="222"/>
      <c r="WTW608" s="222"/>
      <c r="WTX608" s="222"/>
      <c r="WTY608" s="222"/>
      <c r="WTZ608" s="222"/>
      <c r="WUA608" s="223"/>
      <c r="WUB608" s="224"/>
      <c r="WUC608" s="222"/>
      <c r="WUD608" s="222"/>
      <c r="WUE608" s="222"/>
      <c r="WUF608" s="222"/>
      <c r="WUG608" s="222"/>
      <c r="WUH608" s="222"/>
      <c r="WUI608" s="223"/>
      <c r="WUJ608" s="224"/>
      <c r="WUK608" s="222"/>
      <c r="WUL608" s="222"/>
      <c r="WUM608" s="222"/>
      <c r="WUN608" s="222"/>
      <c r="WUO608" s="222"/>
      <c r="WUP608" s="222"/>
      <c r="WUQ608" s="223"/>
      <c r="WUR608" s="224"/>
      <c r="WUS608" s="222"/>
      <c r="WUT608" s="222"/>
      <c r="WUU608" s="222"/>
      <c r="WUV608" s="222"/>
      <c r="WUW608" s="222"/>
      <c r="WUX608" s="222"/>
      <c r="WUY608" s="223"/>
      <c r="WUZ608" s="224"/>
      <c r="WVA608" s="222"/>
      <c r="WVB608" s="222"/>
      <c r="WVC608" s="222"/>
      <c r="WVD608" s="222"/>
      <c r="WVE608" s="222"/>
      <c r="WVF608" s="222"/>
      <c r="WVG608" s="223"/>
      <c r="WVH608" s="224"/>
      <c r="WVI608" s="222"/>
      <c r="WVJ608" s="222"/>
      <c r="WVK608" s="222"/>
      <c r="WVL608" s="222"/>
      <c r="WVM608" s="222"/>
      <c r="WVN608" s="222"/>
      <c r="WVO608" s="223"/>
      <c r="WVP608" s="224"/>
      <c r="WVQ608" s="222"/>
      <c r="WVR608" s="222"/>
      <c r="WVS608" s="222"/>
      <c r="WVT608" s="222"/>
      <c r="WVU608" s="222"/>
      <c r="WVV608" s="222"/>
      <c r="WVW608" s="223"/>
      <c r="WVX608" s="224"/>
      <c r="WVY608" s="222"/>
      <c r="WVZ608" s="222"/>
      <c r="WWA608" s="222"/>
      <c r="WWB608" s="222"/>
      <c r="WWC608" s="222"/>
      <c r="WWD608" s="222"/>
      <c r="WWE608" s="223"/>
      <c r="WWF608" s="224"/>
      <c r="WWG608" s="222"/>
      <c r="WWH608" s="222"/>
      <c r="WWI608" s="222"/>
      <c r="WWJ608" s="222"/>
      <c r="WWK608" s="222"/>
      <c r="WWL608" s="222"/>
      <c r="WWM608" s="223"/>
      <c r="WWN608" s="224"/>
      <c r="WWO608" s="222"/>
      <c r="WWP608" s="222"/>
      <c r="WWQ608" s="222"/>
      <c r="WWR608" s="222"/>
      <c r="WWS608" s="222"/>
      <c r="WWT608" s="222"/>
      <c r="WWU608" s="223"/>
      <c r="WWV608" s="224"/>
      <c r="WWW608" s="222"/>
      <c r="WWX608" s="222"/>
      <c r="WWY608" s="222"/>
      <c r="WWZ608" s="222"/>
      <c r="WXA608" s="222"/>
      <c r="WXB608" s="222"/>
      <c r="WXC608" s="223"/>
      <c r="WXD608" s="224"/>
      <c r="WXE608" s="222"/>
      <c r="WXF608" s="222"/>
      <c r="WXG608" s="222"/>
      <c r="WXH608" s="222"/>
      <c r="WXI608" s="222"/>
      <c r="WXJ608" s="222"/>
      <c r="WXK608" s="223"/>
      <c r="WXL608" s="224"/>
      <c r="WXM608" s="222"/>
      <c r="WXN608" s="222"/>
      <c r="WXO608" s="222"/>
      <c r="WXP608" s="222"/>
      <c r="WXQ608" s="222"/>
      <c r="WXR608" s="222"/>
      <c r="WXS608" s="223"/>
      <c r="WXT608" s="224"/>
      <c r="WXU608" s="222"/>
      <c r="WXV608" s="222"/>
      <c r="WXW608" s="222"/>
      <c r="WXX608" s="222"/>
      <c r="WXY608" s="222"/>
      <c r="WXZ608" s="222"/>
      <c r="WYA608" s="223"/>
      <c r="WYB608" s="224"/>
      <c r="WYC608" s="222"/>
      <c r="WYD608" s="222"/>
      <c r="WYE608" s="222"/>
      <c r="WYF608" s="222"/>
      <c r="WYG608" s="222"/>
      <c r="WYH608" s="222"/>
      <c r="WYI608" s="223"/>
      <c r="WYJ608" s="224"/>
      <c r="WYK608" s="222"/>
      <c r="WYL608" s="222"/>
      <c r="WYM608" s="222"/>
      <c r="WYN608" s="222"/>
      <c r="WYO608" s="222"/>
      <c r="WYP608" s="222"/>
      <c r="WYQ608" s="223"/>
      <c r="WYR608" s="224"/>
      <c r="WYS608" s="222"/>
      <c r="WYT608" s="222"/>
      <c r="WYU608" s="222"/>
      <c r="WYV608" s="222"/>
      <c r="WYW608" s="222"/>
      <c r="WYX608" s="222"/>
      <c r="WYY608" s="223"/>
      <c r="WYZ608" s="224"/>
      <c r="WZA608" s="222"/>
      <c r="WZB608" s="222"/>
      <c r="WZC608" s="222"/>
      <c r="WZD608" s="222"/>
      <c r="WZE608" s="222"/>
      <c r="WZF608" s="222"/>
      <c r="WZG608" s="223"/>
      <c r="WZH608" s="224"/>
      <c r="WZI608" s="222"/>
      <c r="WZJ608" s="222"/>
      <c r="WZK608" s="222"/>
      <c r="WZL608" s="222"/>
      <c r="WZM608" s="222"/>
      <c r="WZN608" s="222"/>
      <c r="WZO608" s="223"/>
      <c r="WZP608" s="224"/>
      <c r="WZQ608" s="222"/>
      <c r="WZR608" s="222"/>
      <c r="WZS608" s="222"/>
      <c r="WZT608" s="222"/>
      <c r="WZU608" s="222"/>
      <c r="WZV608" s="222"/>
      <c r="WZW608" s="223"/>
      <c r="WZX608" s="224"/>
      <c r="WZY608" s="222"/>
      <c r="WZZ608" s="222"/>
      <c r="XAA608" s="222"/>
      <c r="XAB608" s="222"/>
      <c r="XAC608" s="222"/>
      <c r="XAD608" s="222"/>
      <c r="XAE608" s="223"/>
      <c r="XAF608" s="224"/>
      <c r="XAG608" s="222"/>
      <c r="XAH608" s="222"/>
      <c r="XAI608" s="222"/>
      <c r="XAJ608" s="222"/>
      <c r="XAK608" s="222"/>
      <c r="XAL608" s="222"/>
      <c r="XAM608" s="223"/>
      <c r="XAN608" s="224"/>
      <c r="XAO608" s="222"/>
      <c r="XAP608" s="222"/>
      <c r="XAQ608" s="222"/>
      <c r="XAR608" s="222"/>
      <c r="XAS608" s="222"/>
      <c r="XAT608" s="222"/>
      <c r="XAU608" s="223"/>
      <c r="XAV608" s="224"/>
      <c r="XAW608" s="222"/>
      <c r="XAX608" s="222"/>
      <c r="XAY608" s="222"/>
      <c r="XAZ608" s="222"/>
      <c r="XBA608" s="222"/>
      <c r="XBB608" s="222"/>
      <c r="XBC608" s="223"/>
      <c r="XBD608" s="224"/>
      <c r="XBE608" s="222"/>
      <c r="XBF608" s="222"/>
      <c r="XBG608" s="222"/>
      <c r="XBH608" s="222"/>
      <c r="XBI608" s="222"/>
      <c r="XBJ608" s="222"/>
      <c r="XBK608" s="223"/>
      <c r="XBL608" s="224"/>
      <c r="XBM608" s="222"/>
      <c r="XBN608" s="222"/>
      <c r="XBO608" s="222"/>
      <c r="XBP608" s="222"/>
      <c r="XBQ608" s="222"/>
      <c r="XBR608" s="222"/>
      <c r="XBS608" s="223"/>
      <c r="XBT608" s="224"/>
      <c r="XBU608" s="222"/>
      <c r="XBV608" s="222"/>
      <c r="XBW608" s="222"/>
      <c r="XBX608" s="222"/>
      <c r="XBY608" s="222"/>
      <c r="XBZ608" s="222"/>
      <c r="XCA608" s="223"/>
      <c r="XCB608" s="224"/>
      <c r="XCC608" s="222"/>
      <c r="XCD608" s="222"/>
      <c r="XCE608" s="222"/>
      <c r="XCF608" s="222"/>
      <c r="XCG608" s="222"/>
      <c r="XCH608" s="222"/>
      <c r="XCI608" s="223"/>
      <c r="XCJ608" s="224"/>
      <c r="XCK608" s="222"/>
      <c r="XCL608" s="222"/>
      <c r="XCM608" s="222"/>
      <c r="XCN608" s="222"/>
      <c r="XCO608" s="222"/>
      <c r="XCP608" s="222"/>
      <c r="XCQ608" s="223"/>
      <c r="XCR608" s="224"/>
      <c r="XCS608" s="222"/>
      <c r="XCT608" s="222"/>
      <c r="XCU608" s="222"/>
      <c r="XCV608" s="222"/>
      <c r="XCW608" s="222"/>
      <c r="XCX608" s="222"/>
      <c r="XCY608" s="223"/>
      <c r="XCZ608" s="224"/>
      <c r="XDA608" s="222"/>
      <c r="XDB608" s="222"/>
      <c r="XDC608" s="222"/>
      <c r="XDD608" s="222"/>
      <c r="XDE608" s="222"/>
      <c r="XDF608" s="222"/>
      <c r="XDG608" s="223"/>
      <c r="XDH608" s="224"/>
      <c r="XDI608" s="222"/>
      <c r="XDJ608" s="222"/>
      <c r="XDK608" s="222"/>
      <c r="XDL608" s="222"/>
      <c r="XDM608" s="222"/>
      <c r="XDN608" s="222"/>
      <c r="XDO608" s="223"/>
      <c r="XDP608" s="224"/>
      <c r="XDQ608" s="222"/>
      <c r="XDR608" s="222"/>
      <c r="XDS608" s="222"/>
      <c r="XDT608" s="222"/>
      <c r="XDU608" s="222"/>
      <c r="XDV608" s="222"/>
      <c r="XDW608" s="223"/>
      <c r="XDX608" s="224"/>
      <c r="XDY608" s="222"/>
      <c r="XDZ608" s="222"/>
      <c r="XEA608" s="222"/>
      <c r="XEB608" s="222"/>
      <c r="XEC608" s="222"/>
      <c r="XED608" s="222"/>
      <c r="XEE608" s="223"/>
      <c r="XEF608" s="224"/>
      <c r="XEG608" s="222"/>
      <c r="XEH608" s="222"/>
      <c r="XEI608" s="222"/>
      <c r="XEJ608" s="222"/>
      <c r="XEK608" s="222"/>
      <c r="XEL608" s="222"/>
      <c r="XEM608" s="223"/>
      <c r="XEN608" s="224"/>
      <c r="XEO608" s="222"/>
      <c r="XEP608" s="222"/>
      <c r="XEQ608" s="222"/>
      <c r="XER608" s="222"/>
      <c r="XES608" s="222"/>
      <c r="XET608" s="222"/>
      <c r="XEU608" s="223"/>
      <c r="XEV608" s="224"/>
      <c r="XEW608" s="222"/>
      <c r="XEX608" s="222"/>
      <c r="XEY608" s="222"/>
      <c r="XEZ608" s="222"/>
      <c r="XFA608" s="222"/>
      <c r="XFB608" s="222"/>
      <c r="XFC608" s="223"/>
      <c r="XFD608" s="224"/>
    </row>
    <row r="609" spans="1:9" x14ac:dyDescent="0.2">
      <c r="A609" s="181">
        <f t="shared" si="10"/>
        <v>607</v>
      </c>
      <c r="B609" s="182">
        <v>41556</v>
      </c>
      <c r="C609" s="182">
        <v>41610</v>
      </c>
      <c r="D609" s="201" t="s">
        <v>1092</v>
      </c>
      <c r="E609" s="201" t="s">
        <v>392</v>
      </c>
      <c r="F609" s="201" t="s">
        <v>9</v>
      </c>
      <c r="G609" s="206" t="s">
        <v>1258</v>
      </c>
      <c r="H609" s="201" t="s">
        <v>1260</v>
      </c>
      <c r="I609" s="230">
        <v>247310</v>
      </c>
    </row>
    <row r="610" spans="1:9" x14ac:dyDescent="0.2">
      <c r="A610" s="181">
        <f t="shared" si="10"/>
        <v>608</v>
      </c>
      <c r="B610" s="182">
        <v>41556</v>
      </c>
      <c r="C610" s="182">
        <v>41610</v>
      </c>
      <c r="D610" s="201" t="s">
        <v>1092</v>
      </c>
      <c r="E610" s="201" t="s">
        <v>392</v>
      </c>
      <c r="F610" s="201" t="s">
        <v>701</v>
      </c>
      <c r="G610" s="206" t="s">
        <v>1259</v>
      </c>
      <c r="H610" s="206" t="s">
        <v>1261</v>
      </c>
      <c r="I610" s="353">
        <v>253154</v>
      </c>
    </row>
    <row r="611" spans="1:9" x14ac:dyDescent="0.2">
      <c r="A611" s="181">
        <f t="shared" si="10"/>
        <v>609</v>
      </c>
      <c r="B611" s="182">
        <v>41576</v>
      </c>
      <c r="C611" s="182">
        <v>41626</v>
      </c>
      <c r="D611" s="201" t="s">
        <v>1092</v>
      </c>
      <c r="E611" s="201" t="s">
        <v>392</v>
      </c>
      <c r="F611" s="201" t="s">
        <v>9</v>
      </c>
      <c r="G611" s="206" t="s">
        <v>1262</v>
      </c>
      <c r="H611" s="206" t="s">
        <v>1265</v>
      </c>
      <c r="I611" s="353">
        <v>271946</v>
      </c>
    </row>
    <row r="612" spans="1:9" x14ac:dyDescent="0.2">
      <c r="A612" s="181">
        <f t="shared" si="10"/>
        <v>610</v>
      </c>
      <c r="B612" s="182">
        <v>41576</v>
      </c>
      <c r="C612" s="182">
        <v>41626</v>
      </c>
      <c r="D612" s="201" t="s">
        <v>1092</v>
      </c>
      <c r="E612" s="201" t="s">
        <v>392</v>
      </c>
      <c r="F612" s="201" t="s">
        <v>9</v>
      </c>
      <c r="G612" s="206" t="s">
        <v>1263</v>
      </c>
      <c r="H612" s="206" t="s">
        <v>1266</v>
      </c>
      <c r="I612" s="353">
        <v>318777</v>
      </c>
    </row>
    <row r="613" spans="1:9" x14ac:dyDescent="0.2">
      <c r="A613" s="181">
        <f t="shared" si="10"/>
        <v>611</v>
      </c>
      <c r="B613" s="182">
        <v>41576</v>
      </c>
      <c r="C613" s="182">
        <v>41626</v>
      </c>
      <c r="D613" s="201" t="s">
        <v>1092</v>
      </c>
      <c r="E613" s="201" t="s">
        <v>392</v>
      </c>
      <c r="F613" s="201" t="s">
        <v>9</v>
      </c>
      <c r="G613" s="206" t="s">
        <v>1264</v>
      </c>
      <c r="H613" s="206" t="s">
        <v>1267</v>
      </c>
      <c r="I613" s="353">
        <v>158097</v>
      </c>
    </row>
    <row r="614" spans="1:9" x14ac:dyDescent="0.2">
      <c r="A614" s="181">
        <f t="shared" si="10"/>
        <v>612</v>
      </c>
      <c r="B614" s="182">
        <v>41582</v>
      </c>
      <c r="C614" s="182">
        <v>41654</v>
      </c>
      <c r="D614" s="201" t="s">
        <v>1092</v>
      </c>
      <c r="E614" s="201" t="s">
        <v>392</v>
      </c>
      <c r="F614" s="201" t="s">
        <v>9</v>
      </c>
      <c r="G614" s="231" t="s">
        <v>1269</v>
      </c>
      <c r="H614" s="201" t="s">
        <v>1268</v>
      </c>
      <c r="I614" s="371">
        <v>248970</v>
      </c>
    </row>
    <row r="615" spans="1:9" x14ac:dyDescent="0.2">
      <c r="A615" s="181">
        <f t="shared" si="10"/>
        <v>613</v>
      </c>
      <c r="B615" s="182">
        <v>41585</v>
      </c>
      <c r="C615" s="182">
        <v>41603</v>
      </c>
      <c r="D615" s="201" t="s">
        <v>1092</v>
      </c>
      <c r="E615" s="201" t="s">
        <v>392</v>
      </c>
      <c r="F615" s="206" t="s">
        <v>1272</v>
      </c>
      <c r="G615" s="206" t="s">
        <v>1270</v>
      </c>
      <c r="H615" s="206" t="s">
        <v>1271</v>
      </c>
      <c r="I615" s="230">
        <v>85300</v>
      </c>
    </row>
    <row r="616" spans="1:9" x14ac:dyDescent="0.2">
      <c r="A616" s="181">
        <f t="shared" si="10"/>
        <v>614</v>
      </c>
      <c r="B616" s="182">
        <v>41585</v>
      </c>
      <c r="C616" s="182">
        <v>41603</v>
      </c>
      <c r="D616" s="201" t="s">
        <v>1092</v>
      </c>
      <c r="E616" s="201" t="s">
        <v>422</v>
      </c>
      <c r="F616" s="206" t="s">
        <v>1276</v>
      </c>
      <c r="G616" s="206" t="s">
        <v>1275</v>
      </c>
      <c r="H616" s="206" t="s">
        <v>1274</v>
      </c>
      <c r="I616" s="230">
        <v>94777.78</v>
      </c>
    </row>
    <row r="617" spans="1:9" x14ac:dyDescent="0.2">
      <c r="A617" s="181">
        <f t="shared" si="10"/>
        <v>615</v>
      </c>
      <c r="B617" s="232">
        <v>41589</v>
      </c>
      <c r="C617" s="232">
        <v>41605</v>
      </c>
      <c r="D617" s="233" t="s">
        <v>1092</v>
      </c>
      <c r="E617" s="233" t="s">
        <v>392</v>
      </c>
      <c r="F617" s="233" t="s">
        <v>1272</v>
      </c>
      <c r="G617" s="234" t="s">
        <v>1277</v>
      </c>
      <c r="H617" s="234" t="s">
        <v>1280</v>
      </c>
      <c r="I617" s="235">
        <v>98000</v>
      </c>
    </row>
    <row r="618" spans="1:9" x14ac:dyDescent="0.2">
      <c r="A618" s="181">
        <f t="shared" si="10"/>
        <v>616</v>
      </c>
      <c r="B618" s="232">
        <v>41589</v>
      </c>
      <c r="C618" s="232">
        <v>41605</v>
      </c>
      <c r="D618" s="233" t="s">
        <v>1092</v>
      </c>
      <c r="E618" s="233" t="s">
        <v>392</v>
      </c>
      <c r="F618" s="233" t="s">
        <v>1276</v>
      </c>
      <c r="G618" s="234" t="s">
        <v>1278</v>
      </c>
      <c r="H618" s="234" t="s">
        <v>1281</v>
      </c>
      <c r="I618" s="236">
        <v>90000</v>
      </c>
    </row>
    <row r="619" spans="1:9" x14ac:dyDescent="0.2">
      <c r="A619" s="181">
        <f t="shared" si="10"/>
        <v>617</v>
      </c>
      <c r="B619" s="232">
        <v>41589</v>
      </c>
      <c r="C619" s="232">
        <v>41605</v>
      </c>
      <c r="D619" s="233" t="s">
        <v>1092</v>
      </c>
      <c r="E619" s="233" t="s">
        <v>392</v>
      </c>
      <c r="F619" s="233" t="s">
        <v>71</v>
      </c>
      <c r="G619" s="234" t="s">
        <v>1279</v>
      </c>
      <c r="H619" s="234" t="s">
        <v>1282</v>
      </c>
      <c r="I619" s="236">
        <v>39079.879999999997</v>
      </c>
    </row>
    <row r="620" spans="1:9" x14ac:dyDescent="0.2">
      <c r="A620" s="181">
        <f t="shared" si="10"/>
        <v>618</v>
      </c>
      <c r="B620" s="232">
        <v>41594</v>
      </c>
      <c r="C620" s="232">
        <v>41659</v>
      </c>
      <c r="D620" s="233" t="s">
        <v>1092</v>
      </c>
      <c r="E620" s="233" t="s">
        <v>422</v>
      </c>
      <c r="F620" s="233" t="s">
        <v>701</v>
      </c>
      <c r="G620" s="234" t="s">
        <v>1283</v>
      </c>
      <c r="H620" s="234" t="s">
        <v>1284</v>
      </c>
      <c r="I620" s="235">
        <v>294600</v>
      </c>
    </row>
    <row r="621" spans="1:9" x14ac:dyDescent="0.2">
      <c r="A621" s="181">
        <f t="shared" si="10"/>
        <v>619</v>
      </c>
      <c r="B621" s="232">
        <v>41596</v>
      </c>
      <c r="C621" s="232">
        <v>41624</v>
      </c>
      <c r="D621" s="233" t="s">
        <v>1092</v>
      </c>
      <c r="E621" s="233" t="s">
        <v>422</v>
      </c>
      <c r="F621" s="233" t="s">
        <v>701</v>
      </c>
      <c r="G621" s="234" t="s">
        <v>1286</v>
      </c>
      <c r="H621" s="234" t="s">
        <v>1289</v>
      </c>
      <c r="I621" s="235">
        <v>97400</v>
      </c>
    </row>
    <row r="622" spans="1:9" x14ac:dyDescent="0.2">
      <c r="A622" s="181">
        <f t="shared" si="10"/>
        <v>620</v>
      </c>
      <c r="B622" s="232">
        <v>41596</v>
      </c>
      <c r="C622" s="232">
        <v>41624</v>
      </c>
      <c r="D622" s="233" t="s">
        <v>1092</v>
      </c>
      <c r="E622" s="233" t="s">
        <v>422</v>
      </c>
      <c r="F622" s="233" t="s">
        <v>701</v>
      </c>
      <c r="G622" s="234" t="s">
        <v>1287</v>
      </c>
      <c r="H622" s="234" t="s">
        <v>1290</v>
      </c>
      <c r="I622" s="236">
        <v>113300</v>
      </c>
    </row>
    <row r="623" spans="1:9" x14ac:dyDescent="0.2">
      <c r="A623" s="181">
        <f t="shared" si="10"/>
        <v>621</v>
      </c>
      <c r="B623" s="232">
        <v>41597</v>
      </c>
      <c r="C623" s="232">
        <v>41659</v>
      </c>
      <c r="D623" s="233" t="s">
        <v>1092</v>
      </c>
      <c r="E623" s="233" t="s">
        <v>422</v>
      </c>
      <c r="F623" s="233" t="s">
        <v>701</v>
      </c>
      <c r="G623" s="234" t="s">
        <v>1288</v>
      </c>
      <c r="H623" s="234" t="s">
        <v>1291</v>
      </c>
      <c r="I623" s="236">
        <v>216400</v>
      </c>
    </row>
    <row r="624" spans="1:9" x14ac:dyDescent="0.2">
      <c r="A624" s="181">
        <f t="shared" si="10"/>
        <v>622</v>
      </c>
      <c r="B624" s="232">
        <v>41611</v>
      </c>
      <c r="C624" s="232">
        <v>41666</v>
      </c>
      <c r="D624" s="233" t="s">
        <v>1092</v>
      </c>
      <c r="E624" s="233" t="s">
        <v>422</v>
      </c>
      <c r="F624" s="233" t="s">
        <v>701</v>
      </c>
      <c r="G624" s="234" t="s">
        <v>924</v>
      </c>
      <c r="H624" s="234" t="s">
        <v>1292</v>
      </c>
      <c r="I624" s="235">
        <v>964000</v>
      </c>
    </row>
    <row r="625" spans="1:9" x14ac:dyDescent="0.2">
      <c r="A625" s="181">
        <f t="shared" si="10"/>
        <v>623</v>
      </c>
      <c r="B625" s="232">
        <v>41638</v>
      </c>
      <c r="C625" s="232">
        <v>41666</v>
      </c>
      <c r="D625" s="233" t="s">
        <v>1092</v>
      </c>
      <c r="E625" s="233" t="s">
        <v>422</v>
      </c>
      <c r="F625" s="233" t="s">
        <v>701</v>
      </c>
      <c r="G625" s="234" t="s">
        <v>1294</v>
      </c>
      <c r="H625" s="234" t="s">
        <v>1293</v>
      </c>
      <c r="I625" s="235">
        <v>175600</v>
      </c>
    </row>
    <row r="626" spans="1:9" x14ac:dyDescent="0.2">
      <c r="A626" s="181">
        <f t="shared" si="10"/>
        <v>624</v>
      </c>
      <c r="B626" s="232">
        <v>41638</v>
      </c>
      <c r="C626" s="232">
        <v>41666</v>
      </c>
      <c r="D626" s="233" t="s">
        <v>1092</v>
      </c>
      <c r="E626" s="233" t="s">
        <v>422</v>
      </c>
      <c r="F626" s="233" t="s">
        <v>701</v>
      </c>
      <c r="G626" s="234" t="s">
        <v>1295</v>
      </c>
      <c r="H626" s="234" t="s">
        <v>1296</v>
      </c>
      <c r="I626" s="236">
        <v>166660</v>
      </c>
    </row>
    <row r="627" spans="1:9" x14ac:dyDescent="0.2">
      <c r="A627" s="181">
        <f t="shared" si="10"/>
        <v>625</v>
      </c>
      <c r="B627" s="232">
        <v>41647</v>
      </c>
      <c r="C627" s="232">
        <v>41666</v>
      </c>
      <c r="D627" s="233" t="s">
        <v>1092</v>
      </c>
      <c r="E627" s="233" t="s">
        <v>392</v>
      </c>
      <c r="F627" s="233" t="s">
        <v>701</v>
      </c>
      <c r="G627" s="234" t="s">
        <v>1297</v>
      </c>
      <c r="H627" s="234" t="s">
        <v>1298</v>
      </c>
      <c r="I627" s="235">
        <v>52800</v>
      </c>
    </row>
    <row r="628" spans="1:9" x14ac:dyDescent="0.2">
      <c r="A628" s="181">
        <f t="shared" si="10"/>
        <v>626</v>
      </c>
      <c r="B628" s="232">
        <v>41655</v>
      </c>
      <c r="C628" s="232">
        <v>41673</v>
      </c>
      <c r="D628" s="233" t="s">
        <v>1092</v>
      </c>
      <c r="E628" s="233" t="s">
        <v>422</v>
      </c>
      <c r="F628" s="233" t="s">
        <v>701</v>
      </c>
      <c r="G628" s="234" t="s">
        <v>1303</v>
      </c>
      <c r="H628" s="234" t="s">
        <v>1304</v>
      </c>
      <c r="I628" s="235">
        <v>73600</v>
      </c>
    </row>
    <row r="629" spans="1:9" x14ac:dyDescent="0.2">
      <c r="A629" s="181">
        <f t="shared" si="10"/>
        <v>627</v>
      </c>
      <c r="B629" s="232">
        <v>41663</v>
      </c>
      <c r="C629" s="232">
        <v>41680</v>
      </c>
      <c r="D629" s="233" t="s">
        <v>1092</v>
      </c>
      <c r="E629" s="233" t="s">
        <v>392</v>
      </c>
      <c r="F629" s="233" t="s">
        <v>9</v>
      </c>
      <c r="G629" s="234" t="s">
        <v>1305</v>
      </c>
      <c r="H629" s="234" t="s">
        <v>1306</v>
      </c>
      <c r="I629" s="235">
        <v>102991.43</v>
      </c>
    </row>
    <row r="630" spans="1:9" x14ac:dyDescent="0.2">
      <c r="A630" s="181">
        <f t="shared" si="10"/>
        <v>628</v>
      </c>
      <c r="B630" s="232">
        <v>41674</v>
      </c>
      <c r="C630" s="232">
        <v>41694</v>
      </c>
      <c r="D630" s="233" t="s">
        <v>1092</v>
      </c>
      <c r="E630" s="233" t="s">
        <v>392</v>
      </c>
      <c r="F630" s="233" t="s">
        <v>393</v>
      </c>
      <c r="G630" s="234" t="s">
        <v>1307</v>
      </c>
      <c r="H630" s="234" t="s">
        <v>1308</v>
      </c>
      <c r="I630" s="235">
        <v>134183</v>
      </c>
    </row>
    <row r="631" spans="1:9" x14ac:dyDescent="0.2">
      <c r="A631" s="181">
        <f t="shared" si="10"/>
        <v>629</v>
      </c>
      <c r="B631" s="232">
        <v>41676</v>
      </c>
      <c r="C631" s="232">
        <v>41694</v>
      </c>
      <c r="D631" s="233" t="s">
        <v>1092</v>
      </c>
      <c r="E631" s="233" t="s">
        <v>392</v>
      </c>
      <c r="F631" s="233" t="s">
        <v>9</v>
      </c>
      <c r="G631" s="234" t="s">
        <v>1309</v>
      </c>
      <c r="H631" s="234" t="s">
        <v>1310</v>
      </c>
      <c r="I631" s="235">
        <v>104134</v>
      </c>
    </row>
    <row r="632" spans="1:9" x14ac:dyDescent="0.2">
      <c r="A632" s="181">
        <f t="shared" si="10"/>
        <v>630</v>
      </c>
      <c r="B632" s="232">
        <v>41677</v>
      </c>
      <c r="C632" s="232">
        <v>41696</v>
      </c>
      <c r="D632" s="233" t="s">
        <v>1092</v>
      </c>
      <c r="E632" s="233" t="s">
        <v>422</v>
      </c>
      <c r="F632" s="233" t="s">
        <v>396</v>
      </c>
      <c r="G632" s="234" t="s">
        <v>1311</v>
      </c>
      <c r="H632" s="234" t="s">
        <v>1312</v>
      </c>
      <c r="I632" s="235">
        <v>92933.33</v>
      </c>
    </row>
    <row r="633" spans="1:9" x14ac:dyDescent="0.2">
      <c r="A633" s="181">
        <f t="shared" si="10"/>
        <v>631</v>
      </c>
      <c r="B633" s="232">
        <v>41681</v>
      </c>
      <c r="C633" s="232">
        <v>41701</v>
      </c>
      <c r="D633" s="233" t="s">
        <v>1092</v>
      </c>
      <c r="E633" s="233" t="s">
        <v>422</v>
      </c>
      <c r="F633" s="233" t="s">
        <v>701</v>
      </c>
      <c r="G633" s="234" t="s">
        <v>1313</v>
      </c>
      <c r="H633" s="234" t="s">
        <v>1314</v>
      </c>
      <c r="I633" s="235">
        <v>175000</v>
      </c>
    </row>
    <row r="634" spans="1:9" x14ac:dyDescent="0.2">
      <c r="A634" s="181">
        <f t="shared" si="10"/>
        <v>632</v>
      </c>
      <c r="B634" s="232">
        <v>41682</v>
      </c>
      <c r="C634" s="232">
        <v>41708</v>
      </c>
      <c r="D634" s="233" t="s">
        <v>1092</v>
      </c>
      <c r="E634" s="233" t="s">
        <v>392</v>
      </c>
      <c r="F634" s="233" t="s">
        <v>9</v>
      </c>
      <c r="G634" s="234" t="s">
        <v>1315</v>
      </c>
      <c r="H634" s="234" t="s">
        <v>1316</v>
      </c>
      <c r="I634" s="235">
        <v>155333</v>
      </c>
    </row>
    <row r="635" spans="1:9" x14ac:dyDescent="0.2">
      <c r="A635" s="181">
        <f t="shared" si="10"/>
        <v>633</v>
      </c>
      <c r="B635" s="232">
        <v>41688</v>
      </c>
      <c r="C635" s="232">
        <v>41708</v>
      </c>
      <c r="D635" s="233" t="s">
        <v>1092</v>
      </c>
      <c r="E635" s="233" t="s">
        <v>392</v>
      </c>
      <c r="F635" s="233" t="s">
        <v>701</v>
      </c>
      <c r="G635" s="234" t="s">
        <v>1317</v>
      </c>
      <c r="H635" s="234" t="s">
        <v>1318</v>
      </c>
      <c r="I635" s="235">
        <v>206000</v>
      </c>
    </row>
    <row r="636" spans="1:9" x14ac:dyDescent="0.2">
      <c r="A636" s="181">
        <f t="shared" si="10"/>
        <v>634</v>
      </c>
      <c r="B636" s="232">
        <v>41694</v>
      </c>
      <c r="C636" s="232">
        <v>41710</v>
      </c>
      <c r="D636" s="233" t="s">
        <v>1092</v>
      </c>
      <c r="E636" s="233" t="s">
        <v>422</v>
      </c>
      <c r="F636" s="233" t="s">
        <v>701</v>
      </c>
      <c r="G636" s="234" t="s">
        <v>1319</v>
      </c>
      <c r="H636" s="234" t="s">
        <v>1320</v>
      </c>
      <c r="I636" s="235">
        <v>60614</v>
      </c>
    </row>
    <row r="637" spans="1:9" x14ac:dyDescent="0.2">
      <c r="A637" s="181">
        <f t="shared" si="10"/>
        <v>635</v>
      </c>
      <c r="B637" s="232">
        <v>41698</v>
      </c>
      <c r="C637" s="232">
        <v>41725</v>
      </c>
      <c r="D637" s="233" t="s">
        <v>1092</v>
      </c>
      <c r="E637" s="233" t="s">
        <v>422</v>
      </c>
      <c r="F637" s="233" t="s">
        <v>701</v>
      </c>
      <c r="G637" s="234" t="s">
        <v>1321</v>
      </c>
      <c r="H637" s="234" t="s">
        <v>1322</v>
      </c>
      <c r="I637" s="235">
        <v>182064</v>
      </c>
    </row>
    <row r="638" spans="1:9" x14ac:dyDescent="0.2">
      <c r="A638" s="181">
        <f t="shared" si="10"/>
        <v>636</v>
      </c>
      <c r="B638" s="232">
        <v>41705</v>
      </c>
      <c r="C638" s="232">
        <v>41757</v>
      </c>
      <c r="D638" s="233" t="s">
        <v>1092</v>
      </c>
      <c r="E638" s="233" t="s">
        <v>392</v>
      </c>
      <c r="F638" s="233" t="s">
        <v>9</v>
      </c>
      <c r="G638" s="234" t="s">
        <v>1323</v>
      </c>
      <c r="H638" s="234" t="s">
        <v>1324</v>
      </c>
      <c r="I638" s="235">
        <v>328772</v>
      </c>
    </row>
    <row r="639" spans="1:9" x14ac:dyDescent="0.2">
      <c r="A639" s="181">
        <f t="shared" si="10"/>
        <v>637</v>
      </c>
      <c r="B639" s="232">
        <v>41705</v>
      </c>
      <c r="C639" s="232">
        <v>41757</v>
      </c>
      <c r="D639" s="233" t="s">
        <v>1092</v>
      </c>
      <c r="E639" s="233" t="s">
        <v>392</v>
      </c>
      <c r="F639" s="233" t="s">
        <v>9</v>
      </c>
      <c r="G639" s="234" t="s">
        <v>1325</v>
      </c>
      <c r="H639" s="234" t="s">
        <v>1326</v>
      </c>
      <c r="I639" s="236">
        <v>311962</v>
      </c>
    </row>
    <row r="640" spans="1:9" x14ac:dyDescent="0.2">
      <c r="A640" s="181">
        <f t="shared" si="10"/>
        <v>638</v>
      </c>
      <c r="B640" s="232">
        <v>41711</v>
      </c>
      <c r="C640" s="232">
        <v>41729</v>
      </c>
      <c r="D640" s="233" t="s">
        <v>1092</v>
      </c>
      <c r="E640" s="233" t="s">
        <v>392</v>
      </c>
      <c r="F640" s="233" t="s">
        <v>9</v>
      </c>
      <c r="G640" s="234" t="s">
        <v>1327</v>
      </c>
      <c r="H640" s="234" t="s">
        <v>1328</v>
      </c>
      <c r="I640" s="235">
        <v>73125</v>
      </c>
    </row>
    <row r="641" spans="1:9" x14ac:dyDescent="0.2">
      <c r="A641" s="181">
        <f t="shared" si="10"/>
        <v>639</v>
      </c>
      <c r="B641" s="232">
        <v>41715</v>
      </c>
      <c r="C641" s="232">
        <v>41731</v>
      </c>
      <c r="D641" s="233" t="s">
        <v>1092</v>
      </c>
      <c r="E641" s="233" t="s">
        <v>392</v>
      </c>
      <c r="F641" s="233" t="s">
        <v>9</v>
      </c>
      <c r="G641" s="234" t="s">
        <v>1329</v>
      </c>
      <c r="H641" s="234" t="s">
        <v>1330</v>
      </c>
      <c r="I641" s="235">
        <v>109694.25</v>
      </c>
    </row>
    <row r="642" spans="1:9" x14ac:dyDescent="0.2">
      <c r="A642" s="181">
        <f t="shared" si="10"/>
        <v>640</v>
      </c>
      <c r="B642" s="232">
        <v>41716</v>
      </c>
      <c r="C642" s="232">
        <v>41764</v>
      </c>
      <c r="D642" s="233" t="s">
        <v>1092</v>
      </c>
      <c r="E642" s="233" t="s">
        <v>392</v>
      </c>
      <c r="F642" s="233" t="s">
        <v>9</v>
      </c>
      <c r="G642" s="234" t="s">
        <v>1331</v>
      </c>
      <c r="H642" s="234" t="s">
        <v>1333</v>
      </c>
      <c r="I642" s="236">
        <v>248475</v>
      </c>
    </row>
    <row r="643" spans="1:9" x14ac:dyDescent="0.2">
      <c r="A643" s="181">
        <f t="shared" si="10"/>
        <v>641</v>
      </c>
      <c r="B643" s="232">
        <v>41716</v>
      </c>
      <c r="C643" s="232">
        <v>41764</v>
      </c>
      <c r="D643" s="233" t="s">
        <v>1092</v>
      </c>
      <c r="E643" s="233" t="s">
        <v>392</v>
      </c>
      <c r="F643" s="233" t="s">
        <v>9</v>
      </c>
      <c r="G643" s="234" t="s">
        <v>1332</v>
      </c>
      <c r="H643" s="234" t="s">
        <v>1334</v>
      </c>
      <c r="I643" s="236">
        <v>262450</v>
      </c>
    </row>
    <row r="644" spans="1:9" x14ac:dyDescent="0.2">
      <c r="A644" s="181">
        <f t="shared" si="10"/>
        <v>642</v>
      </c>
      <c r="B644" s="232">
        <v>41716</v>
      </c>
      <c r="C644" s="232">
        <v>41732</v>
      </c>
      <c r="D644" s="233" t="s">
        <v>1092</v>
      </c>
      <c r="E644" s="233" t="s">
        <v>422</v>
      </c>
      <c r="F644" s="233" t="s">
        <v>396</v>
      </c>
      <c r="G644" s="234" t="s">
        <v>1335</v>
      </c>
      <c r="H644" s="234" t="s">
        <v>1336</v>
      </c>
      <c r="I644" s="235">
        <v>85840</v>
      </c>
    </row>
    <row r="645" spans="1:9" x14ac:dyDescent="0.2">
      <c r="A645" s="181">
        <f t="shared" si="10"/>
        <v>643</v>
      </c>
      <c r="B645" s="232">
        <v>41722</v>
      </c>
      <c r="C645" s="232">
        <v>41738</v>
      </c>
      <c r="D645" s="233" t="s">
        <v>1092</v>
      </c>
      <c r="E645" s="233" t="s">
        <v>392</v>
      </c>
      <c r="F645" s="233" t="s">
        <v>701</v>
      </c>
      <c r="G645" s="234" t="s">
        <v>1337</v>
      </c>
      <c r="H645" s="234" t="s">
        <v>1338</v>
      </c>
      <c r="I645" s="235">
        <v>120000</v>
      </c>
    </row>
    <row r="646" spans="1:9" x14ac:dyDescent="0.2">
      <c r="A646" s="181">
        <f t="shared" si="10"/>
        <v>644</v>
      </c>
      <c r="B646" s="232">
        <v>41726</v>
      </c>
      <c r="C646" s="232">
        <v>41752</v>
      </c>
      <c r="D646" s="233" t="s">
        <v>1092</v>
      </c>
      <c r="E646" s="233" t="s">
        <v>392</v>
      </c>
      <c r="F646" s="233" t="s">
        <v>1257</v>
      </c>
      <c r="G646" s="234" t="s">
        <v>1339</v>
      </c>
      <c r="H646" s="234" t="s">
        <v>1340</v>
      </c>
      <c r="I646" s="235">
        <v>125000</v>
      </c>
    </row>
    <row r="647" spans="1:9" x14ac:dyDescent="0.2">
      <c r="A647" s="181">
        <f t="shared" si="10"/>
        <v>645</v>
      </c>
      <c r="B647" s="237">
        <v>41732</v>
      </c>
      <c r="C647" s="237">
        <v>41752</v>
      </c>
      <c r="D647" s="233" t="s">
        <v>1092</v>
      </c>
      <c r="E647" s="238" t="s">
        <v>392</v>
      </c>
      <c r="F647" s="238" t="s">
        <v>1257</v>
      </c>
      <c r="G647" s="239" t="s">
        <v>541</v>
      </c>
      <c r="H647" s="239" t="s">
        <v>1342</v>
      </c>
      <c r="I647" s="240">
        <v>111550</v>
      </c>
    </row>
    <row r="648" spans="1:9" x14ac:dyDescent="0.2">
      <c r="A648" s="181">
        <f t="shared" si="10"/>
        <v>646</v>
      </c>
      <c r="B648" s="237">
        <v>41732</v>
      </c>
      <c r="C648" s="237">
        <v>41752</v>
      </c>
      <c r="D648" s="233" t="s">
        <v>1092</v>
      </c>
      <c r="E648" s="238" t="s">
        <v>392</v>
      </c>
      <c r="F648" s="238" t="s">
        <v>71</v>
      </c>
      <c r="G648" s="239" t="s">
        <v>1341</v>
      </c>
      <c r="H648" s="239" t="s">
        <v>1343</v>
      </c>
      <c r="I648" s="372">
        <v>73505.53</v>
      </c>
    </row>
    <row r="649" spans="1:9" x14ac:dyDescent="0.2">
      <c r="A649" s="181">
        <f t="shared" si="10"/>
        <v>647</v>
      </c>
      <c r="B649" s="237">
        <v>41733</v>
      </c>
      <c r="C649" s="237">
        <v>41771</v>
      </c>
      <c r="D649" s="233" t="s">
        <v>1092</v>
      </c>
      <c r="E649" s="238" t="s">
        <v>233</v>
      </c>
      <c r="F649" s="238" t="s">
        <v>233</v>
      </c>
      <c r="G649" s="239" t="s">
        <v>1345</v>
      </c>
      <c r="H649" s="239" t="s">
        <v>1344</v>
      </c>
      <c r="I649" s="240">
        <v>934306.23</v>
      </c>
    </row>
    <row r="650" spans="1:9" x14ac:dyDescent="0.2">
      <c r="A650" s="181">
        <f t="shared" si="10"/>
        <v>648</v>
      </c>
      <c r="B650" s="237">
        <v>41737</v>
      </c>
      <c r="C650" s="237">
        <v>41759</v>
      </c>
      <c r="D650" s="233" t="s">
        <v>1092</v>
      </c>
      <c r="E650" s="238" t="s">
        <v>392</v>
      </c>
      <c r="F650" s="238" t="s">
        <v>396</v>
      </c>
      <c r="G650" s="239" t="s">
        <v>1346</v>
      </c>
      <c r="H650" s="239" t="s">
        <v>1348</v>
      </c>
      <c r="I650" s="240">
        <v>76636.36</v>
      </c>
    </row>
    <row r="651" spans="1:9" x14ac:dyDescent="0.2">
      <c r="A651" s="181">
        <f t="shared" si="10"/>
        <v>649</v>
      </c>
      <c r="B651" s="237">
        <v>41737</v>
      </c>
      <c r="C651" s="237">
        <v>41759</v>
      </c>
      <c r="D651" s="233" t="s">
        <v>1092</v>
      </c>
      <c r="E651" s="238" t="s">
        <v>392</v>
      </c>
      <c r="F651" s="238" t="s">
        <v>393</v>
      </c>
      <c r="G651" s="239" t="s">
        <v>1347</v>
      </c>
      <c r="H651" s="239" t="s">
        <v>1349</v>
      </c>
      <c r="I651" s="240">
        <v>81164.88</v>
      </c>
    </row>
    <row r="652" spans="1:9" x14ac:dyDescent="0.2">
      <c r="A652" s="181">
        <f t="shared" si="10"/>
        <v>650</v>
      </c>
      <c r="B652" s="237">
        <v>41775</v>
      </c>
      <c r="C652" s="237">
        <v>41792</v>
      </c>
      <c r="D652" s="233" t="s">
        <v>1092</v>
      </c>
      <c r="E652" s="238" t="s">
        <v>392</v>
      </c>
      <c r="F652" s="238" t="s">
        <v>393</v>
      </c>
      <c r="G652" s="239" t="s">
        <v>1350</v>
      </c>
      <c r="H652" s="239" t="s">
        <v>1353</v>
      </c>
      <c r="I652" s="240">
        <v>197826.5</v>
      </c>
    </row>
    <row r="653" spans="1:9" x14ac:dyDescent="0.2">
      <c r="A653" s="181">
        <f t="shared" si="10"/>
        <v>651</v>
      </c>
      <c r="B653" s="237">
        <v>41775</v>
      </c>
      <c r="C653" s="237">
        <v>41792</v>
      </c>
      <c r="D653" s="233" t="s">
        <v>1092</v>
      </c>
      <c r="E653" s="238" t="s">
        <v>422</v>
      </c>
      <c r="F653" s="238" t="s">
        <v>701</v>
      </c>
      <c r="G653" s="239" t="s">
        <v>1351</v>
      </c>
      <c r="H653" s="239" t="s">
        <v>1354</v>
      </c>
      <c r="I653" s="372">
        <v>62140</v>
      </c>
    </row>
    <row r="654" spans="1:9" x14ac:dyDescent="0.2">
      <c r="A654" s="181">
        <f t="shared" si="10"/>
        <v>652</v>
      </c>
      <c r="B654" s="237">
        <v>41775</v>
      </c>
      <c r="C654" s="237">
        <v>41792</v>
      </c>
      <c r="D654" s="233" t="s">
        <v>1092</v>
      </c>
      <c r="E654" s="238" t="s">
        <v>422</v>
      </c>
      <c r="F654" s="238" t="s">
        <v>701</v>
      </c>
      <c r="G654" s="239" t="s">
        <v>1352</v>
      </c>
      <c r="H654" s="239" t="s">
        <v>1355</v>
      </c>
      <c r="I654" s="372">
        <v>62250</v>
      </c>
    </row>
    <row r="655" spans="1:9" x14ac:dyDescent="0.2">
      <c r="A655" s="181">
        <f t="shared" si="10"/>
        <v>653</v>
      </c>
      <c r="B655" s="237">
        <v>41778</v>
      </c>
      <c r="C655" s="237">
        <v>41794</v>
      </c>
      <c r="D655" s="233" t="s">
        <v>1092</v>
      </c>
      <c r="E655" s="238" t="s">
        <v>392</v>
      </c>
      <c r="F655" s="238" t="s">
        <v>9</v>
      </c>
      <c r="G655" s="239" t="s">
        <v>1357</v>
      </c>
      <c r="H655" s="239" t="s">
        <v>1356</v>
      </c>
      <c r="I655" s="240">
        <v>87168</v>
      </c>
    </row>
    <row r="656" spans="1:9" x14ac:dyDescent="0.2">
      <c r="A656" s="181">
        <f t="shared" si="10"/>
        <v>654</v>
      </c>
      <c r="B656" s="237">
        <v>41781</v>
      </c>
      <c r="C656" s="237">
        <v>41834</v>
      </c>
      <c r="D656" s="233" t="s">
        <v>1092</v>
      </c>
      <c r="E656" s="238" t="s">
        <v>422</v>
      </c>
      <c r="F656" s="238" t="s">
        <v>396</v>
      </c>
      <c r="G656" s="239" t="s">
        <v>1358</v>
      </c>
      <c r="H656" s="239" t="s">
        <v>1359</v>
      </c>
      <c r="I656" s="240">
        <v>252000</v>
      </c>
    </row>
    <row r="657" spans="1:9" x14ac:dyDescent="0.2">
      <c r="A657" s="181">
        <f t="shared" si="10"/>
        <v>655</v>
      </c>
      <c r="B657" s="241">
        <v>41781</v>
      </c>
      <c r="C657" s="241">
        <v>41829</v>
      </c>
      <c r="D657" s="233" t="s">
        <v>1092</v>
      </c>
      <c r="E657" s="242" t="s">
        <v>422</v>
      </c>
      <c r="F657" s="242" t="s">
        <v>1276</v>
      </c>
      <c r="G657" s="243" t="s">
        <v>1360</v>
      </c>
      <c r="H657" s="243" t="s">
        <v>1361</v>
      </c>
      <c r="I657" s="244">
        <v>1339316.67</v>
      </c>
    </row>
    <row r="658" spans="1:9" x14ac:dyDescent="0.2">
      <c r="A658" s="181">
        <f t="shared" si="10"/>
        <v>656</v>
      </c>
      <c r="B658" s="237">
        <v>41787</v>
      </c>
      <c r="C658" s="237">
        <v>41806</v>
      </c>
      <c r="D658" s="233" t="s">
        <v>1092</v>
      </c>
      <c r="E658" s="238" t="s">
        <v>422</v>
      </c>
      <c r="F658" s="238" t="s">
        <v>71</v>
      </c>
      <c r="G658" s="239" t="s">
        <v>1362</v>
      </c>
      <c r="H658" s="239" t="s">
        <v>1364</v>
      </c>
      <c r="I658" s="240">
        <v>116007.11</v>
      </c>
    </row>
    <row r="659" spans="1:9" x14ac:dyDescent="0.2">
      <c r="A659" s="181">
        <f t="shared" si="10"/>
        <v>657</v>
      </c>
      <c r="B659" s="237">
        <v>41787</v>
      </c>
      <c r="C659" s="237">
        <v>41806</v>
      </c>
      <c r="D659" s="233" t="s">
        <v>1092</v>
      </c>
      <c r="E659" s="238" t="s">
        <v>422</v>
      </c>
      <c r="F659" s="238" t="s">
        <v>1276</v>
      </c>
      <c r="G659" s="239" t="s">
        <v>1363</v>
      </c>
      <c r="H659" s="239" t="s">
        <v>1365</v>
      </c>
      <c r="I659" s="372">
        <v>76833.33</v>
      </c>
    </row>
    <row r="660" spans="1:9" x14ac:dyDescent="0.2">
      <c r="A660" s="181">
        <f t="shared" si="10"/>
        <v>658</v>
      </c>
      <c r="B660" s="237">
        <v>41788</v>
      </c>
      <c r="C660" s="237">
        <v>41806</v>
      </c>
      <c r="D660" s="233" t="s">
        <v>1092</v>
      </c>
      <c r="E660" s="238" t="s">
        <v>422</v>
      </c>
      <c r="F660" s="238" t="s">
        <v>701</v>
      </c>
      <c r="G660" s="239" t="s">
        <v>1366</v>
      </c>
      <c r="H660" s="239" t="s">
        <v>1367</v>
      </c>
      <c r="I660" s="240">
        <v>88806.61</v>
      </c>
    </row>
    <row r="661" spans="1:9" x14ac:dyDescent="0.2">
      <c r="A661" s="181">
        <f t="shared" si="10"/>
        <v>659</v>
      </c>
      <c r="B661" s="237">
        <v>41795</v>
      </c>
      <c r="C661" s="237">
        <v>41876</v>
      </c>
      <c r="D661" s="233" t="s">
        <v>1092</v>
      </c>
      <c r="E661" s="238" t="s">
        <v>392</v>
      </c>
      <c r="F661" s="238" t="s">
        <v>9</v>
      </c>
      <c r="G661" s="239" t="s">
        <v>1368</v>
      </c>
      <c r="H661" s="239" t="s">
        <v>1369</v>
      </c>
      <c r="I661" s="240">
        <v>242255.7</v>
      </c>
    </row>
    <row r="662" spans="1:9" x14ac:dyDescent="0.2">
      <c r="A662" s="181">
        <f t="shared" si="10"/>
        <v>660</v>
      </c>
      <c r="B662" s="237">
        <v>41810</v>
      </c>
      <c r="C662" s="237">
        <v>41827</v>
      </c>
      <c r="D662" s="233" t="s">
        <v>1092</v>
      </c>
      <c r="E662" s="238" t="s">
        <v>392</v>
      </c>
      <c r="F662" s="238" t="s">
        <v>393</v>
      </c>
      <c r="G662" s="239" t="s">
        <v>1370</v>
      </c>
      <c r="H662" s="239" t="s">
        <v>1371</v>
      </c>
      <c r="I662" s="240">
        <v>93464</v>
      </c>
    </row>
    <row r="663" spans="1:9" x14ac:dyDescent="0.2">
      <c r="A663" s="181">
        <f t="shared" si="10"/>
        <v>661</v>
      </c>
      <c r="B663" s="237">
        <v>41817</v>
      </c>
      <c r="C663" s="237">
        <v>41834</v>
      </c>
      <c r="D663" s="233" t="s">
        <v>1092</v>
      </c>
      <c r="E663" s="238" t="s">
        <v>422</v>
      </c>
      <c r="F663" s="238" t="s">
        <v>71</v>
      </c>
      <c r="G663" s="239" t="s">
        <v>1372</v>
      </c>
      <c r="H663" s="239" t="s">
        <v>1373</v>
      </c>
      <c r="I663" s="240">
        <v>82836.62</v>
      </c>
    </row>
    <row r="664" spans="1:9" x14ac:dyDescent="0.2">
      <c r="A664" s="245">
        <f t="shared" si="10"/>
        <v>662</v>
      </c>
      <c r="B664" s="237">
        <v>41820</v>
      </c>
      <c r="C664" s="237">
        <v>41836</v>
      </c>
      <c r="D664" s="233" t="s">
        <v>1092</v>
      </c>
      <c r="E664" s="238" t="s">
        <v>422</v>
      </c>
      <c r="F664" s="238" t="s">
        <v>71</v>
      </c>
      <c r="G664" s="239" t="s">
        <v>1374</v>
      </c>
      <c r="H664" s="239" t="s">
        <v>1375</v>
      </c>
      <c r="I664" s="240">
        <v>131395.13</v>
      </c>
    </row>
    <row r="665" spans="1:9" x14ac:dyDescent="0.2">
      <c r="A665" s="245">
        <f t="shared" si="10"/>
        <v>663</v>
      </c>
      <c r="B665" s="237">
        <v>41851</v>
      </c>
      <c r="C665" s="237">
        <v>41883</v>
      </c>
      <c r="D665" s="233" t="s">
        <v>1092</v>
      </c>
      <c r="E665" s="238" t="s">
        <v>422</v>
      </c>
      <c r="F665" s="238" t="s">
        <v>396</v>
      </c>
      <c r="G665" s="239" t="s">
        <v>1377</v>
      </c>
      <c r="H665" s="239" t="s">
        <v>1376</v>
      </c>
      <c r="I665" s="240">
        <v>140800</v>
      </c>
    </row>
    <row r="666" spans="1:9" x14ac:dyDescent="0.2">
      <c r="A666" s="245">
        <f t="shared" si="10"/>
        <v>664</v>
      </c>
      <c r="B666" s="237">
        <v>41856</v>
      </c>
      <c r="C666" s="237">
        <v>41885</v>
      </c>
      <c r="D666" s="233" t="s">
        <v>1092</v>
      </c>
      <c r="E666" s="238" t="s">
        <v>422</v>
      </c>
      <c r="F666" s="238" t="s">
        <v>396</v>
      </c>
      <c r="G666" s="239" t="s">
        <v>1378</v>
      </c>
      <c r="H666" s="239" t="s">
        <v>1379</v>
      </c>
      <c r="I666" s="240">
        <v>66300</v>
      </c>
    </row>
    <row r="667" spans="1:9" x14ac:dyDescent="0.2">
      <c r="A667" s="245">
        <f t="shared" si="10"/>
        <v>665</v>
      </c>
      <c r="B667" s="237">
        <v>41857</v>
      </c>
      <c r="C667" s="237">
        <v>41911</v>
      </c>
      <c r="D667" s="233" t="s">
        <v>1092</v>
      </c>
      <c r="E667" s="238" t="s">
        <v>422</v>
      </c>
      <c r="F667" s="238" t="s">
        <v>701</v>
      </c>
      <c r="G667" s="239" t="s">
        <v>1380</v>
      </c>
      <c r="H667" s="239" t="s">
        <v>1382</v>
      </c>
      <c r="I667" s="240">
        <v>96700</v>
      </c>
    </row>
    <row r="668" spans="1:9" x14ac:dyDescent="0.2">
      <c r="A668" s="245">
        <f t="shared" ref="A668:A688" si="11">A667+1</f>
        <v>666</v>
      </c>
      <c r="B668" s="237">
        <v>41857</v>
      </c>
      <c r="C668" s="237">
        <v>41911</v>
      </c>
      <c r="D668" s="233" t="s">
        <v>1092</v>
      </c>
      <c r="E668" s="238" t="s">
        <v>422</v>
      </c>
      <c r="F668" s="238" t="s">
        <v>701</v>
      </c>
      <c r="G668" s="239" t="s">
        <v>1381</v>
      </c>
      <c r="H668" s="239" t="s">
        <v>1383</v>
      </c>
      <c r="I668" s="240">
        <v>97450</v>
      </c>
    </row>
    <row r="669" spans="1:9" x14ac:dyDescent="0.2">
      <c r="A669" s="245">
        <f t="shared" si="11"/>
        <v>667</v>
      </c>
      <c r="B669" s="237">
        <v>41859</v>
      </c>
      <c r="C669" s="237">
        <v>41911</v>
      </c>
      <c r="D669" s="233" t="s">
        <v>1092</v>
      </c>
      <c r="E669" s="238" t="s">
        <v>392</v>
      </c>
      <c r="F669" s="238" t="s">
        <v>701</v>
      </c>
      <c r="G669" s="239" t="s">
        <v>1384</v>
      </c>
      <c r="H669" s="239" t="s">
        <v>1385</v>
      </c>
      <c r="I669" s="240">
        <v>96800</v>
      </c>
    </row>
    <row r="670" spans="1:9" x14ac:dyDescent="0.2">
      <c r="A670" s="246">
        <f t="shared" si="11"/>
        <v>668</v>
      </c>
      <c r="B670" s="247">
        <v>41885</v>
      </c>
      <c r="C670" s="247">
        <v>41904</v>
      </c>
      <c r="D670" s="233" t="s">
        <v>1092</v>
      </c>
      <c r="E670" s="248" t="s">
        <v>422</v>
      </c>
      <c r="F670" s="248" t="s">
        <v>701</v>
      </c>
      <c r="G670" s="249" t="s">
        <v>1386</v>
      </c>
      <c r="H670" s="249" t="s">
        <v>1391</v>
      </c>
      <c r="I670" s="250">
        <v>187000</v>
      </c>
    </row>
    <row r="671" spans="1:9" x14ac:dyDescent="0.2">
      <c r="A671" s="246">
        <f t="shared" si="11"/>
        <v>669</v>
      </c>
      <c r="B671" s="247">
        <v>41886</v>
      </c>
      <c r="C671" s="247">
        <v>41904</v>
      </c>
      <c r="D671" s="233" t="s">
        <v>1092</v>
      </c>
      <c r="E671" s="248" t="s">
        <v>422</v>
      </c>
      <c r="F671" s="248" t="s">
        <v>1396</v>
      </c>
      <c r="G671" s="249" t="s">
        <v>1387</v>
      </c>
      <c r="H671" s="249" t="s">
        <v>1392</v>
      </c>
      <c r="I671" s="373">
        <v>112866.67</v>
      </c>
    </row>
    <row r="672" spans="1:9" x14ac:dyDescent="0.2">
      <c r="A672" s="246">
        <f t="shared" si="11"/>
        <v>670</v>
      </c>
      <c r="B672" s="247">
        <v>41887</v>
      </c>
      <c r="C672" s="247">
        <v>41939</v>
      </c>
      <c r="D672" s="233" t="s">
        <v>1092</v>
      </c>
      <c r="E672" s="248" t="s">
        <v>422</v>
      </c>
      <c r="F672" s="248" t="s">
        <v>701</v>
      </c>
      <c r="G672" s="249" t="s">
        <v>1388</v>
      </c>
      <c r="H672" s="249" t="s">
        <v>1393</v>
      </c>
      <c r="I672" s="373">
        <v>311500</v>
      </c>
    </row>
    <row r="673" spans="1:9" x14ac:dyDescent="0.2">
      <c r="A673" s="246">
        <f t="shared" si="11"/>
        <v>671</v>
      </c>
      <c r="B673" s="247">
        <v>41894</v>
      </c>
      <c r="C673" s="247">
        <v>41990</v>
      </c>
      <c r="D673" s="233" t="s">
        <v>1092</v>
      </c>
      <c r="E673" s="248" t="s">
        <v>392</v>
      </c>
      <c r="F673" s="248" t="s">
        <v>9</v>
      </c>
      <c r="G673" s="249" t="s">
        <v>1389</v>
      </c>
      <c r="H673" s="249" t="s">
        <v>1394</v>
      </c>
      <c r="I673" s="373">
        <v>410216</v>
      </c>
    </row>
    <row r="674" spans="1:9" x14ac:dyDescent="0.2">
      <c r="A674" s="246">
        <f t="shared" si="11"/>
        <v>672</v>
      </c>
      <c r="B674" s="247">
        <v>41894</v>
      </c>
      <c r="C674" s="247">
        <v>41990</v>
      </c>
      <c r="D674" s="233" t="s">
        <v>1092</v>
      </c>
      <c r="E674" s="248" t="s">
        <v>392</v>
      </c>
      <c r="F674" s="248" t="s">
        <v>9</v>
      </c>
      <c r="G674" s="249" t="s">
        <v>1390</v>
      </c>
      <c r="H674" s="249" t="s">
        <v>1395</v>
      </c>
      <c r="I674" s="373">
        <v>378240</v>
      </c>
    </row>
    <row r="675" spans="1:9" x14ac:dyDescent="0.2">
      <c r="A675" s="246">
        <f t="shared" si="11"/>
        <v>673</v>
      </c>
      <c r="B675" s="247">
        <v>41900</v>
      </c>
      <c r="C675" s="247">
        <v>41918</v>
      </c>
      <c r="D675" s="233" t="s">
        <v>1092</v>
      </c>
      <c r="E675" s="248" t="s">
        <v>392</v>
      </c>
      <c r="F675" s="248" t="s">
        <v>701</v>
      </c>
      <c r="G675" s="249" t="s">
        <v>1397</v>
      </c>
      <c r="H675" s="249" t="s">
        <v>1400</v>
      </c>
      <c r="I675" s="250">
        <v>110000</v>
      </c>
    </row>
    <row r="676" spans="1:9" x14ac:dyDescent="0.2">
      <c r="A676" s="246">
        <f t="shared" si="11"/>
        <v>674</v>
      </c>
      <c r="B676" s="247">
        <v>41901</v>
      </c>
      <c r="C676" s="247">
        <v>41990</v>
      </c>
      <c r="D676" s="233" t="s">
        <v>1092</v>
      </c>
      <c r="E676" s="248" t="s">
        <v>392</v>
      </c>
      <c r="F676" s="248" t="s">
        <v>9</v>
      </c>
      <c r="G676" s="249" t="s">
        <v>1398</v>
      </c>
      <c r="H676" s="249" t="s">
        <v>1401</v>
      </c>
      <c r="I676" s="373">
        <v>343653</v>
      </c>
    </row>
    <row r="677" spans="1:9" x14ac:dyDescent="0.2">
      <c r="A677" s="246">
        <f t="shared" si="11"/>
        <v>675</v>
      </c>
      <c r="B677" s="247">
        <v>41901</v>
      </c>
      <c r="C677" s="247">
        <v>41990</v>
      </c>
      <c r="D677" s="233" t="s">
        <v>1092</v>
      </c>
      <c r="E677" s="248" t="s">
        <v>392</v>
      </c>
      <c r="F677" s="248" t="s">
        <v>9</v>
      </c>
      <c r="G677" s="249" t="s">
        <v>1399</v>
      </c>
      <c r="H677" s="249" t="s">
        <v>1402</v>
      </c>
      <c r="I677" s="373">
        <v>426077</v>
      </c>
    </row>
    <row r="678" spans="1:9" x14ac:dyDescent="0.2">
      <c r="A678" s="246">
        <f t="shared" si="11"/>
        <v>676</v>
      </c>
      <c r="B678" s="247">
        <v>41912</v>
      </c>
      <c r="C678" s="247">
        <v>41932</v>
      </c>
      <c r="D678" s="233" t="s">
        <v>1092</v>
      </c>
      <c r="E678" s="248" t="s">
        <v>392</v>
      </c>
      <c r="F678" s="249" t="s">
        <v>393</v>
      </c>
      <c r="G678" s="249" t="s">
        <v>1405</v>
      </c>
      <c r="H678" s="249" t="s">
        <v>1403</v>
      </c>
      <c r="I678" s="250">
        <v>175230</v>
      </c>
    </row>
    <row r="679" spans="1:9" x14ac:dyDescent="0.2">
      <c r="A679" s="246">
        <f t="shared" si="11"/>
        <v>677</v>
      </c>
      <c r="B679" s="247">
        <v>41912</v>
      </c>
      <c r="C679" s="247">
        <v>41990</v>
      </c>
      <c r="D679" s="233" t="s">
        <v>1092</v>
      </c>
      <c r="E679" s="248" t="s">
        <v>422</v>
      </c>
      <c r="F679" s="249" t="s">
        <v>701</v>
      </c>
      <c r="G679" s="249" t="s">
        <v>1406</v>
      </c>
      <c r="H679" s="249" t="s">
        <v>1404</v>
      </c>
      <c r="I679" s="250">
        <v>294500</v>
      </c>
    </row>
    <row r="680" spans="1:9" x14ac:dyDescent="0.2">
      <c r="A680" s="246">
        <f t="shared" si="11"/>
        <v>678</v>
      </c>
      <c r="B680" s="247">
        <v>41915</v>
      </c>
      <c r="C680" s="247">
        <v>41932</v>
      </c>
      <c r="D680" s="233" t="s">
        <v>1092</v>
      </c>
      <c r="E680" s="248" t="s">
        <v>392</v>
      </c>
      <c r="F680" s="248" t="s">
        <v>71</v>
      </c>
      <c r="G680" s="249" t="s">
        <v>1408</v>
      </c>
      <c r="H680" s="249" t="s">
        <v>1411</v>
      </c>
      <c r="I680" s="250">
        <v>51127.47</v>
      </c>
    </row>
    <row r="681" spans="1:9" x14ac:dyDescent="0.2">
      <c r="A681" s="246">
        <f t="shared" si="11"/>
        <v>679</v>
      </c>
      <c r="B681" s="247">
        <v>41915</v>
      </c>
      <c r="C681" s="247">
        <v>41932</v>
      </c>
      <c r="D681" s="233" t="s">
        <v>1092</v>
      </c>
      <c r="E681" s="248" t="s">
        <v>392</v>
      </c>
      <c r="F681" s="248" t="s">
        <v>393</v>
      </c>
      <c r="G681" s="249" t="s">
        <v>1409</v>
      </c>
      <c r="H681" s="249" t="s">
        <v>1412</v>
      </c>
      <c r="I681" s="373">
        <v>80038.81</v>
      </c>
    </row>
    <row r="682" spans="1:9" x14ac:dyDescent="0.2">
      <c r="A682" s="246">
        <f t="shared" si="11"/>
        <v>680</v>
      </c>
      <c r="B682" s="247">
        <v>41915</v>
      </c>
      <c r="C682" s="247">
        <v>41932</v>
      </c>
      <c r="D682" s="233" t="s">
        <v>1092</v>
      </c>
      <c r="E682" s="248" t="s">
        <v>392</v>
      </c>
      <c r="F682" s="248" t="s">
        <v>396</v>
      </c>
      <c r="G682" s="249" t="s">
        <v>1410</v>
      </c>
      <c r="H682" s="249" t="s">
        <v>1413</v>
      </c>
      <c r="I682" s="373">
        <v>75492.13</v>
      </c>
    </row>
    <row r="683" spans="1:9" x14ac:dyDescent="0.2">
      <c r="A683" s="246">
        <f t="shared" si="11"/>
        <v>681</v>
      </c>
      <c r="B683" s="247">
        <v>41918</v>
      </c>
      <c r="C683" s="247">
        <v>41934</v>
      </c>
      <c r="D683" s="233" t="s">
        <v>1092</v>
      </c>
      <c r="E683" s="248" t="s">
        <v>392</v>
      </c>
      <c r="F683" s="248" t="s">
        <v>71</v>
      </c>
      <c r="G683" s="249" t="s">
        <v>1414</v>
      </c>
      <c r="H683" s="249" t="s">
        <v>1416</v>
      </c>
      <c r="I683" s="250">
        <v>54806.5</v>
      </c>
    </row>
    <row r="684" spans="1:9" x14ac:dyDescent="0.2">
      <c r="A684" s="246">
        <f t="shared" si="11"/>
        <v>682</v>
      </c>
      <c r="B684" s="247">
        <v>41918</v>
      </c>
      <c r="C684" s="247">
        <v>41934</v>
      </c>
      <c r="D684" s="233" t="s">
        <v>1092</v>
      </c>
      <c r="E684" s="248" t="s">
        <v>392</v>
      </c>
      <c r="F684" s="248" t="s">
        <v>393</v>
      </c>
      <c r="G684" s="249" t="s">
        <v>1415</v>
      </c>
      <c r="H684" s="249" t="s">
        <v>1417</v>
      </c>
      <c r="I684" s="250">
        <v>102235</v>
      </c>
    </row>
    <row r="685" spans="1:9" x14ac:dyDescent="0.2">
      <c r="A685" s="246">
        <f t="shared" si="11"/>
        <v>683</v>
      </c>
      <c r="B685" s="247">
        <v>41920</v>
      </c>
      <c r="C685" s="247">
        <v>41948</v>
      </c>
      <c r="D685" s="233" t="s">
        <v>1092</v>
      </c>
      <c r="E685" s="248" t="s">
        <v>392</v>
      </c>
      <c r="F685" s="248" t="s">
        <v>393</v>
      </c>
      <c r="G685" s="249" t="s">
        <v>1418</v>
      </c>
      <c r="H685" s="249" t="s">
        <v>1419</v>
      </c>
      <c r="I685" s="250">
        <v>81776</v>
      </c>
    </row>
    <row r="686" spans="1:9" x14ac:dyDescent="0.2">
      <c r="A686" s="246">
        <f t="shared" si="11"/>
        <v>684</v>
      </c>
      <c r="B686" s="251">
        <v>41908</v>
      </c>
      <c r="C686" s="251">
        <v>41946</v>
      </c>
      <c r="D686" s="233" t="s">
        <v>1092</v>
      </c>
      <c r="E686" s="252" t="s">
        <v>392</v>
      </c>
      <c r="F686" s="252" t="s">
        <v>233</v>
      </c>
      <c r="G686" s="253" t="s">
        <v>1420</v>
      </c>
      <c r="H686" s="254" t="s">
        <v>1421</v>
      </c>
      <c r="I686" s="255">
        <v>1352200</v>
      </c>
    </row>
    <row r="687" spans="1:9" x14ac:dyDescent="0.2">
      <c r="A687" s="246">
        <f t="shared" si="11"/>
        <v>685</v>
      </c>
      <c r="B687" s="247">
        <v>41925</v>
      </c>
      <c r="C687" s="247">
        <v>41948</v>
      </c>
      <c r="D687" s="233" t="s">
        <v>1092</v>
      </c>
      <c r="E687" s="248" t="s">
        <v>392</v>
      </c>
      <c r="F687" s="248" t="s">
        <v>9</v>
      </c>
      <c r="G687" s="249" t="s">
        <v>1422</v>
      </c>
      <c r="H687" s="249" t="s">
        <v>1424</v>
      </c>
      <c r="I687" s="250">
        <v>185324</v>
      </c>
    </row>
    <row r="688" spans="1:9" x14ac:dyDescent="0.2">
      <c r="A688" s="246">
        <f t="shared" si="11"/>
        <v>686</v>
      </c>
      <c r="B688" s="247">
        <v>41925</v>
      </c>
      <c r="C688" s="247">
        <v>41948</v>
      </c>
      <c r="D688" s="233" t="s">
        <v>1092</v>
      </c>
      <c r="E688" s="248" t="s">
        <v>392</v>
      </c>
      <c r="F688" s="248" t="s">
        <v>9</v>
      </c>
      <c r="G688" s="249" t="s">
        <v>1423</v>
      </c>
      <c r="H688" s="249" t="s">
        <v>1425</v>
      </c>
      <c r="I688" s="250">
        <v>80883</v>
      </c>
    </row>
    <row r="689" spans="1:9" x14ac:dyDescent="0.2">
      <c r="A689" s="246">
        <f>A688+1</f>
        <v>687</v>
      </c>
      <c r="B689" s="247">
        <v>41926</v>
      </c>
      <c r="C689" s="247">
        <v>41953</v>
      </c>
      <c r="D689" s="233" t="s">
        <v>1092</v>
      </c>
      <c r="E689" s="248" t="s">
        <v>392</v>
      </c>
      <c r="F689" s="248" t="s">
        <v>396</v>
      </c>
      <c r="G689" s="249" t="s">
        <v>1429</v>
      </c>
      <c r="H689" s="249" t="s">
        <v>1430</v>
      </c>
      <c r="I689" s="250">
        <v>74750</v>
      </c>
    </row>
    <row r="690" spans="1:9" x14ac:dyDescent="0.2">
      <c r="A690" s="246">
        <f>A689+1</f>
        <v>688</v>
      </c>
      <c r="B690" s="247">
        <v>41926</v>
      </c>
      <c r="C690" s="247">
        <v>41953</v>
      </c>
      <c r="D690" s="233" t="s">
        <v>1092</v>
      </c>
      <c r="E690" s="248" t="s">
        <v>392</v>
      </c>
      <c r="F690" s="248" t="s">
        <v>393</v>
      </c>
      <c r="G690" s="249" t="s">
        <v>1428</v>
      </c>
      <c r="H690" s="249" t="s">
        <v>1431</v>
      </c>
      <c r="I690" s="250">
        <v>74865</v>
      </c>
    </row>
    <row r="691" spans="1:9" x14ac:dyDescent="0.2">
      <c r="A691" s="246">
        <f t="shared" ref="A691:A701" si="12">A690+1</f>
        <v>689</v>
      </c>
      <c r="B691" s="247">
        <v>41927</v>
      </c>
      <c r="C691" s="247">
        <v>41946</v>
      </c>
      <c r="D691" s="233" t="s">
        <v>1092</v>
      </c>
      <c r="E691" s="248" t="s">
        <v>422</v>
      </c>
      <c r="F691" s="248" t="s">
        <v>396</v>
      </c>
      <c r="G691" s="249" t="s">
        <v>1432</v>
      </c>
      <c r="H691" s="249" t="s">
        <v>1433</v>
      </c>
      <c r="I691" s="250">
        <v>119361.11</v>
      </c>
    </row>
    <row r="692" spans="1:9" x14ac:dyDescent="0.2">
      <c r="A692" s="246">
        <f>A691+1</f>
        <v>690</v>
      </c>
      <c r="B692" s="247">
        <v>41939</v>
      </c>
      <c r="C692" s="247">
        <v>41976</v>
      </c>
      <c r="D692" s="233" t="s">
        <v>1092</v>
      </c>
      <c r="E692" s="248" t="s">
        <v>392</v>
      </c>
      <c r="F692" s="248" t="s">
        <v>9</v>
      </c>
      <c r="G692" s="249" t="s">
        <v>1434</v>
      </c>
      <c r="H692" s="249" t="s">
        <v>1435</v>
      </c>
      <c r="I692" s="250">
        <v>724557</v>
      </c>
    </row>
    <row r="693" spans="1:9" x14ac:dyDescent="0.2">
      <c r="A693" s="246">
        <f t="shared" si="12"/>
        <v>691</v>
      </c>
      <c r="B693" s="247">
        <v>41941</v>
      </c>
      <c r="C693" s="247">
        <v>41976</v>
      </c>
      <c r="D693" s="233" t="s">
        <v>1092</v>
      </c>
      <c r="E693" s="248" t="s">
        <v>392</v>
      </c>
      <c r="F693" s="248" t="s">
        <v>233</v>
      </c>
      <c r="G693" s="249" t="s">
        <v>1436</v>
      </c>
      <c r="H693" s="249" t="s">
        <v>1437</v>
      </c>
      <c r="I693" s="250">
        <v>775500</v>
      </c>
    </row>
    <row r="694" spans="1:9" x14ac:dyDescent="0.2">
      <c r="A694" s="246">
        <f t="shared" si="12"/>
        <v>692</v>
      </c>
      <c r="B694" s="247">
        <v>41946</v>
      </c>
      <c r="C694" s="247">
        <v>41962</v>
      </c>
      <c r="D694" s="233" t="s">
        <v>1092</v>
      </c>
      <c r="E694" s="248" t="s">
        <v>392</v>
      </c>
      <c r="F694" s="248" t="s">
        <v>71</v>
      </c>
      <c r="G694" s="249" t="s">
        <v>1438</v>
      </c>
      <c r="H694" s="249" t="s">
        <v>1441</v>
      </c>
      <c r="I694" s="250">
        <v>45590.58</v>
      </c>
    </row>
    <row r="695" spans="1:9" x14ac:dyDescent="0.2">
      <c r="A695" s="246">
        <f t="shared" si="12"/>
        <v>693</v>
      </c>
      <c r="B695" s="247">
        <v>41946</v>
      </c>
      <c r="C695" s="247">
        <v>41962</v>
      </c>
      <c r="D695" s="233" t="s">
        <v>1092</v>
      </c>
      <c r="E695" s="248" t="s">
        <v>392</v>
      </c>
      <c r="F695" s="248" t="s">
        <v>396</v>
      </c>
      <c r="G695" s="249" t="s">
        <v>1439</v>
      </c>
      <c r="H695" s="249" t="s">
        <v>1442</v>
      </c>
      <c r="I695" s="250">
        <v>77115</v>
      </c>
    </row>
    <row r="696" spans="1:9" x14ac:dyDescent="0.2">
      <c r="A696" s="246">
        <f t="shared" si="12"/>
        <v>694</v>
      </c>
      <c r="B696" s="247">
        <v>41946</v>
      </c>
      <c r="C696" s="247">
        <v>41962</v>
      </c>
      <c r="D696" s="233" t="s">
        <v>1092</v>
      </c>
      <c r="E696" s="248" t="s">
        <v>392</v>
      </c>
      <c r="F696" s="248" t="s">
        <v>393</v>
      </c>
      <c r="G696" s="249" t="s">
        <v>1440</v>
      </c>
      <c r="H696" s="249" t="s">
        <v>1443</v>
      </c>
      <c r="I696" s="250">
        <v>77434.19</v>
      </c>
    </row>
    <row r="697" spans="1:9" x14ac:dyDescent="0.2">
      <c r="A697" s="246">
        <f t="shared" si="12"/>
        <v>695</v>
      </c>
      <c r="B697" s="247">
        <v>41947</v>
      </c>
      <c r="C697" s="247">
        <v>41967</v>
      </c>
      <c r="D697" s="233" t="s">
        <v>1092</v>
      </c>
      <c r="E697" s="248" t="s">
        <v>422</v>
      </c>
      <c r="F697" s="248" t="s">
        <v>701</v>
      </c>
      <c r="G697" s="249" t="s">
        <v>1444</v>
      </c>
      <c r="H697" s="249" t="s">
        <v>1446</v>
      </c>
      <c r="I697" s="250">
        <v>175670</v>
      </c>
    </row>
    <row r="698" spans="1:9" x14ac:dyDescent="0.2">
      <c r="A698" s="246">
        <f t="shared" si="12"/>
        <v>696</v>
      </c>
      <c r="B698" s="247">
        <v>41948</v>
      </c>
      <c r="C698" s="247">
        <v>41967</v>
      </c>
      <c r="D698" s="233" t="s">
        <v>1092</v>
      </c>
      <c r="E698" s="248" t="s">
        <v>392</v>
      </c>
      <c r="F698" s="248" t="s">
        <v>71</v>
      </c>
      <c r="G698" s="249" t="s">
        <v>1445</v>
      </c>
      <c r="H698" s="249" t="s">
        <v>1447</v>
      </c>
      <c r="I698" s="250">
        <v>50665.45</v>
      </c>
    </row>
    <row r="699" spans="1:9" x14ac:dyDescent="0.2">
      <c r="A699" s="246">
        <f t="shared" si="12"/>
        <v>697</v>
      </c>
      <c r="B699" s="247">
        <v>41955</v>
      </c>
      <c r="C699" s="247">
        <v>41974</v>
      </c>
      <c r="D699" s="233" t="s">
        <v>1092</v>
      </c>
      <c r="E699" s="248" t="s">
        <v>422</v>
      </c>
      <c r="F699" s="248" t="s">
        <v>701</v>
      </c>
      <c r="G699" s="249" t="s">
        <v>1448</v>
      </c>
      <c r="H699" s="249" t="s">
        <v>1449</v>
      </c>
      <c r="I699" s="250">
        <v>58500</v>
      </c>
    </row>
    <row r="700" spans="1:9" x14ac:dyDescent="0.2">
      <c r="A700" s="246">
        <f t="shared" si="12"/>
        <v>698</v>
      </c>
      <c r="B700" s="247">
        <v>41957</v>
      </c>
      <c r="C700" s="247">
        <v>41983</v>
      </c>
      <c r="D700" s="233" t="s">
        <v>1092</v>
      </c>
      <c r="E700" s="248" t="s">
        <v>392</v>
      </c>
      <c r="F700" s="248" t="s">
        <v>1257</v>
      </c>
      <c r="G700" s="249" t="s">
        <v>1450</v>
      </c>
      <c r="H700" s="249" t="s">
        <v>1452</v>
      </c>
      <c r="I700" s="250">
        <v>191408</v>
      </c>
    </row>
    <row r="701" spans="1:9" x14ac:dyDescent="0.2">
      <c r="A701" s="246">
        <f t="shared" si="12"/>
        <v>699</v>
      </c>
      <c r="B701" s="247">
        <v>41960</v>
      </c>
      <c r="C701" s="247">
        <v>41983</v>
      </c>
      <c r="D701" s="233" t="s">
        <v>1092</v>
      </c>
      <c r="E701" s="248" t="s">
        <v>392</v>
      </c>
      <c r="F701" s="248" t="s">
        <v>71</v>
      </c>
      <c r="G701" s="249" t="s">
        <v>1451</v>
      </c>
      <c r="H701" s="249" t="s">
        <v>1453</v>
      </c>
      <c r="I701" s="250">
        <v>60371.66</v>
      </c>
    </row>
    <row r="702" spans="1:9" x14ac:dyDescent="0.2">
      <c r="A702" s="246">
        <v>700</v>
      </c>
      <c r="B702" s="247">
        <v>41963</v>
      </c>
      <c r="C702" s="247">
        <v>42023</v>
      </c>
      <c r="D702" s="233" t="s">
        <v>1092</v>
      </c>
      <c r="E702" s="248" t="s">
        <v>392</v>
      </c>
      <c r="F702" s="248" t="s">
        <v>9</v>
      </c>
      <c r="G702" s="249" t="s">
        <v>1454</v>
      </c>
      <c r="H702" s="249" t="s">
        <v>1455</v>
      </c>
      <c r="I702" s="250">
        <v>284059</v>
      </c>
    </row>
    <row r="703" spans="1:9" x14ac:dyDescent="0.2">
      <c r="A703" s="246">
        <v>701</v>
      </c>
      <c r="B703" s="247">
        <v>41975</v>
      </c>
      <c r="C703" s="247">
        <v>41991</v>
      </c>
      <c r="D703" s="233" t="s">
        <v>1092</v>
      </c>
      <c r="E703" s="248" t="s">
        <v>392</v>
      </c>
      <c r="F703" s="248" t="s">
        <v>1272</v>
      </c>
      <c r="G703" s="249" t="s">
        <v>1456</v>
      </c>
      <c r="H703" s="249" t="s">
        <v>1457</v>
      </c>
      <c r="I703" s="250">
        <v>85279</v>
      </c>
    </row>
    <row r="704" spans="1:9" x14ac:dyDescent="0.2">
      <c r="A704" s="246">
        <v>702</v>
      </c>
      <c r="B704" s="247">
        <v>41985</v>
      </c>
      <c r="C704" s="247">
        <v>42011</v>
      </c>
      <c r="D704" s="233" t="s">
        <v>1092</v>
      </c>
      <c r="E704" s="248" t="s">
        <v>392</v>
      </c>
      <c r="F704" s="248" t="s">
        <v>396</v>
      </c>
      <c r="G704" s="249" t="s">
        <v>1458</v>
      </c>
      <c r="H704" s="249" t="s">
        <v>1460</v>
      </c>
      <c r="I704" s="250">
        <v>108504</v>
      </c>
    </row>
    <row r="705" spans="1:9" x14ac:dyDescent="0.2">
      <c r="A705" s="246">
        <v>703</v>
      </c>
      <c r="B705" s="247">
        <v>41985</v>
      </c>
      <c r="C705" s="247">
        <v>42037</v>
      </c>
      <c r="D705" s="233" t="s">
        <v>1092</v>
      </c>
      <c r="E705" s="248" t="s">
        <v>392</v>
      </c>
      <c r="F705" s="248" t="s">
        <v>396</v>
      </c>
      <c r="G705" s="249" t="s">
        <v>1459</v>
      </c>
      <c r="H705" s="249" t="s">
        <v>1461</v>
      </c>
      <c r="I705" s="250">
        <v>203696</v>
      </c>
    </row>
    <row r="706" spans="1:9" x14ac:dyDescent="0.2">
      <c r="A706" s="246">
        <v>704</v>
      </c>
      <c r="B706" s="247">
        <v>41991</v>
      </c>
      <c r="C706" s="247">
        <v>42011</v>
      </c>
      <c r="D706" s="233" t="s">
        <v>1092</v>
      </c>
      <c r="E706" s="248" t="s">
        <v>392</v>
      </c>
      <c r="F706" s="248" t="s">
        <v>71</v>
      </c>
      <c r="G706" s="249" t="s">
        <v>1462</v>
      </c>
      <c r="H706" s="249" t="s">
        <v>1463</v>
      </c>
      <c r="I706" s="250">
        <v>67260.11</v>
      </c>
    </row>
    <row r="707" spans="1:9" x14ac:dyDescent="0.2">
      <c r="A707" s="246">
        <v>705</v>
      </c>
      <c r="B707" s="247">
        <v>41992</v>
      </c>
      <c r="C707" s="247">
        <v>42044</v>
      </c>
      <c r="D707" s="233" t="s">
        <v>1092</v>
      </c>
      <c r="E707" s="248" t="s">
        <v>392</v>
      </c>
      <c r="F707" s="248" t="s">
        <v>9</v>
      </c>
      <c r="G707" s="249" t="s">
        <v>1464</v>
      </c>
      <c r="H707" s="249" t="s">
        <v>1465</v>
      </c>
      <c r="I707" s="250">
        <v>856966</v>
      </c>
    </row>
    <row r="708" spans="1:9" x14ac:dyDescent="0.2">
      <c r="A708" s="246">
        <v>706</v>
      </c>
      <c r="B708" s="247">
        <v>42004</v>
      </c>
      <c r="C708" s="247">
        <v>42023</v>
      </c>
      <c r="D708" s="233" t="s">
        <v>1092</v>
      </c>
      <c r="E708" s="248" t="s">
        <v>392</v>
      </c>
      <c r="F708" s="248" t="s">
        <v>9</v>
      </c>
      <c r="G708" s="249" t="s">
        <v>1466</v>
      </c>
      <c r="H708" s="249" t="s">
        <v>1468</v>
      </c>
      <c r="I708" s="250">
        <v>180881.94</v>
      </c>
    </row>
    <row r="709" spans="1:9" x14ac:dyDescent="0.2">
      <c r="A709" s="246">
        <v>707</v>
      </c>
      <c r="B709" s="247">
        <v>42004</v>
      </c>
      <c r="C709" s="247">
        <v>42023</v>
      </c>
      <c r="D709" s="233" t="s">
        <v>1092</v>
      </c>
      <c r="E709" s="248" t="s">
        <v>422</v>
      </c>
      <c r="F709" s="248" t="s">
        <v>701</v>
      </c>
      <c r="G709" s="249" t="s">
        <v>1467</v>
      </c>
      <c r="H709" s="249" t="s">
        <v>1469</v>
      </c>
      <c r="I709" s="250">
        <v>49000</v>
      </c>
    </row>
    <row r="710" spans="1:9" x14ac:dyDescent="0.2">
      <c r="A710" s="246">
        <v>708</v>
      </c>
      <c r="B710" s="247">
        <v>42013</v>
      </c>
      <c r="C710" s="247">
        <v>42030</v>
      </c>
      <c r="D710" s="233" t="s">
        <v>1092</v>
      </c>
      <c r="E710" s="248" t="s">
        <v>422</v>
      </c>
      <c r="F710" s="248" t="s">
        <v>1396</v>
      </c>
      <c r="G710" s="249" t="s">
        <v>1470</v>
      </c>
      <c r="H710" s="249" t="s">
        <v>1471</v>
      </c>
      <c r="I710" s="250">
        <v>20238.89</v>
      </c>
    </row>
    <row r="711" spans="1:9" x14ac:dyDescent="0.2">
      <c r="A711" s="246">
        <v>709</v>
      </c>
      <c r="B711" s="247">
        <v>42025</v>
      </c>
      <c r="C711" s="247">
        <v>42040</v>
      </c>
      <c r="D711" s="233" t="s">
        <v>1092</v>
      </c>
      <c r="E711" s="248" t="s">
        <v>392</v>
      </c>
      <c r="F711" s="248" t="s">
        <v>701</v>
      </c>
      <c r="G711" s="249" t="s">
        <v>1476</v>
      </c>
      <c r="H711" s="249" t="s">
        <v>1478</v>
      </c>
      <c r="I711" s="250">
        <v>32000</v>
      </c>
    </row>
    <row r="712" spans="1:9" x14ac:dyDescent="0.2">
      <c r="A712" s="246">
        <v>710</v>
      </c>
      <c r="B712" s="247">
        <v>42025</v>
      </c>
      <c r="C712" s="247">
        <v>42044</v>
      </c>
      <c r="D712" s="233" t="s">
        <v>1092</v>
      </c>
      <c r="E712" s="248" t="s">
        <v>392</v>
      </c>
      <c r="F712" s="248" t="s">
        <v>1272</v>
      </c>
      <c r="G712" s="249" t="s">
        <v>1477</v>
      </c>
      <c r="H712" s="249" t="s">
        <v>1479</v>
      </c>
      <c r="I712" s="250">
        <v>31807</v>
      </c>
    </row>
    <row r="713" spans="1:9" x14ac:dyDescent="0.2">
      <c r="A713" s="246">
        <v>711</v>
      </c>
      <c r="B713" s="247">
        <v>42026</v>
      </c>
      <c r="C713" s="247">
        <v>42044</v>
      </c>
      <c r="D713" s="233" t="s">
        <v>1092</v>
      </c>
      <c r="E713" s="248" t="s">
        <v>392</v>
      </c>
      <c r="F713" s="248" t="s">
        <v>1272</v>
      </c>
      <c r="G713" s="249" t="s">
        <v>1480</v>
      </c>
      <c r="H713" s="249" t="s">
        <v>1482</v>
      </c>
      <c r="I713" s="250">
        <v>38280</v>
      </c>
    </row>
    <row r="714" spans="1:9" x14ac:dyDescent="0.2">
      <c r="A714" s="246">
        <v>712</v>
      </c>
      <c r="B714" s="247">
        <v>42026</v>
      </c>
      <c r="C714" s="247">
        <v>42044</v>
      </c>
      <c r="D714" s="233" t="s">
        <v>1092</v>
      </c>
      <c r="E714" s="248" t="s">
        <v>392</v>
      </c>
      <c r="F714" s="248" t="s">
        <v>1272</v>
      </c>
      <c r="G714" s="249" t="s">
        <v>1481</v>
      </c>
      <c r="H714" s="249" t="s">
        <v>1483</v>
      </c>
      <c r="I714" s="250">
        <v>198700</v>
      </c>
    </row>
    <row r="715" spans="1:9" x14ac:dyDescent="0.2">
      <c r="A715" s="246">
        <v>713</v>
      </c>
      <c r="B715" s="247">
        <v>42027</v>
      </c>
      <c r="C715" s="247">
        <v>42044</v>
      </c>
      <c r="D715" s="233" t="s">
        <v>1092</v>
      </c>
      <c r="E715" s="248" t="s">
        <v>422</v>
      </c>
      <c r="F715" s="248" t="s">
        <v>1396</v>
      </c>
      <c r="G715" s="249" t="s">
        <v>1484</v>
      </c>
      <c r="H715" s="249" t="s">
        <v>1485</v>
      </c>
      <c r="I715" s="250">
        <v>107244.44</v>
      </c>
    </row>
    <row r="716" spans="1:9" x14ac:dyDescent="0.2">
      <c r="A716" s="246">
        <v>714</v>
      </c>
      <c r="B716" s="247">
        <v>42034</v>
      </c>
      <c r="C716" s="247">
        <v>42051</v>
      </c>
      <c r="D716" s="233" t="s">
        <v>1092</v>
      </c>
      <c r="E716" s="248" t="s">
        <v>392</v>
      </c>
      <c r="F716" s="248" t="s">
        <v>71</v>
      </c>
      <c r="G716" s="249" t="s">
        <v>1486</v>
      </c>
      <c r="H716" s="249" t="s">
        <v>1489</v>
      </c>
      <c r="I716" s="250">
        <v>60576.71</v>
      </c>
    </row>
    <row r="717" spans="1:9" x14ac:dyDescent="0.2">
      <c r="A717" s="246">
        <v>715</v>
      </c>
      <c r="B717" s="247">
        <v>42034</v>
      </c>
      <c r="C717" s="247">
        <v>42051</v>
      </c>
      <c r="D717" s="233" t="s">
        <v>1092</v>
      </c>
      <c r="E717" s="248" t="s">
        <v>392</v>
      </c>
      <c r="F717" s="248" t="s">
        <v>71</v>
      </c>
      <c r="G717" s="249" t="s">
        <v>1487</v>
      </c>
      <c r="H717" s="249" t="s">
        <v>1490</v>
      </c>
      <c r="I717" s="250">
        <v>33372.01</v>
      </c>
    </row>
    <row r="718" spans="1:9" x14ac:dyDescent="0.2">
      <c r="A718" s="246">
        <v>716</v>
      </c>
      <c r="B718" s="247">
        <v>42055</v>
      </c>
      <c r="C718" s="247">
        <v>42086</v>
      </c>
      <c r="D718" s="233" t="s">
        <v>1092</v>
      </c>
      <c r="E718" s="248" t="s">
        <v>422</v>
      </c>
      <c r="F718" s="248" t="s">
        <v>1276</v>
      </c>
      <c r="G718" s="249" t="s">
        <v>1488</v>
      </c>
      <c r="H718" s="249" t="s">
        <v>1491</v>
      </c>
      <c r="I718" s="250">
        <v>251708.33</v>
      </c>
    </row>
    <row r="719" spans="1:9" x14ac:dyDescent="0.2">
      <c r="A719" s="246">
        <v>717</v>
      </c>
      <c r="B719" s="247">
        <v>42044</v>
      </c>
      <c r="C719" s="247">
        <v>42060</v>
      </c>
      <c r="D719" s="233" t="s">
        <v>1092</v>
      </c>
      <c r="E719" s="248" t="s">
        <v>392</v>
      </c>
      <c r="F719" s="248" t="s">
        <v>1257</v>
      </c>
      <c r="G719" s="249" t="s">
        <v>1493</v>
      </c>
      <c r="H719" s="249" t="s">
        <v>1494</v>
      </c>
      <c r="I719" s="250">
        <v>60123</v>
      </c>
    </row>
    <row r="720" spans="1:9" x14ac:dyDescent="0.2">
      <c r="A720" s="246">
        <v>718</v>
      </c>
      <c r="B720" s="247">
        <v>42044</v>
      </c>
      <c r="C720" s="247">
        <v>42060</v>
      </c>
      <c r="D720" s="233" t="s">
        <v>1092</v>
      </c>
      <c r="E720" s="248" t="s">
        <v>392</v>
      </c>
      <c r="F720" s="248" t="s">
        <v>1257</v>
      </c>
      <c r="G720" s="249" t="s">
        <v>1492</v>
      </c>
      <c r="H720" s="249" t="s">
        <v>1495</v>
      </c>
      <c r="I720" s="250">
        <v>110848</v>
      </c>
    </row>
    <row r="721" spans="1:9" x14ac:dyDescent="0.2">
      <c r="A721" s="246">
        <v>719</v>
      </c>
      <c r="B721" s="247">
        <v>42045</v>
      </c>
      <c r="C721" s="247">
        <v>42060</v>
      </c>
      <c r="D721" s="233" t="s">
        <v>1092</v>
      </c>
      <c r="E721" s="248" t="s">
        <v>392</v>
      </c>
      <c r="F721" s="248" t="s">
        <v>1257</v>
      </c>
      <c r="G721" s="249" t="s">
        <v>1496</v>
      </c>
      <c r="H721" s="249" t="s">
        <v>1498</v>
      </c>
      <c r="I721" s="250">
        <v>63985.79</v>
      </c>
    </row>
    <row r="722" spans="1:9" x14ac:dyDescent="0.2">
      <c r="A722" s="246">
        <v>720</v>
      </c>
      <c r="B722" s="247">
        <v>42045</v>
      </c>
      <c r="C722" s="247">
        <v>42060</v>
      </c>
      <c r="D722" s="233" t="s">
        <v>1092</v>
      </c>
      <c r="E722" s="248" t="s">
        <v>392</v>
      </c>
      <c r="F722" s="248" t="s">
        <v>1396</v>
      </c>
      <c r="G722" s="249" t="s">
        <v>1497</v>
      </c>
      <c r="H722" s="249" t="s">
        <v>1499</v>
      </c>
      <c r="I722" s="250">
        <v>61389.48</v>
      </c>
    </row>
    <row r="723" spans="1:9" x14ac:dyDescent="0.2">
      <c r="A723" s="246">
        <v>721</v>
      </c>
      <c r="B723" s="247">
        <v>42047</v>
      </c>
      <c r="C723" s="247">
        <v>42065</v>
      </c>
      <c r="D723" s="233" t="s">
        <v>1092</v>
      </c>
      <c r="E723" s="248" t="s">
        <v>392</v>
      </c>
      <c r="F723" s="248" t="s">
        <v>71</v>
      </c>
      <c r="G723" s="249" t="s">
        <v>1500</v>
      </c>
      <c r="H723" s="249" t="s">
        <v>1503</v>
      </c>
      <c r="I723" s="250">
        <v>68523.39</v>
      </c>
    </row>
    <row r="724" spans="1:9" x14ac:dyDescent="0.2">
      <c r="A724" s="246">
        <v>722</v>
      </c>
      <c r="B724" s="247">
        <v>42047</v>
      </c>
      <c r="C724" s="247">
        <v>42065</v>
      </c>
      <c r="D724" s="233" t="s">
        <v>1092</v>
      </c>
      <c r="E724" s="248" t="s">
        <v>422</v>
      </c>
      <c r="F724" s="248" t="s">
        <v>701</v>
      </c>
      <c r="G724" s="249" t="s">
        <v>1501</v>
      </c>
      <c r="H724" s="249" t="s">
        <v>1504</v>
      </c>
      <c r="I724" s="250">
        <v>33000</v>
      </c>
    </row>
    <row r="725" spans="1:9" x14ac:dyDescent="0.2">
      <c r="A725" s="246">
        <v>723</v>
      </c>
      <c r="B725" s="247">
        <v>42047</v>
      </c>
      <c r="C725" s="247">
        <v>42065</v>
      </c>
      <c r="D725" s="233" t="s">
        <v>1092</v>
      </c>
      <c r="E725" s="248" t="s">
        <v>392</v>
      </c>
      <c r="F725" s="248" t="s">
        <v>393</v>
      </c>
      <c r="G725" s="249" t="s">
        <v>1502</v>
      </c>
      <c r="H725" s="249" t="s">
        <v>1505</v>
      </c>
      <c r="I725" s="250">
        <v>146299</v>
      </c>
    </row>
    <row r="726" spans="1:9" x14ac:dyDescent="0.2">
      <c r="A726" s="246">
        <v>724</v>
      </c>
      <c r="B726" s="247">
        <v>42048</v>
      </c>
      <c r="C726" s="247">
        <v>42065</v>
      </c>
      <c r="D726" s="233" t="s">
        <v>1092</v>
      </c>
      <c r="E726" s="248" t="s">
        <v>422</v>
      </c>
      <c r="F726" s="248" t="s">
        <v>396</v>
      </c>
      <c r="G726" s="249" t="s">
        <v>1506</v>
      </c>
      <c r="H726" s="249" t="s">
        <v>1507</v>
      </c>
      <c r="I726" s="250">
        <v>22388.89</v>
      </c>
    </row>
    <row r="727" spans="1:9" x14ac:dyDescent="0.2">
      <c r="A727" s="246">
        <v>725</v>
      </c>
      <c r="B727" s="247">
        <v>42051</v>
      </c>
      <c r="C727" s="247">
        <v>42067</v>
      </c>
      <c r="D727" s="233" t="s">
        <v>1092</v>
      </c>
      <c r="E727" s="248" t="s">
        <v>422</v>
      </c>
      <c r="F727" s="248" t="s">
        <v>701</v>
      </c>
      <c r="G727" s="249" t="s">
        <v>1508</v>
      </c>
      <c r="H727" s="249" t="s">
        <v>1509</v>
      </c>
      <c r="I727" s="250">
        <v>70000</v>
      </c>
    </row>
    <row r="728" spans="1:9" x14ac:dyDescent="0.2">
      <c r="A728" s="246">
        <v>726</v>
      </c>
      <c r="B728" s="247">
        <v>42052</v>
      </c>
      <c r="C728" s="247">
        <v>42072</v>
      </c>
      <c r="D728" s="233" t="s">
        <v>1092</v>
      </c>
      <c r="E728" s="248" t="s">
        <v>422</v>
      </c>
      <c r="F728" s="248" t="s">
        <v>701</v>
      </c>
      <c r="G728" s="249" t="s">
        <v>1510</v>
      </c>
      <c r="H728" s="249" t="s">
        <v>1512</v>
      </c>
      <c r="I728" s="250">
        <v>44000</v>
      </c>
    </row>
    <row r="729" spans="1:9" x14ac:dyDescent="0.2">
      <c r="A729" s="246">
        <v>727</v>
      </c>
      <c r="B729" s="247">
        <v>42054</v>
      </c>
      <c r="C729" s="247">
        <v>42072</v>
      </c>
      <c r="D729" s="233" t="s">
        <v>1092</v>
      </c>
      <c r="E729" s="248" t="s">
        <v>422</v>
      </c>
      <c r="F729" s="248" t="s">
        <v>396</v>
      </c>
      <c r="G729" s="249" t="s">
        <v>1511</v>
      </c>
      <c r="H729" s="249" t="s">
        <v>1513</v>
      </c>
      <c r="I729" s="250">
        <v>17967</v>
      </c>
    </row>
    <row r="730" spans="1:9" x14ac:dyDescent="0.2">
      <c r="A730" s="246">
        <v>728</v>
      </c>
      <c r="B730" s="247">
        <v>42065</v>
      </c>
      <c r="C730" s="247">
        <v>42081</v>
      </c>
      <c r="D730" s="233" t="s">
        <v>1092</v>
      </c>
      <c r="E730" s="248" t="s">
        <v>392</v>
      </c>
      <c r="F730" s="248" t="s">
        <v>396</v>
      </c>
      <c r="G730" s="249" t="s">
        <v>1514</v>
      </c>
      <c r="H730" s="249" t="s">
        <v>1515</v>
      </c>
      <c r="I730" s="250">
        <v>85075</v>
      </c>
    </row>
    <row r="731" spans="1:9" x14ac:dyDescent="0.2">
      <c r="A731" s="246">
        <v>729</v>
      </c>
      <c r="B731" s="247">
        <v>42065</v>
      </c>
      <c r="C731" s="247">
        <v>42086</v>
      </c>
      <c r="D731" s="233" t="s">
        <v>1092</v>
      </c>
      <c r="E731" s="248" t="s">
        <v>392</v>
      </c>
      <c r="F731" s="248" t="s">
        <v>393</v>
      </c>
      <c r="G731" s="249" t="s">
        <v>1516</v>
      </c>
      <c r="H731" s="249" t="s">
        <v>1518</v>
      </c>
      <c r="I731" s="250">
        <v>18500</v>
      </c>
    </row>
    <row r="732" spans="1:9" x14ac:dyDescent="0.2">
      <c r="A732" s="246">
        <v>730</v>
      </c>
      <c r="B732" s="247">
        <v>42067</v>
      </c>
      <c r="C732" s="247">
        <v>42086</v>
      </c>
      <c r="D732" s="233" t="s">
        <v>1092</v>
      </c>
      <c r="E732" s="248" t="s">
        <v>392</v>
      </c>
      <c r="F732" s="248" t="s">
        <v>71</v>
      </c>
      <c r="G732" s="249" t="s">
        <v>1517</v>
      </c>
      <c r="H732" s="249" t="s">
        <v>1519</v>
      </c>
      <c r="I732" s="250">
        <v>31421</v>
      </c>
    </row>
    <row r="733" spans="1:9" x14ac:dyDescent="0.2">
      <c r="A733" s="246">
        <v>731</v>
      </c>
      <c r="B733" s="247">
        <v>42067</v>
      </c>
      <c r="C733" s="247">
        <v>42086</v>
      </c>
      <c r="D733" s="233" t="s">
        <v>1092</v>
      </c>
      <c r="E733" s="248" t="s">
        <v>422</v>
      </c>
      <c r="F733" s="248" t="s">
        <v>701</v>
      </c>
      <c r="G733" s="249" t="s">
        <v>1520</v>
      </c>
      <c r="H733" s="249" t="s">
        <v>1521</v>
      </c>
      <c r="I733" s="250">
        <v>41600</v>
      </c>
    </row>
    <row r="734" spans="1:9" x14ac:dyDescent="0.2">
      <c r="A734" s="246">
        <v>732</v>
      </c>
      <c r="B734" s="247">
        <v>42068</v>
      </c>
      <c r="C734" s="247">
        <v>42086</v>
      </c>
      <c r="D734" s="233" t="s">
        <v>1092</v>
      </c>
      <c r="E734" s="248" t="s">
        <v>422</v>
      </c>
      <c r="F734" s="248" t="s">
        <v>701</v>
      </c>
      <c r="G734" s="249" t="s">
        <v>1522</v>
      </c>
      <c r="H734" s="249" t="s">
        <v>1524</v>
      </c>
      <c r="I734" s="250">
        <v>90000</v>
      </c>
    </row>
    <row r="735" spans="1:9" x14ac:dyDescent="0.2">
      <c r="A735" s="246">
        <v>733</v>
      </c>
      <c r="B735" s="247">
        <v>42068</v>
      </c>
      <c r="C735" s="247">
        <v>42086</v>
      </c>
      <c r="D735" s="233" t="s">
        <v>1092</v>
      </c>
      <c r="E735" s="248" t="s">
        <v>422</v>
      </c>
      <c r="F735" s="248" t="s">
        <v>701</v>
      </c>
      <c r="G735" s="249" t="s">
        <v>1523</v>
      </c>
      <c r="H735" s="249" t="s">
        <v>1525</v>
      </c>
      <c r="I735" s="250">
        <v>145050</v>
      </c>
    </row>
    <row r="736" spans="1:9" x14ac:dyDescent="0.2">
      <c r="A736" s="246">
        <v>734</v>
      </c>
      <c r="B736" s="247">
        <v>42069</v>
      </c>
      <c r="C736" s="247">
        <v>42086</v>
      </c>
      <c r="D736" s="233" t="s">
        <v>1092</v>
      </c>
      <c r="E736" s="248" t="s">
        <v>422</v>
      </c>
      <c r="F736" s="248" t="s">
        <v>701</v>
      </c>
      <c r="G736" s="249" t="s">
        <v>1526</v>
      </c>
      <c r="H736" s="249" t="s">
        <v>1527</v>
      </c>
      <c r="I736" s="250">
        <v>115960</v>
      </c>
    </row>
    <row r="737" spans="1:9" x14ac:dyDescent="0.2">
      <c r="A737" s="246">
        <v>735</v>
      </c>
      <c r="B737" s="247">
        <v>42072</v>
      </c>
      <c r="C737" s="247">
        <v>42088</v>
      </c>
      <c r="D737" s="233" t="s">
        <v>1092</v>
      </c>
      <c r="E737" s="248" t="s">
        <v>422</v>
      </c>
      <c r="F737" s="248" t="s">
        <v>71</v>
      </c>
      <c r="G737" s="249" t="s">
        <v>1528</v>
      </c>
      <c r="H737" s="249" t="s">
        <v>1531</v>
      </c>
      <c r="I737" s="250">
        <v>37443.29</v>
      </c>
    </row>
    <row r="738" spans="1:9" x14ac:dyDescent="0.2">
      <c r="A738" s="246">
        <v>736</v>
      </c>
      <c r="B738" s="247">
        <v>42072</v>
      </c>
      <c r="C738" s="247">
        <v>42088</v>
      </c>
      <c r="D738" s="233" t="s">
        <v>1092</v>
      </c>
      <c r="E738" s="248" t="s">
        <v>422</v>
      </c>
      <c r="F738" s="248" t="s">
        <v>71</v>
      </c>
      <c r="G738" s="249" t="s">
        <v>1529</v>
      </c>
      <c r="H738" s="249" t="s">
        <v>1532</v>
      </c>
      <c r="I738" s="250">
        <v>72680.87</v>
      </c>
    </row>
    <row r="739" spans="1:9" x14ac:dyDescent="0.2">
      <c r="A739" s="246">
        <v>737</v>
      </c>
      <c r="B739" s="247">
        <v>42072</v>
      </c>
      <c r="C739" s="247">
        <v>42088</v>
      </c>
      <c r="D739" s="233" t="s">
        <v>1092</v>
      </c>
      <c r="E739" s="248" t="s">
        <v>422</v>
      </c>
      <c r="F739" s="248" t="s">
        <v>396</v>
      </c>
      <c r="G739" s="249" t="s">
        <v>1530</v>
      </c>
      <c r="H739" s="249" t="s">
        <v>1533</v>
      </c>
      <c r="I739" s="250">
        <v>21000</v>
      </c>
    </row>
    <row r="740" spans="1:9" x14ac:dyDescent="0.2">
      <c r="A740" s="246">
        <v>738</v>
      </c>
      <c r="B740" s="247">
        <v>42073</v>
      </c>
      <c r="C740" s="247">
        <v>42093</v>
      </c>
      <c r="D740" s="233" t="s">
        <v>1092</v>
      </c>
      <c r="E740" s="248" t="s">
        <v>422</v>
      </c>
      <c r="F740" s="248" t="s">
        <v>396</v>
      </c>
      <c r="G740" s="249" t="s">
        <v>1534</v>
      </c>
      <c r="H740" s="249" t="s">
        <v>1538</v>
      </c>
      <c r="I740" s="250">
        <v>22200</v>
      </c>
    </row>
    <row r="741" spans="1:9" x14ac:dyDescent="0.2">
      <c r="A741" s="246">
        <v>739</v>
      </c>
      <c r="B741" s="247">
        <v>42073</v>
      </c>
      <c r="C741" s="247">
        <v>42093</v>
      </c>
      <c r="D741" s="233" t="s">
        <v>1092</v>
      </c>
      <c r="E741" s="248" t="s">
        <v>392</v>
      </c>
      <c r="F741" s="248" t="s">
        <v>393</v>
      </c>
      <c r="G741" s="249" t="s">
        <v>1535</v>
      </c>
      <c r="H741" s="249" t="s">
        <v>1539</v>
      </c>
      <c r="I741" s="250">
        <v>29250</v>
      </c>
    </row>
    <row r="742" spans="1:9" x14ac:dyDescent="0.2">
      <c r="A742" s="246">
        <v>740</v>
      </c>
      <c r="B742" s="247">
        <v>42073</v>
      </c>
      <c r="C742" s="247">
        <v>42093</v>
      </c>
      <c r="D742" s="233" t="s">
        <v>1092</v>
      </c>
      <c r="E742" s="248" t="s">
        <v>422</v>
      </c>
      <c r="F742" s="248" t="s">
        <v>396</v>
      </c>
      <c r="G742" s="249" t="s">
        <v>1536</v>
      </c>
      <c r="H742" s="249" t="s">
        <v>1540</v>
      </c>
      <c r="I742" s="250">
        <v>79600</v>
      </c>
    </row>
    <row r="743" spans="1:9" x14ac:dyDescent="0.2">
      <c r="A743" s="246">
        <v>741</v>
      </c>
      <c r="B743" s="247">
        <v>42073</v>
      </c>
      <c r="C743" s="247">
        <v>42093</v>
      </c>
      <c r="D743" s="233" t="s">
        <v>1092</v>
      </c>
      <c r="E743" s="248" t="s">
        <v>422</v>
      </c>
      <c r="F743" s="248" t="s">
        <v>71</v>
      </c>
      <c r="G743" s="249" t="s">
        <v>1537</v>
      </c>
      <c r="H743" s="249" t="s">
        <v>1541</v>
      </c>
      <c r="I743" s="250">
        <v>29341</v>
      </c>
    </row>
    <row r="744" spans="1:9" x14ac:dyDescent="0.2">
      <c r="A744" s="246">
        <v>742</v>
      </c>
      <c r="B744" s="247">
        <v>42074</v>
      </c>
      <c r="C744" s="247">
        <v>42093</v>
      </c>
      <c r="D744" s="233" t="s">
        <v>1092</v>
      </c>
      <c r="E744" s="248" t="s">
        <v>422</v>
      </c>
      <c r="F744" s="248" t="s">
        <v>701</v>
      </c>
      <c r="G744" s="249" t="s">
        <v>1542</v>
      </c>
      <c r="H744" s="249" t="s">
        <v>1545</v>
      </c>
      <c r="I744" s="250">
        <v>186000</v>
      </c>
    </row>
    <row r="745" spans="1:9" x14ac:dyDescent="0.2">
      <c r="A745" s="246">
        <v>743</v>
      </c>
      <c r="B745" s="247">
        <v>42074</v>
      </c>
      <c r="C745" s="247">
        <v>42093</v>
      </c>
      <c r="D745" s="233" t="s">
        <v>1092</v>
      </c>
      <c r="E745" s="248" t="s">
        <v>422</v>
      </c>
      <c r="F745" s="248" t="s">
        <v>701</v>
      </c>
      <c r="G745" s="249" t="s">
        <v>1543</v>
      </c>
      <c r="H745" s="249" t="s">
        <v>1546</v>
      </c>
      <c r="I745" s="250">
        <v>63560</v>
      </c>
    </row>
    <row r="746" spans="1:9" x14ac:dyDescent="0.2">
      <c r="A746" s="246">
        <v>744</v>
      </c>
      <c r="B746" s="247">
        <v>42074</v>
      </c>
      <c r="C746" s="247">
        <v>42093</v>
      </c>
      <c r="D746" s="233" t="s">
        <v>1092</v>
      </c>
      <c r="E746" s="248" t="s">
        <v>422</v>
      </c>
      <c r="F746" s="248" t="s">
        <v>701</v>
      </c>
      <c r="G746" s="249" t="s">
        <v>1544</v>
      </c>
      <c r="H746" s="249" t="s">
        <v>1547</v>
      </c>
      <c r="I746" s="250">
        <v>97500</v>
      </c>
    </row>
    <row r="747" spans="1:9" x14ac:dyDescent="0.2">
      <c r="A747" s="246">
        <v>745</v>
      </c>
      <c r="B747" s="247">
        <v>42075</v>
      </c>
      <c r="C747" s="247">
        <v>42093</v>
      </c>
      <c r="D747" s="233" t="s">
        <v>1092</v>
      </c>
      <c r="E747" s="248" t="s">
        <v>422</v>
      </c>
      <c r="F747" s="248" t="s">
        <v>701</v>
      </c>
      <c r="G747" s="249" t="s">
        <v>1548</v>
      </c>
      <c r="H747" s="249" t="s">
        <v>1549</v>
      </c>
      <c r="I747" s="250">
        <v>46500</v>
      </c>
    </row>
    <row r="748" spans="1:9" x14ac:dyDescent="0.2">
      <c r="A748" s="246">
        <v>746</v>
      </c>
      <c r="B748" s="247">
        <v>42079</v>
      </c>
      <c r="C748" s="247">
        <v>42095</v>
      </c>
      <c r="D748" s="233" t="s">
        <v>1092</v>
      </c>
      <c r="E748" s="248" t="s">
        <v>392</v>
      </c>
      <c r="F748" s="248" t="s">
        <v>393</v>
      </c>
      <c r="G748" s="249" t="s">
        <v>1550</v>
      </c>
      <c r="H748" s="249" t="s">
        <v>1551</v>
      </c>
      <c r="I748" s="250">
        <v>19600</v>
      </c>
    </row>
    <row r="749" spans="1:9" x14ac:dyDescent="0.2">
      <c r="A749" s="246">
        <v>747</v>
      </c>
      <c r="B749" s="247">
        <v>42081</v>
      </c>
      <c r="C749" s="247">
        <v>42102</v>
      </c>
      <c r="D749" s="233" t="s">
        <v>1092</v>
      </c>
      <c r="E749" s="248" t="s">
        <v>392</v>
      </c>
      <c r="F749" s="248" t="s">
        <v>233</v>
      </c>
      <c r="G749" s="249" t="s">
        <v>1552</v>
      </c>
      <c r="H749" s="249" t="s">
        <v>1553</v>
      </c>
      <c r="I749" s="250">
        <v>135000</v>
      </c>
    </row>
    <row r="750" spans="1:9" x14ac:dyDescent="0.2">
      <c r="A750" s="246">
        <v>748</v>
      </c>
      <c r="B750" s="247">
        <v>42087</v>
      </c>
      <c r="C750" s="247">
        <v>42107</v>
      </c>
      <c r="D750" s="233" t="s">
        <v>1092</v>
      </c>
      <c r="E750" s="248" t="s">
        <v>392</v>
      </c>
      <c r="F750" s="248" t="s">
        <v>71</v>
      </c>
      <c r="G750" s="249" t="s">
        <v>1554</v>
      </c>
      <c r="H750" s="249" t="s">
        <v>1555</v>
      </c>
      <c r="I750" s="250">
        <v>42735.93</v>
      </c>
    </row>
    <row r="751" spans="1:9" x14ac:dyDescent="0.2">
      <c r="A751" s="246">
        <v>749</v>
      </c>
      <c r="B751" s="256">
        <v>42093</v>
      </c>
      <c r="C751" s="256">
        <v>42109</v>
      </c>
      <c r="D751" s="233" t="s">
        <v>1092</v>
      </c>
      <c r="E751" s="257" t="s">
        <v>422</v>
      </c>
      <c r="F751" s="257" t="s">
        <v>701</v>
      </c>
      <c r="G751" s="258" t="s">
        <v>1556</v>
      </c>
      <c r="H751" s="258" t="s">
        <v>1558</v>
      </c>
      <c r="I751" s="259">
        <v>33300</v>
      </c>
    </row>
    <row r="752" spans="1:9" x14ac:dyDescent="0.2">
      <c r="A752" s="246">
        <v>750</v>
      </c>
      <c r="B752" s="247">
        <v>42093</v>
      </c>
      <c r="C752" s="247">
        <v>42109</v>
      </c>
      <c r="D752" s="233" t="s">
        <v>1092</v>
      </c>
      <c r="E752" s="248" t="s">
        <v>392</v>
      </c>
      <c r="F752" s="248" t="s">
        <v>393</v>
      </c>
      <c r="G752" s="249" t="s">
        <v>1557</v>
      </c>
      <c r="H752" s="249" t="s">
        <v>1559</v>
      </c>
      <c r="I752" s="250">
        <v>80111</v>
      </c>
    </row>
    <row r="753" spans="1:9" x14ac:dyDescent="0.2">
      <c r="A753" s="246">
        <v>751</v>
      </c>
      <c r="B753" s="247">
        <v>42093</v>
      </c>
      <c r="C753" s="247">
        <v>42109</v>
      </c>
      <c r="D753" s="233" t="s">
        <v>1092</v>
      </c>
      <c r="E753" s="248" t="s">
        <v>392</v>
      </c>
      <c r="F753" s="248" t="s">
        <v>393</v>
      </c>
      <c r="G753" s="249" t="s">
        <v>1560</v>
      </c>
      <c r="H753" s="249" t="s">
        <v>1561</v>
      </c>
      <c r="I753" s="250">
        <v>27850</v>
      </c>
    </row>
    <row r="754" spans="1:9" x14ac:dyDescent="0.2">
      <c r="A754" s="246">
        <v>752</v>
      </c>
      <c r="B754" s="247">
        <v>42094</v>
      </c>
      <c r="C754" s="247">
        <v>42114</v>
      </c>
      <c r="D754" s="233" t="s">
        <v>1092</v>
      </c>
      <c r="E754" s="248" t="s">
        <v>392</v>
      </c>
      <c r="F754" s="248" t="s">
        <v>71</v>
      </c>
      <c r="G754" s="249" t="s">
        <v>1562</v>
      </c>
      <c r="H754" s="249" t="s">
        <v>1564</v>
      </c>
      <c r="I754" s="250">
        <v>38763.93</v>
      </c>
    </row>
    <row r="755" spans="1:9" x14ac:dyDescent="0.2">
      <c r="A755" s="246">
        <v>753</v>
      </c>
      <c r="B755" s="247">
        <v>42094</v>
      </c>
      <c r="C755" s="247">
        <v>42114</v>
      </c>
      <c r="D755" s="233" t="s">
        <v>1092</v>
      </c>
      <c r="E755" s="248" t="s">
        <v>392</v>
      </c>
      <c r="F755" s="248" t="s">
        <v>71</v>
      </c>
      <c r="G755" s="249" t="s">
        <v>1563</v>
      </c>
      <c r="H755" s="249" t="s">
        <v>1565</v>
      </c>
      <c r="I755" s="250">
        <v>16990.07</v>
      </c>
    </row>
    <row r="756" spans="1:9" x14ac:dyDescent="0.2">
      <c r="A756" s="246">
        <v>754</v>
      </c>
      <c r="B756" s="247">
        <v>42095</v>
      </c>
      <c r="C756" s="247">
        <v>42114</v>
      </c>
      <c r="D756" s="233" t="s">
        <v>1092</v>
      </c>
      <c r="E756" s="248" t="s">
        <v>422</v>
      </c>
      <c r="F756" s="248" t="s">
        <v>396</v>
      </c>
      <c r="G756" s="249" t="s">
        <v>1566</v>
      </c>
      <c r="H756" s="249" t="s">
        <v>1567</v>
      </c>
      <c r="I756" s="250">
        <v>43500</v>
      </c>
    </row>
    <row r="757" spans="1:9" x14ac:dyDescent="0.2">
      <c r="A757" s="246">
        <v>755</v>
      </c>
      <c r="B757" s="247">
        <v>42103</v>
      </c>
      <c r="C757" s="247">
        <v>42123</v>
      </c>
      <c r="D757" s="233" t="s">
        <v>1092</v>
      </c>
      <c r="E757" s="248" t="s">
        <v>392</v>
      </c>
      <c r="F757" s="248" t="s">
        <v>71</v>
      </c>
      <c r="G757" s="249" t="s">
        <v>1568</v>
      </c>
      <c r="H757" s="249" t="s">
        <v>1570</v>
      </c>
      <c r="I757" s="250">
        <v>52985.919999999998</v>
      </c>
    </row>
    <row r="758" spans="1:9" x14ac:dyDescent="0.2">
      <c r="A758" s="246">
        <v>756</v>
      </c>
      <c r="B758" s="247">
        <v>42103</v>
      </c>
      <c r="C758" s="247">
        <v>42123</v>
      </c>
      <c r="D758" s="233" t="s">
        <v>1092</v>
      </c>
      <c r="E758" s="248" t="s">
        <v>392</v>
      </c>
      <c r="F758" s="248" t="s">
        <v>393</v>
      </c>
      <c r="G758" s="249" t="s">
        <v>1569</v>
      </c>
      <c r="H758" s="249" t="s">
        <v>1571</v>
      </c>
      <c r="I758" s="250">
        <v>23178</v>
      </c>
    </row>
    <row r="759" spans="1:9" x14ac:dyDescent="0.2">
      <c r="A759" s="246">
        <v>757</v>
      </c>
      <c r="B759" s="247">
        <v>42107</v>
      </c>
      <c r="C759" s="247">
        <v>42128</v>
      </c>
      <c r="D759" s="233" t="s">
        <v>1092</v>
      </c>
      <c r="E759" s="248" t="s">
        <v>392</v>
      </c>
      <c r="F759" s="248" t="s">
        <v>1101</v>
      </c>
      <c r="G759" s="249" t="s">
        <v>1572</v>
      </c>
      <c r="H759" s="249" t="s">
        <v>1573</v>
      </c>
      <c r="I759" s="250">
        <v>20000</v>
      </c>
    </row>
    <row r="760" spans="1:9" x14ac:dyDescent="0.2">
      <c r="A760" s="246">
        <v>758</v>
      </c>
      <c r="B760" s="247">
        <v>42109</v>
      </c>
      <c r="C760" s="247">
        <v>42128</v>
      </c>
      <c r="D760" s="233" t="s">
        <v>1092</v>
      </c>
      <c r="E760" s="248" t="s">
        <v>422</v>
      </c>
      <c r="F760" s="248" t="s">
        <v>396</v>
      </c>
      <c r="G760" s="249" t="s">
        <v>1574</v>
      </c>
      <c r="H760" s="249" t="s">
        <v>1575</v>
      </c>
      <c r="I760" s="250">
        <v>124000</v>
      </c>
    </row>
    <row r="761" spans="1:9" x14ac:dyDescent="0.2">
      <c r="A761" s="246">
        <v>759</v>
      </c>
      <c r="B761" s="247">
        <v>42110</v>
      </c>
      <c r="C761" s="247">
        <v>42128</v>
      </c>
      <c r="D761" s="233" t="s">
        <v>1092</v>
      </c>
      <c r="E761" s="248" t="s">
        <v>392</v>
      </c>
      <c r="F761" s="248" t="s">
        <v>393</v>
      </c>
      <c r="G761" s="249" t="s">
        <v>1576</v>
      </c>
      <c r="H761" s="249" t="s">
        <v>1578</v>
      </c>
      <c r="I761" s="250">
        <v>30322.5</v>
      </c>
    </row>
    <row r="762" spans="1:9" x14ac:dyDescent="0.2">
      <c r="A762" s="246">
        <v>760</v>
      </c>
      <c r="B762" s="247">
        <v>42110</v>
      </c>
      <c r="C762" s="247">
        <v>42163</v>
      </c>
      <c r="D762" s="233" t="s">
        <v>1092</v>
      </c>
      <c r="E762" s="248" t="s">
        <v>422</v>
      </c>
      <c r="F762" s="248" t="s">
        <v>701</v>
      </c>
      <c r="G762" s="249" t="s">
        <v>1577</v>
      </c>
      <c r="H762" s="249" t="s">
        <v>1579</v>
      </c>
      <c r="I762" s="250">
        <v>410000</v>
      </c>
    </row>
    <row r="763" spans="1:9" x14ac:dyDescent="0.2">
      <c r="A763" s="246">
        <v>761</v>
      </c>
      <c r="B763" s="247">
        <v>42115</v>
      </c>
      <c r="C763" s="247">
        <v>42135</v>
      </c>
      <c r="D763" s="233" t="s">
        <v>1092</v>
      </c>
      <c r="E763" s="248" t="s">
        <v>392</v>
      </c>
      <c r="F763" s="248" t="s">
        <v>393</v>
      </c>
      <c r="G763" s="249" t="s">
        <v>1580</v>
      </c>
      <c r="H763" s="249" t="s">
        <v>1581</v>
      </c>
      <c r="I763" s="250">
        <v>36200</v>
      </c>
    </row>
    <row r="764" spans="1:9" x14ac:dyDescent="0.2">
      <c r="A764" s="246">
        <v>762</v>
      </c>
      <c r="B764" s="247">
        <v>42116</v>
      </c>
      <c r="C764" s="247">
        <v>42135</v>
      </c>
      <c r="D764" s="233" t="s">
        <v>1092</v>
      </c>
      <c r="E764" s="248" t="s">
        <v>422</v>
      </c>
      <c r="F764" s="248" t="s">
        <v>396</v>
      </c>
      <c r="G764" s="249" t="s">
        <v>1582</v>
      </c>
      <c r="H764" s="249" t="s">
        <v>1583</v>
      </c>
      <c r="I764" s="250">
        <v>25705.55</v>
      </c>
    </row>
    <row r="765" spans="1:9" x14ac:dyDescent="0.2">
      <c r="A765" s="246">
        <v>763</v>
      </c>
      <c r="B765" s="247">
        <v>42118</v>
      </c>
      <c r="C765" s="247">
        <v>42170</v>
      </c>
      <c r="D765" s="233" t="s">
        <v>1092</v>
      </c>
      <c r="E765" s="248" t="s">
        <v>392</v>
      </c>
      <c r="F765" s="248" t="s">
        <v>9</v>
      </c>
      <c r="G765" s="249" t="s">
        <v>1584</v>
      </c>
      <c r="H765" s="249" t="s">
        <v>1586</v>
      </c>
      <c r="I765" s="250">
        <v>347270</v>
      </c>
    </row>
    <row r="766" spans="1:9" x14ac:dyDescent="0.2">
      <c r="A766" s="246">
        <v>764</v>
      </c>
      <c r="B766" s="247">
        <v>42118</v>
      </c>
      <c r="C766" s="247">
        <v>42170</v>
      </c>
      <c r="D766" s="233" t="s">
        <v>1092</v>
      </c>
      <c r="E766" s="248" t="s">
        <v>392</v>
      </c>
      <c r="F766" s="248" t="s">
        <v>9</v>
      </c>
      <c r="G766" s="249" t="s">
        <v>1585</v>
      </c>
      <c r="H766" s="249" t="s">
        <v>1587</v>
      </c>
      <c r="I766" s="250">
        <v>335634</v>
      </c>
    </row>
    <row r="767" spans="1:9" x14ac:dyDescent="0.2">
      <c r="A767" s="246">
        <v>765</v>
      </c>
      <c r="B767" s="247">
        <v>42121</v>
      </c>
      <c r="C767" s="247">
        <v>42170</v>
      </c>
      <c r="D767" s="233" t="s">
        <v>1092</v>
      </c>
      <c r="E767" s="248" t="s">
        <v>392</v>
      </c>
      <c r="F767" s="248" t="s">
        <v>9</v>
      </c>
      <c r="G767" s="249" t="s">
        <v>1588</v>
      </c>
      <c r="H767" s="249" t="s">
        <v>1589</v>
      </c>
      <c r="I767" s="250">
        <v>405007</v>
      </c>
    </row>
    <row r="768" spans="1:9" x14ac:dyDescent="0.2">
      <c r="A768" s="246">
        <v>766</v>
      </c>
      <c r="B768" s="247">
        <v>42122</v>
      </c>
      <c r="C768" s="247">
        <v>42137</v>
      </c>
      <c r="D768" s="233" t="s">
        <v>1092</v>
      </c>
      <c r="E768" s="248" t="s">
        <v>422</v>
      </c>
      <c r="F768" s="248" t="s">
        <v>71</v>
      </c>
      <c r="G768" s="249" t="s">
        <v>1590</v>
      </c>
      <c r="H768" s="249" t="s">
        <v>1591</v>
      </c>
      <c r="I768" s="250">
        <v>40525.32</v>
      </c>
    </row>
    <row r="769" spans="1:9" x14ac:dyDescent="0.2">
      <c r="A769" s="246">
        <v>767</v>
      </c>
      <c r="B769" s="247">
        <v>42122</v>
      </c>
      <c r="C769" s="247">
        <v>42137</v>
      </c>
      <c r="D769" s="233" t="s">
        <v>1092</v>
      </c>
      <c r="E769" s="248" t="s">
        <v>422</v>
      </c>
      <c r="F769" s="248" t="s">
        <v>396</v>
      </c>
      <c r="G769" s="249" t="s">
        <v>1592</v>
      </c>
      <c r="H769" s="249" t="s">
        <v>1593</v>
      </c>
      <c r="I769" s="250">
        <v>144300</v>
      </c>
    </row>
    <row r="770" spans="1:9" x14ac:dyDescent="0.2">
      <c r="A770" s="246">
        <v>768</v>
      </c>
      <c r="B770" s="247">
        <v>42123</v>
      </c>
      <c r="C770" s="247">
        <v>42142</v>
      </c>
      <c r="D770" s="233" t="s">
        <v>1092</v>
      </c>
      <c r="E770" s="248" t="s">
        <v>392</v>
      </c>
      <c r="F770" s="248" t="s">
        <v>393</v>
      </c>
      <c r="G770" s="249" t="s">
        <v>1594</v>
      </c>
      <c r="H770" s="249" t="s">
        <v>1597</v>
      </c>
      <c r="I770" s="250">
        <v>34552.870000000003</v>
      </c>
    </row>
    <row r="771" spans="1:9" x14ac:dyDescent="0.2">
      <c r="A771" s="246">
        <v>769</v>
      </c>
      <c r="B771" s="247">
        <v>42123</v>
      </c>
      <c r="C771" s="247">
        <v>42142</v>
      </c>
      <c r="D771" s="233" t="s">
        <v>1092</v>
      </c>
      <c r="E771" s="248" t="s">
        <v>392</v>
      </c>
      <c r="F771" s="248" t="s">
        <v>396</v>
      </c>
      <c r="G771" s="249" t="s">
        <v>1595</v>
      </c>
      <c r="H771" s="249" t="s">
        <v>1598</v>
      </c>
      <c r="I771" s="250">
        <v>31612.2</v>
      </c>
    </row>
    <row r="772" spans="1:9" x14ac:dyDescent="0.2">
      <c r="A772" s="246">
        <v>770</v>
      </c>
      <c r="B772" s="247">
        <v>42124</v>
      </c>
      <c r="C772" s="247">
        <v>42142</v>
      </c>
      <c r="D772" s="233" t="s">
        <v>1092</v>
      </c>
      <c r="E772" s="248" t="s">
        <v>422</v>
      </c>
      <c r="F772" s="248" t="s">
        <v>701</v>
      </c>
      <c r="G772" s="249" t="s">
        <v>1596</v>
      </c>
      <c r="H772" s="249" t="s">
        <v>1599</v>
      </c>
      <c r="I772" s="250">
        <v>33300</v>
      </c>
    </row>
    <row r="773" spans="1:9" x14ac:dyDescent="0.2">
      <c r="A773" s="246">
        <v>771</v>
      </c>
      <c r="B773" s="247">
        <v>42128</v>
      </c>
      <c r="C773" s="247">
        <v>42144</v>
      </c>
      <c r="D773" s="233" t="s">
        <v>1092</v>
      </c>
      <c r="E773" s="248" t="s">
        <v>422</v>
      </c>
      <c r="F773" s="248" t="s">
        <v>396</v>
      </c>
      <c r="G773" s="249" t="s">
        <v>1600</v>
      </c>
      <c r="H773" s="249" t="s">
        <v>1606</v>
      </c>
      <c r="I773" s="250">
        <v>25322.22</v>
      </c>
    </row>
    <row r="774" spans="1:9" x14ac:dyDescent="0.2">
      <c r="A774" s="246">
        <v>772</v>
      </c>
      <c r="B774" s="247">
        <v>42128</v>
      </c>
      <c r="C774" s="247">
        <v>42144</v>
      </c>
      <c r="D774" s="233" t="s">
        <v>1092</v>
      </c>
      <c r="E774" s="248" t="s">
        <v>422</v>
      </c>
      <c r="F774" s="248" t="s">
        <v>396</v>
      </c>
      <c r="G774" s="249" t="s">
        <v>1601</v>
      </c>
      <c r="H774" s="249" t="s">
        <v>1607</v>
      </c>
      <c r="I774" s="250">
        <v>24755.56</v>
      </c>
    </row>
    <row r="775" spans="1:9" x14ac:dyDescent="0.2">
      <c r="A775" s="246">
        <v>773</v>
      </c>
      <c r="B775" s="247">
        <v>42128</v>
      </c>
      <c r="C775" s="247">
        <v>42144</v>
      </c>
      <c r="D775" s="233" t="s">
        <v>1092</v>
      </c>
      <c r="E775" s="248" t="s">
        <v>422</v>
      </c>
      <c r="F775" s="248" t="s">
        <v>396</v>
      </c>
      <c r="G775" s="249" t="s">
        <v>1602</v>
      </c>
      <c r="H775" s="249" t="s">
        <v>1608</v>
      </c>
      <c r="I775" s="250">
        <v>18488.89</v>
      </c>
    </row>
    <row r="776" spans="1:9" x14ac:dyDescent="0.2">
      <c r="A776" s="246">
        <v>774</v>
      </c>
      <c r="B776" s="247">
        <v>42128</v>
      </c>
      <c r="C776" s="247">
        <v>42144</v>
      </c>
      <c r="D776" s="233" t="s">
        <v>1092</v>
      </c>
      <c r="E776" s="248" t="s">
        <v>392</v>
      </c>
      <c r="F776" s="248" t="s">
        <v>71</v>
      </c>
      <c r="G776" s="249" t="s">
        <v>1603</v>
      </c>
      <c r="H776" s="249" t="s">
        <v>1609</v>
      </c>
      <c r="I776" s="250">
        <v>28835.37</v>
      </c>
    </row>
    <row r="777" spans="1:9" x14ac:dyDescent="0.2">
      <c r="A777" s="246">
        <v>775</v>
      </c>
      <c r="B777" s="247">
        <v>42128</v>
      </c>
      <c r="C777" s="247">
        <v>42144</v>
      </c>
      <c r="D777" s="233" t="s">
        <v>1092</v>
      </c>
      <c r="E777" s="248" t="s">
        <v>392</v>
      </c>
      <c r="F777" s="248" t="s">
        <v>1257</v>
      </c>
      <c r="G777" s="249" t="s">
        <v>1604</v>
      </c>
      <c r="H777" s="249" t="s">
        <v>1610</v>
      </c>
      <c r="I777" s="250">
        <v>50000</v>
      </c>
    </row>
    <row r="778" spans="1:9" x14ac:dyDescent="0.2">
      <c r="A778" s="246">
        <v>776</v>
      </c>
      <c r="B778" s="247">
        <v>42128</v>
      </c>
      <c r="C778" s="247">
        <v>42144</v>
      </c>
      <c r="D778" s="233" t="s">
        <v>1092</v>
      </c>
      <c r="E778" s="249" t="s">
        <v>392</v>
      </c>
      <c r="F778" s="248" t="s">
        <v>396</v>
      </c>
      <c r="G778" s="249" t="s">
        <v>1605</v>
      </c>
      <c r="H778" s="249" t="s">
        <v>1611</v>
      </c>
      <c r="I778" s="250">
        <v>39500</v>
      </c>
    </row>
    <row r="779" spans="1:9" x14ac:dyDescent="0.2">
      <c r="A779" s="246">
        <v>777</v>
      </c>
      <c r="B779" s="247">
        <v>42129</v>
      </c>
      <c r="C779" s="247">
        <v>42149</v>
      </c>
      <c r="D779" s="233" t="s">
        <v>1092</v>
      </c>
      <c r="E779" s="248" t="s">
        <v>422</v>
      </c>
      <c r="F779" s="248" t="s">
        <v>396</v>
      </c>
      <c r="G779" s="249" t="s">
        <v>1612</v>
      </c>
      <c r="H779" s="249" t="s">
        <v>1616</v>
      </c>
      <c r="I779" s="250">
        <v>98888.89</v>
      </c>
    </row>
    <row r="780" spans="1:9" x14ac:dyDescent="0.2">
      <c r="A780" s="246">
        <v>778</v>
      </c>
      <c r="B780" s="247">
        <v>42129</v>
      </c>
      <c r="C780" s="247">
        <v>42149</v>
      </c>
      <c r="D780" s="233" t="s">
        <v>1092</v>
      </c>
      <c r="E780" s="248" t="s">
        <v>392</v>
      </c>
      <c r="F780" s="248" t="s">
        <v>393</v>
      </c>
      <c r="G780" s="249" t="s">
        <v>1613</v>
      </c>
      <c r="H780" s="249" t="s">
        <v>1617</v>
      </c>
      <c r="I780" s="250">
        <v>72727.88</v>
      </c>
    </row>
    <row r="781" spans="1:9" x14ac:dyDescent="0.2">
      <c r="A781" s="246">
        <v>779</v>
      </c>
      <c r="B781" s="247">
        <v>42129</v>
      </c>
      <c r="C781" s="247">
        <v>42149</v>
      </c>
      <c r="D781" s="233" t="s">
        <v>1092</v>
      </c>
      <c r="E781" s="248" t="s">
        <v>422</v>
      </c>
      <c r="F781" s="248" t="s">
        <v>396</v>
      </c>
      <c r="G781" s="249" t="s">
        <v>1614</v>
      </c>
      <c r="H781" s="249" t="s">
        <v>1618</v>
      </c>
      <c r="I781" s="250">
        <v>78222.22</v>
      </c>
    </row>
    <row r="782" spans="1:9" x14ac:dyDescent="0.2">
      <c r="A782" s="246">
        <v>780</v>
      </c>
      <c r="B782" s="247">
        <v>42129</v>
      </c>
      <c r="C782" s="247">
        <v>42149</v>
      </c>
      <c r="D782" s="233" t="s">
        <v>1092</v>
      </c>
      <c r="E782" s="248" t="s">
        <v>392</v>
      </c>
      <c r="F782" s="248" t="s">
        <v>71</v>
      </c>
      <c r="G782" s="249" t="s">
        <v>1615</v>
      </c>
      <c r="H782" s="249" t="s">
        <v>1619</v>
      </c>
      <c r="I782" s="250">
        <v>36611.58</v>
      </c>
    </row>
    <row r="783" spans="1:9" x14ac:dyDescent="0.2">
      <c r="A783" s="246">
        <v>781</v>
      </c>
      <c r="B783" s="247">
        <v>42135</v>
      </c>
      <c r="C783" s="247">
        <v>42184</v>
      </c>
      <c r="D783" s="233" t="s">
        <v>1092</v>
      </c>
      <c r="E783" s="248" t="s">
        <v>422</v>
      </c>
      <c r="F783" s="248" t="s">
        <v>396</v>
      </c>
      <c r="G783" s="249" t="s">
        <v>1620</v>
      </c>
      <c r="H783" s="249" t="s">
        <v>1623</v>
      </c>
      <c r="I783" s="250">
        <v>223600</v>
      </c>
    </row>
    <row r="784" spans="1:9" x14ac:dyDescent="0.2">
      <c r="A784" s="246">
        <v>782</v>
      </c>
      <c r="B784" s="247">
        <v>42135</v>
      </c>
      <c r="C784" s="247">
        <v>42184</v>
      </c>
      <c r="D784" s="233" t="s">
        <v>1092</v>
      </c>
      <c r="E784" s="248" t="s">
        <v>422</v>
      </c>
      <c r="F784" s="248" t="s">
        <v>396</v>
      </c>
      <c r="G784" s="249" t="s">
        <v>1621</v>
      </c>
      <c r="H784" s="249" t="s">
        <v>1624</v>
      </c>
      <c r="I784" s="250">
        <v>426666.67</v>
      </c>
    </row>
    <row r="785" spans="1:9" x14ac:dyDescent="0.2">
      <c r="A785" s="260">
        <v>783</v>
      </c>
      <c r="B785" s="251">
        <v>42136</v>
      </c>
      <c r="C785" s="251">
        <v>42186</v>
      </c>
      <c r="D785" s="233" t="s">
        <v>1092</v>
      </c>
      <c r="E785" s="252" t="s">
        <v>392</v>
      </c>
      <c r="F785" s="252" t="s">
        <v>9</v>
      </c>
      <c r="G785" s="254" t="s">
        <v>1622</v>
      </c>
      <c r="H785" s="254" t="s">
        <v>1625</v>
      </c>
      <c r="I785" s="255">
        <v>1459089</v>
      </c>
    </row>
    <row r="786" spans="1:9" x14ac:dyDescent="0.2">
      <c r="A786" s="246">
        <v>784</v>
      </c>
      <c r="B786" s="247">
        <v>42136</v>
      </c>
      <c r="C786" s="247">
        <v>42158</v>
      </c>
      <c r="D786" s="233" t="s">
        <v>1092</v>
      </c>
      <c r="E786" s="248" t="s">
        <v>422</v>
      </c>
      <c r="F786" s="248" t="s">
        <v>701</v>
      </c>
      <c r="G786" s="249" t="s">
        <v>1626</v>
      </c>
      <c r="H786" s="249" t="s">
        <v>1630</v>
      </c>
      <c r="I786" s="250">
        <v>55470</v>
      </c>
    </row>
    <row r="787" spans="1:9" x14ac:dyDescent="0.2">
      <c r="A787" s="246">
        <v>785</v>
      </c>
      <c r="B787" s="247">
        <v>42136</v>
      </c>
      <c r="C787" s="247">
        <v>42158</v>
      </c>
      <c r="D787" s="233" t="s">
        <v>1092</v>
      </c>
      <c r="E787" s="248" t="s">
        <v>422</v>
      </c>
      <c r="F787" s="248" t="s">
        <v>701</v>
      </c>
      <c r="G787" s="249" t="s">
        <v>1627</v>
      </c>
      <c r="H787" s="249" t="s">
        <v>1631</v>
      </c>
      <c r="I787" s="250">
        <v>52854</v>
      </c>
    </row>
    <row r="788" spans="1:9" x14ac:dyDescent="0.2">
      <c r="A788" s="246">
        <v>786</v>
      </c>
      <c r="B788" s="247">
        <v>42136</v>
      </c>
      <c r="C788" s="247">
        <v>42158</v>
      </c>
      <c r="D788" s="233" t="s">
        <v>1092</v>
      </c>
      <c r="E788" s="248" t="s">
        <v>392</v>
      </c>
      <c r="F788" s="248" t="s">
        <v>71</v>
      </c>
      <c r="G788" s="249" t="s">
        <v>1628</v>
      </c>
      <c r="H788" s="249" t="s">
        <v>1632</v>
      </c>
      <c r="I788" s="250">
        <v>54607.45</v>
      </c>
    </row>
    <row r="789" spans="1:9" x14ac:dyDescent="0.2">
      <c r="A789" s="246">
        <v>787</v>
      </c>
      <c r="B789" s="247">
        <v>42136</v>
      </c>
      <c r="C789" s="247">
        <v>42158</v>
      </c>
      <c r="D789" s="233" t="s">
        <v>1092</v>
      </c>
      <c r="E789" s="248" t="s">
        <v>422</v>
      </c>
      <c r="F789" s="248" t="s">
        <v>701</v>
      </c>
      <c r="G789" s="249" t="s">
        <v>1629</v>
      </c>
      <c r="H789" s="249" t="s">
        <v>1633</v>
      </c>
      <c r="I789" s="250">
        <v>37190.080000000002</v>
      </c>
    </row>
    <row r="790" spans="1:9" x14ac:dyDescent="0.2">
      <c r="A790" s="246">
        <v>788</v>
      </c>
      <c r="B790" s="247">
        <v>42137</v>
      </c>
      <c r="C790" s="247">
        <v>42158</v>
      </c>
      <c r="D790" s="233" t="s">
        <v>1092</v>
      </c>
      <c r="E790" s="248" t="s">
        <v>392</v>
      </c>
      <c r="F790" s="248" t="s">
        <v>71</v>
      </c>
      <c r="G790" s="249" t="s">
        <v>1634</v>
      </c>
      <c r="H790" s="249" t="s">
        <v>1637</v>
      </c>
      <c r="I790" s="250">
        <v>19064.54</v>
      </c>
    </row>
    <row r="791" spans="1:9" x14ac:dyDescent="0.2">
      <c r="A791" s="246">
        <v>789</v>
      </c>
      <c r="B791" s="247">
        <v>42137</v>
      </c>
      <c r="C791" s="247">
        <v>42158</v>
      </c>
      <c r="D791" s="233" t="s">
        <v>1092</v>
      </c>
      <c r="E791" s="248" t="s">
        <v>422</v>
      </c>
      <c r="F791" s="248" t="s">
        <v>701</v>
      </c>
      <c r="G791" s="249" t="s">
        <v>1635</v>
      </c>
      <c r="H791" s="249" t="s">
        <v>1638</v>
      </c>
      <c r="I791" s="250">
        <v>25500</v>
      </c>
    </row>
    <row r="792" spans="1:9" x14ac:dyDescent="0.2">
      <c r="A792" s="246">
        <v>790</v>
      </c>
      <c r="B792" s="247">
        <v>42137</v>
      </c>
      <c r="C792" s="247">
        <v>42158</v>
      </c>
      <c r="D792" s="233" t="s">
        <v>1092</v>
      </c>
      <c r="E792" s="248" t="s">
        <v>392</v>
      </c>
      <c r="F792" s="248" t="s">
        <v>393</v>
      </c>
      <c r="G792" s="249" t="s">
        <v>1636</v>
      </c>
      <c r="H792" s="249" t="s">
        <v>1639</v>
      </c>
      <c r="I792" s="250">
        <v>39400</v>
      </c>
    </row>
    <row r="793" spans="1:9" x14ac:dyDescent="0.2">
      <c r="A793" s="246">
        <v>791</v>
      </c>
      <c r="B793" s="247">
        <v>42142</v>
      </c>
      <c r="C793" s="247">
        <v>42191</v>
      </c>
      <c r="D793" s="233" t="s">
        <v>1092</v>
      </c>
      <c r="E793" s="248" t="s">
        <v>422</v>
      </c>
      <c r="F793" s="248" t="s">
        <v>1396</v>
      </c>
      <c r="G793" s="249" t="s">
        <v>1641</v>
      </c>
      <c r="H793" s="249" t="s">
        <v>1644</v>
      </c>
      <c r="I793" s="250">
        <v>427111.11</v>
      </c>
    </row>
    <row r="794" spans="1:9" x14ac:dyDescent="0.2">
      <c r="A794" s="246">
        <v>792</v>
      </c>
      <c r="B794" s="247">
        <v>42142</v>
      </c>
      <c r="C794" s="247">
        <v>42158</v>
      </c>
      <c r="D794" s="233" t="s">
        <v>1092</v>
      </c>
      <c r="E794" s="248" t="s">
        <v>422</v>
      </c>
      <c r="F794" s="248" t="s">
        <v>701</v>
      </c>
      <c r="G794" s="249" t="s">
        <v>1642</v>
      </c>
      <c r="H794" s="249" t="s">
        <v>1645</v>
      </c>
      <c r="I794" s="250">
        <v>25500</v>
      </c>
    </row>
    <row r="795" spans="1:9" x14ac:dyDescent="0.2">
      <c r="A795" s="246">
        <v>793</v>
      </c>
      <c r="B795" s="247">
        <v>42142</v>
      </c>
      <c r="C795" s="247">
        <v>42191</v>
      </c>
      <c r="D795" s="233" t="s">
        <v>1092</v>
      </c>
      <c r="E795" s="248" t="s">
        <v>422</v>
      </c>
      <c r="F795" s="248" t="s">
        <v>1640</v>
      </c>
      <c r="G795" s="249" t="s">
        <v>1643</v>
      </c>
      <c r="H795" s="249" t="s">
        <v>1646</v>
      </c>
      <c r="I795" s="250">
        <v>705733.33</v>
      </c>
    </row>
    <row r="796" spans="1:9" x14ac:dyDescent="0.2">
      <c r="A796" s="246">
        <v>794</v>
      </c>
      <c r="B796" s="247">
        <v>42144</v>
      </c>
      <c r="C796" s="247">
        <v>42163</v>
      </c>
      <c r="D796" s="233" t="s">
        <v>1092</v>
      </c>
      <c r="E796" s="248" t="s">
        <v>422</v>
      </c>
      <c r="F796" s="248" t="s">
        <v>701</v>
      </c>
      <c r="G796" s="249" t="s">
        <v>1647</v>
      </c>
      <c r="H796" s="249" t="s">
        <v>1649</v>
      </c>
      <c r="I796" s="250">
        <v>21000</v>
      </c>
    </row>
    <row r="797" spans="1:9" x14ac:dyDescent="0.2">
      <c r="A797" s="246">
        <v>795</v>
      </c>
      <c r="B797" s="247">
        <v>42144</v>
      </c>
      <c r="C797" s="247">
        <v>42163</v>
      </c>
      <c r="D797" s="233" t="s">
        <v>1092</v>
      </c>
      <c r="E797" s="248" t="s">
        <v>422</v>
      </c>
      <c r="F797" s="248" t="s">
        <v>701</v>
      </c>
      <c r="G797" s="249" t="s">
        <v>1648</v>
      </c>
      <c r="H797" s="249" t="s">
        <v>1650</v>
      </c>
      <c r="I797" s="250">
        <v>78300</v>
      </c>
    </row>
    <row r="798" spans="1:9" x14ac:dyDescent="0.2">
      <c r="A798" s="246">
        <v>796</v>
      </c>
      <c r="B798" s="247">
        <v>42149</v>
      </c>
      <c r="C798" s="247">
        <v>42198</v>
      </c>
      <c r="D798" s="233" t="s">
        <v>1092</v>
      </c>
      <c r="E798" s="248" t="s">
        <v>392</v>
      </c>
      <c r="F798" s="248" t="s">
        <v>9</v>
      </c>
      <c r="G798" s="249" t="s">
        <v>1651</v>
      </c>
      <c r="H798" s="249" t="s">
        <v>1652</v>
      </c>
      <c r="I798" s="250">
        <v>329703</v>
      </c>
    </row>
    <row r="799" spans="1:9" x14ac:dyDescent="0.2">
      <c r="A799" s="246">
        <v>797</v>
      </c>
      <c r="B799" s="247">
        <v>42158</v>
      </c>
      <c r="C799" s="247">
        <v>42177</v>
      </c>
      <c r="D799" s="233" t="s">
        <v>1092</v>
      </c>
      <c r="E799" s="248" t="s">
        <v>422</v>
      </c>
      <c r="F799" s="248" t="s">
        <v>1640</v>
      </c>
      <c r="G799" s="249" t="s">
        <v>1653</v>
      </c>
      <c r="H799" s="249" t="s">
        <v>1657</v>
      </c>
      <c r="I799" s="250">
        <v>99088.89</v>
      </c>
    </row>
    <row r="800" spans="1:9" x14ac:dyDescent="0.2">
      <c r="A800" s="246">
        <v>798</v>
      </c>
      <c r="B800" s="247">
        <v>42158</v>
      </c>
      <c r="C800" s="247">
        <v>42177</v>
      </c>
      <c r="D800" s="233" t="s">
        <v>1092</v>
      </c>
      <c r="E800" s="248" t="s">
        <v>422</v>
      </c>
      <c r="F800" s="248" t="s">
        <v>71</v>
      </c>
      <c r="G800" s="249" t="s">
        <v>1654</v>
      </c>
      <c r="H800" s="249" t="s">
        <v>1658</v>
      </c>
      <c r="I800" s="250">
        <v>37637.83</v>
      </c>
    </row>
    <row r="801" spans="1:9" x14ac:dyDescent="0.2">
      <c r="A801" s="246">
        <v>799</v>
      </c>
      <c r="B801" s="247">
        <v>42158</v>
      </c>
      <c r="C801" s="247">
        <v>42177</v>
      </c>
      <c r="D801" s="233" t="s">
        <v>1092</v>
      </c>
      <c r="E801" s="248" t="s">
        <v>422</v>
      </c>
      <c r="F801" s="248" t="s">
        <v>71</v>
      </c>
      <c r="G801" s="249" t="s">
        <v>1655</v>
      </c>
      <c r="H801" s="249" t="s">
        <v>1659</v>
      </c>
      <c r="I801" s="250">
        <v>41149.57</v>
      </c>
    </row>
    <row r="802" spans="1:9" x14ac:dyDescent="0.2">
      <c r="A802" s="246">
        <v>800</v>
      </c>
      <c r="B802" s="247">
        <v>42158</v>
      </c>
      <c r="C802" s="247">
        <v>42177</v>
      </c>
      <c r="D802" s="233" t="s">
        <v>1092</v>
      </c>
      <c r="E802" s="248" t="s">
        <v>422</v>
      </c>
      <c r="F802" s="248" t="s">
        <v>71</v>
      </c>
      <c r="G802" s="249" t="s">
        <v>1656</v>
      </c>
      <c r="H802" s="249" t="s">
        <v>1660</v>
      </c>
      <c r="I802" s="250">
        <v>32320.39</v>
      </c>
    </row>
    <row r="803" spans="1:9" x14ac:dyDescent="0.2">
      <c r="A803" s="246">
        <v>801</v>
      </c>
      <c r="B803" s="247">
        <v>42163</v>
      </c>
      <c r="C803" s="247">
        <v>42184</v>
      </c>
      <c r="D803" s="233" t="s">
        <v>1092</v>
      </c>
      <c r="E803" s="248" t="s">
        <v>422</v>
      </c>
      <c r="F803" s="248" t="s">
        <v>71</v>
      </c>
      <c r="G803" s="249" t="s">
        <v>1661</v>
      </c>
      <c r="H803" s="249" t="s">
        <v>1665</v>
      </c>
      <c r="I803" s="250">
        <v>102672.32000000001</v>
      </c>
    </row>
    <row r="804" spans="1:9" x14ac:dyDescent="0.2">
      <c r="A804" s="246">
        <v>802</v>
      </c>
      <c r="B804" s="247">
        <v>42163</v>
      </c>
      <c r="C804" s="247">
        <v>42184</v>
      </c>
      <c r="D804" s="233" t="s">
        <v>1092</v>
      </c>
      <c r="E804" s="248" t="s">
        <v>422</v>
      </c>
      <c r="F804" s="248" t="s">
        <v>71</v>
      </c>
      <c r="G804" s="249" t="s">
        <v>1662</v>
      </c>
      <c r="H804" s="249" t="s">
        <v>1666</v>
      </c>
      <c r="I804" s="250">
        <v>157544.51</v>
      </c>
    </row>
    <row r="805" spans="1:9" x14ac:dyDescent="0.2">
      <c r="A805" s="246">
        <v>803</v>
      </c>
      <c r="B805" s="247">
        <v>42163</v>
      </c>
      <c r="C805" s="247">
        <v>42184</v>
      </c>
      <c r="D805" s="233" t="s">
        <v>1092</v>
      </c>
      <c r="E805" s="248" t="s">
        <v>422</v>
      </c>
      <c r="F805" s="248" t="s">
        <v>71</v>
      </c>
      <c r="G805" s="249" t="s">
        <v>1663</v>
      </c>
      <c r="H805" s="249" t="s">
        <v>1667</v>
      </c>
      <c r="I805" s="250">
        <v>95847.92</v>
      </c>
    </row>
    <row r="806" spans="1:9" x14ac:dyDescent="0.2">
      <c r="A806" s="246">
        <v>804</v>
      </c>
      <c r="B806" s="247">
        <v>42163</v>
      </c>
      <c r="C806" s="247">
        <v>42184</v>
      </c>
      <c r="D806" s="233" t="s">
        <v>1092</v>
      </c>
      <c r="E806" s="248" t="s">
        <v>422</v>
      </c>
      <c r="F806" s="248" t="s">
        <v>71</v>
      </c>
      <c r="G806" s="249" t="s">
        <v>1664</v>
      </c>
      <c r="H806" s="249" t="s">
        <v>1668</v>
      </c>
      <c r="I806" s="250">
        <v>89535.09</v>
      </c>
    </row>
    <row r="807" spans="1:9" x14ac:dyDescent="0.2">
      <c r="A807" s="246">
        <v>805</v>
      </c>
      <c r="B807" s="247">
        <v>42165</v>
      </c>
      <c r="C807" s="247">
        <v>42184</v>
      </c>
      <c r="D807" s="233" t="s">
        <v>1092</v>
      </c>
      <c r="E807" s="248" t="s">
        <v>422</v>
      </c>
      <c r="F807" s="248" t="s">
        <v>1669</v>
      </c>
      <c r="G807" s="249" t="s">
        <v>1670</v>
      </c>
      <c r="H807" s="249" t="s">
        <v>1671</v>
      </c>
      <c r="I807" s="250">
        <v>32740</v>
      </c>
    </row>
    <row r="808" spans="1:9" x14ac:dyDescent="0.2">
      <c r="A808" s="246">
        <v>806</v>
      </c>
      <c r="B808" s="247">
        <v>42167</v>
      </c>
      <c r="C808" s="247">
        <v>42184</v>
      </c>
      <c r="D808" s="233" t="s">
        <v>1092</v>
      </c>
      <c r="E808" s="248" t="s">
        <v>422</v>
      </c>
      <c r="F808" s="248" t="s">
        <v>701</v>
      </c>
      <c r="G808" s="249" t="s">
        <v>1672</v>
      </c>
      <c r="H808" s="249" t="s">
        <v>1673</v>
      </c>
      <c r="I808" s="250">
        <v>80000</v>
      </c>
    </row>
    <row r="809" spans="1:9" x14ac:dyDescent="0.2">
      <c r="A809" s="246">
        <v>807</v>
      </c>
      <c r="B809" s="247">
        <v>42171</v>
      </c>
      <c r="C809" s="247">
        <v>42187</v>
      </c>
      <c r="D809" s="233" t="s">
        <v>1092</v>
      </c>
      <c r="E809" s="248" t="s">
        <v>392</v>
      </c>
      <c r="F809" s="248" t="s">
        <v>71</v>
      </c>
      <c r="G809" s="249" t="s">
        <v>1674</v>
      </c>
      <c r="H809" s="249" t="s">
        <v>1675</v>
      </c>
      <c r="I809" s="250">
        <v>114259.51</v>
      </c>
    </row>
    <row r="810" spans="1:9" x14ac:dyDescent="0.2">
      <c r="A810" s="246">
        <v>808</v>
      </c>
      <c r="B810" s="247">
        <v>42191</v>
      </c>
      <c r="C810" s="247">
        <v>42207</v>
      </c>
      <c r="D810" s="233" t="s">
        <v>1092</v>
      </c>
      <c r="E810" s="248" t="s">
        <v>422</v>
      </c>
      <c r="F810" s="248" t="s">
        <v>701</v>
      </c>
      <c r="G810" s="249" t="s">
        <v>1676</v>
      </c>
      <c r="H810" s="249" t="s">
        <v>1678</v>
      </c>
      <c r="I810" s="250">
        <v>37500</v>
      </c>
    </row>
    <row r="811" spans="1:9" x14ac:dyDescent="0.2">
      <c r="A811" s="246">
        <v>809</v>
      </c>
      <c r="B811" s="247">
        <v>42191</v>
      </c>
      <c r="C811" s="247">
        <v>42207</v>
      </c>
      <c r="D811" s="233" t="s">
        <v>1092</v>
      </c>
      <c r="E811" s="248" t="s">
        <v>422</v>
      </c>
      <c r="F811" s="248" t="s">
        <v>701</v>
      </c>
      <c r="G811" s="249" t="s">
        <v>1677</v>
      </c>
      <c r="H811" s="249" t="s">
        <v>1679</v>
      </c>
      <c r="I811" s="250">
        <v>76800</v>
      </c>
    </row>
    <row r="812" spans="1:9" x14ac:dyDescent="0.2">
      <c r="A812" s="246">
        <v>810</v>
      </c>
      <c r="B812" s="247">
        <v>42193</v>
      </c>
      <c r="C812" s="247">
        <v>42212</v>
      </c>
      <c r="D812" s="233" t="s">
        <v>1092</v>
      </c>
      <c r="E812" s="248" t="s">
        <v>392</v>
      </c>
      <c r="F812" s="248" t="s">
        <v>1272</v>
      </c>
      <c r="G812" s="249" t="s">
        <v>1680</v>
      </c>
      <c r="H812" s="249" t="s">
        <v>1681</v>
      </c>
      <c r="I812" s="250">
        <v>50500</v>
      </c>
    </row>
    <row r="813" spans="1:9" x14ac:dyDescent="0.2">
      <c r="A813" s="246">
        <v>811</v>
      </c>
      <c r="B813" s="247">
        <v>42193</v>
      </c>
      <c r="C813" s="247">
        <v>42212</v>
      </c>
      <c r="D813" s="233" t="s">
        <v>1092</v>
      </c>
      <c r="E813" s="248" t="s">
        <v>392</v>
      </c>
      <c r="F813" s="248" t="s">
        <v>1276</v>
      </c>
      <c r="G813" s="249" t="s">
        <v>1682</v>
      </c>
      <c r="H813" s="249" t="s">
        <v>1683</v>
      </c>
      <c r="I813" s="250">
        <v>33000</v>
      </c>
    </row>
    <row r="814" spans="1:9" x14ac:dyDescent="0.2">
      <c r="A814" s="246">
        <v>812</v>
      </c>
      <c r="B814" s="247">
        <v>42193</v>
      </c>
      <c r="C814" s="247">
        <v>42212</v>
      </c>
      <c r="D814" s="233" t="s">
        <v>1092</v>
      </c>
      <c r="E814" s="248" t="s">
        <v>392</v>
      </c>
      <c r="F814" s="248" t="s">
        <v>71</v>
      </c>
      <c r="G814" s="249" t="s">
        <v>1684</v>
      </c>
      <c r="H814" s="249" t="s">
        <v>1685</v>
      </c>
      <c r="I814" s="250">
        <v>41018.26</v>
      </c>
    </row>
    <row r="815" spans="1:9" x14ac:dyDescent="0.2">
      <c r="A815" s="246">
        <v>813</v>
      </c>
      <c r="B815" s="247">
        <v>42194</v>
      </c>
      <c r="C815" s="247">
        <v>42247</v>
      </c>
      <c r="D815" s="233" t="s">
        <v>1092</v>
      </c>
      <c r="E815" s="248" t="s">
        <v>422</v>
      </c>
      <c r="F815" s="248" t="s">
        <v>701</v>
      </c>
      <c r="G815" s="249" t="s">
        <v>1686</v>
      </c>
      <c r="H815" s="249" t="s">
        <v>1693</v>
      </c>
      <c r="I815" s="250">
        <v>46700</v>
      </c>
    </row>
    <row r="816" spans="1:9" x14ac:dyDescent="0.2">
      <c r="A816" s="246">
        <v>814</v>
      </c>
      <c r="B816" s="247">
        <v>42194</v>
      </c>
      <c r="C816" s="247">
        <v>42247</v>
      </c>
      <c r="D816" s="233" t="s">
        <v>1092</v>
      </c>
      <c r="E816" s="248" t="s">
        <v>422</v>
      </c>
      <c r="F816" s="248" t="s">
        <v>701</v>
      </c>
      <c r="G816" s="249" t="s">
        <v>1687</v>
      </c>
      <c r="H816" s="249" t="s">
        <v>1694</v>
      </c>
      <c r="I816" s="250">
        <v>19700</v>
      </c>
    </row>
    <row r="817" spans="1:9" x14ac:dyDescent="0.2">
      <c r="A817" s="246">
        <v>815</v>
      </c>
      <c r="B817" s="247">
        <v>42194</v>
      </c>
      <c r="C817" s="247">
        <v>42247</v>
      </c>
      <c r="D817" s="233" t="s">
        <v>1092</v>
      </c>
      <c r="E817" s="248" t="s">
        <v>422</v>
      </c>
      <c r="F817" s="248" t="s">
        <v>701</v>
      </c>
      <c r="G817" s="249" t="s">
        <v>1688</v>
      </c>
      <c r="H817" s="249" t="s">
        <v>1695</v>
      </c>
      <c r="I817" s="250">
        <v>37500</v>
      </c>
    </row>
    <row r="818" spans="1:9" x14ac:dyDescent="0.2">
      <c r="A818" s="246">
        <v>816</v>
      </c>
      <c r="B818" s="247">
        <v>42194</v>
      </c>
      <c r="C818" s="247">
        <v>42247</v>
      </c>
      <c r="D818" s="233" t="s">
        <v>1092</v>
      </c>
      <c r="E818" s="248" t="s">
        <v>422</v>
      </c>
      <c r="F818" s="248" t="s">
        <v>701</v>
      </c>
      <c r="G818" s="249" t="s">
        <v>1689</v>
      </c>
      <c r="H818" s="249" t="s">
        <v>1696</v>
      </c>
      <c r="I818" s="250">
        <v>110000</v>
      </c>
    </row>
    <row r="819" spans="1:9" x14ac:dyDescent="0.2">
      <c r="A819" s="246">
        <v>817</v>
      </c>
      <c r="B819" s="247">
        <v>42194</v>
      </c>
      <c r="C819" s="247">
        <v>42247</v>
      </c>
      <c r="D819" s="233" t="s">
        <v>1092</v>
      </c>
      <c r="E819" s="248" t="s">
        <v>422</v>
      </c>
      <c r="F819" s="248" t="s">
        <v>701</v>
      </c>
      <c r="G819" s="249" t="s">
        <v>1690</v>
      </c>
      <c r="H819" s="249" t="s">
        <v>1697</v>
      </c>
      <c r="I819" s="250">
        <v>88850</v>
      </c>
    </row>
    <row r="820" spans="1:9" x14ac:dyDescent="0.2">
      <c r="A820" s="246">
        <v>818</v>
      </c>
      <c r="B820" s="247">
        <v>42194</v>
      </c>
      <c r="C820" s="247">
        <v>42247</v>
      </c>
      <c r="D820" s="233" t="s">
        <v>1092</v>
      </c>
      <c r="E820" s="248" t="s">
        <v>422</v>
      </c>
      <c r="F820" s="248" t="s">
        <v>701</v>
      </c>
      <c r="G820" s="249" t="s">
        <v>1691</v>
      </c>
      <c r="H820" s="249" t="s">
        <v>1698</v>
      </c>
      <c r="I820" s="250">
        <v>30000</v>
      </c>
    </row>
    <row r="821" spans="1:9" x14ac:dyDescent="0.2">
      <c r="A821" s="246">
        <v>819</v>
      </c>
      <c r="B821" s="247">
        <v>42195</v>
      </c>
      <c r="C821" s="247">
        <v>42247</v>
      </c>
      <c r="D821" s="233" t="s">
        <v>1092</v>
      </c>
      <c r="E821" s="248" t="s">
        <v>422</v>
      </c>
      <c r="F821" s="248" t="s">
        <v>396</v>
      </c>
      <c r="G821" s="249" t="s">
        <v>1692</v>
      </c>
      <c r="H821" s="249" t="s">
        <v>1699</v>
      </c>
      <c r="I821" s="250">
        <v>371111.11</v>
      </c>
    </row>
    <row r="822" spans="1:9" x14ac:dyDescent="0.2">
      <c r="A822" s="246">
        <v>820</v>
      </c>
      <c r="B822" s="247">
        <v>42199</v>
      </c>
      <c r="C822" s="247">
        <v>42249</v>
      </c>
      <c r="D822" s="233" t="s">
        <v>1092</v>
      </c>
      <c r="E822" s="248" t="s">
        <v>422</v>
      </c>
      <c r="F822" s="248" t="s">
        <v>701</v>
      </c>
      <c r="G822" s="249" t="s">
        <v>1700</v>
      </c>
      <c r="H822" s="249" t="s">
        <v>1710</v>
      </c>
      <c r="I822" s="250">
        <v>350000</v>
      </c>
    </row>
    <row r="823" spans="1:9" x14ac:dyDescent="0.2">
      <c r="A823" s="246">
        <v>821</v>
      </c>
      <c r="B823" s="247">
        <v>42199</v>
      </c>
      <c r="C823" s="247">
        <v>42249</v>
      </c>
      <c r="D823" s="233" t="s">
        <v>1092</v>
      </c>
      <c r="E823" s="248" t="s">
        <v>422</v>
      </c>
      <c r="F823" s="248" t="s">
        <v>701</v>
      </c>
      <c r="G823" s="249" t="s">
        <v>1701</v>
      </c>
      <c r="H823" s="249" t="s">
        <v>1711</v>
      </c>
      <c r="I823" s="250">
        <v>360000</v>
      </c>
    </row>
    <row r="824" spans="1:9" x14ac:dyDescent="0.2">
      <c r="A824" s="246">
        <v>822</v>
      </c>
      <c r="B824" s="247">
        <v>42199</v>
      </c>
      <c r="C824" s="247">
        <v>42249</v>
      </c>
      <c r="D824" s="233" t="s">
        <v>1092</v>
      </c>
      <c r="E824" s="248" t="s">
        <v>422</v>
      </c>
      <c r="F824" s="248" t="s">
        <v>701</v>
      </c>
      <c r="G824" s="249" t="s">
        <v>1702</v>
      </c>
      <c r="H824" s="249" t="s">
        <v>1712</v>
      </c>
      <c r="I824" s="250">
        <v>248500</v>
      </c>
    </row>
    <row r="825" spans="1:9" x14ac:dyDescent="0.2">
      <c r="A825" s="246">
        <v>823</v>
      </c>
      <c r="B825" s="247">
        <v>42198</v>
      </c>
      <c r="C825" s="247">
        <v>42249</v>
      </c>
      <c r="D825" s="233" t="s">
        <v>1092</v>
      </c>
      <c r="E825" s="248" t="s">
        <v>422</v>
      </c>
      <c r="F825" s="248" t="s">
        <v>701</v>
      </c>
      <c r="G825" s="249" t="s">
        <v>1703</v>
      </c>
      <c r="H825" s="249" t="s">
        <v>1713</v>
      </c>
      <c r="I825" s="250">
        <v>54500</v>
      </c>
    </row>
    <row r="826" spans="1:9" x14ac:dyDescent="0.2">
      <c r="A826" s="246">
        <v>824</v>
      </c>
      <c r="B826" s="247">
        <v>42198</v>
      </c>
      <c r="C826" s="247">
        <v>42247</v>
      </c>
      <c r="D826" s="233" t="s">
        <v>1092</v>
      </c>
      <c r="E826" s="248" t="s">
        <v>392</v>
      </c>
      <c r="F826" s="248" t="s">
        <v>71</v>
      </c>
      <c r="G826" s="249" t="s">
        <v>1704</v>
      </c>
      <c r="H826" s="249" t="s">
        <v>1714</v>
      </c>
      <c r="I826" s="250">
        <v>25238.69</v>
      </c>
    </row>
    <row r="827" spans="1:9" x14ac:dyDescent="0.2">
      <c r="A827" s="246">
        <v>825</v>
      </c>
      <c r="B827" s="247">
        <v>42198</v>
      </c>
      <c r="C827" s="247">
        <v>42249</v>
      </c>
      <c r="D827" s="233" t="s">
        <v>1092</v>
      </c>
      <c r="E827" s="248" t="s">
        <v>422</v>
      </c>
      <c r="F827" s="248" t="s">
        <v>701</v>
      </c>
      <c r="G827" s="249" t="s">
        <v>1705</v>
      </c>
      <c r="H827" s="249" t="s">
        <v>1715</v>
      </c>
      <c r="I827" s="250">
        <v>21500</v>
      </c>
    </row>
    <row r="828" spans="1:9" x14ac:dyDescent="0.2">
      <c r="A828" s="246">
        <v>826</v>
      </c>
      <c r="B828" s="247">
        <v>42198</v>
      </c>
      <c r="C828" s="247">
        <v>42249</v>
      </c>
      <c r="D828" s="233" t="s">
        <v>1092</v>
      </c>
      <c r="E828" s="248" t="s">
        <v>422</v>
      </c>
      <c r="F828" s="248" t="s">
        <v>701</v>
      </c>
      <c r="G828" s="249" t="s">
        <v>1706</v>
      </c>
      <c r="H828" s="249" t="s">
        <v>1716</v>
      </c>
      <c r="I828" s="250">
        <v>31300</v>
      </c>
    </row>
    <row r="829" spans="1:9" x14ac:dyDescent="0.2">
      <c r="A829" s="246">
        <v>827</v>
      </c>
      <c r="B829" s="247">
        <v>42198</v>
      </c>
      <c r="C829" s="247">
        <v>42249</v>
      </c>
      <c r="D829" s="233" t="s">
        <v>1092</v>
      </c>
      <c r="E829" s="248" t="s">
        <v>422</v>
      </c>
      <c r="F829" s="248" t="s">
        <v>701</v>
      </c>
      <c r="G829" s="249" t="s">
        <v>1707</v>
      </c>
      <c r="H829" s="249" t="s">
        <v>1717</v>
      </c>
      <c r="I829" s="250">
        <v>21600</v>
      </c>
    </row>
    <row r="830" spans="1:9" x14ac:dyDescent="0.2">
      <c r="A830" s="246">
        <v>828</v>
      </c>
      <c r="B830" s="247">
        <v>42198</v>
      </c>
      <c r="C830" s="247">
        <v>42249</v>
      </c>
      <c r="D830" s="233" t="s">
        <v>1092</v>
      </c>
      <c r="E830" s="248" t="s">
        <v>422</v>
      </c>
      <c r="F830" s="248" t="s">
        <v>701</v>
      </c>
      <c r="G830" s="249" t="s">
        <v>1708</v>
      </c>
      <c r="H830" s="249" t="s">
        <v>1718</v>
      </c>
      <c r="I830" s="250">
        <v>142450</v>
      </c>
    </row>
    <row r="831" spans="1:9" x14ac:dyDescent="0.2">
      <c r="A831" s="246">
        <v>829</v>
      </c>
      <c r="B831" s="247">
        <v>42198</v>
      </c>
      <c r="C831" s="247">
        <v>42249</v>
      </c>
      <c r="D831" s="233" t="s">
        <v>1092</v>
      </c>
      <c r="E831" s="248" t="s">
        <v>422</v>
      </c>
      <c r="F831" s="248" t="s">
        <v>701</v>
      </c>
      <c r="G831" s="249" t="s">
        <v>1709</v>
      </c>
      <c r="H831" s="249" t="s">
        <v>1719</v>
      </c>
      <c r="I831" s="250">
        <v>75000</v>
      </c>
    </row>
    <row r="832" spans="1:9" x14ac:dyDescent="0.2">
      <c r="A832" s="246">
        <v>830</v>
      </c>
      <c r="B832" s="247">
        <v>42199</v>
      </c>
      <c r="C832" s="247">
        <v>42249</v>
      </c>
      <c r="D832" s="233" t="s">
        <v>1092</v>
      </c>
      <c r="E832" s="248" t="s">
        <v>392</v>
      </c>
      <c r="F832" s="248" t="s">
        <v>396</v>
      </c>
      <c r="G832" s="249" t="s">
        <v>1720</v>
      </c>
      <c r="H832" s="249" t="s">
        <v>1722</v>
      </c>
      <c r="I832" s="250">
        <v>46612</v>
      </c>
    </row>
    <row r="833" spans="1:9" x14ac:dyDescent="0.2">
      <c r="A833" s="246">
        <v>831</v>
      </c>
      <c r="B833" s="247">
        <v>42199</v>
      </c>
      <c r="C833" s="247">
        <v>42249</v>
      </c>
      <c r="D833" s="233" t="s">
        <v>1092</v>
      </c>
      <c r="E833" s="248" t="s">
        <v>392</v>
      </c>
      <c r="F833" s="248" t="s">
        <v>393</v>
      </c>
      <c r="G833" s="249" t="s">
        <v>1721</v>
      </c>
      <c r="H833" s="249" t="s">
        <v>1723</v>
      </c>
      <c r="I833" s="250">
        <v>50948</v>
      </c>
    </row>
    <row r="834" spans="1:9" x14ac:dyDescent="0.2">
      <c r="A834" s="246">
        <v>832</v>
      </c>
      <c r="B834" s="247">
        <v>42201</v>
      </c>
      <c r="C834" s="247">
        <v>42240</v>
      </c>
      <c r="D834" s="233" t="s">
        <v>1092</v>
      </c>
      <c r="E834" s="248" t="s">
        <v>392</v>
      </c>
      <c r="F834" s="248" t="s">
        <v>393</v>
      </c>
      <c r="G834" s="249" t="s">
        <v>1724</v>
      </c>
      <c r="H834" s="249" t="s">
        <v>1725</v>
      </c>
      <c r="I834" s="250">
        <v>60000</v>
      </c>
    </row>
    <row r="835" spans="1:9" x14ac:dyDescent="0.2">
      <c r="A835" s="246">
        <v>833</v>
      </c>
      <c r="B835" s="247">
        <v>42201</v>
      </c>
      <c r="C835" s="247">
        <v>42240</v>
      </c>
      <c r="D835" s="233" t="s">
        <v>1092</v>
      </c>
      <c r="E835" s="248" t="s">
        <v>392</v>
      </c>
      <c r="F835" s="248" t="s">
        <v>71</v>
      </c>
      <c r="G835" s="249" t="s">
        <v>1726</v>
      </c>
      <c r="H835" s="249" t="s">
        <v>1727</v>
      </c>
      <c r="I835" s="250">
        <v>23957.34</v>
      </c>
    </row>
    <row r="836" spans="1:9" x14ac:dyDescent="0.2">
      <c r="A836" s="246">
        <v>834</v>
      </c>
      <c r="B836" s="247">
        <v>42201</v>
      </c>
      <c r="C836" s="247">
        <v>42261</v>
      </c>
      <c r="D836" s="233" t="s">
        <v>1092</v>
      </c>
      <c r="E836" s="248" t="s">
        <v>422</v>
      </c>
      <c r="F836" s="248" t="s">
        <v>701</v>
      </c>
      <c r="G836" s="249" t="s">
        <v>1728</v>
      </c>
      <c r="H836" s="249" t="s">
        <v>1729</v>
      </c>
      <c r="I836" s="250">
        <v>40000</v>
      </c>
    </row>
    <row r="837" spans="1:9" x14ac:dyDescent="0.2">
      <c r="A837" s="246">
        <v>835</v>
      </c>
      <c r="B837" s="247">
        <v>42200</v>
      </c>
      <c r="C837" s="247">
        <v>42254</v>
      </c>
      <c r="D837" s="233" t="s">
        <v>1092</v>
      </c>
      <c r="E837" s="248" t="s">
        <v>422</v>
      </c>
      <c r="F837" s="248" t="s">
        <v>701</v>
      </c>
      <c r="G837" s="249" t="s">
        <v>1686</v>
      </c>
      <c r="H837" s="249" t="s">
        <v>1730</v>
      </c>
      <c r="I837" s="250">
        <v>33400</v>
      </c>
    </row>
    <row r="838" spans="1:9" x14ac:dyDescent="0.2">
      <c r="A838" s="246">
        <v>836</v>
      </c>
      <c r="B838" s="247">
        <v>42200</v>
      </c>
      <c r="C838" s="247">
        <v>42254</v>
      </c>
      <c r="D838" s="233" t="s">
        <v>1092</v>
      </c>
      <c r="E838" s="248" t="s">
        <v>422</v>
      </c>
      <c r="F838" s="248" t="s">
        <v>701</v>
      </c>
      <c r="G838" s="249" t="s">
        <v>1731</v>
      </c>
      <c r="H838" s="249" t="s">
        <v>1732</v>
      </c>
      <c r="I838" s="250">
        <v>33250</v>
      </c>
    </row>
    <row r="839" spans="1:9" x14ac:dyDescent="0.2">
      <c r="A839" s="246">
        <v>837</v>
      </c>
      <c r="B839" s="247">
        <v>42200</v>
      </c>
      <c r="C839" s="247">
        <v>42254</v>
      </c>
      <c r="D839" s="233" t="s">
        <v>1092</v>
      </c>
      <c r="E839" s="248" t="s">
        <v>422</v>
      </c>
      <c r="F839" s="248" t="s">
        <v>701</v>
      </c>
      <c r="G839" s="249" t="s">
        <v>1733</v>
      </c>
      <c r="H839" s="249" t="s">
        <v>1734</v>
      </c>
      <c r="I839" s="250">
        <v>59200</v>
      </c>
    </row>
    <row r="840" spans="1:9" x14ac:dyDescent="0.2">
      <c r="A840" s="246">
        <v>838</v>
      </c>
      <c r="B840" s="247">
        <v>42200</v>
      </c>
      <c r="C840" s="247">
        <v>42254</v>
      </c>
      <c r="D840" s="233" t="s">
        <v>1092</v>
      </c>
      <c r="E840" s="248" t="s">
        <v>422</v>
      </c>
      <c r="F840" s="248" t="s">
        <v>701</v>
      </c>
      <c r="G840" s="249" t="s">
        <v>1735</v>
      </c>
      <c r="H840" s="249" t="s">
        <v>1736</v>
      </c>
      <c r="I840" s="250">
        <v>170000</v>
      </c>
    </row>
    <row r="841" spans="1:9" x14ac:dyDescent="0.2">
      <c r="A841" s="246">
        <v>839</v>
      </c>
      <c r="B841" s="247">
        <v>42200</v>
      </c>
      <c r="C841" s="247">
        <v>42254</v>
      </c>
      <c r="D841" s="233" t="s">
        <v>1092</v>
      </c>
      <c r="E841" s="248" t="s">
        <v>422</v>
      </c>
      <c r="F841" s="248" t="s">
        <v>701</v>
      </c>
      <c r="G841" s="249" t="s">
        <v>1737</v>
      </c>
      <c r="H841" s="249" t="s">
        <v>1738</v>
      </c>
      <c r="I841" s="250">
        <v>82800</v>
      </c>
    </row>
    <row r="842" spans="1:9" x14ac:dyDescent="0.2">
      <c r="A842" s="246">
        <v>840</v>
      </c>
      <c r="B842" s="247">
        <v>42202</v>
      </c>
      <c r="C842" s="247">
        <v>42261</v>
      </c>
      <c r="D842" s="233" t="s">
        <v>1092</v>
      </c>
      <c r="E842" s="248" t="s">
        <v>422</v>
      </c>
      <c r="F842" s="248" t="s">
        <v>396</v>
      </c>
      <c r="G842" s="249" t="s">
        <v>1739</v>
      </c>
      <c r="H842" s="249" t="s">
        <v>1740</v>
      </c>
      <c r="I842" s="250">
        <v>141200</v>
      </c>
    </row>
    <row r="843" spans="1:9" x14ac:dyDescent="0.2">
      <c r="A843" s="246">
        <v>841</v>
      </c>
      <c r="B843" s="247">
        <v>42202</v>
      </c>
      <c r="C843" s="247">
        <v>42261</v>
      </c>
      <c r="D843" s="233" t="s">
        <v>1092</v>
      </c>
      <c r="E843" s="248" t="s">
        <v>422</v>
      </c>
      <c r="F843" s="248" t="s">
        <v>701</v>
      </c>
      <c r="G843" s="249" t="s">
        <v>1742</v>
      </c>
      <c r="H843" s="249" t="s">
        <v>1741</v>
      </c>
      <c r="I843" s="250">
        <v>148720</v>
      </c>
    </row>
    <row r="844" spans="1:9" x14ac:dyDescent="0.2">
      <c r="A844" s="246">
        <v>842</v>
      </c>
      <c r="B844" s="247">
        <v>42202</v>
      </c>
      <c r="C844" s="247">
        <v>42261</v>
      </c>
      <c r="D844" s="233" t="s">
        <v>1092</v>
      </c>
      <c r="E844" s="248" t="s">
        <v>392</v>
      </c>
      <c r="F844" s="248" t="s">
        <v>701</v>
      </c>
      <c r="G844" s="249" t="s">
        <v>1743</v>
      </c>
      <c r="H844" s="249" t="s">
        <v>1744</v>
      </c>
      <c r="I844" s="250">
        <v>80000</v>
      </c>
    </row>
    <row r="845" spans="1:9" x14ac:dyDescent="0.2">
      <c r="A845" s="246">
        <v>843</v>
      </c>
      <c r="B845" s="247">
        <v>42205</v>
      </c>
      <c r="C845" s="247">
        <v>42261</v>
      </c>
      <c r="D845" s="233" t="s">
        <v>1092</v>
      </c>
      <c r="E845" s="248" t="s">
        <v>422</v>
      </c>
      <c r="F845" s="248" t="s">
        <v>701</v>
      </c>
      <c r="G845" s="249" t="s">
        <v>1745</v>
      </c>
      <c r="H845" s="249" t="s">
        <v>1746</v>
      </c>
      <c r="I845" s="250">
        <v>50000</v>
      </c>
    </row>
    <row r="846" spans="1:9" x14ac:dyDescent="0.2">
      <c r="A846" s="246">
        <v>844</v>
      </c>
      <c r="B846" s="247">
        <v>42206</v>
      </c>
      <c r="C846" s="247">
        <v>42240</v>
      </c>
      <c r="D846" s="233" t="s">
        <v>1092</v>
      </c>
      <c r="E846" s="248" t="s">
        <v>422</v>
      </c>
      <c r="F846" s="248" t="s">
        <v>396</v>
      </c>
      <c r="G846" s="249" t="s">
        <v>1747</v>
      </c>
      <c r="H846" s="249" t="s">
        <v>1748</v>
      </c>
      <c r="I846" s="250">
        <v>71777.78</v>
      </c>
    </row>
    <row r="847" spans="1:9" x14ac:dyDescent="0.2">
      <c r="A847" s="246">
        <v>845</v>
      </c>
      <c r="B847" s="247">
        <v>42206</v>
      </c>
      <c r="C847" s="247">
        <v>42240</v>
      </c>
      <c r="D847" s="233" t="s">
        <v>1092</v>
      </c>
      <c r="E847" s="248" t="s">
        <v>422</v>
      </c>
      <c r="F847" s="248" t="s">
        <v>396</v>
      </c>
      <c r="G847" s="249" t="s">
        <v>1749</v>
      </c>
      <c r="H847" s="249" t="s">
        <v>1750</v>
      </c>
      <c r="I847" s="250">
        <v>34422.22</v>
      </c>
    </row>
    <row r="848" spans="1:9" x14ac:dyDescent="0.2">
      <c r="A848" s="246">
        <v>846</v>
      </c>
      <c r="B848" s="247">
        <v>42207</v>
      </c>
      <c r="C848" s="247">
        <v>42254</v>
      </c>
      <c r="D848" s="233" t="s">
        <v>1092</v>
      </c>
      <c r="E848" s="248" t="s">
        <v>392</v>
      </c>
      <c r="F848" s="248" t="s">
        <v>393</v>
      </c>
      <c r="G848" s="249" t="s">
        <v>1751</v>
      </c>
      <c r="H848" s="249" t="s">
        <v>1753</v>
      </c>
      <c r="I848" s="250">
        <v>23378</v>
      </c>
    </row>
    <row r="849" spans="1:9" x14ac:dyDescent="0.2">
      <c r="A849" s="246">
        <v>847</v>
      </c>
      <c r="B849" s="247">
        <v>42207</v>
      </c>
      <c r="C849" s="247">
        <v>42263</v>
      </c>
      <c r="D849" s="233" t="s">
        <v>1092</v>
      </c>
      <c r="E849" s="248" t="s">
        <v>392</v>
      </c>
      <c r="F849" s="248" t="s">
        <v>701</v>
      </c>
      <c r="G849" s="249" t="s">
        <v>1752</v>
      </c>
      <c r="H849" s="249" t="s">
        <v>1754</v>
      </c>
      <c r="I849" s="250">
        <v>22250</v>
      </c>
    </row>
    <row r="850" spans="1:9" x14ac:dyDescent="0.2">
      <c r="A850" s="246">
        <v>848</v>
      </c>
      <c r="B850" s="247">
        <v>42208</v>
      </c>
      <c r="C850" s="247">
        <v>42263</v>
      </c>
      <c r="D850" s="233" t="s">
        <v>1092</v>
      </c>
      <c r="E850" s="248" t="s">
        <v>392</v>
      </c>
      <c r="F850" s="248" t="s">
        <v>9</v>
      </c>
      <c r="G850" s="249" t="s">
        <v>1755</v>
      </c>
      <c r="H850" s="249" t="s">
        <v>1758</v>
      </c>
      <c r="I850" s="250">
        <v>124441</v>
      </c>
    </row>
    <row r="851" spans="1:9" x14ac:dyDescent="0.2">
      <c r="A851" s="246">
        <v>849</v>
      </c>
      <c r="B851" s="247">
        <v>42208</v>
      </c>
      <c r="C851" s="247">
        <v>42275</v>
      </c>
      <c r="D851" s="233" t="s">
        <v>1092</v>
      </c>
      <c r="E851" s="248" t="s">
        <v>392</v>
      </c>
      <c r="F851" s="248" t="s">
        <v>9</v>
      </c>
      <c r="G851" s="249" t="s">
        <v>1756</v>
      </c>
      <c r="H851" s="249" t="s">
        <v>1759</v>
      </c>
      <c r="I851" s="250">
        <v>92358</v>
      </c>
    </row>
    <row r="852" spans="1:9" x14ac:dyDescent="0.2">
      <c r="A852" s="246">
        <v>850</v>
      </c>
      <c r="B852" s="247">
        <v>42208</v>
      </c>
      <c r="C852" s="247">
        <v>42275</v>
      </c>
      <c r="D852" s="233" t="s">
        <v>1092</v>
      </c>
      <c r="E852" s="248" t="s">
        <v>392</v>
      </c>
      <c r="F852" s="248" t="s">
        <v>9</v>
      </c>
      <c r="G852" s="249" t="s">
        <v>1757</v>
      </c>
      <c r="H852" s="249" t="s">
        <v>1760</v>
      </c>
      <c r="I852" s="250">
        <v>116844</v>
      </c>
    </row>
    <row r="853" spans="1:9" x14ac:dyDescent="0.2">
      <c r="A853" s="246">
        <v>851</v>
      </c>
      <c r="B853" s="247">
        <v>42209</v>
      </c>
      <c r="C853" s="247">
        <v>42268</v>
      </c>
      <c r="D853" s="233" t="s">
        <v>1092</v>
      </c>
      <c r="E853" s="248" t="s">
        <v>392</v>
      </c>
      <c r="F853" s="248" t="s">
        <v>393</v>
      </c>
      <c r="G853" s="249" t="s">
        <v>1762</v>
      </c>
      <c r="H853" s="249" t="s">
        <v>1761</v>
      </c>
      <c r="I853" s="250">
        <v>25500</v>
      </c>
    </row>
    <row r="854" spans="1:9" x14ac:dyDescent="0.2">
      <c r="A854" s="246">
        <v>852</v>
      </c>
      <c r="B854" s="247">
        <v>42212</v>
      </c>
      <c r="C854" s="247">
        <v>42263</v>
      </c>
      <c r="D854" s="233" t="s">
        <v>1092</v>
      </c>
      <c r="E854" s="248" t="s">
        <v>392</v>
      </c>
      <c r="F854" s="248" t="s">
        <v>9</v>
      </c>
      <c r="G854" s="249" t="s">
        <v>1763</v>
      </c>
      <c r="H854" s="249" t="s">
        <v>1764</v>
      </c>
      <c r="I854" s="250">
        <v>186704</v>
      </c>
    </row>
    <row r="855" spans="1:9" x14ac:dyDescent="0.2">
      <c r="A855" s="246">
        <v>853</v>
      </c>
      <c r="B855" s="247">
        <v>42212</v>
      </c>
      <c r="C855" s="247">
        <v>42254</v>
      </c>
      <c r="D855" s="233" t="s">
        <v>1092</v>
      </c>
      <c r="E855" s="248" t="s">
        <v>392</v>
      </c>
      <c r="F855" s="248" t="s">
        <v>396</v>
      </c>
      <c r="G855" s="249" t="s">
        <v>1765</v>
      </c>
      <c r="H855" s="249" t="s">
        <v>1766</v>
      </c>
      <c r="I855" s="250">
        <v>21389</v>
      </c>
    </row>
    <row r="856" spans="1:9" x14ac:dyDescent="0.2">
      <c r="A856" s="246">
        <v>854</v>
      </c>
      <c r="B856" s="247">
        <v>42213</v>
      </c>
      <c r="C856" s="247">
        <v>42268</v>
      </c>
      <c r="D856" s="233" t="s">
        <v>1092</v>
      </c>
      <c r="E856" s="248" t="s">
        <v>422</v>
      </c>
      <c r="F856" s="248" t="s">
        <v>396</v>
      </c>
      <c r="G856" s="249" t="s">
        <v>1767</v>
      </c>
      <c r="H856" s="249" t="s">
        <v>1770</v>
      </c>
      <c r="I856" s="250">
        <v>33916.67</v>
      </c>
    </row>
    <row r="857" spans="1:9" x14ac:dyDescent="0.2">
      <c r="A857" s="246">
        <v>855</v>
      </c>
      <c r="B857" s="247">
        <v>42213</v>
      </c>
      <c r="C857" s="247">
        <v>42268</v>
      </c>
      <c r="D857" s="233" t="s">
        <v>1092</v>
      </c>
      <c r="E857" s="248" t="s">
        <v>392</v>
      </c>
      <c r="F857" s="248" t="s">
        <v>71</v>
      </c>
      <c r="G857" s="249" t="s">
        <v>1768</v>
      </c>
      <c r="H857" s="249" t="s">
        <v>1771</v>
      </c>
      <c r="I857" s="250">
        <v>34074.959999999999</v>
      </c>
    </row>
    <row r="858" spans="1:9" x14ac:dyDescent="0.2">
      <c r="A858" s="246">
        <v>856</v>
      </c>
      <c r="B858" s="247">
        <v>42213</v>
      </c>
      <c r="C858" s="247">
        <v>42268</v>
      </c>
      <c r="D858" s="233" t="s">
        <v>1092</v>
      </c>
      <c r="E858" s="248" t="s">
        <v>392</v>
      </c>
      <c r="F858" s="248" t="s">
        <v>393</v>
      </c>
      <c r="G858" s="249" t="s">
        <v>1769</v>
      </c>
      <c r="H858" s="249" t="s">
        <v>1772</v>
      </c>
      <c r="I858" s="250">
        <v>53500</v>
      </c>
    </row>
    <row r="859" spans="1:9" x14ac:dyDescent="0.2">
      <c r="A859" s="246">
        <v>857</v>
      </c>
      <c r="B859" s="247">
        <v>42214</v>
      </c>
      <c r="C859" s="247">
        <v>42268</v>
      </c>
      <c r="D859" s="233" t="s">
        <v>1092</v>
      </c>
      <c r="E859" s="248" t="s">
        <v>422</v>
      </c>
      <c r="F859" s="248" t="s">
        <v>701</v>
      </c>
      <c r="G859" s="249" t="s">
        <v>1773</v>
      </c>
      <c r="H859" s="249" t="s">
        <v>1776</v>
      </c>
      <c r="I859" s="250">
        <v>30000</v>
      </c>
    </row>
    <row r="860" spans="1:9" x14ac:dyDescent="0.2">
      <c r="A860" s="246">
        <v>858</v>
      </c>
      <c r="B860" s="247">
        <v>42214</v>
      </c>
      <c r="C860" s="247">
        <v>42277</v>
      </c>
      <c r="D860" s="233" t="s">
        <v>1092</v>
      </c>
      <c r="E860" s="248" t="s">
        <v>392</v>
      </c>
      <c r="F860" s="248" t="s">
        <v>393</v>
      </c>
      <c r="G860" s="249" t="s">
        <v>1774</v>
      </c>
      <c r="H860" s="249" t="s">
        <v>1777</v>
      </c>
      <c r="I860" s="250">
        <v>26000</v>
      </c>
    </row>
    <row r="861" spans="1:9" x14ac:dyDescent="0.2">
      <c r="A861" s="246">
        <v>859</v>
      </c>
      <c r="B861" s="247">
        <v>42214</v>
      </c>
      <c r="C861" s="247">
        <v>42277</v>
      </c>
      <c r="D861" s="233" t="s">
        <v>1092</v>
      </c>
      <c r="E861" s="248" t="s">
        <v>392</v>
      </c>
      <c r="F861" s="248" t="s">
        <v>71</v>
      </c>
      <c r="G861" s="249" t="s">
        <v>1775</v>
      </c>
      <c r="H861" s="249" t="s">
        <v>1778</v>
      </c>
      <c r="I861" s="250">
        <v>45892.51</v>
      </c>
    </row>
    <row r="862" spans="1:9" x14ac:dyDescent="0.2">
      <c r="A862" s="246">
        <v>860</v>
      </c>
      <c r="B862" s="247">
        <v>42215</v>
      </c>
      <c r="C862" s="247">
        <v>42270</v>
      </c>
      <c r="D862" s="233" t="s">
        <v>1092</v>
      </c>
      <c r="E862" s="248" t="s">
        <v>422</v>
      </c>
      <c r="F862" s="248" t="s">
        <v>396</v>
      </c>
      <c r="G862" s="249" t="s">
        <v>1779</v>
      </c>
      <c r="H862" s="249" t="s">
        <v>1780</v>
      </c>
      <c r="I862" s="250">
        <v>65000</v>
      </c>
    </row>
    <row r="863" spans="1:9" x14ac:dyDescent="0.2">
      <c r="A863" s="260">
        <v>861</v>
      </c>
      <c r="B863" s="251">
        <v>42216</v>
      </c>
      <c r="C863" s="251">
        <v>42268</v>
      </c>
      <c r="D863" s="233" t="s">
        <v>1092</v>
      </c>
      <c r="E863" s="252" t="s">
        <v>392</v>
      </c>
      <c r="F863" s="252" t="s">
        <v>9</v>
      </c>
      <c r="G863" s="254" t="s">
        <v>1781</v>
      </c>
      <c r="H863" s="254" t="s">
        <v>1782</v>
      </c>
      <c r="I863" s="255">
        <v>4157167.14</v>
      </c>
    </row>
    <row r="864" spans="1:9" x14ac:dyDescent="0.2">
      <c r="A864" s="246">
        <v>862</v>
      </c>
      <c r="B864" s="247">
        <v>42216</v>
      </c>
      <c r="C864" s="247">
        <v>42270</v>
      </c>
      <c r="D864" s="233" t="s">
        <v>1092</v>
      </c>
      <c r="E864" s="248" t="s">
        <v>422</v>
      </c>
      <c r="F864" s="248" t="s">
        <v>71</v>
      </c>
      <c r="G864" s="249" t="s">
        <v>1783</v>
      </c>
      <c r="H864" s="249" t="s">
        <v>1784</v>
      </c>
      <c r="I864" s="250">
        <v>19855.990000000002</v>
      </c>
    </row>
    <row r="865" spans="1:9" x14ac:dyDescent="0.2">
      <c r="A865" s="246">
        <v>863</v>
      </c>
      <c r="B865" s="247">
        <v>42220</v>
      </c>
      <c r="C865" s="247">
        <v>42270</v>
      </c>
      <c r="D865" s="233" t="s">
        <v>1092</v>
      </c>
      <c r="E865" s="248" t="s">
        <v>392</v>
      </c>
      <c r="F865" s="248" t="s">
        <v>9</v>
      </c>
      <c r="G865" s="249" t="s">
        <v>1785</v>
      </c>
      <c r="H865" s="249" t="s">
        <v>1786</v>
      </c>
      <c r="I865" s="250">
        <v>297505</v>
      </c>
    </row>
    <row r="866" spans="1:9" x14ac:dyDescent="0.2">
      <c r="A866" s="246">
        <v>864</v>
      </c>
      <c r="B866" s="247">
        <v>42235</v>
      </c>
      <c r="C866" s="247">
        <v>42284</v>
      </c>
      <c r="D866" s="233" t="s">
        <v>1092</v>
      </c>
      <c r="E866" s="248" t="s">
        <v>422</v>
      </c>
      <c r="F866" s="248" t="s">
        <v>396</v>
      </c>
      <c r="G866" s="249" t="s">
        <v>1787</v>
      </c>
      <c r="H866" s="249" t="s">
        <v>1788</v>
      </c>
      <c r="I866" s="250">
        <v>281666.67</v>
      </c>
    </row>
    <row r="867" spans="1:9" x14ac:dyDescent="0.2">
      <c r="A867" s="246">
        <v>865</v>
      </c>
      <c r="B867" s="247">
        <v>42247</v>
      </c>
      <c r="C867" s="247">
        <v>42296</v>
      </c>
      <c r="D867" s="233" t="s">
        <v>1092</v>
      </c>
      <c r="E867" s="248" t="s">
        <v>392</v>
      </c>
      <c r="F867" s="248" t="s">
        <v>393</v>
      </c>
      <c r="G867" s="249" t="s">
        <v>1789</v>
      </c>
      <c r="H867" s="249" t="s">
        <v>1790</v>
      </c>
      <c r="I867" s="250">
        <v>275000</v>
      </c>
    </row>
    <row r="868" spans="1:9" x14ac:dyDescent="0.2">
      <c r="A868" s="246">
        <v>866</v>
      </c>
      <c r="B868" s="247">
        <v>42250</v>
      </c>
      <c r="C868" s="247">
        <v>42270</v>
      </c>
      <c r="D868" s="233" t="s">
        <v>1092</v>
      </c>
      <c r="E868" s="248" t="s">
        <v>392</v>
      </c>
      <c r="F868" s="248" t="s">
        <v>393</v>
      </c>
      <c r="G868" s="249" t="s">
        <v>1791</v>
      </c>
      <c r="H868" s="249" t="s">
        <v>1793</v>
      </c>
      <c r="I868" s="250">
        <v>32000</v>
      </c>
    </row>
    <row r="869" spans="1:9" x14ac:dyDescent="0.2">
      <c r="A869" s="246">
        <v>867</v>
      </c>
      <c r="B869" s="247">
        <v>42250</v>
      </c>
      <c r="C869" s="247">
        <v>42270</v>
      </c>
      <c r="D869" s="233" t="s">
        <v>1092</v>
      </c>
      <c r="E869" s="248" t="s">
        <v>422</v>
      </c>
      <c r="F869" s="248" t="s">
        <v>396</v>
      </c>
      <c r="G869" s="249" t="s">
        <v>1792</v>
      </c>
      <c r="H869" s="249" t="s">
        <v>1794</v>
      </c>
      <c r="I869" s="250">
        <v>23527</v>
      </c>
    </row>
    <row r="870" spans="1:9" x14ac:dyDescent="0.2">
      <c r="A870" s="246">
        <v>868</v>
      </c>
      <c r="B870" s="247">
        <v>42254</v>
      </c>
      <c r="C870" s="247">
        <v>42270</v>
      </c>
      <c r="D870" s="233" t="s">
        <v>1092</v>
      </c>
      <c r="E870" s="248" t="s">
        <v>422</v>
      </c>
      <c r="F870" s="248" t="s">
        <v>71</v>
      </c>
      <c r="G870" s="249" t="s">
        <v>1795</v>
      </c>
      <c r="H870" s="249" t="s">
        <v>1796</v>
      </c>
      <c r="I870" s="250">
        <v>147028.21</v>
      </c>
    </row>
    <row r="871" spans="1:9" x14ac:dyDescent="0.2">
      <c r="A871" s="246">
        <v>869</v>
      </c>
      <c r="B871" s="247">
        <v>42257</v>
      </c>
      <c r="C871" s="247">
        <v>42275</v>
      </c>
      <c r="D871" s="233" t="s">
        <v>1092</v>
      </c>
      <c r="E871" s="248" t="s">
        <v>422</v>
      </c>
      <c r="F871" s="248" t="s">
        <v>396</v>
      </c>
      <c r="G871" s="249" t="s">
        <v>1797</v>
      </c>
      <c r="H871" s="249" t="s">
        <v>1799</v>
      </c>
      <c r="I871" s="250">
        <v>60111.11</v>
      </c>
    </row>
    <row r="872" spans="1:9" x14ac:dyDescent="0.2">
      <c r="A872" s="246">
        <v>870</v>
      </c>
      <c r="B872" s="247">
        <v>42257</v>
      </c>
      <c r="C872" s="247">
        <v>42275</v>
      </c>
      <c r="D872" s="233" t="s">
        <v>1092</v>
      </c>
      <c r="E872" s="248" t="s">
        <v>422</v>
      </c>
      <c r="F872" s="248" t="s">
        <v>396</v>
      </c>
      <c r="G872" s="249" t="s">
        <v>1798</v>
      </c>
      <c r="H872" s="249" t="s">
        <v>1800</v>
      </c>
      <c r="I872" s="250">
        <v>81138.89</v>
      </c>
    </row>
    <row r="873" spans="1:9" x14ac:dyDescent="0.2">
      <c r="A873" s="246">
        <v>871</v>
      </c>
      <c r="B873" s="247">
        <v>42261</v>
      </c>
      <c r="C873" s="247">
        <v>42282</v>
      </c>
      <c r="D873" s="233" t="s">
        <v>1092</v>
      </c>
      <c r="E873" s="248" t="s">
        <v>422</v>
      </c>
      <c r="F873" s="248" t="s">
        <v>71</v>
      </c>
      <c r="G873" s="249" t="s">
        <v>1801</v>
      </c>
      <c r="H873" s="249" t="s">
        <v>1802</v>
      </c>
      <c r="I873" s="250">
        <v>73530.100000000006</v>
      </c>
    </row>
    <row r="874" spans="1:9" x14ac:dyDescent="0.2">
      <c r="A874" s="246">
        <v>872</v>
      </c>
      <c r="B874" s="247">
        <v>42268</v>
      </c>
      <c r="C874" s="247">
        <v>42317</v>
      </c>
      <c r="D874" s="233" t="s">
        <v>1092</v>
      </c>
      <c r="E874" s="248" t="s">
        <v>392</v>
      </c>
      <c r="F874" s="248" t="s">
        <v>9</v>
      </c>
      <c r="G874" s="249" t="s">
        <v>1803</v>
      </c>
      <c r="H874" s="249" t="s">
        <v>1804</v>
      </c>
      <c r="I874" s="250">
        <v>400670</v>
      </c>
    </row>
    <row r="875" spans="1:9" x14ac:dyDescent="0.2">
      <c r="A875" s="246">
        <v>873</v>
      </c>
      <c r="B875" s="247">
        <v>42269</v>
      </c>
      <c r="C875" s="247">
        <v>42291</v>
      </c>
      <c r="D875" s="233" t="s">
        <v>1092</v>
      </c>
      <c r="E875" s="248" t="s">
        <v>422</v>
      </c>
      <c r="F875" s="248" t="s">
        <v>396</v>
      </c>
      <c r="G875" s="249" t="s">
        <v>1805</v>
      </c>
      <c r="H875" s="249" t="s">
        <v>1806</v>
      </c>
      <c r="I875" s="250">
        <v>23688.89</v>
      </c>
    </row>
    <row r="876" spans="1:9" x14ac:dyDescent="0.2">
      <c r="A876" s="246">
        <v>874</v>
      </c>
      <c r="B876" s="247">
        <v>42275</v>
      </c>
      <c r="C876" s="247">
        <v>42291</v>
      </c>
      <c r="D876" s="233" t="s">
        <v>1092</v>
      </c>
      <c r="E876" s="248" t="s">
        <v>392</v>
      </c>
      <c r="F876" s="248" t="s">
        <v>9</v>
      </c>
      <c r="G876" s="249" t="s">
        <v>1807</v>
      </c>
      <c r="H876" s="249" t="s">
        <v>1810</v>
      </c>
      <c r="I876" s="250">
        <v>143702</v>
      </c>
    </row>
    <row r="877" spans="1:9" x14ac:dyDescent="0.2">
      <c r="A877" s="246">
        <v>875</v>
      </c>
      <c r="B877" s="247">
        <v>42275</v>
      </c>
      <c r="C877" s="247">
        <v>42298</v>
      </c>
      <c r="D877" s="233" t="s">
        <v>1092</v>
      </c>
      <c r="E877" s="248" t="s">
        <v>392</v>
      </c>
      <c r="F877" s="248" t="s">
        <v>71</v>
      </c>
      <c r="G877" s="249" t="s">
        <v>1808</v>
      </c>
      <c r="H877" s="249" t="s">
        <v>1811</v>
      </c>
      <c r="I877" s="250">
        <v>63815.56</v>
      </c>
    </row>
    <row r="878" spans="1:9" x14ac:dyDescent="0.2">
      <c r="A878" s="246">
        <v>876</v>
      </c>
      <c r="B878" s="247">
        <v>42275</v>
      </c>
      <c r="C878" s="247">
        <v>42298</v>
      </c>
      <c r="D878" s="233" t="s">
        <v>1092</v>
      </c>
      <c r="E878" s="248" t="s">
        <v>392</v>
      </c>
      <c r="F878" s="248" t="s">
        <v>393</v>
      </c>
      <c r="G878" s="249" t="s">
        <v>1809</v>
      </c>
      <c r="H878" s="249" t="s">
        <v>1812</v>
      </c>
      <c r="I878" s="250">
        <v>26000</v>
      </c>
    </row>
    <row r="879" spans="1:9" x14ac:dyDescent="0.2">
      <c r="A879" s="246">
        <v>877</v>
      </c>
      <c r="B879" s="247">
        <v>42276</v>
      </c>
      <c r="C879" s="247">
        <v>42291</v>
      </c>
      <c r="D879" s="233" t="s">
        <v>1092</v>
      </c>
      <c r="E879" s="248" t="s">
        <v>422</v>
      </c>
      <c r="F879" s="248" t="s">
        <v>396</v>
      </c>
      <c r="G879" s="249" t="s">
        <v>1813</v>
      </c>
      <c r="H879" s="249" t="s">
        <v>1814</v>
      </c>
      <c r="I879" s="250">
        <v>153750.01</v>
      </c>
    </row>
    <row r="880" spans="1:9" x14ac:dyDescent="0.2">
      <c r="A880" s="246">
        <v>878</v>
      </c>
      <c r="B880" s="247">
        <v>42277</v>
      </c>
      <c r="C880" s="247">
        <v>42296</v>
      </c>
      <c r="D880" s="233" t="s">
        <v>1092</v>
      </c>
      <c r="E880" s="261" t="s">
        <v>422</v>
      </c>
      <c r="F880" s="248" t="s">
        <v>396</v>
      </c>
      <c r="G880" s="249" t="s">
        <v>1815</v>
      </c>
      <c r="H880" s="249" t="s">
        <v>1816</v>
      </c>
      <c r="I880" s="250">
        <v>88711.11</v>
      </c>
    </row>
    <row r="881" spans="1:9" x14ac:dyDescent="0.2">
      <c r="A881" s="246">
        <v>879</v>
      </c>
      <c r="B881" s="247">
        <v>42278</v>
      </c>
      <c r="C881" s="247">
        <v>42296</v>
      </c>
      <c r="D881" s="233" t="s">
        <v>1092</v>
      </c>
      <c r="E881" s="248" t="s">
        <v>392</v>
      </c>
      <c r="F881" s="248" t="s">
        <v>9</v>
      </c>
      <c r="G881" s="249" t="s">
        <v>1817</v>
      </c>
      <c r="H881" s="249" t="s">
        <v>1818</v>
      </c>
      <c r="I881" s="250">
        <v>106028</v>
      </c>
    </row>
    <row r="882" spans="1:9" x14ac:dyDescent="0.2">
      <c r="A882" s="246">
        <v>880</v>
      </c>
      <c r="B882" s="247">
        <v>42279</v>
      </c>
      <c r="C882" s="247">
        <v>42296</v>
      </c>
      <c r="D882" s="233" t="s">
        <v>1092</v>
      </c>
      <c r="E882" s="248" t="s">
        <v>422</v>
      </c>
      <c r="F882" s="248" t="s">
        <v>701</v>
      </c>
      <c r="G882" s="249" t="s">
        <v>1819</v>
      </c>
      <c r="H882" s="249" t="s">
        <v>1821</v>
      </c>
      <c r="I882" s="250">
        <v>78490</v>
      </c>
    </row>
    <row r="883" spans="1:9" x14ac:dyDescent="0.2">
      <c r="A883" s="246">
        <v>881</v>
      </c>
      <c r="B883" s="247">
        <v>42279</v>
      </c>
      <c r="C883" s="247">
        <v>42296</v>
      </c>
      <c r="D883" s="233" t="s">
        <v>1092</v>
      </c>
      <c r="E883" s="248" t="s">
        <v>422</v>
      </c>
      <c r="F883" s="248" t="s">
        <v>701</v>
      </c>
      <c r="G883" s="249" t="s">
        <v>1820</v>
      </c>
      <c r="H883" s="249" t="s">
        <v>1822</v>
      </c>
      <c r="I883" s="250">
        <v>170051.7</v>
      </c>
    </row>
    <row r="884" spans="1:9" x14ac:dyDescent="0.2">
      <c r="A884" s="262">
        <v>882</v>
      </c>
      <c r="B884" s="256">
        <v>42286</v>
      </c>
      <c r="C884" s="256">
        <v>42296</v>
      </c>
      <c r="D884" s="233" t="s">
        <v>1092</v>
      </c>
      <c r="E884" s="257" t="s">
        <v>422</v>
      </c>
      <c r="F884" s="257" t="s">
        <v>701</v>
      </c>
      <c r="G884" s="258" t="s">
        <v>1823</v>
      </c>
      <c r="H884" s="258" t="s">
        <v>1824</v>
      </c>
      <c r="I884" s="259">
        <v>60500</v>
      </c>
    </row>
    <row r="885" spans="1:9" x14ac:dyDescent="0.2">
      <c r="A885" s="246">
        <v>883</v>
      </c>
      <c r="B885" s="247">
        <v>42296</v>
      </c>
      <c r="C885" s="247">
        <v>42312</v>
      </c>
      <c r="D885" s="233" t="s">
        <v>1092</v>
      </c>
      <c r="E885" s="248" t="s">
        <v>392</v>
      </c>
      <c r="F885" s="248" t="s">
        <v>393</v>
      </c>
      <c r="G885" s="249" t="s">
        <v>1825</v>
      </c>
      <c r="H885" s="249" t="s">
        <v>1827</v>
      </c>
      <c r="I885" s="250">
        <v>32500</v>
      </c>
    </row>
    <row r="886" spans="1:9" x14ac:dyDescent="0.2">
      <c r="A886" s="246">
        <v>884</v>
      </c>
      <c r="B886" s="247">
        <v>42297</v>
      </c>
      <c r="C886" s="247">
        <v>42347</v>
      </c>
      <c r="D886" s="233" t="s">
        <v>1092</v>
      </c>
      <c r="E886" s="248" t="s">
        <v>392</v>
      </c>
      <c r="F886" s="248" t="s">
        <v>393</v>
      </c>
      <c r="G886" s="249" t="s">
        <v>1826</v>
      </c>
      <c r="H886" s="249" t="s">
        <v>1828</v>
      </c>
      <c r="I886" s="250">
        <v>325000</v>
      </c>
    </row>
    <row r="887" spans="1:9" x14ac:dyDescent="0.2">
      <c r="A887" s="246">
        <v>885</v>
      </c>
      <c r="B887" s="247">
        <v>42305</v>
      </c>
      <c r="C887" s="247">
        <v>42352</v>
      </c>
      <c r="D887" s="233" t="s">
        <v>1092</v>
      </c>
      <c r="E887" s="248" t="s">
        <v>422</v>
      </c>
      <c r="F887" s="248" t="s">
        <v>1276</v>
      </c>
      <c r="G887" s="249" t="s">
        <v>1829</v>
      </c>
      <c r="H887" s="249" t="s">
        <v>1833</v>
      </c>
      <c r="I887" s="250">
        <v>462422.22</v>
      </c>
    </row>
    <row r="888" spans="1:9" x14ac:dyDescent="0.2">
      <c r="A888" s="246">
        <v>886</v>
      </c>
      <c r="B888" s="247">
        <v>42305</v>
      </c>
      <c r="C888" s="247">
        <v>42324</v>
      </c>
      <c r="D888" s="233" t="s">
        <v>1092</v>
      </c>
      <c r="E888" s="248" t="s">
        <v>392</v>
      </c>
      <c r="F888" s="248" t="s">
        <v>71</v>
      </c>
      <c r="G888" s="249" t="s">
        <v>1830</v>
      </c>
      <c r="H888" s="249" t="s">
        <v>1834</v>
      </c>
      <c r="I888" s="250">
        <v>34270.42</v>
      </c>
    </row>
    <row r="889" spans="1:9" x14ac:dyDescent="0.2">
      <c r="A889" s="246">
        <v>887</v>
      </c>
      <c r="B889" s="247">
        <v>42305</v>
      </c>
      <c r="C889" s="247">
        <v>42324</v>
      </c>
      <c r="D889" s="233" t="s">
        <v>1092</v>
      </c>
      <c r="E889" s="248" t="s">
        <v>392</v>
      </c>
      <c r="F889" s="248" t="s">
        <v>393</v>
      </c>
      <c r="G889" s="249" t="s">
        <v>1831</v>
      </c>
      <c r="H889" s="249" t="s">
        <v>1835</v>
      </c>
      <c r="I889" s="250">
        <v>17500</v>
      </c>
    </row>
    <row r="890" spans="1:9" x14ac:dyDescent="0.2">
      <c r="A890" s="246">
        <v>888</v>
      </c>
      <c r="B890" s="247">
        <v>42305</v>
      </c>
      <c r="C890" s="247">
        <v>42324</v>
      </c>
      <c r="D890" s="233" t="s">
        <v>1092</v>
      </c>
      <c r="E890" s="248" t="s">
        <v>392</v>
      </c>
      <c r="F890" s="248" t="s">
        <v>393</v>
      </c>
      <c r="G890" s="249" t="s">
        <v>1832</v>
      </c>
      <c r="H890" s="249" t="s">
        <v>1836</v>
      </c>
      <c r="I890" s="250">
        <v>68200</v>
      </c>
    </row>
    <row r="891" spans="1:9" x14ac:dyDescent="0.2">
      <c r="A891" s="246">
        <v>889</v>
      </c>
      <c r="B891" s="247">
        <v>42311</v>
      </c>
      <c r="C891" s="247">
        <v>42331</v>
      </c>
      <c r="D891" s="233" t="s">
        <v>1092</v>
      </c>
      <c r="E891" s="248" t="s">
        <v>392</v>
      </c>
      <c r="F891" s="248" t="s">
        <v>393</v>
      </c>
      <c r="G891" s="249" t="s">
        <v>1837</v>
      </c>
      <c r="H891" s="249" t="s">
        <v>1838</v>
      </c>
      <c r="I891" s="250">
        <v>117839</v>
      </c>
    </row>
    <row r="892" spans="1:9" x14ac:dyDescent="0.2">
      <c r="A892" s="246">
        <v>890</v>
      </c>
      <c r="B892" s="247">
        <v>42321</v>
      </c>
      <c r="C892" s="247">
        <v>42338</v>
      </c>
      <c r="D892" s="233" t="s">
        <v>1092</v>
      </c>
      <c r="E892" s="248" t="s">
        <v>392</v>
      </c>
      <c r="F892" s="248" t="s">
        <v>393</v>
      </c>
      <c r="G892" s="249" t="s">
        <v>1840</v>
      </c>
      <c r="H892" s="249" t="s">
        <v>1844</v>
      </c>
      <c r="I892" s="250">
        <v>75000</v>
      </c>
    </row>
    <row r="893" spans="1:9" x14ac:dyDescent="0.2">
      <c r="A893" s="246">
        <v>891</v>
      </c>
      <c r="B893" s="247">
        <v>42321</v>
      </c>
      <c r="C893" s="247">
        <v>42338</v>
      </c>
      <c r="D893" s="233" t="s">
        <v>1092</v>
      </c>
      <c r="E893" s="248" t="s">
        <v>392</v>
      </c>
      <c r="F893" s="248" t="s">
        <v>1276</v>
      </c>
      <c r="G893" s="249" t="s">
        <v>1841</v>
      </c>
      <c r="H893" s="249" t="s">
        <v>1845</v>
      </c>
      <c r="I893" s="250">
        <v>50000</v>
      </c>
    </row>
    <row r="894" spans="1:9" x14ac:dyDescent="0.2">
      <c r="A894" s="246">
        <v>892</v>
      </c>
      <c r="B894" s="247">
        <v>42321</v>
      </c>
      <c r="C894" s="246" t="s">
        <v>1839</v>
      </c>
      <c r="D894" s="233" t="s">
        <v>1092</v>
      </c>
      <c r="E894" s="248" t="s">
        <v>392</v>
      </c>
      <c r="F894" s="248" t="s">
        <v>1272</v>
      </c>
      <c r="G894" s="249" t="s">
        <v>1842</v>
      </c>
      <c r="H894" s="249" t="s">
        <v>1846</v>
      </c>
      <c r="I894" s="250">
        <v>18750</v>
      </c>
    </row>
    <row r="895" spans="1:9" x14ac:dyDescent="0.2">
      <c r="A895" s="246">
        <v>893</v>
      </c>
      <c r="B895" s="247">
        <v>42321</v>
      </c>
      <c r="C895" s="247">
        <v>42338</v>
      </c>
      <c r="D895" s="233" t="s">
        <v>1092</v>
      </c>
      <c r="E895" s="248" t="s">
        <v>392</v>
      </c>
      <c r="F895" s="248" t="s">
        <v>71</v>
      </c>
      <c r="G895" s="249" t="s">
        <v>1843</v>
      </c>
      <c r="H895" s="249" t="s">
        <v>1847</v>
      </c>
      <c r="I895" s="250">
        <v>43383.68</v>
      </c>
    </row>
    <row r="896" spans="1:9" x14ac:dyDescent="0.2">
      <c r="A896" s="246">
        <v>894</v>
      </c>
      <c r="B896" s="247">
        <v>42325</v>
      </c>
      <c r="C896" s="247">
        <v>42342</v>
      </c>
      <c r="D896" s="233" t="s">
        <v>1092</v>
      </c>
      <c r="E896" s="248" t="s">
        <v>422</v>
      </c>
      <c r="F896" s="248" t="s">
        <v>1276</v>
      </c>
      <c r="G896" s="249" t="s">
        <v>1848</v>
      </c>
      <c r="H896" s="249" t="s">
        <v>1849</v>
      </c>
      <c r="I896" s="250">
        <v>25351.11</v>
      </c>
    </row>
    <row r="897" spans="1:9" x14ac:dyDescent="0.2">
      <c r="A897" s="246">
        <v>895</v>
      </c>
      <c r="B897" s="247">
        <v>42326</v>
      </c>
      <c r="C897" s="247">
        <v>42342</v>
      </c>
      <c r="D897" s="233" t="s">
        <v>1092</v>
      </c>
      <c r="E897" s="248" t="s">
        <v>422</v>
      </c>
      <c r="F897" s="248" t="s">
        <v>71</v>
      </c>
      <c r="G897" s="249" t="s">
        <v>1850</v>
      </c>
      <c r="H897" s="249" t="s">
        <v>1852</v>
      </c>
      <c r="I897" s="250">
        <v>81966.009999999995</v>
      </c>
    </row>
    <row r="898" spans="1:9" x14ac:dyDescent="0.2">
      <c r="A898" s="246">
        <v>896</v>
      </c>
      <c r="B898" s="247">
        <v>42326</v>
      </c>
      <c r="C898" s="247">
        <v>42342</v>
      </c>
      <c r="D898" s="233" t="s">
        <v>1092</v>
      </c>
      <c r="E898" s="248" t="s">
        <v>422</v>
      </c>
      <c r="F898" s="248" t="s">
        <v>1276</v>
      </c>
      <c r="G898" s="249" t="s">
        <v>1851</v>
      </c>
      <c r="H898" s="249" t="s">
        <v>1853</v>
      </c>
      <c r="I898" s="250">
        <v>55825</v>
      </c>
    </row>
    <row r="899" spans="1:9" x14ac:dyDescent="0.2">
      <c r="A899" s="246">
        <v>897</v>
      </c>
      <c r="B899" s="247">
        <v>42331</v>
      </c>
      <c r="C899" s="247">
        <v>42347</v>
      </c>
      <c r="D899" s="233" t="s">
        <v>1092</v>
      </c>
      <c r="E899" s="248" t="s">
        <v>422</v>
      </c>
      <c r="F899" s="248" t="s">
        <v>701</v>
      </c>
      <c r="G899" s="249" t="s">
        <v>1854</v>
      </c>
      <c r="H899" s="249" t="s">
        <v>1855</v>
      </c>
      <c r="I899" s="250">
        <v>117100</v>
      </c>
    </row>
    <row r="900" spans="1:9" x14ac:dyDescent="0.2">
      <c r="A900" s="246">
        <v>898</v>
      </c>
      <c r="B900" s="247">
        <v>42338</v>
      </c>
      <c r="C900" s="247">
        <v>42354</v>
      </c>
      <c r="D900" s="233" t="s">
        <v>1092</v>
      </c>
      <c r="E900" s="248" t="s">
        <v>422</v>
      </c>
      <c r="F900" s="248" t="s">
        <v>701</v>
      </c>
      <c r="G900" s="249" t="s">
        <v>1856</v>
      </c>
      <c r="H900" s="249" t="s">
        <v>1858</v>
      </c>
      <c r="I900" s="250">
        <v>60000</v>
      </c>
    </row>
    <row r="901" spans="1:9" x14ac:dyDescent="0.2">
      <c r="A901" s="246">
        <v>899</v>
      </c>
      <c r="B901" s="247">
        <v>42338</v>
      </c>
      <c r="C901" s="247">
        <v>42354</v>
      </c>
      <c r="D901" s="233" t="s">
        <v>1092</v>
      </c>
      <c r="E901" s="248" t="s">
        <v>422</v>
      </c>
      <c r="F901" s="248" t="s">
        <v>701</v>
      </c>
      <c r="G901" s="249" t="s">
        <v>1857</v>
      </c>
      <c r="H901" s="249" t="s">
        <v>1859</v>
      </c>
      <c r="I901" s="250">
        <v>31150</v>
      </c>
    </row>
    <row r="902" spans="1:9" x14ac:dyDescent="0.2">
      <c r="A902" s="246">
        <v>900</v>
      </c>
      <c r="B902" s="247">
        <v>42339</v>
      </c>
      <c r="C902" s="247">
        <v>42359</v>
      </c>
      <c r="D902" s="233" t="s">
        <v>1092</v>
      </c>
      <c r="E902" s="248" t="s">
        <v>422</v>
      </c>
      <c r="F902" s="248" t="s">
        <v>1276</v>
      </c>
      <c r="G902" s="249" t="s">
        <v>1860</v>
      </c>
      <c r="H902" s="249" t="s">
        <v>1861</v>
      </c>
      <c r="I902" s="250">
        <v>88500</v>
      </c>
    </row>
    <row r="903" spans="1:9" x14ac:dyDescent="0.2">
      <c r="A903" s="246">
        <v>901</v>
      </c>
      <c r="B903" s="247">
        <v>42340</v>
      </c>
      <c r="C903" s="247">
        <v>42373</v>
      </c>
      <c r="D903" s="233" t="s">
        <v>1092</v>
      </c>
      <c r="E903" s="248" t="s">
        <v>422</v>
      </c>
      <c r="F903" s="248" t="s">
        <v>1276</v>
      </c>
      <c r="G903" s="249" t="s">
        <v>1862</v>
      </c>
      <c r="H903" s="249" t="s">
        <v>1866</v>
      </c>
      <c r="I903" s="250">
        <v>20200</v>
      </c>
    </row>
    <row r="904" spans="1:9" x14ac:dyDescent="0.2">
      <c r="A904" s="246">
        <v>902</v>
      </c>
      <c r="B904" s="247">
        <v>42340</v>
      </c>
      <c r="C904" s="247">
        <v>42359</v>
      </c>
      <c r="D904" s="233" t="s">
        <v>1092</v>
      </c>
      <c r="E904" s="248" t="s">
        <v>422</v>
      </c>
      <c r="F904" s="248" t="s">
        <v>701</v>
      </c>
      <c r="G904" s="249" t="s">
        <v>1863</v>
      </c>
      <c r="H904" s="249" t="s">
        <v>1867</v>
      </c>
      <c r="I904" s="250">
        <v>24000</v>
      </c>
    </row>
    <row r="905" spans="1:9" x14ac:dyDescent="0.2">
      <c r="A905" s="246">
        <v>903</v>
      </c>
      <c r="B905" s="247">
        <v>42340</v>
      </c>
      <c r="C905" s="247">
        <v>42359</v>
      </c>
      <c r="D905" s="233" t="s">
        <v>1092</v>
      </c>
      <c r="E905" s="248" t="s">
        <v>422</v>
      </c>
      <c r="F905" s="248" t="s">
        <v>1276</v>
      </c>
      <c r="G905" s="249" t="s">
        <v>1864</v>
      </c>
      <c r="H905" s="249" t="s">
        <v>1868</v>
      </c>
      <c r="I905" s="250">
        <v>35000</v>
      </c>
    </row>
    <row r="906" spans="1:9" x14ac:dyDescent="0.2">
      <c r="A906" s="246">
        <v>904</v>
      </c>
      <c r="B906" s="247">
        <v>42340</v>
      </c>
      <c r="C906" s="247">
        <v>42359</v>
      </c>
      <c r="D906" s="233" t="s">
        <v>1092</v>
      </c>
      <c r="E906" s="248" t="s">
        <v>392</v>
      </c>
      <c r="F906" s="248" t="s">
        <v>1272</v>
      </c>
      <c r="G906" s="249" t="s">
        <v>1865</v>
      </c>
      <c r="H906" s="249" t="s">
        <v>1869</v>
      </c>
      <c r="I906" s="250">
        <v>82000</v>
      </c>
    </row>
    <row r="907" spans="1:9" x14ac:dyDescent="0.2">
      <c r="A907" s="246">
        <v>905</v>
      </c>
      <c r="B907" s="247">
        <v>42348</v>
      </c>
      <c r="C907" s="247">
        <v>42373</v>
      </c>
      <c r="D907" s="233" t="s">
        <v>1092</v>
      </c>
      <c r="E907" s="248" t="s">
        <v>422</v>
      </c>
      <c r="F907" s="248" t="s">
        <v>701</v>
      </c>
      <c r="G907" s="249" t="s">
        <v>1870</v>
      </c>
      <c r="H907" s="249" t="s">
        <v>1871</v>
      </c>
      <c r="I907" s="250">
        <v>32900</v>
      </c>
    </row>
    <row r="908" spans="1:9" x14ac:dyDescent="0.2">
      <c r="A908" s="246">
        <v>906</v>
      </c>
      <c r="B908" s="247">
        <v>42356</v>
      </c>
      <c r="C908" s="247">
        <v>42373</v>
      </c>
      <c r="D908" s="233" t="s">
        <v>1092</v>
      </c>
      <c r="E908" s="248" t="s">
        <v>422</v>
      </c>
      <c r="F908" s="248" t="s">
        <v>701</v>
      </c>
      <c r="G908" s="249" t="s">
        <v>1872</v>
      </c>
      <c r="H908" s="249" t="s">
        <v>1876</v>
      </c>
      <c r="I908" s="250">
        <v>17820</v>
      </c>
    </row>
    <row r="909" spans="1:9" x14ac:dyDescent="0.2">
      <c r="A909" s="246">
        <v>907</v>
      </c>
      <c r="B909" s="247">
        <v>42356</v>
      </c>
      <c r="C909" s="247">
        <v>42408</v>
      </c>
      <c r="D909" s="233" t="s">
        <v>1092</v>
      </c>
      <c r="E909" s="248" t="s">
        <v>392</v>
      </c>
      <c r="F909" s="248" t="s">
        <v>9</v>
      </c>
      <c r="G909" s="249" t="s">
        <v>1873</v>
      </c>
      <c r="H909" s="249" t="s">
        <v>1877</v>
      </c>
      <c r="I909" s="250">
        <v>280867</v>
      </c>
    </row>
    <row r="910" spans="1:9" x14ac:dyDescent="0.2">
      <c r="A910" s="246">
        <v>908</v>
      </c>
      <c r="B910" s="247">
        <v>42356</v>
      </c>
      <c r="C910" s="247">
        <v>42408</v>
      </c>
      <c r="D910" s="233" t="s">
        <v>1092</v>
      </c>
      <c r="E910" s="248" t="s">
        <v>392</v>
      </c>
      <c r="F910" s="248" t="s">
        <v>9</v>
      </c>
      <c r="G910" s="249" t="s">
        <v>1874</v>
      </c>
      <c r="H910" s="249" t="s">
        <v>1878</v>
      </c>
      <c r="I910" s="250">
        <v>216321</v>
      </c>
    </row>
    <row r="911" spans="1:9" x14ac:dyDescent="0.2">
      <c r="A911" s="246">
        <v>909</v>
      </c>
      <c r="B911" s="247">
        <v>42356</v>
      </c>
      <c r="C911" s="247">
        <v>42373</v>
      </c>
      <c r="D911" s="233" t="s">
        <v>1092</v>
      </c>
      <c r="E911" s="248" t="s">
        <v>422</v>
      </c>
      <c r="F911" s="248" t="s">
        <v>701</v>
      </c>
      <c r="G911" s="249" t="s">
        <v>1875</v>
      </c>
      <c r="H911" s="249" t="s">
        <v>1879</v>
      </c>
      <c r="I911" s="250">
        <v>17820</v>
      </c>
    </row>
    <row r="912" spans="1:9" x14ac:dyDescent="0.2">
      <c r="A912" s="246">
        <v>910</v>
      </c>
      <c r="B912" s="247">
        <v>42373</v>
      </c>
      <c r="C912" s="247">
        <v>42422</v>
      </c>
      <c r="D912" s="233" t="s">
        <v>1092</v>
      </c>
      <c r="E912" s="248" t="s">
        <v>392</v>
      </c>
      <c r="F912" s="248" t="s">
        <v>9</v>
      </c>
      <c r="G912" s="249" t="s">
        <v>1880</v>
      </c>
      <c r="H912" s="249" t="s">
        <v>1883</v>
      </c>
      <c r="I912" s="250">
        <v>375714.29</v>
      </c>
    </row>
    <row r="913" spans="1:9" x14ac:dyDescent="0.2">
      <c r="A913" s="246">
        <v>911</v>
      </c>
      <c r="B913" s="247">
        <v>42373</v>
      </c>
      <c r="C913" s="247">
        <v>42389</v>
      </c>
      <c r="D913" s="233" t="s">
        <v>1092</v>
      </c>
      <c r="E913" s="248" t="s">
        <v>422</v>
      </c>
      <c r="F913" s="248" t="s">
        <v>701</v>
      </c>
      <c r="G913" s="249" t="s">
        <v>1881</v>
      </c>
      <c r="H913" s="249" t="s">
        <v>1884</v>
      </c>
      <c r="I913" s="250">
        <v>106370</v>
      </c>
    </row>
    <row r="914" spans="1:9" x14ac:dyDescent="0.2">
      <c r="A914" s="260">
        <v>912</v>
      </c>
      <c r="B914" s="251">
        <v>42373</v>
      </c>
      <c r="C914" s="251">
        <v>42422</v>
      </c>
      <c r="D914" s="233" t="s">
        <v>1092</v>
      </c>
      <c r="E914" s="252" t="s">
        <v>422</v>
      </c>
      <c r="F914" s="252" t="s">
        <v>701</v>
      </c>
      <c r="G914" s="254" t="s">
        <v>1882</v>
      </c>
      <c r="H914" s="254" t="s">
        <v>1885</v>
      </c>
      <c r="I914" s="255">
        <v>1391000</v>
      </c>
    </row>
    <row r="915" spans="1:9" x14ac:dyDescent="0.2">
      <c r="A915" s="246">
        <v>913</v>
      </c>
      <c r="B915" s="247">
        <v>42380</v>
      </c>
      <c r="C915" s="247">
        <v>42396</v>
      </c>
      <c r="D915" s="233" t="s">
        <v>1092</v>
      </c>
      <c r="E915" s="248" t="s">
        <v>392</v>
      </c>
      <c r="F915" s="248" t="s">
        <v>71</v>
      </c>
      <c r="G915" s="249" t="s">
        <v>1887</v>
      </c>
      <c r="H915" s="249" t="s">
        <v>1888</v>
      </c>
      <c r="I915" s="250">
        <v>40685.32</v>
      </c>
    </row>
    <row r="916" spans="1:9" x14ac:dyDescent="0.2">
      <c r="A916" s="246">
        <v>914</v>
      </c>
      <c r="B916" s="247">
        <v>42381</v>
      </c>
      <c r="C916" s="247">
        <v>42401</v>
      </c>
      <c r="D916" s="233" t="s">
        <v>1092</v>
      </c>
      <c r="E916" s="248" t="s">
        <v>422</v>
      </c>
      <c r="F916" s="248" t="s">
        <v>71</v>
      </c>
      <c r="G916" s="249" t="s">
        <v>1889</v>
      </c>
      <c r="H916" s="249" t="s">
        <v>1892</v>
      </c>
      <c r="I916" s="250">
        <v>24177.02</v>
      </c>
    </row>
    <row r="917" spans="1:9" x14ac:dyDescent="0.2">
      <c r="A917" s="246">
        <v>915</v>
      </c>
      <c r="B917" s="247">
        <v>42381</v>
      </c>
      <c r="C917" s="247">
        <v>42401</v>
      </c>
      <c r="D917" s="233" t="s">
        <v>1092</v>
      </c>
      <c r="E917" s="248" t="s">
        <v>392</v>
      </c>
      <c r="F917" s="248" t="s">
        <v>393</v>
      </c>
      <c r="G917" s="249" t="s">
        <v>1890</v>
      </c>
      <c r="H917" s="249" t="s">
        <v>1893</v>
      </c>
      <c r="I917" s="250">
        <v>81635</v>
      </c>
    </row>
    <row r="918" spans="1:9" x14ac:dyDescent="0.2">
      <c r="A918" s="246">
        <v>916</v>
      </c>
      <c r="B918" s="247">
        <v>42381</v>
      </c>
      <c r="C918" s="247">
        <v>42401</v>
      </c>
      <c r="D918" s="233" t="s">
        <v>1092</v>
      </c>
      <c r="E918" s="248" t="s">
        <v>392</v>
      </c>
      <c r="F918" s="248" t="s">
        <v>71</v>
      </c>
      <c r="G918" s="249" t="s">
        <v>1891</v>
      </c>
      <c r="H918" s="249" t="s">
        <v>1894</v>
      </c>
      <c r="I918" s="250">
        <v>124138.17</v>
      </c>
    </row>
    <row r="919" spans="1:9" x14ac:dyDescent="0.2">
      <c r="A919" s="246">
        <v>917</v>
      </c>
      <c r="B919" s="247">
        <v>42382</v>
      </c>
      <c r="C919" s="247">
        <v>42401</v>
      </c>
      <c r="D919" s="233" t="s">
        <v>1092</v>
      </c>
      <c r="E919" s="248" t="s">
        <v>422</v>
      </c>
      <c r="F919" s="248" t="s">
        <v>396</v>
      </c>
      <c r="G919" s="249" t="s">
        <v>1896</v>
      </c>
      <c r="H919" s="249" t="s">
        <v>1897</v>
      </c>
      <c r="I919" s="250">
        <v>147583.32999999999</v>
      </c>
    </row>
    <row r="920" spans="1:9" x14ac:dyDescent="0.2">
      <c r="A920" s="246">
        <v>918</v>
      </c>
      <c r="B920" s="247">
        <v>42383</v>
      </c>
      <c r="C920" s="247">
        <v>42401</v>
      </c>
      <c r="D920" s="233" t="s">
        <v>1092</v>
      </c>
      <c r="E920" s="248" t="s">
        <v>422</v>
      </c>
      <c r="F920" s="248" t="s">
        <v>701</v>
      </c>
      <c r="G920" s="249" t="s">
        <v>1898</v>
      </c>
      <c r="H920" s="249" t="s">
        <v>1899</v>
      </c>
      <c r="I920" s="250">
        <v>50000</v>
      </c>
    </row>
    <row r="921" spans="1:9" x14ac:dyDescent="0.2">
      <c r="A921" s="246">
        <v>919</v>
      </c>
      <c r="B921" s="247">
        <v>42388</v>
      </c>
      <c r="C921" s="247">
        <v>42408</v>
      </c>
      <c r="D921" s="233" t="s">
        <v>1092</v>
      </c>
      <c r="E921" s="248" t="s">
        <v>392</v>
      </c>
      <c r="F921" s="248" t="s">
        <v>9</v>
      </c>
      <c r="G921" s="249" t="s">
        <v>1900</v>
      </c>
      <c r="H921" s="249" t="s">
        <v>1902</v>
      </c>
      <c r="I921" s="250">
        <v>69410</v>
      </c>
    </row>
    <row r="922" spans="1:9" x14ac:dyDescent="0.2">
      <c r="A922" s="246">
        <v>920</v>
      </c>
      <c r="B922" s="247">
        <v>42388</v>
      </c>
      <c r="C922" s="247">
        <v>42408</v>
      </c>
      <c r="D922" s="233" t="s">
        <v>1092</v>
      </c>
      <c r="E922" s="248" t="s">
        <v>392</v>
      </c>
      <c r="F922" s="248" t="s">
        <v>9</v>
      </c>
      <c r="G922" s="249" t="s">
        <v>1901</v>
      </c>
      <c r="H922" s="249" t="s">
        <v>1903</v>
      </c>
      <c r="I922" s="250">
        <v>97289</v>
      </c>
    </row>
    <row r="923" spans="1:9" x14ac:dyDescent="0.2">
      <c r="A923" s="246">
        <v>921</v>
      </c>
      <c r="B923" s="247">
        <v>42391</v>
      </c>
      <c r="C923" s="247">
        <v>42443</v>
      </c>
      <c r="D923" s="233" t="s">
        <v>1092</v>
      </c>
      <c r="E923" s="248" t="s">
        <v>392</v>
      </c>
      <c r="F923" s="248" t="s">
        <v>9</v>
      </c>
      <c r="G923" s="249" t="s">
        <v>1904</v>
      </c>
      <c r="H923" s="249" t="s">
        <v>1908</v>
      </c>
      <c r="I923" s="250">
        <v>323203</v>
      </c>
    </row>
    <row r="924" spans="1:9" x14ac:dyDescent="0.2">
      <c r="A924" s="246">
        <v>922</v>
      </c>
      <c r="B924" s="247">
        <v>42391</v>
      </c>
      <c r="C924" s="247">
        <v>42443</v>
      </c>
      <c r="D924" s="233" t="s">
        <v>1092</v>
      </c>
      <c r="E924" s="248" t="s">
        <v>422</v>
      </c>
      <c r="F924" s="248" t="s">
        <v>701</v>
      </c>
      <c r="G924" s="249" t="s">
        <v>1905</v>
      </c>
      <c r="H924" s="249" t="s">
        <v>1909</v>
      </c>
      <c r="I924" s="250">
        <v>297690</v>
      </c>
    </row>
    <row r="925" spans="1:9" x14ac:dyDescent="0.2">
      <c r="A925" s="246">
        <v>923</v>
      </c>
      <c r="B925" s="247">
        <v>42394</v>
      </c>
      <c r="C925" s="247">
        <v>42443</v>
      </c>
      <c r="D925" s="233" t="s">
        <v>1092</v>
      </c>
      <c r="E925" s="248" t="s">
        <v>392</v>
      </c>
      <c r="F925" s="248" t="s">
        <v>9</v>
      </c>
      <c r="G925" s="249" t="s">
        <v>1906</v>
      </c>
      <c r="H925" s="249" t="s">
        <v>1910</v>
      </c>
      <c r="I925" s="250">
        <v>326007</v>
      </c>
    </row>
    <row r="926" spans="1:9" x14ac:dyDescent="0.2">
      <c r="A926" s="246">
        <v>924</v>
      </c>
      <c r="B926" s="247">
        <v>42391</v>
      </c>
      <c r="C926" s="247">
        <v>42408</v>
      </c>
      <c r="D926" s="233" t="s">
        <v>1092</v>
      </c>
      <c r="E926" s="248" t="s">
        <v>422</v>
      </c>
      <c r="F926" s="248" t="s">
        <v>701</v>
      </c>
      <c r="G926" s="249" t="s">
        <v>1907</v>
      </c>
      <c r="H926" s="249" t="s">
        <v>1911</v>
      </c>
      <c r="I926" s="250">
        <v>30000</v>
      </c>
    </row>
    <row r="927" spans="1:9" x14ac:dyDescent="0.2">
      <c r="A927" s="225">
        <v>925</v>
      </c>
      <c r="B927" s="226">
        <v>42401</v>
      </c>
      <c r="C927" s="226">
        <v>42417</v>
      </c>
      <c r="D927" s="233" t="s">
        <v>1092</v>
      </c>
      <c r="E927" s="227" t="s">
        <v>422</v>
      </c>
      <c r="F927" s="227" t="s">
        <v>701</v>
      </c>
      <c r="G927" s="263" t="s">
        <v>1912</v>
      </c>
      <c r="H927" s="263" t="s">
        <v>1918</v>
      </c>
      <c r="I927" s="264">
        <v>25500</v>
      </c>
    </row>
    <row r="928" spans="1:9" x14ac:dyDescent="0.2">
      <c r="A928" s="225">
        <v>926</v>
      </c>
      <c r="B928" s="226">
        <v>42401</v>
      </c>
      <c r="C928" s="226">
        <v>42417</v>
      </c>
      <c r="D928" s="233" t="s">
        <v>1092</v>
      </c>
      <c r="E928" s="227" t="s">
        <v>422</v>
      </c>
      <c r="F928" s="227" t="s">
        <v>701</v>
      </c>
      <c r="G928" s="263" t="s">
        <v>1913</v>
      </c>
      <c r="H928" s="263" t="s">
        <v>1919</v>
      </c>
      <c r="I928" s="264">
        <v>90300</v>
      </c>
    </row>
    <row r="929" spans="1:9" x14ac:dyDescent="0.2">
      <c r="A929" s="225">
        <v>927</v>
      </c>
      <c r="B929" s="265">
        <v>42401</v>
      </c>
      <c r="C929" s="265">
        <v>42417</v>
      </c>
      <c r="D929" s="233" t="s">
        <v>1092</v>
      </c>
      <c r="E929" s="266" t="s">
        <v>422</v>
      </c>
      <c r="F929" s="266" t="s">
        <v>701</v>
      </c>
      <c r="G929" s="267" t="s">
        <v>1914</v>
      </c>
      <c r="H929" s="267" t="s">
        <v>1920</v>
      </c>
      <c r="I929" s="268">
        <v>25500</v>
      </c>
    </row>
    <row r="930" spans="1:9" x14ac:dyDescent="0.2">
      <c r="A930" s="225">
        <v>928</v>
      </c>
      <c r="B930" s="226">
        <v>42398</v>
      </c>
      <c r="C930" s="226">
        <v>42415</v>
      </c>
      <c r="D930" s="233" t="s">
        <v>1092</v>
      </c>
      <c r="E930" s="227" t="s">
        <v>392</v>
      </c>
      <c r="F930" s="227" t="s">
        <v>393</v>
      </c>
      <c r="G930" s="263" t="s">
        <v>1915</v>
      </c>
      <c r="H930" s="263" t="s">
        <v>1921</v>
      </c>
      <c r="I930" s="264">
        <v>81845</v>
      </c>
    </row>
    <row r="931" spans="1:9" x14ac:dyDescent="0.2">
      <c r="A931" s="225">
        <v>929</v>
      </c>
      <c r="B931" s="226">
        <v>42398</v>
      </c>
      <c r="C931" s="226">
        <v>42415</v>
      </c>
      <c r="D931" s="233" t="s">
        <v>1092</v>
      </c>
      <c r="E931" s="227" t="s">
        <v>392</v>
      </c>
      <c r="F931" s="227" t="s">
        <v>71</v>
      </c>
      <c r="G931" s="263" t="s">
        <v>1916</v>
      </c>
      <c r="H931" s="263" t="s">
        <v>1922</v>
      </c>
      <c r="I931" s="264">
        <v>42153.62</v>
      </c>
    </row>
    <row r="932" spans="1:9" x14ac:dyDescent="0.2">
      <c r="A932" s="225">
        <v>930</v>
      </c>
      <c r="B932" s="226">
        <v>42402</v>
      </c>
      <c r="C932" s="226">
        <v>42422</v>
      </c>
      <c r="D932" s="233" t="s">
        <v>1092</v>
      </c>
      <c r="E932" s="227" t="s">
        <v>392</v>
      </c>
      <c r="F932" s="227" t="s">
        <v>393</v>
      </c>
      <c r="G932" s="263" t="s">
        <v>1917</v>
      </c>
      <c r="H932" s="263" t="s">
        <v>1923</v>
      </c>
      <c r="I932" s="264">
        <v>95680.38</v>
      </c>
    </row>
    <row r="933" spans="1:9" x14ac:dyDescent="0.2">
      <c r="A933" s="225">
        <v>931</v>
      </c>
      <c r="B933" s="226">
        <v>42402</v>
      </c>
      <c r="C933" s="226">
        <v>42422</v>
      </c>
      <c r="D933" s="233" t="s">
        <v>1092</v>
      </c>
      <c r="E933" s="227" t="s">
        <v>392</v>
      </c>
      <c r="F933" s="227" t="s">
        <v>71</v>
      </c>
      <c r="G933" s="263" t="s">
        <v>1924</v>
      </c>
      <c r="H933" s="263" t="s">
        <v>1927</v>
      </c>
      <c r="I933" s="264">
        <v>49686.54</v>
      </c>
    </row>
    <row r="934" spans="1:9" x14ac:dyDescent="0.2">
      <c r="A934" s="225">
        <v>932</v>
      </c>
      <c r="B934" s="226">
        <v>42402</v>
      </c>
      <c r="C934" s="226">
        <v>42422</v>
      </c>
      <c r="D934" s="233" t="s">
        <v>1092</v>
      </c>
      <c r="E934" s="227" t="s">
        <v>392</v>
      </c>
      <c r="F934" s="227" t="s">
        <v>396</v>
      </c>
      <c r="G934" s="263" t="s">
        <v>1925</v>
      </c>
      <c r="H934" s="263" t="s">
        <v>1928</v>
      </c>
      <c r="I934" s="264">
        <v>90341.99</v>
      </c>
    </row>
    <row r="935" spans="1:9" x14ac:dyDescent="0.2">
      <c r="A935" s="225">
        <v>933</v>
      </c>
      <c r="B935" s="226">
        <v>42402</v>
      </c>
      <c r="C935" s="226">
        <v>42422</v>
      </c>
      <c r="D935" s="233" t="s">
        <v>1092</v>
      </c>
      <c r="E935" s="227" t="s">
        <v>392</v>
      </c>
      <c r="F935" s="227" t="s">
        <v>393</v>
      </c>
      <c r="G935" s="263" t="s">
        <v>1926</v>
      </c>
      <c r="H935" s="263" t="s">
        <v>1929</v>
      </c>
      <c r="I935" s="264">
        <v>16327</v>
      </c>
    </row>
    <row r="936" spans="1:9" x14ac:dyDescent="0.2">
      <c r="A936" s="225">
        <v>934</v>
      </c>
      <c r="B936" s="226">
        <v>42403</v>
      </c>
      <c r="C936" s="226">
        <v>42422</v>
      </c>
      <c r="D936" s="233" t="s">
        <v>1092</v>
      </c>
      <c r="E936" s="227" t="s">
        <v>392</v>
      </c>
      <c r="F936" s="227" t="s">
        <v>393</v>
      </c>
      <c r="G936" s="263" t="s">
        <v>1930</v>
      </c>
      <c r="H936" s="263" t="s">
        <v>1932</v>
      </c>
      <c r="I936" s="264">
        <v>16369</v>
      </c>
    </row>
    <row r="937" spans="1:9" x14ac:dyDescent="0.2">
      <c r="A937" s="225">
        <v>935</v>
      </c>
      <c r="B937" s="226">
        <v>42403</v>
      </c>
      <c r="C937" s="226">
        <v>42422</v>
      </c>
      <c r="D937" s="233" t="s">
        <v>1092</v>
      </c>
      <c r="E937" s="227" t="s">
        <v>392</v>
      </c>
      <c r="F937" s="227" t="s">
        <v>393</v>
      </c>
      <c r="G937" s="263" t="s">
        <v>1931</v>
      </c>
      <c r="H937" s="263" t="s">
        <v>1933</v>
      </c>
      <c r="I937" s="264">
        <v>19136.080000000002</v>
      </c>
    </row>
    <row r="938" spans="1:9" x14ac:dyDescent="0.2">
      <c r="A938" s="225">
        <v>936</v>
      </c>
      <c r="B938" s="226">
        <v>42404</v>
      </c>
      <c r="C938" s="226">
        <v>42422</v>
      </c>
      <c r="D938" s="233" t="s">
        <v>1092</v>
      </c>
      <c r="E938" s="227" t="s">
        <v>422</v>
      </c>
      <c r="F938" s="227" t="s">
        <v>71</v>
      </c>
      <c r="G938" s="263" t="s">
        <v>1934</v>
      </c>
      <c r="H938" s="263" t="s">
        <v>1937</v>
      </c>
      <c r="I938" s="264">
        <v>44037.45</v>
      </c>
    </row>
    <row r="939" spans="1:9" x14ac:dyDescent="0.2">
      <c r="A939" s="225">
        <v>937</v>
      </c>
      <c r="B939" s="226">
        <v>42404</v>
      </c>
      <c r="C939" s="226">
        <v>42424</v>
      </c>
      <c r="D939" s="233" t="s">
        <v>1092</v>
      </c>
      <c r="E939" s="227" t="s">
        <v>422</v>
      </c>
      <c r="F939" s="227" t="s">
        <v>701</v>
      </c>
      <c r="G939" s="263" t="s">
        <v>1935</v>
      </c>
      <c r="H939" s="263" t="s">
        <v>1938</v>
      </c>
      <c r="I939" s="264">
        <v>20800</v>
      </c>
    </row>
    <row r="940" spans="1:9" x14ac:dyDescent="0.2">
      <c r="A940" s="225">
        <v>938</v>
      </c>
      <c r="B940" s="226">
        <v>42404</v>
      </c>
      <c r="C940" s="226">
        <v>42424</v>
      </c>
      <c r="D940" s="233" t="s">
        <v>1092</v>
      </c>
      <c r="E940" s="227" t="s">
        <v>422</v>
      </c>
      <c r="F940" s="227" t="s">
        <v>701</v>
      </c>
      <c r="G940" s="263" t="s">
        <v>1936</v>
      </c>
      <c r="H940" s="263" t="s">
        <v>1939</v>
      </c>
      <c r="I940" s="264">
        <v>34200</v>
      </c>
    </row>
    <row r="941" spans="1:9" x14ac:dyDescent="0.2">
      <c r="A941" s="225">
        <v>939</v>
      </c>
      <c r="B941" s="226">
        <v>42408</v>
      </c>
      <c r="C941" s="226">
        <v>42424</v>
      </c>
      <c r="D941" s="233" t="s">
        <v>1092</v>
      </c>
      <c r="E941" s="227" t="s">
        <v>392</v>
      </c>
      <c r="F941" s="227" t="s">
        <v>396</v>
      </c>
      <c r="G941" s="263" t="s">
        <v>1940</v>
      </c>
      <c r="H941" s="263" t="s">
        <v>1945</v>
      </c>
      <c r="I941" s="264">
        <v>108717.43</v>
      </c>
    </row>
    <row r="942" spans="1:9" x14ac:dyDescent="0.2">
      <c r="A942" s="225">
        <v>940</v>
      </c>
      <c r="B942" s="226">
        <v>42408</v>
      </c>
      <c r="C942" s="226">
        <v>42424</v>
      </c>
      <c r="D942" s="233" t="s">
        <v>1092</v>
      </c>
      <c r="E942" s="227" t="s">
        <v>392</v>
      </c>
      <c r="F942" s="227" t="s">
        <v>393</v>
      </c>
      <c r="G942" s="263" t="s">
        <v>1941</v>
      </c>
      <c r="H942" s="263" t="s">
        <v>1944</v>
      </c>
      <c r="I942" s="264">
        <v>115141.64</v>
      </c>
    </row>
    <row r="943" spans="1:9" x14ac:dyDescent="0.2">
      <c r="A943" s="225">
        <v>941</v>
      </c>
      <c r="B943" s="226">
        <v>42408</v>
      </c>
      <c r="C943" s="226">
        <v>42424</v>
      </c>
      <c r="D943" s="233" t="s">
        <v>1092</v>
      </c>
      <c r="E943" s="227" t="s">
        <v>392</v>
      </c>
      <c r="F943" s="227" t="s">
        <v>71</v>
      </c>
      <c r="G943" s="263" t="s">
        <v>1942</v>
      </c>
      <c r="H943" s="263" t="s">
        <v>1946</v>
      </c>
      <c r="I943" s="264">
        <v>70695.59</v>
      </c>
    </row>
    <row r="944" spans="1:9" x14ac:dyDescent="0.2">
      <c r="A944" s="225">
        <v>942</v>
      </c>
      <c r="B944" s="226">
        <v>42408</v>
      </c>
      <c r="C944" s="226">
        <v>42424</v>
      </c>
      <c r="D944" s="233" t="s">
        <v>1092</v>
      </c>
      <c r="E944" s="227" t="s">
        <v>392</v>
      </c>
      <c r="F944" s="227" t="s">
        <v>393</v>
      </c>
      <c r="G944" s="263" t="s">
        <v>1943</v>
      </c>
      <c r="H944" s="263" t="s">
        <v>1947</v>
      </c>
      <c r="I944" s="264">
        <v>28785.41</v>
      </c>
    </row>
    <row r="945" spans="1:9" x14ac:dyDescent="0.2">
      <c r="A945" s="225">
        <v>943</v>
      </c>
      <c r="B945" s="226">
        <v>42409</v>
      </c>
      <c r="C945" s="226">
        <v>42429</v>
      </c>
      <c r="D945" s="233" t="s">
        <v>1092</v>
      </c>
      <c r="E945" s="227" t="s">
        <v>422</v>
      </c>
      <c r="F945" s="227" t="s">
        <v>701</v>
      </c>
      <c r="G945" s="263" t="s">
        <v>1948</v>
      </c>
      <c r="H945" s="263" t="s">
        <v>1952</v>
      </c>
      <c r="I945" s="264">
        <v>110670</v>
      </c>
    </row>
    <row r="946" spans="1:9" x14ac:dyDescent="0.2">
      <c r="A946" s="225">
        <v>944</v>
      </c>
      <c r="B946" s="226">
        <v>42409</v>
      </c>
      <c r="C946" s="226">
        <v>42429</v>
      </c>
      <c r="D946" s="233" t="s">
        <v>1092</v>
      </c>
      <c r="E946" s="227" t="s">
        <v>422</v>
      </c>
      <c r="F946" s="227" t="s">
        <v>701</v>
      </c>
      <c r="G946" s="263" t="s">
        <v>1949</v>
      </c>
      <c r="H946" s="263" t="s">
        <v>1953</v>
      </c>
      <c r="I946" s="264">
        <v>85820</v>
      </c>
    </row>
    <row r="947" spans="1:9" x14ac:dyDescent="0.2">
      <c r="A947" s="225">
        <v>945</v>
      </c>
      <c r="B947" s="226">
        <v>42409</v>
      </c>
      <c r="C947" s="226">
        <v>42429</v>
      </c>
      <c r="D947" s="233" t="s">
        <v>1092</v>
      </c>
      <c r="E947" s="227" t="s">
        <v>422</v>
      </c>
      <c r="F947" s="227" t="s">
        <v>701</v>
      </c>
      <c r="G947" s="263" t="s">
        <v>1950</v>
      </c>
      <c r="H947" s="263" t="s">
        <v>1954</v>
      </c>
      <c r="I947" s="264">
        <v>91850</v>
      </c>
    </row>
    <row r="948" spans="1:9" x14ac:dyDescent="0.2">
      <c r="A948" s="225">
        <v>946</v>
      </c>
      <c r="B948" s="226">
        <v>42409</v>
      </c>
      <c r="C948" s="226">
        <v>42429</v>
      </c>
      <c r="D948" s="233" t="s">
        <v>1092</v>
      </c>
      <c r="E948" s="227" t="s">
        <v>422</v>
      </c>
      <c r="F948" s="227" t="s">
        <v>701</v>
      </c>
      <c r="G948" s="263" t="s">
        <v>1951</v>
      </c>
      <c r="H948" s="263" t="s">
        <v>1955</v>
      </c>
      <c r="I948" s="264">
        <v>53400</v>
      </c>
    </row>
    <row r="949" spans="1:9" x14ac:dyDescent="0.2">
      <c r="A949" s="225">
        <v>947</v>
      </c>
      <c r="B949" s="226">
        <v>42411</v>
      </c>
      <c r="C949" s="226">
        <v>42429</v>
      </c>
      <c r="D949" s="233" t="s">
        <v>1092</v>
      </c>
      <c r="E949" s="227" t="s">
        <v>422</v>
      </c>
      <c r="F949" s="227" t="s">
        <v>701</v>
      </c>
      <c r="G949" s="263" t="s">
        <v>1956</v>
      </c>
      <c r="H949" s="263" t="s">
        <v>1958</v>
      </c>
      <c r="I949" s="264">
        <v>37291.199999999997</v>
      </c>
    </row>
    <row r="950" spans="1:9" x14ac:dyDescent="0.2">
      <c r="A950" s="225">
        <v>948</v>
      </c>
      <c r="B950" s="226">
        <v>42411</v>
      </c>
      <c r="C950" s="226">
        <v>42429</v>
      </c>
      <c r="D950" s="233" t="s">
        <v>1092</v>
      </c>
      <c r="E950" s="227" t="s">
        <v>422</v>
      </c>
      <c r="F950" s="227" t="s">
        <v>701</v>
      </c>
      <c r="G950" s="263" t="s">
        <v>1957</v>
      </c>
      <c r="H950" s="263" t="s">
        <v>1959</v>
      </c>
      <c r="I950" s="264">
        <v>35305.599999999999</v>
      </c>
    </row>
    <row r="951" spans="1:9" x14ac:dyDescent="0.2">
      <c r="A951" s="225">
        <v>949</v>
      </c>
      <c r="B951" s="226">
        <v>42415</v>
      </c>
      <c r="C951" s="226">
        <v>42431</v>
      </c>
      <c r="D951" s="233" t="s">
        <v>1092</v>
      </c>
      <c r="E951" s="227" t="s">
        <v>422</v>
      </c>
      <c r="F951" s="227" t="s">
        <v>701</v>
      </c>
      <c r="G951" s="263" t="s">
        <v>1960</v>
      </c>
      <c r="H951" s="263" t="s">
        <v>1963</v>
      </c>
      <c r="I951" s="264">
        <v>56800</v>
      </c>
    </row>
    <row r="952" spans="1:9" x14ac:dyDescent="0.2">
      <c r="A952" s="225">
        <v>950</v>
      </c>
      <c r="B952" s="226">
        <v>42415</v>
      </c>
      <c r="C952" s="226">
        <v>42431</v>
      </c>
      <c r="D952" s="233" t="s">
        <v>1092</v>
      </c>
      <c r="E952" s="227" t="s">
        <v>422</v>
      </c>
      <c r="F952" s="227" t="s">
        <v>701</v>
      </c>
      <c r="G952" s="263" t="s">
        <v>1961</v>
      </c>
      <c r="H952" s="263" t="s">
        <v>1964</v>
      </c>
      <c r="I952" s="264">
        <v>163600</v>
      </c>
    </row>
    <row r="953" spans="1:9" x14ac:dyDescent="0.2">
      <c r="A953" s="225">
        <v>951</v>
      </c>
      <c r="B953" s="226">
        <v>42415</v>
      </c>
      <c r="C953" s="226">
        <v>42438</v>
      </c>
      <c r="D953" s="233" t="s">
        <v>1092</v>
      </c>
      <c r="E953" s="227" t="s">
        <v>392</v>
      </c>
      <c r="F953" s="227" t="s">
        <v>9</v>
      </c>
      <c r="G953" s="263" t="s">
        <v>1962</v>
      </c>
      <c r="H953" s="263" t="s">
        <v>1965</v>
      </c>
      <c r="I953" s="264">
        <v>206626</v>
      </c>
    </row>
    <row r="954" spans="1:9" x14ac:dyDescent="0.2">
      <c r="A954" s="225">
        <v>952</v>
      </c>
      <c r="B954" s="226">
        <v>42416</v>
      </c>
      <c r="C954" s="226">
        <v>42436</v>
      </c>
      <c r="D954" s="233" t="s">
        <v>1092</v>
      </c>
      <c r="E954" s="227" t="s">
        <v>392</v>
      </c>
      <c r="F954" s="227" t="s">
        <v>393</v>
      </c>
      <c r="G954" s="263" t="s">
        <v>1966</v>
      </c>
      <c r="H954" s="263" t="s">
        <v>1967</v>
      </c>
      <c r="I954" s="264">
        <v>21500</v>
      </c>
    </row>
    <row r="955" spans="1:9" x14ac:dyDescent="0.2">
      <c r="A955" s="225">
        <v>953</v>
      </c>
      <c r="B955" s="226">
        <v>42417</v>
      </c>
      <c r="C955" s="226">
        <v>42436</v>
      </c>
      <c r="D955" s="233" t="s">
        <v>1092</v>
      </c>
      <c r="E955" s="227" t="s">
        <v>422</v>
      </c>
      <c r="F955" s="227" t="s">
        <v>396</v>
      </c>
      <c r="G955" s="263" t="s">
        <v>1968</v>
      </c>
      <c r="H955" s="263" t="s">
        <v>1970</v>
      </c>
      <c r="I955" s="264">
        <v>103555.56</v>
      </c>
    </row>
    <row r="956" spans="1:9" x14ac:dyDescent="0.2">
      <c r="A956" s="225">
        <v>954</v>
      </c>
      <c r="B956" s="226">
        <v>42417</v>
      </c>
      <c r="C956" s="226">
        <v>42443</v>
      </c>
      <c r="D956" s="233" t="s">
        <v>1092</v>
      </c>
      <c r="E956" s="227" t="s">
        <v>422</v>
      </c>
      <c r="F956" s="227" t="s">
        <v>701</v>
      </c>
      <c r="G956" s="263" t="s">
        <v>1969</v>
      </c>
      <c r="H956" s="263" t="s">
        <v>1971</v>
      </c>
      <c r="I956" s="264">
        <v>21900</v>
      </c>
    </row>
    <row r="957" spans="1:9" x14ac:dyDescent="0.2">
      <c r="A957" s="225">
        <v>955</v>
      </c>
      <c r="B957" s="226">
        <v>42423</v>
      </c>
      <c r="C957" s="226">
        <v>42450</v>
      </c>
      <c r="D957" s="233" t="s">
        <v>1092</v>
      </c>
      <c r="E957" s="227" t="s">
        <v>422</v>
      </c>
      <c r="F957" s="227" t="s">
        <v>701</v>
      </c>
      <c r="G957" s="263" t="s">
        <v>1974</v>
      </c>
      <c r="H957" s="263" t="s">
        <v>1972</v>
      </c>
      <c r="I957" s="264">
        <v>25500</v>
      </c>
    </row>
    <row r="958" spans="1:9" x14ac:dyDescent="0.2">
      <c r="A958" s="225">
        <v>956</v>
      </c>
      <c r="B958" s="226">
        <v>42423</v>
      </c>
      <c r="C958" s="226">
        <v>42450</v>
      </c>
      <c r="D958" s="233" t="s">
        <v>1092</v>
      </c>
      <c r="E958" s="227" t="s">
        <v>422</v>
      </c>
      <c r="F958" s="227" t="s">
        <v>701</v>
      </c>
      <c r="G958" s="263" t="s">
        <v>1975</v>
      </c>
      <c r="H958" s="263" t="s">
        <v>1973</v>
      </c>
      <c r="I958" s="264">
        <v>25500</v>
      </c>
    </row>
    <row r="959" spans="1:9" x14ac:dyDescent="0.2">
      <c r="A959" s="225">
        <v>957</v>
      </c>
      <c r="B959" s="226">
        <v>42429</v>
      </c>
      <c r="C959" s="226">
        <v>42450</v>
      </c>
      <c r="D959" s="233" t="s">
        <v>1092</v>
      </c>
      <c r="E959" s="227" t="s">
        <v>392</v>
      </c>
      <c r="F959" s="227" t="s">
        <v>701</v>
      </c>
      <c r="G959" s="263" t="s">
        <v>1976</v>
      </c>
      <c r="H959" s="263" t="s">
        <v>1979</v>
      </c>
      <c r="I959" s="264">
        <v>32000</v>
      </c>
    </row>
    <row r="960" spans="1:9" x14ac:dyDescent="0.2">
      <c r="A960" s="225">
        <v>958</v>
      </c>
      <c r="B960" s="226">
        <v>42429</v>
      </c>
      <c r="C960" s="226">
        <v>42450</v>
      </c>
      <c r="D960" s="233" t="s">
        <v>1092</v>
      </c>
      <c r="E960" s="227" t="s">
        <v>392</v>
      </c>
      <c r="F960" s="227" t="s">
        <v>701</v>
      </c>
      <c r="G960" s="263" t="s">
        <v>1977</v>
      </c>
      <c r="H960" s="263" t="s">
        <v>1980</v>
      </c>
      <c r="I960" s="264">
        <v>80000</v>
      </c>
    </row>
    <row r="961" spans="1:9" x14ac:dyDescent="0.2">
      <c r="A961" s="225">
        <v>959</v>
      </c>
      <c r="B961" s="226">
        <v>42429</v>
      </c>
      <c r="C961" s="226">
        <v>42445</v>
      </c>
      <c r="D961" s="233" t="s">
        <v>1092</v>
      </c>
      <c r="E961" s="227" t="s">
        <v>422</v>
      </c>
      <c r="F961" s="227" t="s">
        <v>71</v>
      </c>
      <c r="G961" s="263" t="s">
        <v>1978</v>
      </c>
      <c r="H961" s="263" t="s">
        <v>1981</v>
      </c>
      <c r="I961" s="264">
        <v>17176.349999999999</v>
      </c>
    </row>
    <row r="962" spans="1:9" x14ac:dyDescent="0.2">
      <c r="A962" s="225">
        <v>960</v>
      </c>
      <c r="B962" s="226">
        <v>42430</v>
      </c>
      <c r="C962" s="226">
        <v>42459</v>
      </c>
      <c r="D962" s="233" t="s">
        <v>1092</v>
      </c>
      <c r="E962" s="227" t="s">
        <v>422</v>
      </c>
      <c r="F962" s="227" t="s">
        <v>701</v>
      </c>
      <c r="G962" s="263" t="s">
        <v>1982</v>
      </c>
      <c r="H962" s="263" t="s">
        <v>1984</v>
      </c>
      <c r="I962" s="264">
        <v>37150</v>
      </c>
    </row>
    <row r="963" spans="1:9" x14ac:dyDescent="0.2">
      <c r="A963" s="225">
        <v>961</v>
      </c>
      <c r="B963" s="226">
        <v>42430</v>
      </c>
      <c r="C963" s="226">
        <v>42459</v>
      </c>
      <c r="D963" s="233" t="s">
        <v>1092</v>
      </c>
      <c r="E963" s="227" t="s">
        <v>422</v>
      </c>
      <c r="F963" s="227" t="s">
        <v>701</v>
      </c>
      <c r="G963" s="263" t="s">
        <v>1983</v>
      </c>
      <c r="H963" s="263" t="s">
        <v>1985</v>
      </c>
      <c r="I963" s="264">
        <v>75450</v>
      </c>
    </row>
    <row r="964" spans="1:9" x14ac:dyDescent="0.2">
      <c r="A964" s="225">
        <v>962</v>
      </c>
      <c r="B964" s="226">
        <v>42436</v>
      </c>
      <c r="C964" s="226">
        <v>42487</v>
      </c>
      <c r="D964" s="233" t="s">
        <v>1092</v>
      </c>
      <c r="E964" s="227" t="s">
        <v>392</v>
      </c>
      <c r="F964" s="227" t="s">
        <v>9</v>
      </c>
      <c r="G964" s="263" t="s">
        <v>1986</v>
      </c>
      <c r="H964" s="263" t="s">
        <v>1987</v>
      </c>
      <c r="I964" s="264">
        <v>238341</v>
      </c>
    </row>
    <row r="965" spans="1:9" x14ac:dyDescent="0.2">
      <c r="A965" s="225">
        <v>963</v>
      </c>
      <c r="B965" s="226">
        <v>42443</v>
      </c>
      <c r="C965" s="226">
        <v>42492</v>
      </c>
      <c r="D965" s="233" t="s">
        <v>1092</v>
      </c>
      <c r="E965" s="227" t="s">
        <v>422</v>
      </c>
      <c r="F965" s="227" t="s">
        <v>701</v>
      </c>
      <c r="G965" s="263" t="s">
        <v>1988</v>
      </c>
      <c r="H965" s="263" t="s">
        <v>1989</v>
      </c>
      <c r="I965" s="264">
        <v>482200</v>
      </c>
    </row>
    <row r="966" spans="1:9" x14ac:dyDescent="0.2">
      <c r="A966" s="225">
        <v>964</v>
      </c>
      <c r="B966" s="226">
        <v>42446</v>
      </c>
      <c r="C966" s="226">
        <v>42464</v>
      </c>
      <c r="D966" s="233" t="s">
        <v>1092</v>
      </c>
      <c r="E966" s="227" t="s">
        <v>422</v>
      </c>
      <c r="F966" s="227" t="s">
        <v>701</v>
      </c>
      <c r="G966" s="263" t="s">
        <v>1990</v>
      </c>
      <c r="H966" s="263" t="s">
        <v>1991</v>
      </c>
      <c r="I966" s="264">
        <v>62500</v>
      </c>
    </row>
    <row r="967" spans="1:9" x14ac:dyDescent="0.2">
      <c r="A967" s="225">
        <v>965</v>
      </c>
      <c r="B967" s="226">
        <v>42447</v>
      </c>
      <c r="C967" s="226">
        <v>42464</v>
      </c>
      <c r="D967" s="233" t="s">
        <v>1092</v>
      </c>
      <c r="E967" s="227" t="s">
        <v>422</v>
      </c>
      <c r="F967" s="227" t="s">
        <v>701</v>
      </c>
      <c r="G967" s="263" t="s">
        <v>1992</v>
      </c>
      <c r="H967" s="263" t="s">
        <v>1994</v>
      </c>
      <c r="I967" s="264">
        <v>40000</v>
      </c>
    </row>
    <row r="968" spans="1:9" x14ac:dyDescent="0.2">
      <c r="A968" s="225">
        <v>966</v>
      </c>
      <c r="B968" s="226">
        <v>42447</v>
      </c>
      <c r="C968" s="226">
        <v>42464</v>
      </c>
      <c r="D968" s="233" t="s">
        <v>1092</v>
      </c>
      <c r="E968" s="227" t="s">
        <v>422</v>
      </c>
      <c r="F968" s="227" t="s">
        <v>701</v>
      </c>
      <c r="G968" s="263" t="s">
        <v>1993</v>
      </c>
      <c r="H968" s="263" t="s">
        <v>1995</v>
      </c>
      <c r="I968" s="264">
        <v>186000</v>
      </c>
    </row>
    <row r="969" spans="1:9" x14ac:dyDescent="0.2">
      <c r="A969" s="225">
        <v>967</v>
      </c>
      <c r="B969" s="226">
        <v>42459</v>
      </c>
      <c r="C969" s="226">
        <v>42478</v>
      </c>
      <c r="D969" s="233" t="s">
        <v>1092</v>
      </c>
      <c r="E969" s="227" t="s">
        <v>392</v>
      </c>
      <c r="F969" s="227" t="s">
        <v>71</v>
      </c>
      <c r="G969" s="263" t="s">
        <v>1996</v>
      </c>
      <c r="H969" s="263" t="s">
        <v>1997</v>
      </c>
      <c r="I969" s="264">
        <v>21071.37</v>
      </c>
    </row>
    <row r="970" spans="1:9" x14ac:dyDescent="0.2">
      <c r="A970" s="225">
        <v>968</v>
      </c>
      <c r="B970" s="226">
        <v>42460</v>
      </c>
      <c r="C970" s="226">
        <v>42478</v>
      </c>
      <c r="D970" s="233" t="s">
        <v>1092</v>
      </c>
      <c r="E970" s="227" t="s">
        <v>422</v>
      </c>
      <c r="F970" s="227" t="s">
        <v>701</v>
      </c>
      <c r="G970" s="263" t="s">
        <v>1998</v>
      </c>
      <c r="H970" s="263" t="s">
        <v>2001</v>
      </c>
      <c r="I970" s="264">
        <v>37150</v>
      </c>
    </row>
    <row r="971" spans="1:9" x14ac:dyDescent="0.2">
      <c r="A971" s="225">
        <v>969</v>
      </c>
      <c r="B971" s="226">
        <v>42460</v>
      </c>
      <c r="C971" s="226">
        <v>42478</v>
      </c>
      <c r="D971" s="233" t="s">
        <v>1092</v>
      </c>
      <c r="E971" s="227" t="s">
        <v>422</v>
      </c>
      <c r="F971" s="227" t="s">
        <v>701</v>
      </c>
      <c r="G971" s="263" t="s">
        <v>1999</v>
      </c>
      <c r="H971" s="263" t="s">
        <v>2002</v>
      </c>
      <c r="I971" s="264">
        <v>25500</v>
      </c>
    </row>
    <row r="972" spans="1:9" x14ac:dyDescent="0.2">
      <c r="A972" s="225">
        <v>970</v>
      </c>
      <c r="B972" s="226">
        <v>42460</v>
      </c>
      <c r="C972" s="226">
        <v>42478</v>
      </c>
      <c r="D972" s="233" t="s">
        <v>1092</v>
      </c>
      <c r="E972" s="227" t="s">
        <v>422</v>
      </c>
      <c r="F972" s="227" t="s">
        <v>701</v>
      </c>
      <c r="G972" s="263" t="s">
        <v>2000</v>
      </c>
      <c r="H972" s="263" t="s">
        <v>2003</v>
      </c>
      <c r="I972" s="264">
        <v>171300</v>
      </c>
    </row>
    <row r="973" spans="1:9" x14ac:dyDescent="0.2">
      <c r="A973" s="225">
        <v>971</v>
      </c>
      <c r="B973" s="226">
        <v>42464</v>
      </c>
      <c r="C973" s="226">
        <v>42480</v>
      </c>
      <c r="D973" s="233" t="s">
        <v>1092</v>
      </c>
      <c r="E973" s="227" t="s">
        <v>422</v>
      </c>
      <c r="F973" s="227" t="s">
        <v>701</v>
      </c>
      <c r="G973" s="263" t="s">
        <v>2004</v>
      </c>
      <c r="H973" s="263" t="s">
        <v>2006</v>
      </c>
      <c r="I973" s="264">
        <v>29350</v>
      </c>
    </row>
    <row r="974" spans="1:9" x14ac:dyDescent="0.2">
      <c r="A974" s="225">
        <v>972</v>
      </c>
      <c r="B974" s="226">
        <v>42464</v>
      </c>
      <c r="C974" s="226">
        <v>42480</v>
      </c>
      <c r="D974" s="233" t="s">
        <v>1092</v>
      </c>
      <c r="E974" s="227" t="s">
        <v>422</v>
      </c>
      <c r="F974" s="227" t="s">
        <v>701</v>
      </c>
      <c r="G974" s="263" t="s">
        <v>2005</v>
      </c>
      <c r="H974" s="263" t="s">
        <v>2007</v>
      </c>
      <c r="I974" s="264">
        <v>40000</v>
      </c>
    </row>
    <row r="975" spans="1:9" x14ac:dyDescent="0.2">
      <c r="A975" s="225">
        <v>973</v>
      </c>
      <c r="B975" s="226">
        <v>42467</v>
      </c>
      <c r="C975" s="226">
        <v>42485</v>
      </c>
      <c r="D975" s="233" t="s">
        <v>1092</v>
      </c>
      <c r="E975" s="227" t="s">
        <v>422</v>
      </c>
      <c r="F975" s="227" t="s">
        <v>701</v>
      </c>
      <c r="G975" s="263" t="s">
        <v>2008</v>
      </c>
      <c r="H975" s="263" t="s">
        <v>2010</v>
      </c>
      <c r="I975" s="264">
        <v>36000</v>
      </c>
    </row>
    <row r="976" spans="1:9" x14ac:dyDescent="0.2">
      <c r="A976" s="225">
        <v>974</v>
      </c>
      <c r="B976" s="226">
        <v>42467</v>
      </c>
      <c r="C976" s="226">
        <v>42485</v>
      </c>
      <c r="D976" s="233" t="s">
        <v>1092</v>
      </c>
      <c r="E976" s="227" t="s">
        <v>422</v>
      </c>
      <c r="F976" s="227" t="s">
        <v>701</v>
      </c>
      <c r="G976" s="263" t="s">
        <v>2009</v>
      </c>
      <c r="H976" s="263" t="s">
        <v>2011</v>
      </c>
      <c r="I976" s="264">
        <v>19500</v>
      </c>
    </row>
    <row r="977" spans="1:9" x14ac:dyDescent="0.2">
      <c r="A977" s="225">
        <v>975</v>
      </c>
      <c r="B977" s="226">
        <v>42468</v>
      </c>
      <c r="C977" s="226">
        <v>42485</v>
      </c>
      <c r="D977" s="233" t="s">
        <v>1092</v>
      </c>
      <c r="E977" s="227" t="s">
        <v>422</v>
      </c>
      <c r="F977" s="227" t="s">
        <v>701</v>
      </c>
      <c r="G977" s="263" t="s">
        <v>2012</v>
      </c>
      <c r="H977" s="263" t="s">
        <v>2013</v>
      </c>
      <c r="I977" s="264">
        <v>21200</v>
      </c>
    </row>
    <row r="978" spans="1:9" x14ac:dyDescent="0.2">
      <c r="A978" s="225">
        <v>976</v>
      </c>
      <c r="B978" s="226">
        <v>42472</v>
      </c>
      <c r="C978" s="226">
        <v>42487</v>
      </c>
      <c r="D978" s="233" t="s">
        <v>1092</v>
      </c>
      <c r="E978" s="227" t="s">
        <v>392</v>
      </c>
      <c r="F978" s="227" t="s">
        <v>393</v>
      </c>
      <c r="G978" s="263" t="s">
        <v>2014</v>
      </c>
      <c r="H978" s="263" t="s">
        <v>2017</v>
      </c>
      <c r="I978" s="264">
        <v>25200</v>
      </c>
    </row>
    <row r="979" spans="1:9" x14ac:dyDescent="0.2">
      <c r="A979" s="225">
        <v>977</v>
      </c>
      <c r="B979" s="226">
        <v>42472</v>
      </c>
      <c r="C979" s="226">
        <v>42487</v>
      </c>
      <c r="D979" s="233" t="s">
        <v>1092</v>
      </c>
      <c r="E979" s="227" t="s">
        <v>392</v>
      </c>
      <c r="F979" s="227" t="s">
        <v>71</v>
      </c>
      <c r="G979" s="263" t="s">
        <v>2015</v>
      </c>
      <c r="H979" s="263" t="s">
        <v>2018</v>
      </c>
      <c r="I979" s="264">
        <v>17426.759999999998</v>
      </c>
    </row>
    <row r="980" spans="1:9" x14ac:dyDescent="0.2">
      <c r="A980" s="225">
        <v>978</v>
      </c>
      <c r="B980" s="226">
        <v>42472</v>
      </c>
      <c r="C980" s="226">
        <v>42487</v>
      </c>
      <c r="D980" s="233" t="s">
        <v>1092</v>
      </c>
      <c r="E980" s="227" t="s">
        <v>422</v>
      </c>
      <c r="F980" s="227" t="s">
        <v>396</v>
      </c>
      <c r="G980" s="263" t="s">
        <v>2016</v>
      </c>
      <c r="H980" s="263" t="s">
        <v>2019</v>
      </c>
      <c r="I980" s="264">
        <v>37200</v>
      </c>
    </row>
    <row r="981" spans="1:9" x14ac:dyDescent="0.2">
      <c r="A981" s="225">
        <v>979</v>
      </c>
      <c r="B981" s="269">
        <v>42478</v>
      </c>
      <c r="C981" s="269">
        <v>42529</v>
      </c>
      <c r="D981" s="233" t="s">
        <v>1092</v>
      </c>
      <c r="E981" s="227" t="s">
        <v>422</v>
      </c>
      <c r="F981" s="227" t="s">
        <v>396</v>
      </c>
      <c r="G981" s="270" t="s">
        <v>2020</v>
      </c>
      <c r="H981" s="270" t="s">
        <v>2021</v>
      </c>
      <c r="I981" s="271">
        <v>863513.89</v>
      </c>
    </row>
    <row r="982" spans="1:9" x14ac:dyDescent="0.2">
      <c r="A982" s="225">
        <v>980</v>
      </c>
      <c r="B982" s="226">
        <v>42479</v>
      </c>
      <c r="C982" s="226">
        <v>42529</v>
      </c>
      <c r="D982" s="233" t="s">
        <v>1092</v>
      </c>
      <c r="E982" s="227" t="s">
        <v>392</v>
      </c>
      <c r="F982" s="227" t="s">
        <v>9</v>
      </c>
      <c r="G982" s="263" t="s">
        <v>2022</v>
      </c>
      <c r="H982" s="263" t="s">
        <v>2024</v>
      </c>
      <c r="I982" s="264">
        <v>704741</v>
      </c>
    </row>
    <row r="983" spans="1:9" x14ac:dyDescent="0.2">
      <c r="A983" s="225">
        <v>981</v>
      </c>
      <c r="B983" s="226">
        <v>42479</v>
      </c>
      <c r="C983" s="226">
        <v>42529</v>
      </c>
      <c r="D983" s="233" t="s">
        <v>1092</v>
      </c>
      <c r="E983" s="227" t="s">
        <v>422</v>
      </c>
      <c r="F983" s="227" t="s">
        <v>1276</v>
      </c>
      <c r="G983" s="263" t="s">
        <v>2023</v>
      </c>
      <c r="H983" s="263" t="s">
        <v>2025</v>
      </c>
      <c r="I983" s="264">
        <v>483000</v>
      </c>
    </row>
    <row r="984" spans="1:9" x14ac:dyDescent="0.2">
      <c r="A984" s="225">
        <v>982</v>
      </c>
      <c r="B984" s="226">
        <v>42507</v>
      </c>
      <c r="C984" s="226">
        <v>42515</v>
      </c>
      <c r="D984" s="233" t="s">
        <v>1092</v>
      </c>
      <c r="E984" s="227" t="s">
        <v>392</v>
      </c>
      <c r="F984" s="227" t="s">
        <v>71</v>
      </c>
      <c r="G984" s="263" t="s">
        <v>2026</v>
      </c>
      <c r="H984" s="263" t="s">
        <v>2027</v>
      </c>
      <c r="I984" s="264">
        <v>115047.26</v>
      </c>
    </row>
    <row r="985" spans="1:9" x14ac:dyDescent="0.2">
      <c r="A985" s="225">
        <v>983</v>
      </c>
      <c r="B985" s="226">
        <v>42513</v>
      </c>
      <c r="C985" s="226">
        <v>42562</v>
      </c>
      <c r="D985" s="233" t="s">
        <v>1092</v>
      </c>
      <c r="E985" s="227" t="s">
        <v>422</v>
      </c>
      <c r="F985" s="227" t="s">
        <v>701</v>
      </c>
      <c r="G985" s="263" t="s">
        <v>2028</v>
      </c>
      <c r="H985" s="263" t="s">
        <v>2030</v>
      </c>
      <c r="I985" s="264">
        <v>360500</v>
      </c>
    </row>
    <row r="986" spans="1:9" x14ac:dyDescent="0.2">
      <c r="A986" s="225">
        <v>984</v>
      </c>
      <c r="B986" s="226">
        <v>42513</v>
      </c>
      <c r="C986" s="226">
        <v>42562</v>
      </c>
      <c r="D986" s="233" t="s">
        <v>1092</v>
      </c>
      <c r="E986" s="227" t="s">
        <v>422</v>
      </c>
      <c r="F986" s="227" t="s">
        <v>701</v>
      </c>
      <c r="G986" s="263" t="s">
        <v>2029</v>
      </c>
      <c r="H986" s="263" t="s">
        <v>2031</v>
      </c>
      <c r="I986" s="264">
        <v>285240</v>
      </c>
    </row>
    <row r="987" spans="1:9" x14ac:dyDescent="0.2">
      <c r="A987" s="225">
        <v>985</v>
      </c>
      <c r="B987" s="226">
        <v>42514</v>
      </c>
      <c r="C987" s="226">
        <v>42550</v>
      </c>
      <c r="D987" s="233" t="s">
        <v>1092</v>
      </c>
      <c r="E987" s="227" t="s">
        <v>422</v>
      </c>
      <c r="F987" s="227" t="s">
        <v>701</v>
      </c>
      <c r="G987" s="263" t="s">
        <v>2032</v>
      </c>
      <c r="H987" s="263" t="s">
        <v>2033</v>
      </c>
      <c r="I987" s="264">
        <v>270000</v>
      </c>
    </row>
    <row r="988" spans="1:9" x14ac:dyDescent="0.2">
      <c r="A988" s="225">
        <v>986</v>
      </c>
      <c r="B988" s="226">
        <v>42517</v>
      </c>
      <c r="C988" s="226">
        <v>42527</v>
      </c>
      <c r="D988" s="233" t="s">
        <v>1092</v>
      </c>
      <c r="E988" s="227" t="s">
        <v>392</v>
      </c>
      <c r="F988" s="227" t="s">
        <v>393</v>
      </c>
      <c r="G988" s="263" t="s">
        <v>2034</v>
      </c>
      <c r="H988" s="263" t="s">
        <v>2036</v>
      </c>
      <c r="I988" s="264">
        <v>54500</v>
      </c>
    </row>
    <row r="989" spans="1:9" x14ac:dyDescent="0.2">
      <c r="A989" s="225">
        <v>987</v>
      </c>
      <c r="B989" s="226">
        <v>42517</v>
      </c>
      <c r="C989" s="226">
        <v>42527</v>
      </c>
      <c r="D989" s="233" t="s">
        <v>1092</v>
      </c>
      <c r="E989" s="227" t="s">
        <v>392</v>
      </c>
      <c r="F989" s="227" t="s">
        <v>71</v>
      </c>
      <c r="G989" s="263" t="s">
        <v>2035</v>
      </c>
      <c r="H989" s="263" t="s">
        <v>2037</v>
      </c>
      <c r="I989" s="264">
        <v>23056.400000000001</v>
      </c>
    </row>
    <row r="990" spans="1:9" x14ac:dyDescent="0.2">
      <c r="A990" s="225">
        <v>988</v>
      </c>
      <c r="B990" s="226">
        <v>42523</v>
      </c>
      <c r="C990" s="226">
        <v>42541</v>
      </c>
      <c r="D990" s="233" t="s">
        <v>1092</v>
      </c>
      <c r="E990" s="227" t="s">
        <v>422</v>
      </c>
      <c r="F990" s="227" t="s">
        <v>71</v>
      </c>
      <c r="G990" s="263" t="s">
        <v>2038</v>
      </c>
      <c r="H990" s="263" t="s">
        <v>2039</v>
      </c>
      <c r="I990" s="264">
        <v>85390.38</v>
      </c>
    </row>
    <row r="991" spans="1:9" x14ac:dyDescent="0.2">
      <c r="A991" s="225">
        <v>989</v>
      </c>
      <c r="B991" s="226">
        <v>42524</v>
      </c>
      <c r="C991" s="226">
        <v>42541</v>
      </c>
      <c r="D991" s="233" t="s">
        <v>1092</v>
      </c>
      <c r="E991" s="227" t="s">
        <v>422</v>
      </c>
      <c r="F991" s="227" t="s">
        <v>1276</v>
      </c>
      <c r="G991" s="263" t="s">
        <v>2040</v>
      </c>
      <c r="H991" s="263" t="s">
        <v>2041</v>
      </c>
      <c r="I991" s="264">
        <v>75000</v>
      </c>
    </row>
    <row r="992" spans="1:9" x14ac:dyDescent="0.2">
      <c r="A992" s="225">
        <v>990</v>
      </c>
      <c r="B992" s="226">
        <v>42527</v>
      </c>
      <c r="C992" s="226">
        <v>42543</v>
      </c>
      <c r="D992" s="233" t="s">
        <v>1092</v>
      </c>
      <c r="E992" s="227" t="s">
        <v>392</v>
      </c>
      <c r="F992" s="227" t="s">
        <v>1272</v>
      </c>
      <c r="G992" s="263" t="s">
        <v>1865</v>
      </c>
      <c r="H992" s="263" t="s">
        <v>2048</v>
      </c>
      <c r="I992" s="264">
        <v>103500</v>
      </c>
    </row>
    <row r="993" spans="1:9" x14ac:dyDescent="0.2">
      <c r="A993" s="225">
        <v>991</v>
      </c>
      <c r="B993" s="226">
        <v>42527</v>
      </c>
      <c r="C993" s="226">
        <v>42543</v>
      </c>
      <c r="D993" s="233" t="s">
        <v>1092</v>
      </c>
      <c r="E993" s="227" t="s">
        <v>392</v>
      </c>
      <c r="F993" s="227" t="s">
        <v>1272</v>
      </c>
      <c r="G993" s="263" t="s">
        <v>2042</v>
      </c>
      <c r="H993" s="263" t="s">
        <v>2049</v>
      </c>
      <c r="I993" s="264">
        <v>102805.59</v>
      </c>
    </row>
    <row r="994" spans="1:9" x14ac:dyDescent="0.2">
      <c r="A994" s="225">
        <v>992</v>
      </c>
      <c r="B994" s="226">
        <v>42527</v>
      </c>
      <c r="C994" s="226">
        <v>42543</v>
      </c>
      <c r="D994" s="233" t="s">
        <v>1092</v>
      </c>
      <c r="E994" s="227" t="s">
        <v>392</v>
      </c>
      <c r="F994" s="227" t="s">
        <v>1272</v>
      </c>
      <c r="G994" s="263" t="s">
        <v>2043</v>
      </c>
      <c r="H994" s="263" t="s">
        <v>2050</v>
      </c>
      <c r="I994" s="264">
        <v>25900</v>
      </c>
    </row>
    <row r="995" spans="1:9" x14ac:dyDescent="0.2">
      <c r="A995" s="225">
        <v>993</v>
      </c>
      <c r="B995" s="226">
        <v>42527</v>
      </c>
      <c r="C995" s="226">
        <v>42543</v>
      </c>
      <c r="D995" s="233" t="s">
        <v>1092</v>
      </c>
      <c r="E995" s="227" t="s">
        <v>392</v>
      </c>
      <c r="F995" s="227" t="s">
        <v>1272</v>
      </c>
      <c r="G995" s="263" t="s">
        <v>2044</v>
      </c>
      <c r="H995" s="263" t="s">
        <v>2051</v>
      </c>
      <c r="I995" s="264">
        <v>20561.12</v>
      </c>
    </row>
    <row r="996" spans="1:9" x14ac:dyDescent="0.2">
      <c r="A996" s="225">
        <v>994</v>
      </c>
      <c r="B996" s="226">
        <v>42527</v>
      </c>
      <c r="C996" s="226">
        <v>42543</v>
      </c>
      <c r="D996" s="233" t="s">
        <v>1092</v>
      </c>
      <c r="E996" s="227" t="s">
        <v>422</v>
      </c>
      <c r="F996" s="227" t="s">
        <v>1276</v>
      </c>
      <c r="G996" s="263" t="s">
        <v>2045</v>
      </c>
      <c r="H996" s="263" t="s">
        <v>2052</v>
      </c>
      <c r="I996" s="264">
        <v>42740</v>
      </c>
    </row>
    <row r="997" spans="1:9" x14ac:dyDescent="0.2">
      <c r="A997" s="225">
        <v>995</v>
      </c>
      <c r="B997" s="226">
        <v>42527</v>
      </c>
      <c r="C997" s="226">
        <v>42543</v>
      </c>
      <c r="D997" s="233" t="s">
        <v>1092</v>
      </c>
      <c r="E997" s="227" t="s">
        <v>392</v>
      </c>
      <c r="F997" s="227" t="s">
        <v>71</v>
      </c>
      <c r="G997" s="263" t="s">
        <v>2046</v>
      </c>
      <c r="H997" s="263" t="s">
        <v>2053</v>
      </c>
      <c r="I997" s="264">
        <v>45441.91</v>
      </c>
    </row>
    <row r="998" spans="1:9" x14ac:dyDescent="0.2">
      <c r="A998" s="225">
        <v>996</v>
      </c>
      <c r="B998" s="226">
        <v>42527</v>
      </c>
      <c r="C998" s="226">
        <v>42543</v>
      </c>
      <c r="D998" s="233" t="s">
        <v>1092</v>
      </c>
      <c r="E998" s="227" t="s">
        <v>392</v>
      </c>
      <c r="F998" s="227" t="s">
        <v>71</v>
      </c>
      <c r="G998" s="263" t="s">
        <v>2047</v>
      </c>
      <c r="H998" s="263" t="s">
        <v>2054</v>
      </c>
      <c r="I998" s="264">
        <v>36238.339999999997</v>
      </c>
    </row>
    <row r="999" spans="1:9" x14ac:dyDescent="0.2">
      <c r="A999" s="225">
        <v>997</v>
      </c>
      <c r="B999" s="226">
        <v>42528</v>
      </c>
      <c r="C999" s="226">
        <v>42543</v>
      </c>
      <c r="D999" s="233" t="s">
        <v>1092</v>
      </c>
      <c r="E999" s="227" t="s">
        <v>422</v>
      </c>
      <c r="F999" s="227" t="s">
        <v>1276</v>
      </c>
      <c r="G999" s="263" t="s">
        <v>2055</v>
      </c>
      <c r="H999" s="263" t="s">
        <v>2057</v>
      </c>
      <c r="I999" s="264">
        <v>21966.67</v>
      </c>
    </row>
    <row r="1000" spans="1:9" x14ac:dyDescent="0.2">
      <c r="A1000" s="225">
        <v>998</v>
      </c>
      <c r="B1000" s="226">
        <v>42528</v>
      </c>
      <c r="C1000" s="226">
        <v>42548</v>
      </c>
      <c r="D1000" s="233" t="s">
        <v>1092</v>
      </c>
      <c r="E1000" s="227" t="s">
        <v>422</v>
      </c>
      <c r="F1000" s="227" t="s">
        <v>1276</v>
      </c>
      <c r="G1000" s="263" t="s">
        <v>2056</v>
      </c>
      <c r="H1000" s="263" t="s">
        <v>2058</v>
      </c>
      <c r="I1000" s="264">
        <v>30360</v>
      </c>
    </row>
    <row r="1001" spans="1:9" x14ac:dyDescent="0.2">
      <c r="A1001" s="225">
        <v>999</v>
      </c>
      <c r="B1001" s="226">
        <v>42529</v>
      </c>
      <c r="C1001" s="226">
        <v>42548</v>
      </c>
      <c r="D1001" s="233" t="s">
        <v>1092</v>
      </c>
      <c r="E1001" s="227" t="s">
        <v>422</v>
      </c>
      <c r="F1001" s="227" t="s">
        <v>701</v>
      </c>
      <c r="G1001" s="263" t="s">
        <v>2059</v>
      </c>
      <c r="H1001" s="263" t="s">
        <v>2060</v>
      </c>
      <c r="I1001" s="264">
        <v>29400</v>
      </c>
    </row>
    <row r="1002" spans="1:9" x14ac:dyDescent="0.2">
      <c r="A1002" s="225">
        <v>1000</v>
      </c>
      <c r="B1002" s="226">
        <v>42529</v>
      </c>
      <c r="C1002" s="226">
        <v>42548</v>
      </c>
      <c r="D1002" s="233" t="s">
        <v>1092</v>
      </c>
      <c r="E1002" s="227" t="s">
        <v>422</v>
      </c>
      <c r="F1002" s="227" t="s">
        <v>701</v>
      </c>
      <c r="G1002" s="263" t="s">
        <v>2061</v>
      </c>
      <c r="H1002" s="263" t="s">
        <v>2064</v>
      </c>
      <c r="I1002" s="264">
        <v>30950</v>
      </c>
    </row>
    <row r="1003" spans="1:9" x14ac:dyDescent="0.2">
      <c r="A1003" s="225">
        <v>1001</v>
      </c>
      <c r="B1003" s="226">
        <v>42529</v>
      </c>
      <c r="C1003" s="226">
        <v>42548</v>
      </c>
      <c r="D1003" s="233" t="s">
        <v>1092</v>
      </c>
      <c r="E1003" s="227" t="s">
        <v>422</v>
      </c>
      <c r="F1003" s="227" t="s">
        <v>701</v>
      </c>
      <c r="G1003" s="263" t="s">
        <v>2062</v>
      </c>
      <c r="H1003" s="263" t="s">
        <v>2065</v>
      </c>
      <c r="I1003" s="264">
        <v>33250</v>
      </c>
    </row>
    <row r="1004" spans="1:9" x14ac:dyDescent="0.2">
      <c r="A1004" s="225">
        <v>1002</v>
      </c>
      <c r="B1004" s="226">
        <v>42529</v>
      </c>
      <c r="C1004" s="226">
        <v>42548</v>
      </c>
      <c r="D1004" s="233" t="s">
        <v>1092</v>
      </c>
      <c r="E1004" s="227" t="s">
        <v>422</v>
      </c>
      <c r="F1004" s="227" t="s">
        <v>701</v>
      </c>
      <c r="G1004" s="263" t="s">
        <v>2063</v>
      </c>
      <c r="H1004" s="263" t="s">
        <v>2066</v>
      </c>
      <c r="I1004" s="264">
        <v>37200</v>
      </c>
    </row>
    <row r="1005" spans="1:9" x14ac:dyDescent="0.2">
      <c r="A1005" s="225">
        <v>1003</v>
      </c>
      <c r="B1005" s="226">
        <v>42534</v>
      </c>
      <c r="C1005" s="226">
        <v>42550</v>
      </c>
      <c r="D1005" s="233" t="s">
        <v>1092</v>
      </c>
      <c r="E1005" s="227" t="s">
        <v>422</v>
      </c>
      <c r="F1005" s="227" t="s">
        <v>396</v>
      </c>
      <c r="G1005" s="263" t="s">
        <v>2067</v>
      </c>
      <c r="H1005" s="263" t="s">
        <v>2068</v>
      </c>
      <c r="I1005" s="264">
        <v>74083.33</v>
      </c>
    </row>
    <row r="1006" spans="1:9" x14ac:dyDescent="0.2">
      <c r="A1006" s="225">
        <v>1004</v>
      </c>
      <c r="B1006" s="226">
        <v>42536</v>
      </c>
      <c r="C1006" s="226">
        <v>42555</v>
      </c>
      <c r="D1006" s="233" t="s">
        <v>1092</v>
      </c>
      <c r="E1006" s="227" t="s">
        <v>422</v>
      </c>
      <c r="F1006" s="227" t="s">
        <v>701</v>
      </c>
      <c r="G1006" s="263" t="s">
        <v>2069</v>
      </c>
      <c r="H1006" s="263" t="s">
        <v>2071</v>
      </c>
      <c r="I1006" s="264">
        <v>30000</v>
      </c>
    </row>
    <row r="1007" spans="1:9" x14ac:dyDescent="0.2">
      <c r="A1007" s="225">
        <v>1005</v>
      </c>
      <c r="B1007" s="226">
        <v>42536</v>
      </c>
      <c r="C1007" s="226">
        <v>42555</v>
      </c>
      <c r="D1007" s="233" t="s">
        <v>1092</v>
      </c>
      <c r="E1007" s="227" t="s">
        <v>422</v>
      </c>
      <c r="F1007" s="227" t="s">
        <v>701</v>
      </c>
      <c r="G1007" s="263" t="s">
        <v>2070</v>
      </c>
      <c r="H1007" s="263" t="s">
        <v>2072</v>
      </c>
      <c r="I1007" s="264">
        <v>33050</v>
      </c>
    </row>
    <row r="1008" spans="1:9" x14ac:dyDescent="0.2">
      <c r="A1008" s="225">
        <v>1006</v>
      </c>
      <c r="B1008" s="226">
        <v>42544</v>
      </c>
      <c r="C1008" s="226">
        <v>42562</v>
      </c>
      <c r="D1008" s="233" t="s">
        <v>1092</v>
      </c>
      <c r="E1008" s="227" t="s">
        <v>422</v>
      </c>
      <c r="F1008" s="227" t="s">
        <v>701</v>
      </c>
      <c r="G1008" s="263" t="s">
        <v>2073</v>
      </c>
      <c r="H1008" s="263" t="s">
        <v>2074</v>
      </c>
      <c r="I1008" s="264">
        <v>65600</v>
      </c>
    </row>
    <row r="1009" spans="1:9" x14ac:dyDescent="0.2">
      <c r="A1009" s="225">
        <v>1007</v>
      </c>
      <c r="B1009" s="226">
        <v>42549</v>
      </c>
      <c r="C1009" s="226">
        <v>42564</v>
      </c>
      <c r="D1009" s="233" t="s">
        <v>1092</v>
      </c>
      <c r="E1009" s="227" t="s">
        <v>392</v>
      </c>
      <c r="F1009" s="227" t="s">
        <v>393</v>
      </c>
      <c r="G1009" s="263" t="s">
        <v>2075</v>
      </c>
      <c r="H1009" s="263" t="s">
        <v>2076</v>
      </c>
      <c r="I1009" s="264">
        <v>23200</v>
      </c>
    </row>
    <row r="1010" spans="1:9" x14ac:dyDescent="0.2">
      <c r="A1010" s="225">
        <v>1008</v>
      </c>
      <c r="B1010" s="226">
        <v>42550</v>
      </c>
      <c r="C1010" s="226">
        <v>42569</v>
      </c>
      <c r="D1010" s="233" t="s">
        <v>1092</v>
      </c>
      <c r="E1010" s="227" t="s">
        <v>422</v>
      </c>
      <c r="F1010" s="227" t="s">
        <v>701</v>
      </c>
      <c r="G1010" s="263" t="s">
        <v>2077</v>
      </c>
      <c r="H1010" s="263" t="s">
        <v>2078</v>
      </c>
      <c r="I1010" s="264">
        <v>91500</v>
      </c>
    </row>
    <row r="1011" spans="1:9" x14ac:dyDescent="0.2">
      <c r="A1011" s="225">
        <v>1009</v>
      </c>
      <c r="B1011" s="226">
        <v>42550</v>
      </c>
      <c r="C1011" s="226">
        <v>42569</v>
      </c>
      <c r="D1011" s="233" t="s">
        <v>1092</v>
      </c>
      <c r="E1011" s="227" t="s">
        <v>422</v>
      </c>
      <c r="F1011" s="227" t="s">
        <v>701</v>
      </c>
      <c r="G1011" s="263" t="s">
        <v>1914</v>
      </c>
      <c r="H1011" s="263" t="s">
        <v>2079</v>
      </c>
      <c r="I1011" s="264">
        <v>25500</v>
      </c>
    </row>
    <row r="1012" spans="1:9" x14ac:dyDescent="0.2">
      <c r="A1012" s="225">
        <v>1010</v>
      </c>
      <c r="B1012" s="226">
        <v>42556</v>
      </c>
      <c r="C1012" s="226">
        <v>42576</v>
      </c>
      <c r="D1012" s="233" t="s">
        <v>1092</v>
      </c>
      <c r="E1012" s="227" t="s">
        <v>392</v>
      </c>
      <c r="F1012" s="227" t="s">
        <v>9</v>
      </c>
      <c r="G1012" s="263" t="s">
        <v>2080</v>
      </c>
      <c r="H1012" s="263" t="s">
        <v>2082</v>
      </c>
      <c r="I1012" s="264">
        <v>63124</v>
      </c>
    </row>
    <row r="1013" spans="1:9" x14ac:dyDescent="0.2">
      <c r="A1013" s="225">
        <v>1011</v>
      </c>
      <c r="B1013" s="226">
        <v>42556</v>
      </c>
      <c r="C1013" s="226">
        <v>42576</v>
      </c>
      <c r="D1013" s="233" t="s">
        <v>1092</v>
      </c>
      <c r="E1013" s="227" t="s">
        <v>392</v>
      </c>
      <c r="F1013" s="227" t="s">
        <v>9</v>
      </c>
      <c r="G1013" s="263" t="s">
        <v>2081</v>
      </c>
      <c r="H1013" s="263" t="s">
        <v>2083</v>
      </c>
      <c r="I1013" s="264">
        <v>63733</v>
      </c>
    </row>
    <row r="1014" spans="1:9" x14ac:dyDescent="0.2">
      <c r="A1014" s="225">
        <v>1012</v>
      </c>
      <c r="B1014" s="226">
        <v>42558</v>
      </c>
      <c r="C1014" s="226">
        <v>42611</v>
      </c>
      <c r="D1014" s="233" t="s">
        <v>1092</v>
      </c>
      <c r="E1014" s="227" t="s">
        <v>422</v>
      </c>
      <c r="F1014" s="227" t="s">
        <v>701</v>
      </c>
      <c r="G1014" s="263" t="s">
        <v>2084</v>
      </c>
      <c r="H1014" s="263" t="s">
        <v>2089</v>
      </c>
      <c r="I1014" s="264">
        <v>70000</v>
      </c>
    </row>
    <row r="1015" spans="1:9" x14ac:dyDescent="0.2">
      <c r="A1015" s="225">
        <v>1013</v>
      </c>
      <c r="B1015" s="226">
        <v>42558</v>
      </c>
      <c r="C1015" s="226">
        <v>42578</v>
      </c>
      <c r="D1015" s="233" t="s">
        <v>1092</v>
      </c>
      <c r="E1015" s="227" t="s">
        <v>392</v>
      </c>
      <c r="F1015" s="227" t="s">
        <v>9</v>
      </c>
      <c r="G1015" s="263" t="s">
        <v>2085</v>
      </c>
      <c r="H1015" s="263" t="s">
        <v>2090</v>
      </c>
      <c r="I1015" s="264">
        <v>81824</v>
      </c>
    </row>
    <row r="1016" spans="1:9" x14ac:dyDescent="0.2">
      <c r="A1016" s="225">
        <v>1014</v>
      </c>
      <c r="B1016" s="226">
        <v>42558</v>
      </c>
      <c r="C1016" s="226">
        <v>42611</v>
      </c>
      <c r="D1016" s="233" t="s">
        <v>1092</v>
      </c>
      <c r="E1016" s="227" t="s">
        <v>422</v>
      </c>
      <c r="F1016" s="227" t="s">
        <v>701</v>
      </c>
      <c r="G1016" s="263" t="s">
        <v>2086</v>
      </c>
      <c r="H1016" s="263" t="s">
        <v>2091</v>
      </c>
      <c r="I1016" s="264">
        <v>60000</v>
      </c>
    </row>
    <row r="1017" spans="1:9" x14ac:dyDescent="0.2">
      <c r="A1017" s="225">
        <v>1015</v>
      </c>
      <c r="B1017" s="226">
        <v>42558</v>
      </c>
      <c r="C1017" s="226">
        <v>42611</v>
      </c>
      <c r="D1017" s="233" t="s">
        <v>1092</v>
      </c>
      <c r="E1017" s="227" t="s">
        <v>422</v>
      </c>
      <c r="F1017" s="227" t="s">
        <v>701</v>
      </c>
      <c r="G1017" s="263" t="s">
        <v>2087</v>
      </c>
      <c r="H1017" s="263" t="s">
        <v>2092</v>
      </c>
      <c r="I1017" s="264">
        <v>75000</v>
      </c>
    </row>
    <row r="1018" spans="1:9" x14ac:dyDescent="0.2">
      <c r="A1018" s="225">
        <v>1016</v>
      </c>
      <c r="B1018" s="226">
        <v>42558</v>
      </c>
      <c r="C1018" s="226">
        <v>42578</v>
      </c>
      <c r="D1018" s="233" t="s">
        <v>1092</v>
      </c>
      <c r="E1018" s="227" t="s">
        <v>392</v>
      </c>
      <c r="F1018" s="227" t="s">
        <v>9</v>
      </c>
      <c r="G1018" s="263" t="s">
        <v>2088</v>
      </c>
      <c r="H1018" s="263" t="s">
        <v>2093</v>
      </c>
      <c r="I1018" s="264">
        <v>118243</v>
      </c>
    </row>
    <row r="1019" spans="1:9" x14ac:dyDescent="0.2">
      <c r="A1019" s="272">
        <v>1017</v>
      </c>
      <c r="B1019" s="273">
        <v>42563</v>
      </c>
      <c r="C1019" s="273">
        <v>42613</v>
      </c>
      <c r="D1019" s="233" t="s">
        <v>1092</v>
      </c>
      <c r="E1019" s="274" t="s">
        <v>422</v>
      </c>
      <c r="F1019" s="274" t="s">
        <v>701</v>
      </c>
      <c r="G1019" s="275" t="s">
        <v>2094</v>
      </c>
      <c r="H1019" s="275" t="s">
        <v>2096</v>
      </c>
      <c r="I1019" s="276">
        <v>1631200</v>
      </c>
    </row>
    <row r="1020" spans="1:9" x14ac:dyDescent="0.2">
      <c r="A1020" s="225">
        <v>1018</v>
      </c>
      <c r="B1020" s="226">
        <v>42563</v>
      </c>
      <c r="C1020" s="226">
        <v>42613</v>
      </c>
      <c r="D1020" s="233" t="s">
        <v>1092</v>
      </c>
      <c r="E1020" s="227" t="s">
        <v>392</v>
      </c>
      <c r="F1020" s="227" t="s">
        <v>393</v>
      </c>
      <c r="G1020" s="263" t="s">
        <v>2095</v>
      </c>
      <c r="H1020" s="263" t="s">
        <v>2097</v>
      </c>
      <c r="I1020" s="264">
        <v>707400</v>
      </c>
    </row>
    <row r="1021" spans="1:9" x14ac:dyDescent="0.2">
      <c r="A1021" s="277">
        <v>1019</v>
      </c>
      <c r="B1021" s="226">
        <v>42569</v>
      </c>
      <c r="C1021" s="226">
        <v>42618</v>
      </c>
      <c r="D1021" s="233" t="s">
        <v>1092</v>
      </c>
      <c r="E1021" s="227" t="s">
        <v>392</v>
      </c>
      <c r="F1021" s="227" t="s">
        <v>9</v>
      </c>
      <c r="G1021" s="263" t="s">
        <v>2098</v>
      </c>
      <c r="H1021" s="263" t="s">
        <v>2099</v>
      </c>
      <c r="I1021" s="264">
        <v>334252</v>
      </c>
    </row>
    <row r="1022" spans="1:9" x14ac:dyDescent="0.2">
      <c r="A1022" s="225">
        <v>1020</v>
      </c>
      <c r="B1022" s="226">
        <v>42569</v>
      </c>
      <c r="C1022" s="226">
        <v>42618</v>
      </c>
      <c r="D1022" s="233" t="s">
        <v>1092</v>
      </c>
      <c r="E1022" s="227" t="s">
        <v>422</v>
      </c>
      <c r="F1022" s="227" t="s">
        <v>701</v>
      </c>
      <c r="G1022" s="263" t="s">
        <v>2104</v>
      </c>
      <c r="H1022" s="263" t="s">
        <v>2107</v>
      </c>
      <c r="I1022" s="264">
        <v>114900</v>
      </c>
    </row>
    <row r="1023" spans="1:9" x14ac:dyDescent="0.2">
      <c r="A1023" s="277">
        <v>1021</v>
      </c>
      <c r="B1023" s="226">
        <v>42569</v>
      </c>
      <c r="C1023" s="226">
        <v>42618</v>
      </c>
      <c r="D1023" s="233" t="s">
        <v>1092</v>
      </c>
      <c r="E1023" s="227" t="s">
        <v>422</v>
      </c>
      <c r="F1023" s="227" t="s">
        <v>701</v>
      </c>
      <c r="G1023" s="263" t="s">
        <v>2108</v>
      </c>
      <c r="H1023" s="263" t="s">
        <v>2109</v>
      </c>
      <c r="I1023" s="264">
        <v>159329</v>
      </c>
    </row>
    <row r="1024" spans="1:9" x14ac:dyDescent="0.2">
      <c r="A1024" s="225">
        <v>1022</v>
      </c>
      <c r="B1024" s="226">
        <v>42570</v>
      </c>
      <c r="C1024" s="226">
        <v>42621</v>
      </c>
      <c r="D1024" s="233" t="s">
        <v>1092</v>
      </c>
      <c r="E1024" s="227" t="s">
        <v>392</v>
      </c>
      <c r="F1024" s="227" t="s">
        <v>9</v>
      </c>
      <c r="G1024" s="263" t="s">
        <v>2105</v>
      </c>
      <c r="H1024" s="263" t="s">
        <v>2106</v>
      </c>
      <c r="I1024" s="264">
        <v>69625</v>
      </c>
    </row>
    <row r="1025" spans="1:9" x14ac:dyDescent="0.2">
      <c r="A1025" s="277">
        <v>1023</v>
      </c>
      <c r="B1025" s="226">
        <v>42570</v>
      </c>
      <c r="C1025" s="226">
        <v>42618</v>
      </c>
      <c r="D1025" s="233" t="s">
        <v>1092</v>
      </c>
      <c r="E1025" s="227" t="s">
        <v>392</v>
      </c>
      <c r="F1025" s="227" t="s">
        <v>9</v>
      </c>
      <c r="G1025" s="263" t="s">
        <v>2110</v>
      </c>
      <c r="H1025" s="263" t="s">
        <v>2111</v>
      </c>
      <c r="I1025" s="264">
        <v>40675</v>
      </c>
    </row>
    <row r="1026" spans="1:9" x14ac:dyDescent="0.2">
      <c r="A1026" s="225">
        <v>1024</v>
      </c>
      <c r="B1026" s="226">
        <v>42569</v>
      </c>
      <c r="C1026" s="226">
        <v>42618</v>
      </c>
      <c r="D1026" s="233" t="s">
        <v>1092</v>
      </c>
      <c r="E1026" s="227" t="s">
        <v>422</v>
      </c>
      <c r="F1026" s="227" t="s">
        <v>701</v>
      </c>
      <c r="G1026" s="263" t="s">
        <v>2112</v>
      </c>
      <c r="H1026" s="263" t="s">
        <v>2113</v>
      </c>
      <c r="I1026" s="264">
        <v>72500</v>
      </c>
    </row>
    <row r="1027" spans="1:9" x14ac:dyDescent="0.2">
      <c r="A1027" s="277">
        <v>1025</v>
      </c>
      <c r="B1027" s="226">
        <v>42580</v>
      </c>
      <c r="C1027" s="226">
        <v>42632</v>
      </c>
      <c r="D1027" s="233" t="s">
        <v>1092</v>
      </c>
      <c r="E1027" s="227" t="s">
        <v>392</v>
      </c>
      <c r="F1027" s="227" t="s">
        <v>9</v>
      </c>
      <c r="G1027" s="263" t="s">
        <v>2114</v>
      </c>
      <c r="H1027" s="263" t="s">
        <v>2115</v>
      </c>
      <c r="I1027" s="264">
        <v>315562</v>
      </c>
    </row>
    <row r="1028" spans="1:9" x14ac:dyDescent="0.2">
      <c r="A1028" s="225">
        <v>1026</v>
      </c>
      <c r="B1028" s="226">
        <v>42583</v>
      </c>
      <c r="C1028" s="226">
        <v>42634</v>
      </c>
      <c r="D1028" s="233" t="s">
        <v>1092</v>
      </c>
      <c r="E1028" s="227" t="s">
        <v>422</v>
      </c>
      <c r="F1028" s="227" t="s">
        <v>701</v>
      </c>
      <c r="G1028" s="263" t="s">
        <v>2116</v>
      </c>
      <c r="H1028" s="263" t="s">
        <v>2118</v>
      </c>
      <c r="I1028" s="264">
        <v>482300</v>
      </c>
    </row>
    <row r="1029" spans="1:9" x14ac:dyDescent="0.2">
      <c r="A1029" s="277">
        <v>1027</v>
      </c>
      <c r="B1029" s="226">
        <v>42583</v>
      </c>
      <c r="C1029" s="226">
        <v>42634</v>
      </c>
      <c r="D1029" s="233" t="s">
        <v>1092</v>
      </c>
      <c r="E1029" s="227" t="s">
        <v>422</v>
      </c>
      <c r="F1029" s="227" t="s">
        <v>701</v>
      </c>
      <c r="G1029" s="263" t="s">
        <v>2117</v>
      </c>
      <c r="H1029" s="263" t="s">
        <v>2119</v>
      </c>
      <c r="I1029" s="264">
        <v>295000</v>
      </c>
    </row>
    <row r="1030" spans="1:9" x14ac:dyDescent="0.2">
      <c r="A1030" s="277">
        <v>1028</v>
      </c>
      <c r="B1030" s="226">
        <v>42586</v>
      </c>
      <c r="C1030" s="226">
        <v>42618</v>
      </c>
      <c r="D1030" s="233" t="s">
        <v>1092</v>
      </c>
      <c r="E1030" s="227" t="s">
        <v>392</v>
      </c>
      <c r="F1030" s="227" t="s">
        <v>1101</v>
      </c>
      <c r="G1030" s="263" t="s">
        <v>2120</v>
      </c>
      <c r="H1030" s="263" t="s">
        <v>2123</v>
      </c>
      <c r="I1030" s="264">
        <v>90000</v>
      </c>
    </row>
    <row r="1031" spans="1:9" x14ac:dyDescent="0.2">
      <c r="A1031" s="225">
        <v>1029</v>
      </c>
      <c r="B1031" s="226">
        <v>42586</v>
      </c>
      <c r="C1031" s="226">
        <v>42625</v>
      </c>
      <c r="D1031" s="233" t="s">
        <v>1092</v>
      </c>
      <c r="E1031" s="227" t="s">
        <v>392</v>
      </c>
      <c r="F1031" s="227" t="s">
        <v>71</v>
      </c>
      <c r="G1031" s="263" t="s">
        <v>2121</v>
      </c>
      <c r="H1031" s="263" t="s">
        <v>2124</v>
      </c>
      <c r="I1031" s="264">
        <v>48106.85</v>
      </c>
    </row>
    <row r="1032" spans="1:9" x14ac:dyDescent="0.2">
      <c r="A1032" s="277">
        <v>1030</v>
      </c>
      <c r="B1032" s="226">
        <v>42586</v>
      </c>
      <c r="C1032" s="226">
        <v>42533</v>
      </c>
      <c r="D1032" s="233" t="s">
        <v>1092</v>
      </c>
      <c r="E1032" s="227" t="s">
        <v>392</v>
      </c>
      <c r="F1032" s="227" t="s">
        <v>71</v>
      </c>
      <c r="G1032" s="263" t="s">
        <v>2122</v>
      </c>
      <c r="H1032" s="263" t="s">
        <v>2125</v>
      </c>
      <c r="I1032" s="264">
        <v>41446.86</v>
      </c>
    </row>
    <row r="1033" spans="1:9" x14ac:dyDescent="0.2">
      <c r="A1033" s="277">
        <v>1031</v>
      </c>
      <c r="B1033" s="226">
        <v>42590</v>
      </c>
      <c r="C1033" s="226">
        <v>42613</v>
      </c>
      <c r="D1033" s="233" t="s">
        <v>1092</v>
      </c>
      <c r="E1033" s="227" t="s">
        <v>422</v>
      </c>
      <c r="F1033" s="227" t="s">
        <v>396</v>
      </c>
      <c r="G1033" s="263" t="s">
        <v>2126</v>
      </c>
      <c r="H1033" s="263" t="s">
        <v>2141</v>
      </c>
      <c r="I1033" s="264">
        <v>17795.560000000001</v>
      </c>
    </row>
    <row r="1034" spans="1:9" x14ac:dyDescent="0.2">
      <c r="A1034" s="225">
        <v>1032</v>
      </c>
      <c r="B1034" s="226">
        <v>42590</v>
      </c>
      <c r="C1034" s="226">
        <v>42613</v>
      </c>
      <c r="D1034" s="233" t="s">
        <v>1092</v>
      </c>
      <c r="E1034" s="227" t="s">
        <v>422</v>
      </c>
      <c r="F1034" s="227" t="s">
        <v>396</v>
      </c>
      <c r="G1034" s="263" t="s">
        <v>2127</v>
      </c>
      <c r="H1034" s="263" t="s">
        <v>2142</v>
      </c>
      <c r="I1034" s="264">
        <v>79888.89</v>
      </c>
    </row>
    <row r="1035" spans="1:9" x14ac:dyDescent="0.2">
      <c r="A1035" s="277">
        <v>1033</v>
      </c>
      <c r="B1035" s="226">
        <v>42590</v>
      </c>
      <c r="C1035" s="226">
        <v>42613</v>
      </c>
      <c r="D1035" s="233" t="s">
        <v>1092</v>
      </c>
      <c r="E1035" s="227" t="s">
        <v>422</v>
      </c>
      <c r="F1035" s="227" t="s">
        <v>396</v>
      </c>
      <c r="G1035" s="263" t="s">
        <v>2128</v>
      </c>
      <c r="H1035" s="263" t="s">
        <v>2143</v>
      </c>
      <c r="I1035" s="264">
        <v>45400</v>
      </c>
    </row>
    <row r="1036" spans="1:9" x14ac:dyDescent="0.2">
      <c r="A1036" s="277">
        <v>1034</v>
      </c>
      <c r="B1036" s="226">
        <v>42590</v>
      </c>
      <c r="C1036" s="226">
        <v>42613</v>
      </c>
      <c r="D1036" s="233" t="s">
        <v>1092</v>
      </c>
      <c r="E1036" s="227" t="s">
        <v>422</v>
      </c>
      <c r="F1036" s="227" t="s">
        <v>396</v>
      </c>
      <c r="G1036" s="263" t="s">
        <v>2129</v>
      </c>
      <c r="H1036" s="263" t="s">
        <v>2144</v>
      </c>
      <c r="I1036" s="264">
        <v>106133.33</v>
      </c>
    </row>
    <row r="1037" spans="1:9" x14ac:dyDescent="0.2">
      <c r="A1037" s="225">
        <v>1035</v>
      </c>
      <c r="B1037" s="226">
        <v>42590</v>
      </c>
      <c r="C1037" s="226">
        <v>42613</v>
      </c>
      <c r="D1037" s="233" t="s">
        <v>1092</v>
      </c>
      <c r="E1037" s="227" t="s">
        <v>422</v>
      </c>
      <c r="F1037" s="227" t="s">
        <v>396</v>
      </c>
      <c r="G1037" s="263" t="s">
        <v>2130</v>
      </c>
      <c r="H1037" s="263" t="s">
        <v>2145</v>
      </c>
      <c r="I1037" s="264">
        <v>18322.22</v>
      </c>
    </row>
    <row r="1038" spans="1:9" x14ac:dyDescent="0.2">
      <c r="A1038" s="277">
        <v>1036</v>
      </c>
      <c r="B1038" s="226">
        <v>42590</v>
      </c>
      <c r="C1038" s="226">
        <v>42613</v>
      </c>
      <c r="D1038" s="233" t="s">
        <v>1092</v>
      </c>
      <c r="E1038" s="227" t="s">
        <v>422</v>
      </c>
      <c r="F1038" s="227" t="s">
        <v>396</v>
      </c>
      <c r="G1038" s="263" t="s">
        <v>2131</v>
      </c>
      <c r="H1038" s="263" t="s">
        <v>2146</v>
      </c>
      <c r="I1038" s="264">
        <v>23688.89</v>
      </c>
    </row>
    <row r="1039" spans="1:9" x14ac:dyDescent="0.2">
      <c r="A1039" s="277">
        <v>1037</v>
      </c>
      <c r="B1039" s="226">
        <v>42590</v>
      </c>
      <c r="C1039" s="226">
        <v>42613</v>
      </c>
      <c r="D1039" s="233" t="s">
        <v>1092</v>
      </c>
      <c r="E1039" s="227" t="s">
        <v>422</v>
      </c>
      <c r="F1039" s="227" t="s">
        <v>396</v>
      </c>
      <c r="G1039" s="263" t="s">
        <v>2132</v>
      </c>
      <c r="H1039" s="263" t="s">
        <v>2147</v>
      </c>
      <c r="I1039" s="264">
        <v>22022.22</v>
      </c>
    </row>
    <row r="1040" spans="1:9" x14ac:dyDescent="0.2">
      <c r="A1040" s="277">
        <v>1039</v>
      </c>
      <c r="B1040" s="226">
        <v>42601</v>
      </c>
      <c r="C1040" s="226">
        <v>42632</v>
      </c>
      <c r="D1040" s="233" t="s">
        <v>1092</v>
      </c>
      <c r="E1040" s="227" t="s">
        <v>392</v>
      </c>
      <c r="F1040" s="227" t="s">
        <v>71</v>
      </c>
      <c r="G1040" s="263" t="s">
        <v>2133</v>
      </c>
      <c r="H1040" s="263" t="s">
        <v>2148</v>
      </c>
      <c r="I1040" s="264">
        <v>59201.94</v>
      </c>
    </row>
    <row r="1041" spans="1:9" x14ac:dyDescent="0.2">
      <c r="A1041" s="277">
        <v>1040</v>
      </c>
      <c r="B1041" s="226">
        <v>42601</v>
      </c>
      <c r="C1041" s="226">
        <v>42632</v>
      </c>
      <c r="D1041" s="233" t="s">
        <v>1092</v>
      </c>
      <c r="E1041" s="227" t="s">
        <v>392</v>
      </c>
      <c r="F1041" s="227" t="s">
        <v>71</v>
      </c>
      <c r="G1041" s="263" t="s">
        <v>2134</v>
      </c>
      <c r="H1041" s="263" t="s">
        <v>2149</v>
      </c>
      <c r="I1041" s="264">
        <v>51527.13</v>
      </c>
    </row>
    <row r="1042" spans="1:9" x14ac:dyDescent="0.2">
      <c r="A1042" s="225">
        <v>1041</v>
      </c>
      <c r="B1042" s="226">
        <v>42601</v>
      </c>
      <c r="C1042" s="226">
        <v>42621</v>
      </c>
      <c r="D1042" s="233" t="s">
        <v>1092</v>
      </c>
      <c r="E1042" s="227" t="s">
        <v>422</v>
      </c>
      <c r="F1042" s="227" t="s">
        <v>71</v>
      </c>
      <c r="G1042" s="263" t="s">
        <v>2135</v>
      </c>
      <c r="H1042" s="263" t="s">
        <v>2150</v>
      </c>
      <c r="I1042" s="264">
        <v>52844.82</v>
      </c>
    </row>
    <row r="1043" spans="1:9" x14ac:dyDescent="0.2">
      <c r="A1043" s="277">
        <v>1042</v>
      </c>
      <c r="B1043" s="226">
        <v>42594</v>
      </c>
      <c r="C1043" s="226">
        <v>42639</v>
      </c>
      <c r="D1043" s="233" t="s">
        <v>1092</v>
      </c>
      <c r="E1043" s="227" t="s">
        <v>422</v>
      </c>
      <c r="F1043" s="227" t="s">
        <v>701</v>
      </c>
      <c r="G1043" s="263" t="s">
        <v>2136</v>
      </c>
      <c r="H1043" s="263" t="s">
        <v>2151</v>
      </c>
      <c r="I1043" s="264">
        <v>83800</v>
      </c>
    </row>
    <row r="1044" spans="1:9" x14ac:dyDescent="0.2">
      <c r="A1044" s="277">
        <v>1043</v>
      </c>
      <c r="B1044" s="226">
        <v>42594</v>
      </c>
      <c r="C1044" s="226">
        <v>42639</v>
      </c>
      <c r="D1044" s="233" t="s">
        <v>1092</v>
      </c>
      <c r="E1044" s="227" t="s">
        <v>422</v>
      </c>
      <c r="F1044" s="227" t="s">
        <v>701</v>
      </c>
      <c r="G1044" s="263" t="s">
        <v>2137</v>
      </c>
      <c r="H1044" s="263" t="s">
        <v>2152</v>
      </c>
      <c r="I1044" s="264">
        <v>109690</v>
      </c>
    </row>
    <row r="1045" spans="1:9" x14ac:dyDescent="0.2">
      <c r="A1045" s="225">
        <v>1044</v>
      </c>
      <c r="B1045" s="226">
        <v>42594</v>
      </c>
      <c r="C1045" s="226">
        <v>42639</v>
      </c>
      <c r="D1045" s="233" t="s">
        <v>1092</v>
      </c>
      <c r="E1045" s="227" t="s">
        <v>422</v>
      </c>
      <c r="F1045" s="227" t="s">
        <v>701</v>
      </c>
      <c r="G1045" s="263" t="s">
        <v>2138</v>
      </c>
      <c r="H1045" s="263" t="s">
        <v>2153</v>
      </c>
      <c r="I1045" s="264">
        <v>55000</v>
      </c>
    </row>
    <row r="1046" spans="1:9" x14ac:dyDescent="0.2">
      <c r="A1046" s="277">
        <v>1045</v>
      </c>
      <c r="B1046" s="226">
        <v>42594</v>
      </c>
      <c r="C1046" s="226">
        <v>42639</v>
      </c>
      <c r="D1046" s="233" t="s">
        <v>1092</v>
      </c>
      <c r="E1046" s="227" t="s">
        <v>422</v>
      </c>
      <c r="F1046" s="227" t="s">
        <v>701</v>
      </c>
      <c r="G1046" s="263" t="s">
        <v>2139</v>
      </c>
      <c r="H1046" s="263" t="s">
        <v>2154</v>
      </c>
      <c r="I1046" s="264">
        <v>25500</v>
      </c>
    </row>
    <row r="1047" spans="1:9" x14ac:dyDescent="0.2">
      <c r="A1047" s="225">
        <v>1046</v>
      </c>
      <c r="B1047" s="226">
        <v>42594</v>
      </c>
      <c r="C1047" s="226">
        <v>42639</v>
      </c>
      <c r="D1047" s="233" t="s">
        <v>1092</v>
      </c>
      <c r="E1047" s="227" t="s">
        <v>422</v>
      </c>
      <c r="F1047" s="227" t="s">
        <v>701</v>
      </c>
      <c r="G1047" s="263" t="s">
        <v>2140</v>
      </c>
      <c r="H1047" s="263" t="s">
        <v>2155</v>
      </c>
      <c r="I1047" s="264">
        <v>58450</v>
      </c>
    </row>
    <row r="1048" spans="1:9" x14ac:dyDescent="0.2">
      <c r="A1048" s="277">
        <v>1047</v>
      </c>
      <c r="B1048" s="226">
        <v>42614</v>
      </c>
      <c r="C1048" s="226">
        <v>42634</v>
      </c>
      <c r="D1048" s="233" t="s">
        <v>1092</v>
      </c>
      <c r="E1048" s="227" t="s">
        <v>392</v>
      </c>
      <c r="F1048" s="227" t="s">
        <v>701</v>
      </c>
      <c r="G1048" s="263" t="s">
        <v>2156</v>
      </c>
      <c r="H1048" s="263" t="s">
        <v>2160</v>
      </c>
      <c r="I1048" s="264">
        <v>120000</v>
      </c>
    </row>
    <row r="1049" spans="1:9" x14ac:dyDescent="0.2">
      <c r="A1049" s="225">
        <v>1048</v>
      </c>
      <c r="B1049" s="226">
        <v>42614</v>
      </c>
      <c r="C1049" s="226">
        <v>42634</v>
      </c>
      <c r="D1049" s="233" t="s">
        <v>1092</v>
      </c>
      <c r="E1049" s="227" t="s">
        <v>422</v>
      </c>
      <c r="F1049" s="227" t="s">
        <v>701</v>
      </c>
      <c r="G1049" s="263" t="s">
        <v>2157</v>
      </c>
      <c r="H1049" s="263" t="s">
        <v>2161</v>
      </c>
      <c r="I1049" s="264">
        <v>186000</v>
      </c>
    </row>
    <row r="1050" spans="1:9" x14ac:dyDescent="0.2">
      <c r="A1050" s="277">
        <v>1049</v>
      </c>
      <c r="B1050" s="226">
        <v>42614</v>
      </c>
      <c r="C1050" s="226">
        <v>42641</v>
      </c>
      <c r="D1050" s="233" t="s">
        <v>1092</v>
      </c>
      <c r="E1050" s="227" t="s">
        <v>392</v>
      </c>
      <c r="F1050" s="227" t="s">
        <v>393</v>
      </c>
      <c r="G1050" s="263" t="s">
        <v>2158</v>
      </c>
      <c r="H1050" s="263" t="s">
        <v>2162</v>
      </c>
      <c r="I1050" s="264">
        <v>26000</v>
      </c>
    </row>
    <row r="1051" spans="1:9" x14ac:dyDescent="0.2">
      <c r="A1051" s="225">
        <v>1050</v>
      </c>
      <c r="B1051" s="226">
        <v>42614</v>
      </c>
      <c r="C1051" s="226">
        <v>42641</v>
      </c>
      <c r="D1051" s="233" t="s">
        <v>1092</v>
      </c>
      <c r="E1051" s="227" t="s">
        <v>392</v>
      </c>
      <c r="F1051" s="227" t="s">
        <v>393</v>
      </c>
      <c r="G1051" s="263" t="s">
        <v>2159</v>
      </c>
      <c r="H1051" s="263" t="s">
        <v>2163</v>
      </c>
      <c r="I1051" s="264">
        <v>120090.62</v>
      </c>
    </row>
    <row r="1052" spans="1:9" x14ac:dyDescent="0.2">
      <c r="A1052" s="278">
        <v>1051</v>
      </c>
      <c r="B1052" s="265">
        <v>42615</v>
      </c>
      <c r="C1052" s="265">
        <v>42641</v>
      </c>
      <c r="D1052" s="233" t="s">
        <v>1092</v>
      </c>
      <c r="E1052" s="266" t="s">
        <v>392</v>
      </c>
      <c r="F1052" s="266" t="s">
        <v>396</v>
      </c>
      <c r="G1052" s="267" t="s">
        <v>2164</v>
      </c>
      <c r="H1052" s="267" t="s">
        <v>2165</v>
      </c>
      <c r="I1052" s="268">
        <v>114919.25</v>
      </c>
    </row>
    <row r="1053" spans="1:9" x14ac:dyDescent="0.2">
      <c r="A1053" s="225">
        <v>1052</v>
      </c>
      <c r="B1053" s="226">
        <v>42620</v>
      </c>
      <c r="C1053" s="226">
        <v>42639</v>
      </c>
      <c r="D1053" s="233" t="s">
        <v>1092</v>
      </c>
      <c r="E1053" s="227" t="s">
        <v>422</v>
      </c>
      <c r="F1053" s="227" t="s">
        <v>701</v>
      </c>
      <c r="G1053" s="263" t="s">
        <v>2166</v>
      </c>
      <c r="H1053" s="263" t="s">
        <v>2167</v>
      </c>
      <c r="I1053" s="264">
        <v>78800</v>
      </c>
    </row>
    <row r="1054" spans="1:9" x14ac:dyDescent="0.2">
      <c r="A1054" s="225">
        <v>1053</v>
      </c>
      <c r="B1054" s="226">
        <v>42622</v>
      </c>
      <c r="C1054" s="226">
        <v>42639</v>
      </c>
      <c r="D1054" s="233" t="s">
        <v>1092</v>
      </c>
      <c r="E1054" s="227" t="s">
        <v>422</v>
      </c>
      <c r="F1054" s="227" t="s">
        <v>701</v>
      </c>
      <c r="G1054" s="263" t="s">
        <v>2168</v>
      </c>
      <c r="H1054" s="263" t="s">
        <v>2169</v>
      </c>
      <c r="I1054" s="264">
        <v>114909.54</v>
      </c>
    </row>
    <row r="1055" spans="1:9" x14ac:dyDescent="0.2">
      <c r="A1055" s="225">
        <v>1054</v>
      </c>
      <c r="B1055" s="226">
        <v>42628</v>
      </c>
      <c r="C1055" s="226">
        <v>42646</v>
      </c>
      <c r="D1055" s="233" t="s">
        <v>1092</v>
      </c>
      <c r="E1055" s="227" t="s">
        <v>422</v>
      </c>
      <c r="F1055" s="227" t="s">
        <v>71</v>
      </c>
      <c r="G1055" s="263" t="s">
        <v>2170</v>
      </c>
      <c r="H1055" s="263" t="s">
        <v>2171</v>
      </c>
      <c r="I1055" s="264">
        <v>68992</v>
      </c>
    </row>
    <row r="1056" spans="1:9" x14ac:dyDescent="0.2">
      <c r="A1056" s="225">
        <v>1055</v>
      </c>
      <c r="B1056" s="226">
        <v>42629</v>
      </c>
      <c r="C1056" s="226">
        <v>42653</v>
      </c>
      <c r="D1056" s="233" t="s">
        <v>1092</v>
      </c>
      <c r="E1056" s="227" t="s">
        <v>392</v>
      </c>
      <c r="F1056" s="227" t="s">
        <v>393</v>
      </c>
      <c r="G1056" s="263" t="s">
        <v>2172</v>
      </c>
      <c r="H1056" s="263" t="s">
        <v>2174</v>
      </c>
      <c r="I1056" s="264">
        <v>147763.32</v>
      </c>
    </row>
    <row r="1057" spans="1:9" x14ac:dyDescent="0.2">
      <c r="A1057" s="225">
        <v>1056</v>
      </c>
      <c r="B1057" s="226">
        <v>42629</v>
      </c>
      <c r="C1057" s="226">
        <v>42646</v>
      </c>
      <c r="D1057" s="233" t="s">
        <v>1092</v>
      </c>
      <c r="E1057" s="227" t="s">
        <v>392</v>
      </c>
      <c r="F1057" s="227" t="s">
        <v>393</v>
      </c>
      <c r="G1057" s="263" t="s">
        <v>2173</v>
      </c>
      <c r="H1057" s="263" t="s">
        <v>2175</v>
      </c>
      <c r="I1057" s="264">
        <v>32000</v>
      </c>
    </row>
    <row r="1058" spans="1:9" x14ac:dyDescent="0.2">
      <c r="A1058" s="225">
        <v>1057</v>
      </c>
      <c r="B1058" s="226">
        <v>42636</v>
      </c>
      <c r="C1058" s="226">
        <v>42662</v>
      </c>
      <c r="D1058" s="233" t="s">
        <v>1092</v>
      </c>
      <c r="E1058" s="227" t="s">
        <v>392</v>
      </c>
      <c r="F1058" s="227" t="s">
        <v>393</v>
      </c>
      <c r="G1058" s="263" t="s">
        <v>2176</v>
      </c>
      <c r="H1058" s="263" t="s">
        <v>2177</v>
      </c>
      <c r="I1058" s="264">
        <v>141001.54</v>
      </c>
    </row>
    <row r="1059" spans="1:9" x14ac:dyDescent="0.2">
      <c r="A1059" s="225">
        <v>1058</v>
      </c>
      <c r="B1059" s="226">
        <v>42636</v>
      </c>
      <c r="C1059" s="226">
        <v>42653</v>
      </c>
      <c r="D1059" s="233" t="s">
        <v>1092</v>
      </c>
      <c r="E1059" s="227" t="s">
        <v>392</v>
      </c>
      <c r="F1059" s="227" t="s">
        <v>393</v>
      </c>
      <c r="G1059" s="263" t="s">
        <v>2178</v>
      </c>
      <c r="H1059" s="263" t="s">
        <v>2179</v>
      </c>
      <c r="I1059" s="264">
        <v>30000</v>
      </c>
    </row>
    <row r="1060" spans="1:9" x14ac:dyDescent="0.2">
      <c r="A1060" s="225">
        <v>1059</v>
      </c>
      <c r="B1060" s="226">
        <v>42636</v>
      </c>
      <c r="C1060" s="226">
        <v>42662</v>
      </c>
      <c r="D1060" s="233" t="s">
        <v>1092</v>
      </c>
      <c r="E1060" s="227" t="s">
        <v>392</v>
      </c>
      <c r="F1060" s="227" t="s">
        <v>393</v>
      </c>
      <c r="G1060" s="263" t="s">
        <v>2180</v>
      </c>
      <c r="H1060" s="263" t="s">
        <v>2181</v>
      </c>
      <c r="I1060" s="264">
        <v>135107.07</v>
      </c>
    </row>
    <row r="1061" spans="1:9" x14ac:dyDescent="0.2">
      <c r="A1061" s="225">
        <v>1060</v>
      </c>
      <c r="B1061" s="226">
        <v>42636</v>
      </c>
      <c r="C1061" s="226">
        <v>42653</v>
      </c>
      <c r="D1061" s="233" t="s">
        <v>1092</v>
      </c>
      <c r="E1061" s="227" t="s">
        <v>392</v>
      </c>
      <c r="F1061" s="227" t="s">
        <v>396</v>
      </c>
      <c r="G1061" s="263" t="s">
        <v>2182</v>
      </c>
      <c r="H1061" s="263" t="s">
        <v>2183</v>
      </c>
      <c r="I1061" s="264">
        <v>180495.81</v>
      </c>
    </row>
    <row r="1062" spans="1:9" x14ac:dyDescent="0.2">
      <c r="A1062" s="225">
        <v>1061</v>
      </c>
      <c r="B1062" s="226">
        <v>42636</v>
      </c>
      <c r="C1062" s="226">
        <v>42653</v>
      </c>
      <c r="D1062" s="233" t="s">
        <v>1092</v>
      </c>
      <c r="E1062" s="227" t="s">
        <v>392</v>
      </c>
      <c r="F1062" s="227" t="s">
        <v>393</v>
      </c>
      <c r="G1062" s="263" t="s">
        <v>2184</v>
      </c>
      <c r="H1062" s="263" t="s">
        <v>2185</v>
      </c>
      <c r="I1062" s="264">
        <v>192228.04</v>
      </c>
    </row>
    <row r="1063" spans="1:9" x14ac:dyDescent="0.2">
      <c r="A1063" s="225">
        <v>1062</v>
      </c>
      <c r="B1063" s="226">
        <v>42636</v>
      </c>
      <c r="C1063" s="226">
        <v>42653</v>
      </c>
      <c r="D1063" s="233" t="s">
        <v>1092</v>
      </c>
      <c r="E1063" s="227" t="s">
        <v>392</v>
      </c>
      <c r="F1063" s="227" t="s">
        <v>71</v>
      </c>
      <c r="G1063" s="263" t="s">
        <v>2186</v>
      </c>
      <c r="H1063" s="263" t="s">
        <v>2187</v>
      </c>
      <c r="I1063" s="264">
        <v>74467.97</v>
      </c>
    </row>
    <row r="1064" spans="1:9" x14ac:dyDescent="0.2">
      <c r="A1064" s="225">
        <v>1063</v>
      </c>
      <c r="B1064" s="226">
        <v>42640</v>
      </c>
      <c r="C1064" s="226">
        <v>42660</v>
      </c>
      <c r="D1064" s="233" t="s">
        <v>1092</v>
      </c>
      <c r="E1064" s="227" t="s">
        <v>392</v>
      </c>
      <c r="F1064" s="227" t="s">
        <v>9</v>
      </c>
      <c r="G1064" s="263" t="s">
        <v>2188</v>
      </c>
      <c r="H1064" s="263" t="s">
        <v>2189</v>
      </c>
      <c r="I1064" s="264">
        <v>36979.65</v>
      </c>
    </row>
    <row r="1065" spans="1:9" x14ac:dyDescent="0.2">
      <c r="A1065" s="225">
        <v>1064</v>
      </c>
      <c r="B1065" s="226">
        <v>42640</v>
      </c>
      <c r="C1065" s="226">
        <v>42662</v>
      </c>
      <c r="D1065" s="233" t="s">
        <v>1092</v>
      </c>
      <c r="E1065" s="227" t="s">
        <v>392</v>
      </c>
      <c r="F1065" s="227" t="s">
        <v>71</v>
      </c>
      <c r="G1065" s="263" t="s">
        <v>2190</v>
      </c>
      <c r="H1065" s="263" t="s">
        <v>2191</v>
      </c>
      <c r="I1065" s="264">
        <v>55297.38</v>
      </c>
    </row>
    <row r="1066" spans="1:9" x14ac:dyDescent="0.2">
      <c r="A1066" s="225">
        <v>1065</v>
      </c>
      <c r="B1066" s="226">
        <v>42640</v>
      </c>
      <c r="C1066" s="226">
        <v>42662</v>
      </c>
      <c r="D1066" s="233" t="s">
        <v>1092</v>
      </c>
      <c r="E1066" s="227" t="s">
        <v>392</v>
      </c>
      <c r="F1066" s="227" t="s">
        <v>71</v>
      </c>
      <c r="G1066" s="263" t="s">
        <v>2192</v>
      </c>
      <c r="H1066" s="263" t="s">
        <v>2193</v>
      </c>
      <c r="I1066" s="264">
        <v>68016.09</v>
      </c>
    </row>
    <row r="1067" spans="1:9" x14ac:dyDescent="0.2">
      <c r="A1067" s="225">
        <v>1066</v>
      </c>
      <c r="B1067" s="226">
        <v>42641</v>
      </c>
      <c r="C1067" s="226">
        <v>42690</v>
      </c>
      <c r="D1067" s="233" t="s">
        <v>1092</v>
      </c>
      <c r="E1067" s="227" t="s">
        <v>422</v>
      </c>
      <c r="F1067" s="227" t="s">
        <v>1285</v>
      </c>
      <c r="G1067" s="263" t="s">
        <v>2194</v>
      </c>
      <c r="H1067" s="263" t="s">
        <v>2195</v>
      </c>
      <c r="I1067" s="264">
        <v>275400</v>
      </c>
    </row>
    <row r="1068" spans="1:9" x14ac:dyDescent="0.2">
      <c r="A1068" s="225">
        <v>1067</v>
      </c>
      <c r="B1068" s="226">
        <v>42641</v>
      </c>
      <c r="C1068" s="226">
        <v>42690</v>
      </c>
      <c r="D1068" s="233" t="s">
        <v>1092</v>
      </c>
      <c r="E1068" s="227" t="s">
        <v>422</v>
      </c>
      <c r="F1068" s="227" t="s">
        <v>1285</v>
      </c>
      <c r="G1068" s="263" t="s">
        <v>2196</v>
      </c>
      <c r="H1068" s="263" t="s">
        <v>2197</v>
      </c>
      <c r="I1068" s="264">
        <v>593826.25</v>
      </c>
    </row>
    <row r="1069" spans="1:9" x14ac:dyDescent="0.2">
      <c r="A1069" s="225">
        <v>1068</v>
      </c>
      <c r="B1069" s="226">
        <v>42643</v>
      </c>
      <c r="C1069" s="226">
        <v>42660</v>
      </c>
      <c r="D1069" s="233" t="s">
        <v>1092</v>
      </c>
      <c r="E1069" s="227" t="s">
        <v>422</v>
      </c>
      <c r="F1069" s="227" t="s">
        <v>396</v>
      </c>
      <c r="G1069" s="263" t="s">
        <v>2198</v>
      </c>
      <c r="H1069" s="263" t="s">
        <v>2199</v>
      </c>
      <c r="I1069" s="264">
        <v>45400</v>
      </c>
    </row>
    <row r="1070" spans="1:9" x14ac:dyDescent="0.2">
      <c r="A1070" s="225">
        <v>1069</v>
      </c>
      <c r="B1070" s="226">
        <v>42649</v>
      </c>
      <c r="C1070" s="226">
        <v>42667</v>
      </c>
      <c r="D1070" s="233" t="s">
        <v>1092</v>
      </c>
      <c r="E1070" s="227" t="s">
        <v>392</v>
      </c>
      <c r="F1070" s="227" t="s">
        <v>393</v>
      </c>
      <c r="G1070" s="263" t="s">
        <v>2200</v>
      </c>
      <c r="H1070" s="263" t="s">
        <v>2201</v>
      </c>
      <c r="I1070" s="264">
        <v>55900</v>
      </c>
    </row>
    <row r="1071" spans="1:9" x14ac:dyDescent="0.2">
      <c r="A1071" s="225">
        <v>1070</v>
      </c>
      <c r="B1071" s="226">
        <v>38996</v>
      </c>
      <c r="C1071" s="226">
        <v>42667</v>
      </c>
      <c r="D1071" s="233" t="s">
        <v>1092</v>
      </c>
      <c r="E1071" s="227" t="s">
        <v>392</v>
      </c>
      <c r="F1071" s="227" t="s">
        <v>393</v>
      </c>
      <c r="G1071" s="263" t="s">
        <v>2202</v>
      </c>
      <c r="H1071" s="263" t="s">
        <v>2204</v>
      </c>
      <c r="I1071" s="264">
        <v>19200</v>
      </c>
    </row>
    <row r="1072" spans="1:9" x14ac:dyDescent="0.2">
      <c r="A1072" s="225">
        <v>1071</v>
      </c>
      <c r="B1072" s="226">
        <v>42649</v>
      </c>
      <c r="C1072" s="226">
        <v>42667</v>
      </c>
      <c r="D1072" s="233" t="s">
        <v>1092</v>
      </c>
      <c r="E1072" s="227" t="s">
        <v>392</v>
      </c>
      <c r="F1072" s="227" t="s">
        <v>393</v>
      </c>
      <c r="G1072" s="263" t="s">
        <v>2203</v>
      </c>
      <c r="H1072" s="263" t="s">
        <v>2205</v>
      </c>
      <c r="I1072" s="264">
        <v>96014.5</v>
      </c>
    </row>
    <row r="1073" spans="1:11" x14ac:dyDescent="0.2">
      <c r="A1073" s="225">
        <v>1072</v>
      </c>
      <c r="B1073" s="226">
        <v>42650</v>
      </c>
      <c r="C1073" s="226">
        <v>42667</v>
      </c>
      <c r="D1073" s="233" t="s">
        <v>1092</v>
      </c>
      <c r="E1073" s="227" t="s">
        <v>392</v>
      </c>
      <c r="F1073" s="227" t="s">
        <v>393</v>
      </c>
      <c r="G1073" s="263" t="s">
        <v>2206</v>
      </c>
      <c r="H1073" s="263" t="s">
        <v>2208</v>
      </c>
      <c r="I1073" s="264">
        <v>27500</v>
      </c>
    </row>
    <row r="1074" spans="1:11" x14ac:dyDescent="0.2">
      <c r="A1074" s="225">
        <v>1073</v>
      </c>
      <c r="B1074" s="226">
        <v>42650</v>
      </c>
      <c r="C1074" s="226">
        <v>42667</v>
      </c>
      <c r="D1074" s="233" t="s">
        <v>1092</v>
      </c>
      <c r="E1074" s="227" t="s">
        <v>392</v>
      </c>
      <c r="F1074" s="227" t="s">
        <v>393</v>
      </c>
      <c r="G1074" s="263" t="s">
        <v>2207</v>
      </c>
      <c r="H1074" s="263" t="s">
        <v>2209</v>
      </c>
      <c r="I1074" s="264">
        <v>23000</v>
      </c>
    </row>
    <row r="1075" spans="1:11" x14ac:dyDescent="0.2">
      <c r="A1075" s="225">
        <v>1074</v>
      </c>
      <c r="B1075" s="226">
        <v>42654</v>
      </c>
      <c r="C1075" s="226">
        <v>42716</v>
      </c>
      <c r="D1075" s="233" t="s">
        <v>1092</v>
      </c>
      <c r="E1075" s="227" t="s">
        <v>422</v>
      </c>
      <c r="F1075" s="227" t="s">
        <v>701</v>
      </c>
      <c r="G1075" s="263" t="s">
        <v>2210</v>
      </c>
      <c r="H1075" s="263" t="s">
        <v>2211</v>
      </c>
      <c r="I1075" s="264">
        <v>442500</v>
      </c>
      <c r="K1075" s="178" t="s">
        <v>2261</v>
      </c>
    </row>
    <row r="1076" spans="1:11" x14ac:dyDescent="0.2">
      <c r="A1076" s="225">
        <v>1075</v>
      </c>
      <c r="B1076" s="226">
        <v>42656</v>
      </c>
      <c r="C1076" s="226">
        <v>42674</v>
      </c>
      <c r="D1076" s="233" t="s">
        <v>1092</v>
      </c>
      <c r="E1076" s="227" t="s">
        <v>422</v>
      </c>
      <c r="F1076" s="227" t="s">
        <v>396</v>
      </c>
      <c r="G1076" s="263" t="s">
        <v>2212</v>
      </c>
      <c r="H1076" s="263" t="s">
        <v>2213</v>
      </c>
      <c r="I1076" s="264">
        <v>27646.67</v>
      </c>
    </row>
    <row r="1077" spans="1:11" x14ac:dyDescent="0.2">
      <c r="A1077" s="225">
        <v>1076</v>
      </c>
      <c r="B1077" s="226">
        <v>42656</v>
      </c>
      <c r="C1077" s="226">
        <v>42674</v>
      </c>
      <c r="D1077" s="233" t="s">
        <v>1092</v>
      </c>
      <c r="E1077" s="227" t="s">
        <v>422</v>
      </c>
      <c r="F1077" s="227" t="s">
        <v>701</v>
      </c>
      <c r="G1077" s="263" t="s">
        <v>2214</v>
      </c>
      <c r="H1077" s="263" t="s">
        <v>2215</v>
      </c>
      <c r="I1077" s="264">
        <v>60000</v>
      </c>
    </row>
    <row r="1078" spans="1:11" x14ac:dyDescent="0.2">
      <c r="A1078" s="225">
        <v>1077</v>
      </c>
      <c r="B1078" s="226">
        <v>42656</v>
      </c>
      <c r="C1078" s="226">
        <v>42674</v>
      </c>
      <c r="D1078" s="233" t="s">
        <v>1092</v>
      </c>
      <c r="E1078" s="227" t="s">
        <v>422</v>
      </c>
      <c r="F1078" s="227" t="s">
        <v>701</v>
      </c>
      <c r="G1078" s="263" t="s">
        <v>2216</v>
      </c>
      <c r="H1078" s="263" t="s">
        <v>2217</v>
      </c>
      <c r="I1078" s="264">
        <v>94500</v>
      </c>
    </row>
    <row r="1079" spans="1:11" x14ac:dyDescent="0.2">
      <c r="A1079" s="225">
        <v>1078</v>
      </c>
      <c r="B1079" s="226">
        <v>42656</v>
      </c>
      <c r="C1079" s="226">
        <v>42674</v>
      </c>
      <c r="D1079" s="233" t="s">
        <v>1092</v>
      </c>
      <c r="E1079" s="227" t="s">
        <v>422</v>
      </c>
      <c r="F1079" s="227" t="s">
        <v>396</v>
      </c>
      <c r="G1079" s="263" t="s">
        <v>2218</v>
      </c>
      <c r="H1079" s="263" t="s">
        <v>2219</v>
      </c>
      <c r="I1079" s="264">
        <v>33450</v>
      </c>
    </row>
    <row r="1080" spans="1:11" x14ac:dyDescent="0.2">
      <c r="A1080" s="225">
        <v>1079</v>
      </c>
      <c r="B1080" s="226">
        <v>42650</v>
      </c>
      <c r="C1080" s="226">
        <v>42667</v>
      </c>
      <c r="D1080" s="233" t="s">
        <v>1092</v>
      </c>
      <c r="E1080" s="227" t="s">
        <v>392</v>
      </c>
      <c r="F1080" s="227" t="s">
        <v>71</v>
      </c>
      <c r="G1080" s="263" t="s">
        <v>2220</v>
      </c>
      <c r="H1080" s="263" t="s">
        <v>2221</v>
      </c>
      <c r="I1080" s="264">
        <v>30733.35</v>
      </c>
    </row>
    <row r="1081" spans="1:11" x14ac:dyDescent="0.2">
      <c r="A1081" s="225">
        <v>1080</v>
      </c>
      <c r="B1081" s="226">
        <v>42657</v>
      </c>
      <c r="C1081" s="226">
        <v>42674</v>
      </c>
      <c r="D1081" s="233" t="s">
        <v>1092</v>
      </c>
      <c r="E1081" s="227" t="s">
        <v>422</v>
      </c>
      <c r="F1081" s="227" t="s">
        <v>701</v>
      </c>
      <c r="G1081" s="263" t="s">
        <v>2222</v>
      </c>
      <c r="H1081" s="263" t="s">
        <v>2223</v>
      </c>
      <c r="I1081" s="264">
        <v>78700</v>
      </c>
    </row>
    <row r="1082" spans="1:11" x14ac:dyDescent="0.2">
      <c r="A1082" s="225">
        <v>1081</v>
      </c>
      <c r="B1082" s="226">
        <v>42660</v>
      </c>
      <c r="C1082" s="226">
        <v>42677</v>
      </c>
      <c r="D1082" s="233" t="s">
        <v>1092</v>
      </c>
      <c r="E1082" s="227" t="s">
        <v>392</v>
      </c>
      <c r="F1082" s="227" t="s">
        <v>2224</v>
      </c>
      <c r="G1082" s="263" t="s">
        <v>2225</v>
      </c>
      <c r="H1082" s="263" t="s">
        <v>2226</v>
      </c>
      <c r="I1082" s="264">
        <v>51051</v>
      </c>
    </row>
    <row r="1083" spans="1:11" x14ac:dyDescent="0.2">
      <c r="A1083" s="225">
        <v>1082</v>
      </c>
      <c r="B1083" s="226">
        <v>42660</v>
      </c>
      <c r="C1083" s="226">
        <v>42677</v>
      </c>
      <c r="D1083" s="233" t="s">
        <v>1092</v>
      </c>
      <c r="E1083" s="227" t="s">
        <v>392</v>
      </c>
      <c r="F1083" s="227" t="s">
        <v>2224</v>
      </c>
      <c r="G1083" s="263" t="s">
        <v>2227</v>
      </c>
      <c r="H1083" s="263" t="s">
        <v>2228</v>
      </c>
      <c r="I1083" s="264">
        <v>36235.51</v>
      </c>
    </row>
    <row r="1084" spans="1:11" x14ac:dyDescent="0.2">
      <c r="A1084" s="225">
        <v>1083</v>
      </c>
      <c r="B1084" s="226">
        <v>42660</v>
      </c>
      <c r="C1084" s="226">
        <v>42677</v>
      </c>
      <c r="D1084" s="233" t="s">
        <v>1092</v>
      </c>
      <c r="E1084" s="227" t="s">
        <v>392</v>
      </c>
      <c r="F1084" s="227" t="s">
        <v>2224</v>
      </c>
      <c r="G1084" s="263" t="s">
        <v>2229</v>
      </c>
      <c r="H1084" s="263" t="s">
        <v>2230</v>
      </c>
      <c r="I1084" s="264">
        <v>31059</v>
      </c>
    </row>
    <row r="1085" spans="1:11" x14ac:dyDescent="0.2">
      <c r="A1085" s="225">
        <v>1084</v>
      </c>
      <c r="B1085" s="226">
        <v>42660</v>
      </c>
      <c r="C1085" s="226">
        <v>42677</v>
      </c>
      <c r="D1085" s="233" t="s">
        <v>1092</v>
      </c>
      <c r="E1085" s="227" t="s">
        <v>392</v>
      </c>
      <c r="F1085" s="227" t="s">
        <v>2224</v>
      </c>
      <c r="G1085" s="263" t="s">
        <v>2231</v>
      </c>
      <c r="H1085" s="263" t="s">
        <v>2232</v>
      </c>
      <c r="I1085" s="264">
        <v>51051</v>
      </c>
    </row>
    <row r="1086" spans="1:11" x14ac:dyDescent="0.2">
      <c r="A1086" s="225">
        <v>1085</v>
      </c>
      <c r="B1086" s="226">
        <v>42660</v>
      </c>
      <c r="C1086" s="226">
        <v>42677</v>
      </c>
      <c r="D1086" s="233" t="s">
        <v>1092</v>
      </c>
      <c r="E1086" s="227" t="s">
        <v>392</v>
      </c>
      <c r="F1086" s="227" t="s">
        <v>2224</v>
      </c>
      <c r="G1086" s="263" t="s">
        <v>2233</v>
      </c>
      <c r="H1086" s="263" t="s">
        <v>2234</v>
      </c>
      <c r="I1086" s="264">
        <v>41769</v>
      </c>
    </row>
    <row r="1087" spans="1:11" x14ac:dyDescent="0.2">
      <c r="A1087" s="225">
        <v>1086</v>
      </c>
      <c r="B1087" s="226">
        <v>42660</v>
      </c>
      <c r="C1087" s="226">
        <v>42677</v>
      </c>
      <c r="D1087" s="233" t="s">
        <v>1092</v>
      </c>
      <c r="E1087" s="227" t="s">
        <v>392</v>
      </c>
      <c r="F1087" s="227" t="s">
        <v>2224</v>
      </c>
      <c r="G1087" s="263" t="s">
        <v>2235</v>
      </c>
      <c r="H1087" s="263" t="s">
        <v>2236</v>
      </c>
      <c r="I1087" s="264">
        <v>31059</v>
      </c>
    </row>
    <row r="1088" spans="1:11" ht="12.75" customHeight="1" x14ac:dyDescent="0.2">
      <c r="A1088" s="225">
        <v>1087</v>
      </c>
      <c r="B1088" s="226">
        <v>42660</v>
      </c>
      <c r="C1088" s="226">
        <v>42677</v>
      </c>
      <c r="D1088" s="233" t="s">
        <v>1092</v>
      </c>
      <c r="E1088" s="227" t="s">
        <v>392</v>
      </c>
      <c r="F1088" s="227" t="s">
        <v>2224</v>
      </c>
      <c r="G1088" s="263" t="s">
        <v>2237</v>
      </c>
      <c r="H1088" s="263" t="s">
        <v>2238</v>
      </c>
      <c r="I1088" s="264">
        <v>51051</v>
      </c>
    </row>
    <row r="1089" spans="1:9" x14ac:dyDescent="0.2">
      <c r="A1089" s="225">
        <v>1088</v>
      </c>
      <c r="B1089" s="226">
        <v>42660</v>
      </c>
      <c r="C1089" s="226">
        <v>42677</v>
      </c>
      <c r="D1089" s="233" t="s">
        <v>1092</v>
      </c>
      <c r="E1089" s="227" t="s">
        <v>392</v>
      </c>
      <c r="F1089" s="227" t="s">
        <v>2224</v>
      </c>
      <c r="G1089" s="263" t="s">
        <v>2240</v>
      </c>
      <c r="H1089" s="263" t="s">
        <v>2239</v>
      </c>
      <c r="I1089" s="264">
        <v>41412</v>
      </c>
    </row>
    <row r="1090" spans="1:9" x14ac:dyDescent="0.2">
      <c r="A1090" s="225">
        <v>1089</v>
      </c>
      <c r="B1090" s="226">
        <v>42660</v>
      </c>
      <c r="C1090" s="226">
        <v>42677</v>
      </c>
      <c r="D1090" s="233" t="s">
        <v>1092</v>
      </c>
      <c r="E1090" s="227" t="s">
        <v>392</v>
      </c>
      <c r="F1090" s="227" t="s">
        <v>2224</v>
      </c>
      <c r="G1090" s="263" t="s">
        <v>2241</v>
      </c>
      <c r="H1090" s="263" t="s">
        <v>2242</v>
      </c>
      <c r="I1090" s="264">
        <v>31059</v>
      </c>
    </row>
    <row r="1091" spans="1:9" x14ac:dyDescent="0.2">
      <c r="A1091" s="225">
        <v>1090</v>
      </c>
      <c r="B1091" s="226">
        <v>42660</v>
      </c>
      <c r="C1091" s="226">
        <v>42677</v>
      </c>
      <c r="D1091" s="233" t="s">
        <v>1092</v>
      </c>
      <c r="E1091" s="227" t="s">
        <v>392</v>
      </c>
      <c r="F1091" s="227" t="s">
        <v>2224</v>
      </c>
      <c r="G1091" s="263" t="s">
        <v>2243</v>
      </c>
      <c r="H1091" s="263" t="s">
        <v>2244</v>
      </c>
      <c r="I1091" s="264">
        <v>51051</v>
      </c>
    </row>
    <row r="1092" spans="1:9" x14ac:dyDescent="0.2">
      <c r="A1092" s="225">
        <v>1091</v>
      </c>
      <c r="B1092" s="226">
        <v>42660</v>
      </c>
      <c r="C1092" s="226">
        <v>42677</v>
      </c>
      <c r="D1092" s="233" t="s">
        <v>1092</v>
      </c>
      <c r="E1092" s="227" t="s">
        <v>392</v>
      </c>
      <c r="F1092" s="227" t="s">
        <v>2224</v>
      </c>
      <c r="G1092" s="263" t="s">
        <v>2245</v>
      </c>
      <c r="H1092" s="263" t="s">
        <v>2246</v>
      </c>
      <c r="I1092" s="264">
        <v>41769</v>
      </c>
    </row>
    <row r="1093" spans="1:9" x14ac:dyDescent="0.2">
      <c r="A1093" s="225">
        <v>1092</v>
      </c>
      <c r="B1093" s="226">
        <v>42660</v>
      </c>
      <c r="C1093" s="226">
        <v>42677</v>
      </c>
      <c r="D1093" s="233" t="s">
        <v>1092</v>
      </c>
      <c r="E1093" s="227" t="s">
        <v>392</v>
      </c>
      <c r="F1093" s="227" t="s">
        <v>2224</v>
      </c>
      <c r="G1093" s="263" t="s">
        <v>2248</v>
      </c>
      <c r="H1093" s="263" t="s">
        <v>2247</v>
      </c>
      <c r="I1093" s="264">
        <v>31059</v>
      </c>
    </row>
    <row r="1094" spans="1:9" x14ac:dyDescent="0.2">
      <c r="A1094" s="225">
        <v>1093</v>
      </c>
      <c r="B1094" s="226">
        <v>42660</v>
      </c>
      <c r="C1094" s="226">
        <v>42677</v>
      </c>
      <c r="D1094" s="233" t="s">
        <v>1092</v>
      </c>
      <c r="E1094" s="227" t="s">
        <v>392</v>
      </c>
      <c r="F1094" s="227" t="s">
        <v>2224</v>
      </c>
      <c r="G1094" s="263" t="s">
        <v>2250</v>
      </c>
      <c r="H1094" s="263" t="s">
        <v>2249</v>
      </c>
      <c r="I1094" s="264">
        <v>60333</v>
      </c>
    </row>
    <row r="1095" spans="1:9" x14ac:dyDescent="0.2">
      <c r="A1095" s="225">
        <v>1094</v>
      </c>
      <c r="B1095" s="226">
        <v>42660</v>
      </c>
      <c r="C1095" s="226">
        <v>42677</v>
      </c>
      <c r="D1095" s="233" t="s">
        <v>1092</v>
      </c>
      <c r="E1095" s="227" t="s">
        <v>392</v>
      </c>
      <c r="F1095" s="227" t="s">
        <v>2224</v>
      </c>
      <c r="G1095" s="263" t="s">
        <v>2252</v>
      </c>
      <c r="H1095" s="263" t="s">
        <v>2251</v>
      </c>
      <c r="I1095" s="264">
        <v>31059</v>
      </c>
    </row>
    <row r="1096" spans="1:9" x14ac:dyDescent="0.2">
      <c r="A1096" s="225">
        <v>1095</v>
      </c>
      <c r="B1096" s="226">
        <v>42661</v>
      </c>
      <c r="C1096" s="226">
        <v>42681</v>
      </c>
      <c r="D1096" s="233" t="s">
        <v>1092</v>
      </c>
      <c r="E1096" s="227" t="s">
        <v>422</v>
      </c>
      <c r="F1096" s="227" t="s">
        <v>71</v>
      </c>
      <c r="G1096" s="263" t="s">
        <v>2253</v>
      </c>
      <c r="H1096" s="263" t="s">
        <v>2254</v>
      </c>
      <c r="I1096" s="264">
        <v>67063.02</v>
      </c>
    </row>
    <row r="1097" spans="1:9" x14ac:dyDescent="0.2">
      <c r="A1097" s="225">
        <v>1096</v>
      </c>
      <c r="B1097" s="226">
        <v>42661</v>
      </c>
      <c r="C1097" s="226">
        <v>42682</v>
      </c>
      <c r="D1097" s="233" t="s">
        <v>1092</v>
      </c>
      <c r="E1097" s="227" t="s">
        <v>422</v>
      </c>
      <c r="F1097" s="227" t="s">
        <v>1276</v>
      </c>
      <c r="G1097" s="263" t="s">
        <v>2255</v>
      </c>
      <c r="H1097" s="263" t="s">
        <v>2256</v>
      </c>
      <c r="I1097" s="264">
        <v>181766.67</v>
      </c>
    </row>
    <row r="1098" spans="1:9" x14ac:dyDescent="0.2">
      <c r="A1098" s="225">
        <v>1097</v>
      </c>
      <c r="B1098" s="226">
        <v>42663</v>
      </c>
      <c r="C1098" s="226">
        <v>42681</v>
      </c>
      <c r="D1098" s="233" t="s">
        <v>1092</v>
      </c>
      <c r="E1098" s="227" t="s">
        <v>422</v>
      </c>
      <c r="F1098" s="227" t="s">
        <v>1276</v>
      </c>
      <c r="G1098" s="263" t="s">
        <v>2257</v>
      </c>
      <c r="H1098" s="263" t="s">
        <v>2258</v>
      </c>
      <c r="I1098" s="264">
        <v>17768</v>
      </c>
    </row>
    <row r="1099" spans="1:9" x14ac:dyDescent="0.2">
      <c r="A1099" s="225">
        <v>1098</v>
      </c>
      <c r="B1099" s="226">
        <v>42663</v>
      </c>
      <c r="C1099" s="226">
        <v>42681</v>
      </c>
      <c r="D1099" s="233" t="s">
        <v>1092</v>
      </c>
      <c r="E1099" s="227" t="s">
        <v>422</v>
      </c>
      <c r="F1099" s="227" t="s">
        <v>71</v>
      </c>
      <c r="G1099" s="263" t="s">
        <v>2259</v>
      </c>
      <c r="H1099" s="263" t="s">
        <v>2260</v>
      </c>
      <c r="I1099" s="264">
        <v>18912.22</v>
      </c>
    </row>
    <row r="1100" spans="1:9" x14ac:dyDescent="0.2">
      <c r="A1100" s="225">
        <v>1099</v>
      </c>
      <c r="B1100" s="226">
        <v>42667</v>
      </c>
      <c r="C1100" s="226">
        <v>42681</v>
      </c>
      <c r="D1100" s="233" t="s">
        <v>1092</v>
      </c>
      <c r="E1100" s="227" t="s">
        <v>422</v>
      </c>
      <c r="F1100" s="227" t="s">
        <v>396</v>
      </c>
      <c r="G1100" s="263" t="s">
        <v>2262</v>
      </c>
      <c r="H1100" s="263" t="s">
        <v>2263</v>
      </c>
      <c r="I1100" s="264">
        <v>45696</v>
      </c>
    </row>
    <row r="1101" spans="1:9" x14ac:dyDescent="0.2">
      <c r="A1101" s="225">
        <v>1100</v>
      </c>
      <c r="B1101" s="226">
        <v>42670</v>
      </c>
      <c r="C1101" s="226">
        <v>42718</v>
      </c>
      <c r="D1101" s="233" t="s">
        <v>1092</v>
      </c>
      <c r="E1101" s="227" t="s">
        <v>392</v>
      </c>
      <c r="F1101" s="227" t="s">
        <v>9</v>
      </c>
      <c r="G1101" s="263" t="s">
        <v>2264</v>
      </c>
      <c r="H1101" s="263" t="s">
        <v>2265</v>
      </c>
      <c r="I1101" s="264">
        <v>251206</v>
      </c>
    </row>
    <row r="1102" spans="1:9" x14ac:dyDescent="0.2">
      <c r="A1102" s="225">
        <v>1101</v>
      </c>
      <c r="B1102" s="226">
        <v>42691</v>
      </c>
      <c r="C1102" s="226">
        <v>42716</v>
      </c>
      <c r="D1102" s="233" t="s">
        <v>1092</v>
      </c>
      <c r="E1102" s="227" t="s">
        <v>392</v>
      </c>
      <c r="F1102" s="227" t="s">
        <v>2266</v>
      </c>
      <c r="G1102" s="263" t="s">
        <v>2164</v>
      </c>
      <c r="H1102" s="263" t="s">
        <v>2165</v>
      </c>
      <c r="I1102" s="264">
        <v>114919.25</v>
      </c>
    </row>
    <row r="1103" spans="1:9" x14ac:dyDescent="0.2">
      <c r="A1103" s="225">
        <v>1102</v>
      </c>
      <c r="B1103" s="226">
        <v>42698</v>
      </c>
      <c r="C1103" s="226">
        <v>42716</v>
      </c>
      <c r="D1103" s="233" t="s">
        <v>1092</v>
      </c>
      <c r="E1103" s="227" t="s">
        <v>422</v>
      </c>
      <c r="F1103" s="227" t="s">
        <v>701</v>
      </c>
      <c r="G1103" s="263" t="s">
        <v>2267</v>
      </c>
      <c r="H1103" s="263" t="s">
        <v>2269</v>
      </c>
      <c r="I1103" s="264">
        <v>100000</v>
      </c>
    </row>
    <row r="1104" spans="1:9" x14ac:dyDescent="0.2">
      <c r="A1104" s="225">
        <v>1103</v>
      </c>
      <c r="B1104" s="226">
        <v>42698</v>
      </c>
      <c r="C1104" s="226">
        <v>42716</v>
      </c>
      <c r="D1104" s="233" t="s">
        <v>1092</v>
      </c>
      <c r="E1104" s="227" t="s">
        <v>422</v>
      </c>
      <c r="F1104" s="227" t="s">
        <v>701</v>
      </c>
      <c r="G1104" s="263" t="s">
        <v>2268</v>
      </c>
      <c r="H1104" s="263" t="s">
        <v>2270</v>
      </c>
      <c r="I1104" s="264">
        <v>31160</v>
      </c>
    </row>
    <row r="1105" spans="1:9" x14ac:dyDescent="0.2">
      <c r="A1105" s="225">
        <v>1104</v>
      </c>
      <c r="B1105" s="226">
        <v>42699</v>
      </c>
      <c r="C1105" s="226">
        <v>42716</v>
      </c>
      <c r="D1105" s="233" t="s">
        <v>1092</v>
      </c>
      <c r="E1105" s="227" t="s">
        <v>422</v>
      </c>
      <c r="F1105" s="227" t="s">
        <v>701</v>
      </c>
      <c r="G1105" s="263" t="s">
        <v>2271</v>
      </c>
      <c r="H1105" s="263" t="s">
        <v>2273</v>
      </c>
      <c r="I1105" s="264">
        <v>160500</v>
      </c>
    </row>
    <row r="1106" spans="1:9" x14ac:dyDescent="0.2">
      <c r="A1106" s="225">
        <v>1105</v>
      </c>
      <c r="B1106" s="226">
        <v>42699</v>
      </c>
      <c r="C1106" s="226">
        <v>42718</v>
      </c>
      <c r="D1106" s="233" t="s">
        <v>1092</v>
      </c>
      <c r="E1106" s="227" t="s">
        <v>422</v>
      </c>
      <c r="F1106" s="227" t="s">
        <v>701</v>
      </c>
      <c r="G1106" s="263" t="s">
        <v>2272</v>
      </c>
      <c r="H1106" s="263" t="s">
        <v>2274</v>
      </c>
      <c r="I1106" s="264">
        <v>75856.759999999995</v>
      </c>
    </row>
    <row r="1107" spans="1:9" x14ac:dyDescent="0.2">
      <c r="A1107" s="225">
        <v>1106</v>
      </c>
      <c r="B1107" s="226">
        <v>42706</v>
      </c>
      <c r="C1107" s="226">
        <v>42723</v>
      </c>
      <c r="D1107" s="233" t="s">
        <v>1092</v>
      </c>
      <c r="E1107" s="227" t="s">
        <v>422</v>
      </c>
      <c r="F1107" s="227" t="s">
        <v>701</v>
      </c>
      <c r="G1107" s="263" t="s">
        <v>2275</v>
      </c>
      <c r="H1107" s="263" t="s">
        <v>2276</v>
      </c>
      <c r="I1107" s="264">
        <v>40125</v>
      </c>
    </row>
    <row r="1108" spans="1:9" x14ac:dyDescent="0.2">
      <c r="A1108" s="225">
        <v>1107</v>
      </c>
      <c r="B1108" s="226">
        <v>42719</v>
      </c>
      <c r="C1108" s="226">
        <v>42737</v>
      </c>
      <c r="D1108" s="233" t="s">
        <v>1092</v>
      </c>
      <c r="E1108" s="227" t="s">
        <v>392</v>
      </c>
      <c r="F1108" s="227" t="s">
        <v>393</v>
      </c>
      <c r="G1108" s="263" t="s">
        <v>2277</v>
      </c>
      <c r="H1108" s="263" t="s">
        <v>2278</v>
      </c>
      <c r="I1108" s="264">
        <v>17500</v>
      </c>
    </row>
    <row r="1109" spans="1:9" x14ac:dyDescent="0.2">
      <c r="A1109" s="279">
        <v>1108</v>
      </c>
      <c r="B1109" s="280">
        <v>42720</v>
      </c>
      <c r="C1109" s="280">
        <v>42744</v>
      </c>
      <c r="D1109" s="233" t="s">
        <v>1092</v>
      </c>
      <c r="E1109" s="281" t="s">
        <v>392</v>
      </c>
      <c r="F1109" s="281" t="s">
        <v>2224</v>
      </c>
      <c r="G1109" s="282" t="s">
        <v>2279</v>
      </c>
      <c r="H1109" s="282" t="s">
        <v>2280</v>
      </c>
      <c r="I1109" s="283">
        <v>23966.94</v>
      </c>
    </row>
    <row r="1110" spans="1:9" x14ac:dyDescent="0.2">
      <c r="A1110" s="279">
        <v>1109</v>
      </c>
      <c r="B1110" s="280">
        <v>42720</v>
      </c>
      <c r="C1110" s="280">
        <v>42744</v>
      </c>
      <c r="D1110" s="233" t="s">
        <v>1092</v>
      </c>
      <c r="E1110" s="281" t="s">
        <v>392</v>
      </c>
      <c r="F1110" s="281" t="s">
        <v>2224</v>
      </c>
      <c r="G1110" s="282" t="s">
        <v>2281</v>
      </c>
      <c r="H1110" s="282" t="s">
        <v>2282</v>
      </c>
      <c r="I1110" s="283">
        <v>23966.94</v>
      </c>
    </row>
    <row r="1111" spans="1:9" x14ac:dyDescent="0.2">
      <c r="A1111" s="279">
        <v>1110</v>
      </c>
      <c r="B1111" s="280">
        <v>42720</v>
      </c>
      <c r="C1111" s="280">
        <v>42744</v>
      </c>
      <c r="D1111" s="233" t="s">
        <v>1092</v>
      </c>
      <c r="E1111" s="281" t="s">
        <v>392</v>
      </c>
      <c r="F1111" s="281" t="s">
        <v>2224</v>
      </c>
      <c r="G1111" s="282" t="s">
        <v>2283</v>
      </c>
      <c r="H1111" s="282" t="s">
        <v>2284</v>
      </c>
      <c r="I1111" s="283">
        <v>35950.410000000003</v>
      </c>
    </row>
    <row r="1112" spans="1:9" x14ac:dyDescent="0.2">
      <c r="A1112" s="279">
        <v>1111</v>
      </c>
      <c r="B1112" s="280">
        <v>42720</v>
      </c>
      <c r="C1112" s="280">
        <v>42746</v>
      </c>
      <c r="D1112" s="233" t="s">
        <v>1092</v>
      </c>
      <c r="E1112" s="281" t="s">
        <v>392</v>
      </c>
      <c r="F1112" s="281" t="s">
        <v>2224</v>
      </c>
      <c r="G1112" s="282" t="s">
        <v>2285</v>
      </c>
      <c r="H1112" s="282" t="s">
        <v>2286</v>
      </c>
      <c r="I1112" s="283">
        <v>17975.21</v>
      </c>
    </row>
    <row r="1113" spans="1:9" x14ac:dyDescent="0.2">
      <c r="A1113" s="279">
        <v>1112</v>
      </c>
      <c r="B1113" s="284">
        <v>42720</v>
      </c>
      <c r="C1113" s="284">
        <v>42744</v>
      </c>
      <c r="D1113" s="233" t="s">
        <v>1092</v>
      </c>
      <c r="E1113" s="285" t="s">
        <v>392</v>
      </c>
      <c r="F1113" s="285" t="s">
        <v>2224</v>
      </c>
      <c r="G1113" s="286" t="s">
        <v>2287</v>
      </c>
      <c r="H1113" s="286" t="s">
        <v>2288</v>
      </c>
      <c r="I1113" s="287">
        <v>28760.33</v>
      </c>
    </row>
    <row r="1114" spans="1:9" x14ac:dyDescent="0.2">
      <c r="A1114" s="279">
        <v>1113</v>
      </c>
      <c r="B1114" s="280">
        <v>42720</v>
      </c>
      <c r="C1114" s="280">
        <v>42744</v>
      </c>
      <c r="D1114" s="233" t="s">
        <v>1092</v>
      </c>
      <c r="E1114" s="281" t="s">
        <v>392</v>
      </c>
      <c r="F1114" s="281" t="s">
        <v>2224</v>
      </c>
      <c r="G1114" s="282" t="s">
        <v>2289</v>
      </c>
      <c r="H1114" s="282" t="s">
        <v>2290</v>
      </c>
      <c r="I1114" s="283">
        <v>28760.33</v>
      </c>
    </row>
    <row r="1115" spans="1:9" x14ac:dyDescent="0.2">
      <c r="A1115" s="279">
        <v>1114</v>
      </c>
      <c r="B1115" s="280">
        <v>42720</v>
      </c>
      <c r="C1115" s="280">
        <v>42744</v>
      </c>
      <c r="D1115" s="233" t="s">
        <v>1092</v>
      </c>
      <c r="E1115" s="281" t="s">
        <v>392</v>
      </c>
      <c r="F1115" s="281" t="s">
        <v>2224</v>
      </c>
      <c r="G1115" s="282" t="s">
        <v>2291</v>
      </c>
      <c r="H1115" s="282" t="s">
        <v>2292</v>
      </c>
      <c r="I1115" s="283">
        <v>17975.21</v>
      </c>
    </row>
    <row r="1116" spans="1:9" x14ac:dyDescent="0.2">
      <c r="A1116" s="279">
        <v>1115</v>
      </c>
      <c r="B1116" s="280">
        <v>42720</v>
      </c>
      <c r="C1116" s="280">
        <v>42746</v>
      </c>
      <c r="D1116" s="233" t="s">
        <v>1092</v>
      </c>
      <c r="E1116" s="281" t="s">
        <v>392</v>
      </c>
      <c r="F1116" s="281" t="s">
        <v>2224</v>
      </c>
      <c r="G1116" s="282" t="s">
        <v>2293</v>
      </c>
      <c r="H1116" s="282" t="s">
        <v>2294</v>
      </c>
      <c r="I1116" s="283">
        <v>23966.94</v>
      </c>
    </row>
    <row r="1117" spans="1:9" x14ac:dyDescent="0.2">
      <c r="A1117" s="279">
        <v>1116</v>
      </c>
      <c r="B1117" s="280">
        <v>42720</v>
      </c>
      <c r="C1117" s="280">
        <v>42746</v>
      </c>
      <c r="D1117" s="233" t="s">
        <v>1092</v>
      </c>
      <c r="E1117" s="281" t="s">
        <v>392</v>
      </c>
      <c r="F1117" s="281" t="s">
        <v>2224</v>
      </c>
      <c r="G1117" s="282" t="s">
        <v>2296</v>
      </c>
      <c r="H1117" s="282" t="s">
        <v>2295</v>
      </c>
      <c r="I1117" s="283">
        <v>23966.94</v>
      </c>
    </row>
    <row r="1118" spans="1:9" x14ac:dyDescent="0.2">
      <c r="A1118" s="279">
        <v>1117</v>
      </c>
      <c r="B1118" s="280">
        <v>42720</v>
      </c>
      <c r="C1118" s="280">
        <v>42746</v>
      </c>
      <c r="D1118" s="233" t="s">
        <v>1092</v>
      </c>
      <c r="E1118" s="281" t="s">
        <v>392</v>
      </c>
      <c r="F1118" s="281" t="s">
        <v>2224</v>
      </c>
      <c r="G1118" s="282" t="s">
        <v>2297</v>
      </c>
      <c r="H1118" s="282" t="s">
        <v>2298</v>
      </c>
      <c r="I1118" s="283">
        <v>23966.94</v>
      </c>
    </row>
    <row r="1119" spans="1:9" x14ac:dyDescent="0.2">
      <c r="A1119" s="279">
        <v>1118</v>
      </c>
      <c r="B1119" s="280">
        <v>42720</v>
      </c>
      <c r="C1119" s="280">
        <v>42746</v>
      </c>
      <c r="D1119" s="233" t="s">
        <v>1092</v>
      </c>
      <c r="E1119" s="281" t="s">
        <v>392</v>
      </c>
      <c r="F1119" s="281" t="s">
        <v>2224</v>
      </c>
      <c r="G1119" s="282" t="s">
        <v>2299</v>
      </c>
      <c r="H1119" s="282" t="s">
        <v>2300</v>
      </c>
      <c r="I1119" s="283">
        <v>28760.33</v>
      </c>
    </row>
    <row r="1120" spans="1:9" x14ac:dyDescent="0.2">
      <c r="A1120" s="279">
        <v>1119</v>
      </c>
      <c r="B1120" s="280">
        <v>42720</v>
      </c>
      <c r="C1120" s="280">
        <v>42746</v>
      </c>
      <c r="D1120" s="233" t="s">
        <v>1092</v>
      </c>
      <c r="E1120" s="281" t="s">
        <v>392</v>
      </c>
      <c r="F1120" s="281" t="s">
        <v>2224</v>
      </c>
      <c r="G1120" s="282" t="s">
        <v>2301</v>
      </c>
      <c r="H1120" s="282" t="s">
        <v>2302</v>
      </c>
      <c r="I1120" s="283">
        <v>26363.65</v>
      </c>
    </row>
    <row r="1121" spans="1:9" x14ac:dyDescent="0.2">
      <c r="A1121" s="279">
        <v>1120</v>
      </c>
      <c r="B1121" s="280">
        <v>42720</v>
      </c>
      <c r="C1121" s="280">
        <v>42744</v>
      </c>
      <c r="D1121" s="233" t="s">
        <v>1092</v>
      </c>
      <c r="E1121" s="281" t="s">
        <v>392</v>
      </c>
      <c r="F1121" s="281" t="s">
        <v>2224</v>
      </c>
      <c r="G1121" s="282" t="s">
        <v>2303</v>
      </c>
      <c r="H1121" s="282" t="s">
        <v>2304</v>
      </c>
      <c r="I1121" s="283">
        <v>17975.21</v>
      </c>
    </row>
    <row r="1122" spans="1:9" x14ac:dyDescent="0.2">
      <c r="A1122" s="279">
        <v>1121</v>
      </c>
      <c r="B1122" s="280">
        <v>42720</v>
      </c>
      <c r="C1122" s="280">
        <v>42744</v>
      </c>
      <c r="D1122" s="233" t="s">
        <v>1092</v>
      </c>
      <c r="E1122" s="281" t="s">
        <v>392</v>
      </c>
      <c r="F1122" s="281" t="s">
        <v>2224</v>
      </c>
      <c r="G1122" s="282" t="s">
        <v>2305</v>
      </c>
      <c r="H1122" s="282" t="s">
        <v>2306</v>
      </c>
      <c r="I1122" s="283">
        <v>17975.21</v>
      </c>
    </row>
    <row r="1123" spans="1:9" x14ac:dyDescent="0.2">
      <c r="A1123" s="279">
        <v>1122</v>
      </c>
      <c r="B1123" s="280">
        <v>42720</v>
      </c>
      <c r="C1123" s="280">
        <v>42744</v>
      </c>
      <c r="D1123" s="233" t="s">
        <v>1092</v>
      </c>
      <c r="E1123" s="281" t="s">
        <v>392</v>
      </c>
      <c r="F1123" s="281" t="s">
        <v>2224</v>
      </c>
      <c r="G1123" s="282" t="s">
        <v>2307</v>
      </c>
      <c r="H1123" s="282" t="s">
        <v>2308</v>
      </c>
      <c r="I1123" s="283">
        <v>23966.94</v>
      </c>
    </row>
    <row r="1124" spans="1:9" x14ac:dyDescent="0.2">
      <c r="A1124" s="279">
        <v>1123</v>
      </c>
      <c r="B1124" s="280">
        <v>42720</v>
      </c>
      <c r="C1124" s="280">
        <v>42744</v>
      </c>
      <c r="D1124" s="233" t="s">
        <v>1092</v>
      </c>
      <c r="E1124" s="281" t="s">
        <v>392</v>
      </c>
      <c r="F1124" s="281" t="s">
        <v>2224</v>
      </c>
      <c r="G1124" s="282" t="s">
        <v>2309</v>
      </c>
      <c r="H1124" s="282" t="s">
        <v>2310</v>
      </c>
      <c r="I1124" s="283">
        <v>23966.94</v>
      </c>
    </row>
    <row r="1125" spans="1:9" x14ac:dyDescent="0.2">
      <c r="A1125" s="279">
        <v>1124</v>
      </c>
      <c r="B1125" s="280">
        <v>42720</v>
      </c>
      <c r="C1125" s="280">
        <v>42744</v>
      </c>
      <c r="D1125" s="233" t="s">
        <v>1092</v>
      </c>
      <c r="E1125" s="281" t="s">
        <v>392</v>
      </c>
      <c r="F1125" s="281" t="s">
        <v>2224</v>
      </c>
      <c r="G1125" s="282" t="s">
        <v>2311</v>
      </c>
      <c r="H1125" s="282" t="s">
        <v>2312</v>
      </c>
      <c r="I1125" s="283">
        <v>23966.94</v>
      </c>
    </row>
    <row r="1126" spans="1:9" x14ac:dyDescent="0.2">
      <c r="A1126" s="279">
        <v>1125</v>
      </c>
      <c r="B1126" s="280">
        <v>42720</v>
      </c>
      <c r="C1126" s="280">
        <v>42746</v>
      </c>
      <c r="D1126" s="233" t="s">
        <v>1092</v>
      </c>
      <c r="E1126" s="281" t="s">
        <v>392</v>
      </c>
      <c r="F1126" s="281" t="s">
        <v>2224</v>
      </c>
      <c r="G1126" s="282" t="s">
        <v>2313</v>
      </c>
      <c r="H1126" s="282" t="s">
        <v>2314</v>
      </c>
      <c r="I1126" s="283">
        <v>35950.410000000003</v>
      </c>
    </row>
    <row r="1127" spans="1:9" x14ac:dyDescent="0.2">
      <c r="A1127" s="279">
        <v>1126</v>
      </c>
      <c r="B1127" s="280">
        <v>42720</v>
      </c>
      <c r="C1127" s="280">
        <v>42746</v>
      </c>
      <c r="D1127" s="233" t="s">
        <v>1092</v>
      </c>
      <c r="E1127" s="281" t="s">
        <v>392</v>
      </c>
      <c r="F1127" s="281" t="s">
        <v>2224</v>
      </c>
      <c r="G1127" s="282" t="s">
        <v>2315</v>
      </c>
      <c r="H1127" s="282" t="s">
        <v>2316</v>
      </c>
      <c r="I1127" s="283">
        <v>19173.55</v>
      </c>
    </row>
    <row r="1128" spans="1:9" x14ac:dyDescent="0.2">
      <c r="A1128" s="279">
        <v>1127</v>
      </c>
      <c r="B1128" s="280">
        <v>42720</v>
      </c>
      <c r="C1128" s="280">
        <v>42746</v>
      </c>
      <c r="D1128" s="233" t="s">
        <v>1092</v>
      </c>
      <c r="E1128" s="281" t="s">
        <v>392</v>
      </c>
      <c r="F1128" s="281" t="s">
        <v>2224</v>
      </c>
      <c r="G1128" s="282" t="s">
        <v>2317</v>
      </c>
      <c r="H1128" s="282" t="s">
        <v>2318</v>
      </c>
      <c r="I1128" s="283">
        <v>16177.68</v>
      </c>
    </row>
    <row r="1129" spans="1:9" x14ac:dyDescent="0.2">
      <c r="A1129" s="279">
        <v>1128</v>
      </c>
      <c r="B1129" s="280">
        <v>42720</v>
      </c>
      <c r="C1129" s="280">
        <v>42746</v>
      </c>
      <c r="D1129" s="233" t="s">
        <v>1092</v>
      </c>
      <c r="E1129" s="281" t="s">
        <v>392</v>
      </c>
      <c r="F1129" s="281" t="s">
        <v>2224</v>
      </c>
      <c r="G1129" s="282" t="s">
        <v>2319</v>
      </c>
      <c r="H1129" s="282" t="s">
        <v>2320</v>
      </c>
      <c r="I1129" s="283">
        <v>23966.94</v>
      </c>
    </row>
    <row r="1130" spans="1:9" x14ac:dyDescent="0.2">
      <c r="A1130" s="279">
        <v>1129</v>
      </c>
      <c r="B1130" s="280">
        <v>42720</v>
      </c>
      <c r="C1130" s="280">
        <v>42744</v>
      </c>
      <c r="D1130" s="233" t="s">
        <v>1092</v>
      </c>
      <c r="E1130" s="281" t="s">
        <v>392</v>
      </c>
      <c r="F1130" s="281" t="s">
        <v>2224</v>
      </c>
      <c r="G1130" s="282" t="s">
        <v>2321</v>
      </c>
      <c r="H1130" s="282" t="s">
        <v>2322</v>
      </c>
      <c r="I1130" s="283">
        <v>28760.33</v>
      </c>
    </row>
    <row r="1131" spans="1:9" x14ac:dyDescent="0.2">
      <c r="A1131" s="279">
        <v>1130</v>
      </c>
      <c r="B1131" s="280">
        <v>42720</v>
      </c>
      <c r="C1131" s="280">
        <v>42746</v>
      </c>
      <c r="D1131" s="233" t="s">
        <v>1092</v>
      </c>
      <c r="E1131" s="281" t="s">
        <v>392</v>
      </c>
      <c r="F1131" s="281" t="s">
        <v>2224</v>
      </c>
      <c r="G1131" s="282" t="s">
        <v>2323</v>
      </c>
      <c r="H1131" s="282" t="s">
        <v>2324</v>
      </c>
      <c r="I1131" s="283">
        <v>17975.21</v>
      </c>
    </row>
    <row r="1132" spans="1:9" x14ac:dyDescent="0.2">
      <c r="A1132" s="279">
        <v>1131</v>
      </c>
      <c r="B1132" s="280">
        <v>42720</v>
      </c>
      <c r="C1132" s="280">
        <v>42746</v>
      </c>
      <c r="D1132" s="233" t="s">
        <v>1092</v>
      </c>
      <c r="E1132" s="281" t="s">
        <v>392</v>
      </c>
      <c r="F1132" s="281" t="s">
        <v>2224</v>
      </c>
      <c r="G1132" s="282" t="s">
        <v>2325</v>
      </c>
      <c r="H1132" s="282" t="s">
        <v>2326</v>
      </c>
      <c r="I1132" s="283">
        <v>28760.33</v>
      </c>
    </row>
    <row r="1133" spans="1:9" x14ac:dyDescent="0.2">
      <c r="A1133" s="279">
        <v>1132</v>
      </c>
      <c r="B1133" s="280">
        <v>42720</v>
      </c>
      <c r="C1133" s="280">
        <v>42744</v>
      </c>
      <c r="D1133" s="233" t="s">
        <v>1092</v>
      </c>
      <c r="E1133" s="281" t="s">
        <v>392</v>
      </c>
      <c r="F1133" s="281" t="s">
        <v>2224</v>
      </c>
      <c r="G1133" s="282" t="s">
        <v>2327</v>
      </c>
      <c r="H1133" s="282" t="s">
        <v>2328</v>
      </c>
      <c r="I1133" s="283">
        <v>28760.33</v>
      </c>
    </row>
    <row r="1134" spans="1:9" x14ac:dyDescent="0.2">
      <c r="A1134" s="279">
        <v>1133</v>
      </c>
      <c r="B1134" s="280">
        <v>42720</v>
      </c>
      <c r="C1134" s="280">
        <v>42746</v>
      </c>
      <c r="D1134" s="233" t="s">
        <v>1092</v>
      </c>
      <c r="E1134" s="281" t="s">
        <v>392</v>
      </c>
      <c r="F1134" s="281" t="s">
        <v>2224</v>
      </c>
      <c r="G1134" s="282" t="s">
        <v>2329</v>
      </c>
      <c r="H1134" s="282" t="s">
        <v>2330</v>
      </c>
      <c r="I1134" s="283">
        <v>17975.21</v>
      </c>
    </row>
    <row r="1135" spans="1:9" x14ac:dyDescent="0.2">
      <c r="A1135" s="279">
        <v>1134</v>
      </c>
      <c r="B1135" s="280">
        <v>42723</v>
      </c>
      <c r="C1135" s="280">
        <v>42739</v>
      </c>
      <c r="D1135" s="233" t="s">
        <v>1092</v>
      </c>
      <c r="E1135" s="281" t="s">
        <v>422</v>
      </c>
      <c r="F1135" s="281" t="s">
        <v>396</v>
      </c>
      <c r="G1135" s="282" t="s">
        <v>2331</v>
      </c>
      <c r="H1135" s="282" t="s">
        <v>2332</v>
      </c>
      <c r="I1135" s="283">
        <v>32200</v>
      </c>
    </row>
    <row r="1136" spans="1:9" x14ac:dyDescent="0.2">
      <c r="A1136" s="279">
        <v>1135</v>
      </c>
      <c r="B1136" s="280">
        <v>42723</v>
      </c>
      <c r="C1136" s="280">
        <v>42739</v>
      </c>
      <c r="D1136" s="233" t="s">
        <v>1092</v>
      </c>
      <c r="E1136" s="281" t="s">
        <v>422</v>
      </c>
      <c r="F1136" s="281" t="s">
        <v>396</v>
      </c>
      <c r="G1136" s="282" t="s">
        <v>2333</v>
      </c>
      <c r="H1136" s="282" t="s">
        <v>2334</v>
      </c>
      <c r="I1136" s="283">
        <v>53120.34</v>
      </c>
    </row>
    <row r="1137" spans="1:9" x14ac:dyDescent="0.2">
      <c r="A1137" s="279">
        <v>1136</v>
      </c>
      <c r="B1137" s="280">
        <v>42723</v>
      </c>
      <c r="C1137" s="280">
        <v>42739</v>
      </c>
      <c r="D1137" s="233" t="s">
        <v>1092</v>
      </c>
      <c r="E1137" s="281" t="s">
        <v>422</v>
      </c>
      <c r="F1137" s="281" t="s">
        <v>396</v>
      </c>
      <c r="G1137" s="282" t="s">
        <v>2335</v>
      </c>
      <c r="H1137" s="282" t="s">
        <v>2336</v>
      </c>
      <c r="I1137" s="283">
        <v>56465</v>
      </c>
    </row>
    <row r="1138" spans="1:9" x14ac:dyDescent="0.2">
      <c r="A1138" s="279">
        <v>1137</v>
      </c>
      <c r="B1138" s="280">
        <v>42723</v>
      </c>
      <c r="C1138" s="280">
        <v>42739</v>
      </c>
      <c r="D1138" s="233" t="s">
        <v>1092</v>
      </c>
      <c r="E1138" s="281" t="s">
        <v>422</v>
      </c>
      <c r="F1138" s="281" t="s">
        <v>71</v>
      </c>
      <c r="G1138" s="282" t="s">
        <v>2337</v>
      </c>
      <c r="H1138" s="282" t="s">
        <v>2338</v>
      </c>
      <c r="I1138" s="283">
        <v>37028.550000000003</v>
      </c>
    </row>
    <row r="1139" spans="1:9" x14ac:dyDescent="0.2">
      <c r="A1139" s="279">
        <v>1138</v>
      </c>
      <c r="B1139" s="280">
        <v>42723</v>
      </c>
      <c r="C1139" s="280">
        <v>42739</v>
      </c>
      <c r="D1139" s="233" t="s">
        <v>1092</v>
      </c>
      <c r="E1139" s="281" t="s">
        <v>422</v>
      </c>
      <c r="F1139" s="281" t="s">
        <v>396</v>
      </c>
      <c r="G1139" s="282" t="s">
        <v>2339</v>
      </c>
      <c r="H1139" s="282" t="s">
        <v>2340</v>
      </c>
      <c r="I1139" s="283">
        <v>174288.89</v>
      </c>
    </row>
    <row r="1140" spans="1:9" x14ac:dyDescent="0.2">
      <c r="A1140" s="279">
        <v>1139</v>
      </c>
      <c r="B1140" s="280">
        <v>42724</v>
      </c>
      <c r="C1140" s="280">
        <v>42751</v>
      </c>
      <c r="D1140" s="233" t="s">
        <v>1092</v>
      </c>
      <c r="E1140" s="281" t="s">
        <v>392</v>
      </c>
      <c r="F1140" s="281" t="s">
        <v>9</v>
      </c>
      <c r="G1140" s="282" t="s">
        <v>2341</v>
      </c>
      <c r="H1140" s="282" t="s">
        <v>2342</v>
      </c>
      <c r="I1140" s="283">
        <v>78379</v>
      </c>
    </row>
    <row r="1141" spans="1:9" x14ac:dyDescent="0.2">
      <c r="A1141" s="279">
        <v>1140</v>
      </c>
      <c r="B1141" s="280">
        <v>42724</v>
      </c>
      <c r="C1141" s="280">
        <v>42746</v>
      </c>
      <c r="D1141" s="233" t="s">
        <v>1092</v>
      </c>
      <c r="E1141" s="281" t="s">
        <v>392</v>
      </c>
      <c r="F1141" s="281" t="s">
        <v>2224</v>
      </c>
      <c r="G1141" s="282" t="s">
        <v>2343</v>
      </c>
      <c r="H1141" s="282" t="s">
        <v>2344</v>
      </c>
      <c r="I1141" s="283">
        <v>28760.33</v>
      </c>
    </row>
    <row r="1142" spans="1:9" x14ac:dyDescent="0.2">
      <c r="A1142" s="279">
        <v>1141</v>
      </c>
      <c r="B1142" s="280">
        <v>42724</v>
      </c>
      <c r="C1142" s="280">
        <v>42744</v>
      </c>
      <c r="D1142" s="233" t="s">
        <v>1092</v>
      </c>
      <c r="E1142" s="281" t="s">
        <v>392</v>
      </c>
      <c r="F1142" s="281" t="s">
        <v>2224</v>
      </c>
      <c r="G1142" s="282" t="s">
        <v>2345</v>
      </c>
      <c r="H1142" s="282" t="s">
        <v>2346</v>
      </c>
      <c r="I1142" s="283">
        <v>28760.33</v>
      </c>
    </row>
    <row r="1143" spans="1:9" x14ac:dyDescent="0.2">
      <c r="A1143" s="279">
        <v>1142</v>
      </c>
      <c r="B1143" s="280">
        <v>42725</v>
      </c>
      <c r="C1143" s="280">
        <v>42744</v>
      </c>
      <c r="D1143" s="233" t="s">
        <v>1092</v>
      </c>
      <c r="E1143" s="281" t="s">
        <v>392</v>
      </c>
      <c r="F1143" s="281" t="s">
        <v>2224</v>
      </c>
      <c r="G1143" s="282" t="s">
        <v>2347</v>
      </c>
      <c r="H1143" s="282" t="s">
        <v>2348</v>
      </c>
      <c r="I1143" s="283">
        <v>28760.33</v>
      </c>
    </row>
    <row r="1144" spans="1:9" x14ac:dyDescent="0.2">
      <c r="A1144" s="279">
        <v>1143</v>
      </c>
      <c r="B1144" s="280">
        <v>42725</v>
      </c>
      <c r="C1144" s="280">
        <v>42746</v>
      </c>
      <c r="D1144" s="233" t="s">
        <v>1092</v>
      </c>
      <c r="E1144" s="281" t="s">
        <v>392</v>
      </c>
      <c r="F1144" s="281" t="s">
        <v>2224</v>
      </c>
      <c r="G1144" s="282" t="s">
        <v>2349</v>
      </c>
      <c r="H1144" s="282" t="s">
        <v>2350</v>
      </c>
      <c r="I1144" s="283">
        <v>47933.88</v>
      </c>
    </row>
    <row r="1145" spans="1:9" x14ac:dyDescent="0.2">
      <c r="A1145" s="279">
        <v>1144</v>
      </c>
      <c r="B1145" s="280">
        <v>42733</v>
      </c>
      <c r="C1145" s="280">
        <v>42760</v>
      </c>
      <c r="D1145" s="233" t="s">
        <v>1092</v>
      </c>
      <c r="E1145" s="281" t="s">
        <v>392</v>
      </c>
      <c r="F1145" s="281" t="s">
        <v>71</v>
      </c>
      <c r="G1145" s="282" t="s">
        <v>2356</v>
      </c>
      <c r="H1145" s="282" t="s">
        <v>2357</v>
      </c>
      <c r="I1145" s="283">
        <v>31424.66</v>
      </c>
    </row>
    <row r="1146" spans="1:9" x14ac:dyDescent="0.2">
      <c r="A1146" s="279">
        <v>1145</v>
      </c>
      <c r="B1146" s="280">
        <v>42732</v>
      </c>
      <c r="C1146" s="280">
        <v>42758</v>
      </c>
      <c r="D1146" s="233" t="s">
        <v>1092</v>
      </c>
      <c r="E1146" s="281" t="s">
        <v>392</v>
      </c>
      <c r="F1146" s="281" t="s">
        <v>393</v>
      </c>
      <c r="G1146" s="282" t="s">
        <v>2358</v>
      </c>
      <c r="H1146" s="282" t="s">
        <v>2359</v>
      </c>
      <c r="I1146" s="283">
        <v>88000</v>
      </c>
    </row>
    <row r="1147" spans="1:9" x14ac:dyDescent="0.2">
      <c r="A1147" s="279">
        <v>1146</v>
      </c>
      <c r="B1147" s="280">
        <v>42732</v>
      </c>
      <c r="C1147" s="280">
        <v>42758</v>
      </c>
      <c r="D1147" s="233" t="s">
        <v>1092</v>
      </c>
      <c r="E1147" s="281" t="s">
        <v>392</v>
      </c>
      <c r="F1147" s="281" t="s">
        <v>393</v>
      </c>
      <c r="G1147" s="282" t="s">
        <v>2360</v>
      </c>
      <c r="H1147" s="282" t="s">
        <v>2361</v>
      </c>
      <c r="I1147" s="283">
        <v>20000</v>
      </c>
    </row>
    <row r="1148" spans="1:9" x14ac:dyDescent="0.2">
      <c r="A1148" s="279">
        <v>1147</v>
      </c>
      <c r="B1148" s="280">
        <v>42732</v>
      </c>
      <c r="C1148" s="280">
        <v>42760</v>
      </c>
      <c r="D1148" s="233" t="s">
        <v>1092</v>
      </c>
      <c r="E1148" s="281" t="s">
        <v>422</v>
      </c>
      <c r="F1148" s="281" t="s">
        <v>701</v>
      </c>
      <c r="G1148" s="282" t="s">
        <v>2362</v>
      </c>
      <c r="H1148" s="282" t="s">
        <v>2363</v>
      </c>
      <c r="I1148" s="283">
        <v>32000</v>
      </c>
    </row>
    <row r="1149" spans="1:9" x14ac:dyDescent="0.2">
      <c r="A1149" s="279">
        <v>1148</v>
      </c>
      <c r="B1149" s="280">
        <v>42744</v>
      </c>
      <c r="C1149" s="280">
        <v>42760</v>
      </c>
      <c r="D1149" s="233" t="s">
        <v>1092</v>
      </c>
      <c r="E1149" s="281" t="s">
        <v>422</v>
      </c>
      <c r="F1149" s="281" t="s">
        <v>396</v>
      </c>
      <c r="G1149" s="282" t="s">
        <v>2364</v>
      </c>
      <c r="H1149" s="282" t="s">
        <v>2365</v>
      </c>
      <c r="I1149" s="283">
        <v>71711.11</v>
      </c>
    </row>
    <row r="1150" spans="1:9" x14ac:dyDescent="0.2">
      <c r="A1150" s="279">
        <v>1149</v>
      </c>
      <c r="B1150" s="280">
        <v>42744</v>
      </c>
      <c r="C1150" s="280">
        <v>42760</v>
      </c>
      <c r="D1150" s="233" t="s">
        <v>1092</v>
      </c>
      <c r="E1150" s="281" t="s">
        <v>422</v>
      </c>
      <c r="F1150" s="281" t="s">
        <v>396</v>
      </c>
      <c r="G1150" s="282" t="s">
        <v>2366</v>
      </c>
      <c r="H1150" s="282" t="s">
        <v>2367</v>
      </c>
      <c r="I1150" s="283">
        <v>27933.33</v>
      </c>
    </row>
    <row r="1151" spans="1:9" x14ac:dyDescent="0.2">
      <c r="A1151" s="279">
        <v>1150</v>
      </c>
      <c r="B1151" s="280">
        <v>42744</v>
      </c>
      <c r="C1151" s="280">
        <v>42760</v>
      </c>
      <c r="D1151" s="233" t="s">
        <v>1092</v>
      </c>
      <c r="E1151" s="281" t="s">
        <v>392</v>
      </c>
      <c r="F1151" s="281" t="s">
        <v>393</v>
      </c>
      <c r="G1151" s="282" t="s">
        <v>2368</v>
      </c>
      <c r="H1151" s="282" t="s">
        <v>2369</v>
      </c>
      <c r="I1151" s="283">
        <v>51000</v>
      </c>
    </row>
    <row r="1152" spans="1:9" x14ac:dyDescent="0.2">
      <c r="A1152" s="279">
        <v>1151</v>
      </c>
      <c r="B1152" s="280">
        <v>42745</v>
      </c>
      <c r="C1152" s="280">
        <v>42765</v>
      </c>
      <c r="D1152" s="233" t="s">
        <v>1092</v>
      </c>
      <c r="E1152" s="281" t="s">
        <v>392</v>
      </c>
      <c r="F1152" s="281" t="s">
        <v>1640</v>
      </c>
      <c r="G1152" s="282" t="s">
        <v>2370</v>
      </c>
      <c r="H1152" s="282" t="s">
        <v>2371</v>
      </c>
      <c r="I1152" s="283">
        <v>76000.89</v>
      </c>
    </row>
    <row r="1153" spans="1:11" x14ac:dyDescent="0.2">
      <c r="A1153" s="279">
        <v>1152</v>
      </c>
      <c r="B1153" s="280">
        <v>42745</v>
      </c>
      <c r="C1153" s="280">
        <v>42765</v>
      </c>
      <c r="D1153" s="233" t="s">
        <v>1092</v>
      </c>
      <c r="E1153" s="281" t="s">
        <v>392</v>
      </c>
      <c r="F1153" s="281" t="s">
        <v>1257</v>
      </c>
      <c r="G1153" s="282" t="s">
        <v>2372</v>
      </c>
      <c r="H1153" s="282" t="s">
        <v>2373</v>
      </c>
      <c r="I1153" s="283">
        <v>79648.929999999993</v>
      </c>
    </row>
    <row r="1154" spans="1:11" x14ac:dyDescent="0.2">
      <c r="A1154" s="279">
        <v>1153</v>
      </c>
      <c r="B1154" s="280">
        <v>42745</v>
      </c>
      <c r="C1154" s="280">
        <v>42765</v>
      </c>
      <c r="D1154" s="233" t="s">
        <v>1092</v>
      </c>
      <c r="E1154" s="281" t="s">
        <v>392</v>
      </c>
      <c r="F1154" s="281" t="s">
        <v>71</v>
      </c>
      <c r="G1154" s="282" t="s">
        <v>2374</v>
      </c>
      <c r="H1154" s="282" t="s">
        <v>2375</v>
      </c>
      <c r="I1154" s="283">
        <v>25446.11</v>
      </c>
    </row>
    <row r="1155" spans="1:11" x14ac:dyDescent="0.2">
      <c r="A1155" s="279">
        <v>1154</v>
      </c>
      <c r="B1155" s="280">
        <v>42746</v>
      </c>
      <c r="C1155" s="280">
        <v>42765</v>
      </c>
      <c r="D1155" s="233" t="s">
        <v>1092</v>
      </c>
      <c r="E1155" s="281" t="s">
        <v>422</v>
      </c>
      <c r="F1155" s="281" t="s">
        <v>396</v>
      </c>
      <c r="G1155" s="282" t="s">
        <v>2376</v>
      </c>
      <c r="H1155" s="282" t="s">
        <v>2377</v>
      </c>
      <c r="I1155" s="283">
        <v>16422.22</v>
      </c>
    </row>
    <row r="1156" spans="1:11" x14ac:dyDescent="0.2">
      <c r="A1156" s="279">
        <v>1155</v>
      </c>
      <c r="B1156" s="280">
        <v>42746</v>
      </c>
      <c r="C1156" s="280">
        <v>42765</v>
      </c>
      <c r="D1156" s="233" t="s">
        <v>1092</v>
      </c>
      <c r="E1156" s="281" t="s">
        <v>422</v>
      </c>
      <c r="F1156" s="281" t="s">
        <v>396</v>
      </c>
      <c r="G1156" s="282" t="s">
        <v>2378</v>
      </c>
      <c r="H1156" s="282" t="s">
        <v>2379</v>
      </c>
      <c r="I1156" s="283">
        <v>104933.33</v>
      </c>
    </row>
    <row r="1157" spans="1:11" x14ac:dyDescent="0.2">
      <c r="A1157" s="279">
        <v>1156</v>
      </c>
      <c r="B1157" s="280">
        <v>42748</v>
      </c>
      <c r="C1157" s="280">
        <v>42765</v>
      </c>
      <c r="D1157" s="233" t="s">
        <v>1092</v>
      </c>
      <c r="E1157" s="281" t="s">
        <v>422</v>
      </c>
      <c r="F1157" s="281" t="s">
        <v>701</v>
      </c>
      <c r="G1157" s="282" t="s">
        <v>2380</v>
      </c>
      <c r="H1157" s="282" t="s">
        <v>2381</v>
      </c>
      <c r="I1157" s="283">
        <v>54000</v>
      </c>
    </row>
    <row r="1158" spans="1:11" x14ac:dyDescent="0.2">
      <c r="A1158" s="279">
        <v>1157</v>
      </c>
      <c r="B1158" s="280">
        <v>42752</v>
      </c>
      <c r="C1158" s="280">
        <v>42772</v>
      </c>
      <c r="D1158" s="233" t="s">
        <v>1092</v>
      </c>
      <c r="E1158" s="281" t="s">
        <v>422</v>
      </c>
      <c r="F1158" s="281" t="s">
        <v>1276</v>
      </c>
      <c r="G1158" s="282" t="s">
        <v>2382</v>
      </c>
      <c r="H1158" s="282" t="s">
        <v>2383</v>
      </c>
      <c r="I1158" s="283">
        <v>88055.56</v>
      </c>
    </row>
    <row r="1159" spans="1:11" x14ac:dyDescent="0.2">
      <c r="A1159" s="279">
        <v>1158</v>
      </c>
      <c r="B1159" s="280">
        <v>42755</v>
      </c>
      <c r="C1159" s="280">
        <v>42807</v>
      </c>
      <c r="D1159" s="233" t="s">
        <v>1092</v>
      </c>
      <c r="E1159" s="281" t="s">
        <v>392</v>
      </c>
      <c r="F1159" s="281" t="s">
        <v>9</v>
      </c>
      <c r="G1159" s="282" t="s">
        <v>2384</v>
      </c>
      <c r="H1159" s="282" t="s">
        <v>2385</v>
      </c>
      <c r="I1159" s="283">
        <v>534348</v>
      </c>
    </row>
    <row r="1160" spans="1:11" x14ac:dyDescent="0.2">
      <c r="A1160" s="279">
        <v>1159</v>
      </c>
      <c r="B1160" s="280">
        <v>42754</v>
      </c>
      <c r="C1160" s="280">
        <v>42781</v>
      </c>
      <c r="D1160" s="233" t="s">
        <v>1092</v>
      </c>
      <c r="E1160" s="281" t="s">
        <v>392</v>
      </c>
      <c r="F1160" s="281" t="s">
        <v>9</v>
      </c>
      <c r="G1160" s="282" t="s">
        <v>2386</v>
      </c>
      <c r="H1160" s="282" t="s">
        <v>2387</v>
      </c>
      <c r="I1160" s="283">
        <v>107547</v>
      </c>
      <c r="K1160" s="178" t="s">
        <v>2402</v>
      </c>
    </row>
    <row r="1161" spans="1:11" x14ac:dyDescent="0.2">
      <c r="A1161" s="279">
        <v>1160</v>
      </c>
      <c r="B1161" s="280">
        <v>42755</v>
      </c>
      <c r="C1161" s="280">
        <v>42779</v>
      </c>
      <c r="D1161" s="233" t="s">
        <v>1092</v>
      </c>
      <c r="E1161" s="281" t="s">
        <v>392</v>
      </c>
      <c r="F1161" s="281" t="s">
        <v>71</v>
      </c>
      <c r="G1161" s="282" t="s">
        <v>2388</v>
      </c>
      <c r="H1161" s="282" t="s">
        <v>2389</v>
      </c>
      <c r="I1161" s="283">
        <v>46867.4</v>
      </c>
    </row>
    <row r="1162" spans="1:11" x14ac:dyDescent="0.2">
      <c r="A1162" s="279">
        <v>1161</v>
      </c>
      <c r="B1162" s="280">
        <v>42755</v>
      </c>
      <c r="C1162" s="280">
        <v>42779</v>
      </c>
      <c r="D1162" s="233" t="s">
        <v>1092</v>
      </c>
      <c r="E1162" s="281" t="s">
        <v>392</v>
      </c>
      <c r="F1162" s="281" t="s">
        <v>393</v>
      </c>
      <c r="G1162" s="282" t="s">
        <v>2390</v>
      </c>
      <c r="H1162" s="282" t="s">
        <v>2391</v>
      </c>
      <c r="I1162" s="283">
        <v>20400</v>
      </c>
    </row>
    <row r="1163" spans="1:11" x14ac:dyDescent="0.2">
      <c r="A1163" s="279">
        <v>1162</v>
      </c>
      <c r="B1163" s="280">
        <v>42755</v>
      </c>
      <c r="C1163" s="280">
        <v>42772</v>
      </c>
      <c r="D1163" s="233" t="s">
        <v>1092</v>
      </c>
      <c r="E1163" s="281" t="s">
        <v>392</v>
      </c>
      <c r="F1163" s="281" t="s">
        <v>393</v>
      </c>
      <c r="G1163" s="282" t="s">
        <v>2392</v>
      </c>
      <c r="H1163" s="282" t="s">
        <v>2393</v>
      </c>
      <c r="I1163" s="283">
        <v>151626.69</v>
      </c>
    </row>
    <row r="1164" spans="1:11" x14ac:dyDescent="0.2">
      <c r="A1164" s="279">
        <v>1163</v>
      </c>
      <c r="B1164" s="280">
        <v>42755</v>
      </c>
      <c r="C1164" s="280">
        <v>42772</v>
      </c>
      <c r="D1164" s="233" t="s">
        <v>1092</v>
      </c>
      <c r="E1164" s="281" t="s">
        <v>392</v>
      </c>
      <c r="F1164" s="281" t="s">
        <v>396</v>
      </c>
      <c r="G1164" s="282" t="s">
        <v>2394</v>
      </c>
      <c r="H1164" s="282" t="s">
        <v>2395</v>
      </c>
      <c r="I1164" s="283">
        <v>140395.07999999999</v>
      </c>
    </row>
    <row r="1165" spans="1:11" x14ac:dyDescent="0.2">
      <c r="A1165" s="279">
        <v>1164</v>
      </c>
      <c r="B1165" s="280">
        <v>42751</v>
      </c>
      <c r="C1165" s="280">
        <v>42772</v>
      </c>
      <c r="D1165" s="233" t="s">
        <v>1092</v>
      </c>
      <c r="E1165" s="281" t="s">
        <v>422</v>
      </c>
      <c r="F1165" s="281" t="s">
        <v>71</v>
      </c>
      <c r="G1165" s="282" t="s">
        <v>2396</v>
      </c>
      <c r="H1165" s="282" t="s">
        <v>2397</v>
      </c>
      <c r="I1165" s="283">
        <v>34838.839999999997</v>
      </c>
    </row>
    <row r="1166" spans="1:11" x14ac:dyDescent="0.2">
      <c r="A1166" s="279">
        <v>1165</v>
      </c>
      <c r="B1166" s="280">
        <v>42760</v>
      </c>
      <c r="C1166" s="280">
        <v>42779</v>
      </c>
      <c r="D1166" s="233" t="s">
        <v>1092</v>
      </c>
      <c r="E1166" s="281" t="s">
        <v>422</v>
      </c>
      <c r="F1166" s="281" t="s">
        <v>71</v>
      </c>
      <c r="G1166" s="282" t="s">
        <v>2398</v>
      </c>
      <c r="H1166" s="282" t="s">
        <v>2400</v>
      </c>
      <c r="I1166" s="283">
        <v>28894.76</v>
      </c>
    </row>
    <row r="1167" spans="1:11" x14ac:dyDescent="0.2">
      <c r="A1167" s="279">
        <v>1166</v>
      </c>
      <c r="B1167" s="280">
        <v>42760</v>
      </c>
      <c r="C1167" s="280">
        <v>42779</v>
      </c>
      <c r="D1167" s="233" t="s">
        <v>1092</v>
      </c>
      <c r="E1167" s="281" t="s">
        <v>422</v>
      </c>
      <c r="F1167" s="281" t="s">
        <v>71</v>
      </c>
      <c r="G1167" s="282" t="s">
        <v>2399</v>
      </c>
      <c r="H1167" s="282" t="s">
        <v>2401</v>
      </c>
      <c r="I1167" s="283">
        <v>38065.26</v>
      </c>
    </row>
    <row r="1168" spans="1:11" x14ac:dyDescent="0.2">
      <c r="A1168" s="279">
        <v>1167</v>
      </c>
      <c r="B1168" s="280">
        <v>42762</v>
      </c>
      <c r="C1168" s="280">
        <v>42779</v>
      </c>
      <c r="D1168" s="233" t="s">
        <v>1092</v>
      </c>
      <c r="E1168" s="281" t="s">
        <v>422</v>
      </c>
      <c r="F1168" s="281" t="s">
        <v>701</v>
      </c>
      <c r="G1168" s="282" t="s">
        <v>2403</v>
      </c>
      <c r="H1168" s="282" t="s">
        <v>2404</v>
      </c>
      <c r="I1168" s="283">
        <v>19000</v>
      </c>
    </row>
    <row r="1169" spans="1:9" x14ac:dyDescent="0.2">
      <c r="A1169" s="279">
        <v>1168</v>
      </c>
      <c r="B1169" s="280">
        <v>42762</v>
      </c>
      <c r="C1169" s="280">
        <v>42779</v>
      </c>
      <c r="D1169" s="233" t="s">
        <v>1092</v>
      </c>
      <c r="E1169" s="281" t="s">
        <v>422</v>
      </c>
      <c r="F1169" s="281" t="s">
        <v>701</v>
      </c>
      <c r="G1169" s="282" t="s">
        <v>2405</v>
      </c>
      <c r="H1169" s="282" t="s">
        <v>2406</v>
      </c>
      <c r="I1169" s="283">
        <v>35300</v>
      </c>
    </row>
    <row r="1170" spans="1:9" x14ac:dyDescent="0.2">
      <c r="A1170" s="279">
        <v>1169</v>
      </c>
      <c r="B1170" s="280">
        <v>42762</v>
      </c>
      <c r="C1170" s="280">
        <v>42779</v>
      </c>
      <c r="D1170" s="233" t="s">
        <v>1092</v>
      </c>
      <c r="E1170" s="281" t="s">
        <v>422</v>
      </c>
      <c r="F1170" s="281" t="s">
        <v>701</v>
      </c>
      <c r="G1170" s="282" t="s">
        <v>2407</v>
      </c>
      <c r="H1170" s="282" t="s">
        <v>2408</v>
      </c>
      <c r="I1170" s="283">
        <v>25500</v>
      </c>
    </row>
    <row r="1171" spans="1:9" x14ac:dyDescent="0.2">
      <c r="A1171" s="279">
        <v>1170</v>
      </c>
      <c r="B1171" s="280">
        <v>42762</v>
      </c>
      <c r="C1171" s="280">
        <v>42779</v>
      </c>
      <c r="D1171" s="233" t="s">
        <v>1092</v>
      </c>
      <c r="E1171" s="281" t="s">
        <v>422</v>
      </c>
      <c r="F1171" s="281" t="s">
        <v>701</v>
      </c>
      <c r="G1171" s="282" t="s">
        <v>2409</v>
      </c>
      <c r="H1171" s="282" t="s">
        <v>2410</v>
      </c>
      <c r="I1171" s="283">
        <v>41000</v>
      </c>
    </row>
    <row r="1172" spans="1:9" x14ac:dyDescent="0.2">
      <c r="A1172" s="279">
        <v>1171</v>
      </c>
      <c r="B1172" s="280">
        <v>42766</v>
      </c>
      <c r="C1172" s="280">
        <v>42781</v>
      </c>
      <c r="D1172" s="233" t="s">
        <v>1092</v>
      </c>
      <c r="E1172" s="281" t="s">
        <v>422</v>
      </c>
      <c r="F1172" s="281" t="s">
        <v>701</v>
      </c>
      <c r="G1172" s="282" t="s">
        <v>2411</v>
      </c>
      <c r="H1172" s="282" t="s">
        <v>2412</v>
      </c>
      <c r="I1172" s="283">
        <v>206000</v>
      </c>
    </row>
    <row r="1173" spans="1:9" x14ac:dyDescent="0.2">
      <c r="A1173" s="279">
        <v>1172</v>
      </c>
      <c r="B1173" s="280">
        <v>42766</v>
      </c>
      <c r="C1173" s="280">
        <v>42781</v>
      </c>
      <c r="D1173" s="233" t="s">
        <v>1092</v>
      </c>
      <c r="E1173" s="281" t="s">
        <v>422</v>
      </c>
      <c r="F1173" s="281" t="s">
        <v>1276</v>
      </c>
      <c r="G1173" s="282" t="s">
        <v>2413</v>
      </c>
      <c r="H1173" s="282" t="s">
        <v>2414</v>
      </c>
      <c r="I1173" s="283">
        <v>19722.22</v>
      </c>
    </row>
    <row r="1174" spans="1:9" x14ac:dyDescent="0.2">
      <c r="A1174" s="279">
        <v>1173</v>
      </c>
      <c r="B1174" s="280">
        <v>42766</v>
      </c>
      <c r="C1174" s="280">
        <v>42781</v>
      </c>
      <c r="D1174" s="233" t="s">
        <v>1092</v>
      </c>
      <c r="E1174" s="281" t="s">
        <v>422</v>
      </c>
      <c r="F1174" s="281" t="s">
        <v>1276</v>
      </c>
      <c r="G1174" s="282" t="s">
        <v>2415</v>
      </c>
      <c r="H1174" s="282" t="s">
        <v>2416</v>
      </c>
      <c r="I1174" s="283">
        <v>58066.67</v>
      </c>
    </row>
    <row r="1175" spans="1:9" x14ac:dyDescent="0.2">
      <c r="A1175" s="279">
        <v>1174</v>
      </c>
      <c r="B1175" s="280">
        <v>42765</v>
      </c>
      <c r="C1175" s="280">
        <v>42781</v>
      </c>
      <c r="D1175" s="233" t="s">
        <v>1092</v>
      </c>
      <c r="E1175" s="281" t="s">
        <v>392</v>
      </c>
      <c r="F1175" s="281" t="s">
        <v>2224</v>
      </c>
      <c r="G1175" s="282" t="s">
        <v>2417</v>
      </c>
      <c r="H1175" s="282" t="s">
        <v>2418</v>
      </c>
      <c r="I1175" s="283">
        <v>28041.27</v>
      </c>
    </row>
    <row r="1176" spans="1:9" x14ac:dyDescent="0.2">
      <c r="A1176" s="279">
        <v>1175</v>
      </c>
      <c r="B1176" s="280">
        <v>42765</v>
      </c>
      <c r="C1176" s="280">
        <v>42781</v>
      </c>
      <c r="D1176" s="233" t="s">
        <v>1092</v>
      </c>
      <c r="E1176" s="281" t="s">
        <v>392</v>
      </c>
      <c r="F1176" s="281" t="s">
        <v>9</v>
      </c>
      <c r="G1176" s="282" t="s">
        <v>2419</v>
      </c>
      <c r="H1176" s="282" t="s">
        <v>2420</v>
      </c>
      <c r="I1176" s="283">
        <v>164564</v>
      </c>
    </row>
    <row r="1177" spans="1:9" x14ac:dyDescent="0.2">
      <c r="A1177" s="279">
        <v>1176</v>
      </c>
      <c r="B1177" s="280">
        <v>42766</v>
      </c>
      <c r="C1177" s="280">
        <v>42781</v>
      </c>
      <c r="D1177" s="233" t="s">
        <v>1092</v>
      </c>
      <c r="E1177" s="281" t="s">
        <v>392</v>
      </c>
      <c r="F1177" s="281" t="s">
        <v>9</v>
      </c>
      <c r="G1177" s="282" t="s">
        <v>2421</v>
      </c>
      <c r="H1177" s="282" t="s">
        <v>2422</v>
      </c>
      <c r="I1177" s="283">
        <v>132827</v>
      </c>
    </row>
    <row r="1178" spans="1:9" x14ac:dyDescent="0.2">
      <c r="A1178" s="279">
        <v>1177</v>
      </c>
      <c r="B1178" s="280">
        <v>42766</v>
      </c>
      <c r="C1178" s="280">
        <v>42781</v>
      </c>
      <c r="D1178" s="233" t="s">
        <v>1092</v>
      </c>
      <c r="E1178" s="281" t="s">
        <v>392</v>
      </c>
      <c r="F1178" s="281" t="s">
        <v>9</v>
      </c>
      <c r="G1178" s="282" t="s">
        <v>2423</v>
      </c>
      <c r="H1178" s="282" t="s">
        <v>2424</v>
      </c>
      <c r="I1178" s="283">
        <v>140849</v>
      </c>
    </row>
    <row r="1179" spans="1:9" x14ac:dyDescent="0.2">
      <c r="A1179" s="279">
        <v>1178</v>
      </c>
      <c r="B1179" s="280">
        <v>42767</v>
      </c>
      <c r="C1179" s="280">
        <v>42786</v>
      </c>
      <c r="D1179" s="233" t="s">
        <v>1092</v>
      </c>
      <c r="E1179" s="281" t="s">
        <v>422</v>
      </c>
      <c r="F1179" s="281" t="s">
        <v>701</v>
      </c>
      <c r="G1179" s="282" t="s">
        <v>2425</v>
      </c>
      <c r="H1179" s="282" t="s">
        <v>2426</v>
      </c>
      <c r="I1179" s="283">
        <v>29100</v>
      </c>
    </row>
    <row r="1180" spans="1:9" x14ac:dyDescent="0.2">
      <c r="A1180" s="279">
        <v>1179</v>
      </c>
      <c r="B1180" s="280">
        <v>42767</v>
      </c>
      <c r="C1180" s="280">
        <v>42786</v>
      </c>
      <c r="D1180" s="233" t="s">
        <v>1092</v>
      </c>
      <c r="E1180" s="281" t="s">
        <v>422</v>
      </c>
      <c r="F1180" s="281" t="s">
        <v>701</v>
      </c>
      <c r="G1180" s="282" t="s">
        <v>2427</v>
      </c>
      <c r="H1180" s="282" t="s">
        <v>2428</v>
      </c>
      <c r="I1180" s="283">
        <v>40700</v>
      </c>
    </row>
    <row r="1181" spans="1:9" x14ac:dyDescent="0.2">
      <c r="A1181" s="279">
        <v>1180</v>
      </c>
      <c r="B1181" s="280">
        <v>42767</v>
      </c>
      <c r="C1181" s="280">
        <v>42786</v>
      </c>
      <c r="D1181" s="233" t="s">
        <v>1092</v>
      </c>
      <c r="E1181" s="281" t="s">
        <v>422</v>
      </c>
      <c r="F1181" s="281" t="s">
        <v>701</v>
      </c>
      <c r="G1181" s="282" t="s">
        <v>2429</v>
      </c>
      <c r="H1181" s="282" t="s">
        <v>2430</v>
      </c>
      <c r="I1181" s="283">
        <v>37600</v>
      </c>
    </row>
    <row r="1182" spans="1:9" x14ac:dyDescent="0.2">
      <c r="A1182" s="279">
        <v>1181</v>
      </c>
      <c r="B1182" s="280">
        <v>42767</v>
      </c>
      <c r="C1182" s="280">
        <v>42786</v>
      </c>
      <c r="D1182" s="233" t="s">
        <v>1092</v>
      </c>
      <c r="E1182" s="281" t="s">
        <v>422</v>
      </c>
      <c r="F1182" s="281" t="s">
        <v>701</v>
      </c>
      <c r="G1182" s="282" t="s">
        <v>2431</v>
      </c>
      <c r="H1182" s="282" t="s">
        <v>2432</v>
      </c>
      <c r="I1182" s="283">
        <v>81000</v>
      </c>
    </row>
    <row r="1183" spans="1:9" x14ac:dyDescent="0.2">
      <c r="A1183" s="279">
        <v>1182</v>
      </c>
      <c r="B1183" s="280">
        <v>42767</v>
      </c>
      <c r="C1183" s="280">
        <v>42786</v>
      </c>
      <c r="D1183" s="233" t="s">
        <v>1092</v>
      </c>
      <c r="E1183" s="281" t="s">
        <v>422</v>
      </c>
      <c r="F1183" s="281" t="s">
        <v>701</v>
      </c>
      <c r="G1183" s="282" t="s">
        <v>2433</v>
      </c>
      <c r="H1183" s="282" t="s">
        <v>2434</v>
      </c>
      <c r="I1183" s="283">
        <v>25500</v>
      </c>
    </row>
    <row r="1184" spans="1:9" x14ac:dyDescent="0.2">
      <c r="A1184" s="279">
        <v>1183</v>
      </c>
      <c r="B1184" s="280">
        <v>42768</v>
      </c>
      <c r="C1184" s="280">
        <v>42788</v>
      </c>
      <c r="D1184" s="233" t="s">
        <v>1092</v>
      </c>
      <c r="E1184" s="281" t="s">
        <v>422</v>
      </c>
      <c r="F1184" s="281" t="s">
        <v>701</v>
      </c>
      <c r="G1184" s="282" t="s">
        <v>2435</v>
      </c>
      <c r="H1184" s="282" t="s">
        <v>2436</v>
      </c>
      <c r="I1184" s="283">
        <v>150000</v>
      </c>
    </row>
    <row r="1185" spans="1:9" x14ac:dyDescent="0.2">
      <c r="A1185" s="279">
        <v>1184</v>
      </c>
      <c r="B1185" s="280">
        <v>42768</v>
      </c>
      <c r="C1185" s="280">
        <v>42788</v>
      </c>
      <c r="D1185" s="233" t="s">
        <v>1092</v>
      </c>
      <c r="E1185" s="281" t="s">
        <v>422</v>
      </c>
      <c r="F1185" s="281" t="s">
        <v>701</v>
      </c>
      <c r="G1185" s="282" t="s">
        <v>2437</v>
      </c>
      <c r="H1185" s="282" t="s">
        <v>2438</v>
      </c>
      <c r="I1185" s="283">
        <v>116700</v>
      </c>
    </row>
    <row r="1186" spans="1:9" x14ac:dyDescent="0.2">
      <c r="A1186" s="279">
        <v>1185</v>
      </c>
      <c r="B1186" s="280">
        <v>42768</v>
      </c>
      <c r="C1186" s="280">
        <v>42788</v>
      </c>
      <c r="D1186" s="233" t="s">
        <v>1092</v>
      </c>
      <c r="E1186" s="281" t="s">
        <v>422</v>
      </c>
      <c r="F1186" s="281" t="s">
        <v>701</v>
      </c>
      <c r="G1186" s="282" t="s">
        <v>2439</v>
      </c>
      <c r="H1186" s="282" t="s">
        <v>2440</v>
      </c>
      <c r="I1186" s="283">
        <v>116900</v>
      </c>
    </row>
    <row r="1187" spans="1:9" x14ac:dyDescent="0.2">
      <c r="A1187" s="279">
        <v>1186</v>
      </c>
      <c r="B1187" s="280">
        <v>42772</v>
      </c>
      <c r="C1187" s="280">
        <v>42788</v>
      </c>
      <c r="D1187" s="233" t="s">
        <v>1092</v>
      </c>
      <c r="E1187" s="281" t="s">
        <v>422</v>
      </c>
      <c r="F1187" s="281" t="s">
        <v>1276</v>
      </c>
      <c r="G1187" s="282" t="s">
        <v>2441</v>
      </c>
      <c r="H1187" s="282" t="s">
        <v>2442</v>
      </c>
      <c r="I1187" s="283">
        <v>67000</v>
      </c>
    </row>
    <row r="1188" spans="1:9" x14ac:dyDescent="0.2">
      <c r="A1188" s="279">
        <v>1187</v>
      </c>
      <c r="B1188" s="280">
        <v>42775</v>
      </c>
      <c r="C1188" s="280">
        <v>42793</v>
      </c>
      <c r="D1188" s="233" t="s">
        <v>1092</v>
      </c>
      <c r="E1188" s="281" t="s">
        <v>392</v>
      </c>
      <c r="F1188" s="281" t="s">
        <v>71</v>
      </c>
      <c r="G1188" s="282" t="s">
        <v>2444</v>
      </c>
      <c r="H1188" s="282" t="s">
        <v>2445</v>
      </c>
      <c r="I1188" s="283">
        <v>21412.79</v>
      </c>
    </row>
    <row r="1189" spans="1:9" x14ac:dyDescent="0.2">
      <c r="A1189" s="279">
        <v>1188</v>
      </c>
      <c r="B1189" s="280">
        <v>42775</v>
      </c>
      <c r="C1189" s="280">
        <v>42793</v>
      </c>
      <c r="D1189" s="233" t="s">
        <v>1092</v>
      </c>
      <c r="E1189" s="281" t="s">
        <v>392</v>
      </c>
      <c r="F1189" s="281" t="s">
        <v>393</v>
      </c>
      <c r="G1189" s="282" t="s">
        <v>2446</v>
      </c>
      <c r="H1189" s="282" t="s">
        <v>2447</v>
      </c>
      <c r="I1189" s="283">
        <v>54000</v>
      </c>
    </row>
    <row r="1190" spans="1:9" x14ac:dyDescent="0.2">
      <c r="A1190" s="279">
        <v>1189</v>
      </c>
      <c r="B1190" s="280">
        <v>42775</v>
      </c>
      <c r="C1190" s="280">
        <v>42802</v>
      </c>
      <c r="D1190" s="233" t="s">
        <v>1092</v>
      </c>
      <c r="E1190" s="281" t="s">
        <v>392</v>
      </c>
      <c r="F1190" s="281" t="s">
        <v>71</v>
      </c>
      <c r="G1190" s="282" t="s">
        <v>2448</v>
      </c>
      <c r="H1190" s="282" t="s">
        <v>2449</v>
      </c>
      <c r="I1190" s="283">
        <v>52491.13</v>
      </c>
    </row>
    <row r="1191" spans="1:9" x14ac:dyDescent="0.2">
      <c r="A1191" s="279">
        <v>1190</v>
      </c>
      <c r="B1191" s="280">
        <v>42775</v>
      </c>
      <c r="C1191" s="280">
        <v>42800</v>
      </c>
      <c r="D1191" s="233" t="s">
        <v>1092</v>
      </c>
      <c r="E1191" s="281" t="s">
        <v>392</v>
      </c>
      <c r="F1191" s="281" t="s">
        <v>393</v>
      </c>
      <c r="G1191" s="282" t="s">
        <v>2450</v>
      </c>
      <c r="H1191" s="282" t="s">
        <v>2451</v>
      </c>
      <c r="I1191" s="283">
        <v>117500</v>
      </c>
    </row>
    <row r="1192" spans="1:9" x14ac:dyDescent="0.2">
      <c r="A1192" s="279">
        <v>1191</v>
      </c>
      <c r="B1192" s="280">
        <v>42775</v>
      </c>
      <c r="C1192" s="280">
        <v>42793</v>
      </c>
      <c r="D1192" s="233" t="s">
        <v>1092</v>
      </c>
      <c r="E1192" s="281" t="s">
        <v>422</v>
      </c>
      <c r="F1192" s="281" t="s">
        <v>701</v>
      </c>
      <c r="G1192" s="282" t="s">
        <v>2452</v>
      </c>
      <c r="H1192" s="282" t="s">
        <v>2453</v>
      </c>
      <c r="I1192" s="283">
        <v>39100</v>
      </c>
    </row>
    <row r="1193" spans="1:9" x14ac:dyDescent="0.2">
      <c r="A1193" s="279">
        <v>1192</v>
      </c>
      <c r="B1193" s="280">
        <v>42775</v>
      </c>
      <c r="C1193" s="280">
        <v>42793</v>
      </c>
      <c r="D1193" s="233" t="s">
        <v>1092</v>
      </c>
      <c r="E1193" s="281" t="s">
        <v>422</v>
      </c>
      <c r="F1193" s="281" t="s">
        <v>701</v>
      </c>
      <c r="G1193" s="282" t="s">
        <v>2454</v>
      </c>
      <c r="H1193" s="282" t="s">
        <v>2455</v>
      </c>
      <c r="I1193" s="283">
        <v>29400</v>
      </c>
    </row>
    <row r="1194" spans="1:9" x14ac:dyDescent="0.2">
      <c r="A1194" s="279">
        <v>1193</v>
      </c>
      <c r="B1194" s="280">
        <v>42775</v>
      </c>
      <c r="C1194" s="280">
        <v>42793</v>
      </c>
      <c r="D1194" s="233" t="s">
        <v>1092</v>
      </c>
      <c r="E1194" s="281" t="s">
        <v>422</v>
      </c>
      <c r="F1194" s="281" t="s">
        <v>701</v>
      </c>
      <c r="G1194" s="282" t="s">
        <v>2456</v>
      </c>
      <c r="H1194" s="282" t="s">
        <v>2457</v>
      </c>
      <c r="I1194" s="283">
        <v>37200</v>
      </c>
    </row>
    <row r="1195" spans="1:9" x14ac:dyDescent="0.2">
      <c r="A1195" s="279">
        <v>1194</v>
      </c>
      <c r="B1195" s="280">
        <v>42779</v>
      </c>
      <c r="C1195" s="280">
        <v>42795</v>
      </c>
      <c r="D1195" s="233" t="s">
        <v>1092</v>
      </c>
      <c r="E1195" s="281" t="s">
        <v>392</v>
      </c>
      <c r="F1195" s="281" t="s">
        <v>71</v>
      </c>
      <c r="G1195" s="282" t="s">
        <v>2458</v>
      </c>
      <c r="H1195" s="282" t="s">
        <v>2459</v>
      </c>
      <c r="I1195" s="283">
        <v>62769.78</v>
      </c>
    </row>
    <row r="1196" spans="1:9" x14ac:dyDescent="0.2">
      <c r="A1196" s="279">
        <v>1195</v>
      </c>
      <c r="B1196" s="280">
        <v>42779</v>
      </c>
      <c r="C1196" s="280">
        <v>42795</v>
      </c>
      <c r="D1196" s="233" t="s">
        <v>1092</v>
      </c>
      <c r="E1196" s="281" t="s">
        <v>392</v>
      </c>
      <c r="F1196" s="281" t="s">
        <v>1257</v>
      </c>
      <c r="G1196" s="282" t="s">
        <v>2460</v>
      </c>
      <c r="H1196" s="282" t="s">
        <v>2461</v>
      </c>
      <c r="I1196" s="283">
        <v>116000</v>
      </c>
    </row>
    <row r="1197" spans="1:9" x14ac:dyDescent="0.2">
      <c r="A1197" s="279">
        <v>1196</v>
      </c>
      <c r="B1197" s="280">
        <v>42776</v>
      </c>
      <c r="C1197" s="280">
        <v>42793</v>
      </c>
      <c r="D1197" s="233" t="s">
        <v>1092</v>
      </c>
      <c r="E1197" s="281" t="s">
        <v>392</v>
      </c>
      <c r="F1197" s="281" t="s">
        <v>2224</v>
      </c>
      <c r="G1197" s="282" t="s">
        <v>2462</v>
      </c>
      <c r="H1197" s="282" t="s">
        <v>2463</v>
      </c>
      <c r="I1197" s="283">
        <v>35351.25</v>
      </c>
    </row>
    <row r="1198" spans="1:9" x14ac:dyDescent="0.2">
      <c r="A1198" s="279">
        <v>1197</v>
      </c>
      <c r="B1198" s="280">
        <v>42780</v>
      </c>
      <c r="C1198" s="280">
        <v>42828</v>
      </c>
      <c r="D1198" s="233" t="s">
        <v>1092</v>
      </c>
      <c r="E1198" s="281" t="s">
        <v>392</v>
      </c>
      <c r="F1198" s="281" t="s">
        <v>9</v>
      </c>
      <c r="G1198" s="282" t="s">
        <v>2464</v>
      </c>
      <c r="H1198" s="282" t="s">
        <v>2465</v>
      </c>
      <c r="I1198" s="283">
        <v>237984</v>
      </c>
    </row>
    <row r="1199" spans="1:9" x14ac:dyDescent="0.2">
      <c r="A1199" s="279">
        <v>1198</v>
      </c>
      <c r="B1199" s="280">
        <v>42780</v>
      </c>
      <c r="C1199" s="280">
        <v>42828</v>
      </c>
      <c r="D1199" s="233" t="s">
        <v>1092</v>
      </c>
      <c r="E1199" s="281" t="s">
        <v>392</v>
      </c>
      <c r="F1199" s="281" t="s">
        <v>9</v>
      </c>
      <c r="G1199" s="282" t="s">
        <v>2466</v>
      </c>
      <c r="H1199" s="282" t="s">
        <v>2467</v>
      </c>
      <c r="I1199" s="283">
        <v>240037</v>
      </c>
    </row>
    <row r="1200" spans="1:9" x14ac:dyDescent="0.2">
      <c r="A1200" s="279">
        <v>1199</v>
      </c>
      <c r="B1200" s="280">
        <v>42780</v>
      </c>
      <c r="C1200" s="280">
        <v>42828</v>
      </c>
      <c r="D1200" s="233" t="s">
        <v>1092</v>
      </c>
      <c r="E1200" s="281" t="s">
        <v>392</v>
      </c>
      <c r="F1200" s="281" t="s">
        <v>9</v>
      </c>
      <c r="G1200" s="282" t="s">
        <v>2468</v>
      </c>
      <c r="H1200" s="282" t="s">
        <v>2469</v>
      </c>
      <c r="I1200" s="283">
        <v>369717</v>
      </c>
    </row>
    <row r="1201" spans="1:9" x14ac:dyDescent="0.2">
      <c r="A1201" s="279">
        <v>1200</v>
      </c>
      <c r="B1201" s="280">
        <v>42787</v>
      </c>
      <c r="C1201" s="280">
        <v>42802</v>
      </c>
      <c r="D1201" s="233" t="s">
        <v>1092</v>
      </c>
      <c r="E1201" s="281" t="s">
        <v>392</v>
      </c>
      <c r="F1201" s="281" t="s">
        <v>1257</v>
      </c>
      <c r="G1201" s="282" t="s">
        <v>2470</v>
      </c>
      <c r="H1201" s="282" t="s">
        <v>2471</v>
      </c>
      <c r="I1201" s="283">
        <v>29375</v>
      </c>
    </row>
    <row r="1202" spans="1:9" x14ac:dyDescent="0.2">
      <c r="A1202" s="279">
        <v>1201</v>
      </c>
      <c r="B1202" s="280">
        <v>42787</v>
      </c>
      <c r="C1202" s="280">
        <v>42830</v>
      </c>
      <c r="D1202" s="233" t="s">
        <v>1092</v>
      </c>
      <c r="E1202" s="281" t="s">
        <v>392</v>
      </c>
      <c r="F1202" s="281" t="s">
        <v>9</v>
      </c>
      <c r="G1202" s="282" t="s">
        <v>2472</v>
      </c>
      <c r="H1202" s="282" t="s">
        <v>2473</v>
      </c>
      <c r="I1202" s="283">
        <v>511413.4</v>
      </c>
    </row>
    <row r="1203" spans="1:9" x14ac:dyDescent="0.2">
      <c r="A1203" s="279">
        <v>1202</v>
      </c>
      <c r="B1203" s="280">
        <v>42796</v>
      </c>
      <c r="C1203" s="280">
        <v>42814</v>
      </c>
      <c r="D1203" s="233" t="s">
        <v>1092</v>
      </c>
      <c r="E1203" s="281" t="s">
        <v>422</v>
      </c>
      <c r="F1203" s="281" t="s">
        <v>396</v>
      </c>
      <c r="G1203" s="282" t="s">
        <v>2474</v>
      </c>
      <c r="H1203" s="282" t="s">
        <v>2475</v>
      </c>
      <c r="I1203" s="283">
        <v>32177.78</v>
      </c>
    </row>
    <row r="1204" spans="1:9" x14ac:dyDescent="0.2">
      <c r="A1204" s="288">
        <v>1203</v>
      </c>
      <c r="B1204" s="289">
        <v>42797</v>
      </c>
      <c r="C1204" s="289">
        <v>42849</v>
      </c>
      <c r="D1204" s="233" t="s">
        <v>1092</v>
      </c>
      <c r="E1204" s="290" t="s">
        <v>392</v>
      </c>
      <c r="F1204" s="290" t="s">
        <v>9</v>
      </c>
      <c r="G1204" s="291" t="s">
        <v>2476</v>
      </c>
      <c r="H1204" s="291" t="s">
        <v>2477</v>
      </c>
      <c r="I1204" s="292">
        <v>1802444</v>
      </c>
    </row>
    <row r="1205" spans="1:9" x14ac:dyDescent="0.2">
      <c r="A1205" s="279">
        <v>1204</v>
      </c>
      <c r="B1205" s="280">
        <v>42797</v>
      </c>
      <c r="C1205" s="280">
        <v>42849</v>
      </c>
      <c r="D1205" s="233" t="s">
        <v>1092</v>
      </c>
      <c r="E1205" s="281" t="s">
        <v>392</v>
      </c>
      <c r="F1205" s="281" t="s">
        <v>9</v>
      </c>
      <c r="G1205" s="282" t="s">
        <v>2478</v>
      </c>
      <c r="H1205" s="282" t="s">
        <v>2479</v>
      </c>
      <c r="I1205" s="283">
        <v>248400.6</v>
      </c>
    </row>
    <row r="1206" spans="1:9" x14ac:dyDescent="0.2">
      <c r="A1206" s="279">
        <v>1205</v>
      </c>
      <c r="B1206" s="280">
        <v>42802</v>
      </c>
      <c r="C1206" s="280">
        <v>42851</v>
      </c>
      <c r="D1206" s="233" t="s">
        <v>1092</v>
      </c>
      <c r="E1206" s="281" t="s">
        <v>422</v>
      </c>
      <c r="F1206" s="281" t="s">
        <v>71</v>
      </c>
      <c r="G1206" s="282" t="s">
        <v>2480</v>
      </c>
      <c r="H1206" s="282" t="s">
        <v>2481</v>
      </c>
      <c r="I1206" s="283">
        <v>318597.12</v>
      </c>
    </row>
    <row r="1207" spans="1:9" x14ac:dyDescent="0.2">
      <c r="A1207" s="288">
        <v>1206</v>
      </c>
      <c r="B1207" s="289">
        <v>42802</v>
      </c>
      <c r="C1207" s="289">
        <v>42851</v>
      </c>
      <c r="D1207" s="233" t="s">
        <v>1092</v>
      </c>
      <c r="E1207" s="290" t="s">
        <v>422</v>
      </c>
      <c r="F1207" s="290" t="s">
        <v>396</v>
      </c>
      <c r="G1207" s="291" t="s">
        <v>2482</v>
      </c>
      <c r="H1207" s="291" t="s">
        <v>2483</v>
      </c>
      <c r="I1207" s="292">
        <v>1161944.44</v>
      </c>
    </row>
    <row r="1208" spans="1:9" x14ac:dyDescent="0.2">
      <c r="A1208" s="293">
        <v>1207</v>
      </c>
      <c r="B1208" s="280">
        <v>42801</v>
      </c>
      <c r="C1208" s="280">
        <v>42816</v>
      </c>
      <c r="D1208" s="233" t="s">
        <v>1092</v>
      </c>
      <c r="E1208" s="281" t="s">
        <v>392</v>
      </c>
      <c r="F1208" s="281" t="s">
        <v>393</v>
      </c>
      <c r="G1208" s="282" t="s">
        <v>2484</v>
      </c>
      <c r="H1208" s="282" t="s">
        <v>2485</v>
      </c>
      <c r="I1208" s="283">
        <v>25000</v>
      </c>
    </row>
    <row r="1209" spans="1:9" x14ac:dyDescent="0.2">
      <c r="A1209" s="279">
        <v>1208</v>
      </c>
      <c r="B1209" s="280">
        <v>42801</v>
      </c>
      <c r="C1209" s="280">
        <v>42821</v>
      </c>
      <c r="D1209" s="233" t="s">
        <v>1092</v>
      </c>
      <c r="E1209" s="281" t="s">
        <v>422</v>
      </c>
      <c r="F1209" s="281" t="s">
        <v>701</v>
      </c>
      <c r="G1209" s="282" t="s">
        <v>2486</v>
      </c>
      <c r="H1209" s="282" t="s">
        <v>2487</v>
      </c>
      <c r="I1209" s="283">
        <v>45655</v>
      </c>
    </row>
    <row r="1210" spans="1:9" x14ac:dyDescent="0.2">
      <c r="A1210" s="279">
        <v>1209</v>
      </c>
      <c r="B1210" s="280">
        <v>42801</v>
      </c>
      <c r="C1210" s="280">
        <v>42816</v>
      </c>
      <c r="D1210" s="233" t="s">
        <v>1092</v>
      </c>
      <c r="E1210" s="281" t="s">
        <v>392</v>
      </c>
      <c r="F1210" s="281" t="s">
        <v>71</v>
      </c>
      <c r="G1210" s="282" t="s">
        <v>2488</v>
      </c>
      <c r="H1210" s="282" t="s">
        <v>2489</v>
      </c>
      <c r="I1210" s="283">
        <v>24756.45</v>
      </c>
    </row>
    <row r="1211" spans="1:9" x14ac:dyDescent="0.2">
      <c r="A1211" s="293">
        <v>1210</v>
      </c>
      <c r="B1211" s="280">
        <v>42801</v>
      </c>
      <c r="C1211" s="280">
        <v>42816</v>
      </c>
      <c r="D1211" s="233" t="s">
        <v>1092</v>
      </c>
      <c r="E1211" s="281" t="s">
        <v>392</v>
      </c>
      <c r="F1211" s="281" t="s">
        <v>393</v>
      </c>
      <c r="G1211" s="282" t="s">
        <v>2490</v>
      </c>
      <c r="H1211" s="282" t="s">
        <v>2491</v>
      </c>
      <c r="I1211" s="283">
        <v>60000</v>
      </c>
    </row>
    <row r="1212" spans="1:9" x14ac:dyDescent="0.2">
      <c r="A1212" s="279">
        <v>1211</v>
      </c>
      <c r="B1212" s="280">
        <v>42803</v>
      </c>
      <c r="C1212" s="280">
        <v>42823</v>
      </c>
      <c r="D1212" s="233" t="s">
        <v>1092</v>
      </c>
      <c r="E1212" s="281" t="s">
        <v>392</v>
      </c>
      <c r="F1212" s="281" t="s">
        <v>2224</v>
      </c>
      <c r="G1212" s="282" t="s">
        <v>2492</v>
      </c>
      <c r="H1212" s="282" t="s">
        <v>2493</v>
      </c>
      <c r="I1212" s="283">
        <v>41034.050000000003</v>
      </c>
    </row>
    <row r="1213" spans="1:9" x14ac:dyDescent="0.2">
      <c r="A1213" s="293">
        <v>1212</v>
      </c>
      <c r="B1213" s="280">
        <v>42803</v>
      </c>
      <c r="C1213" s="280">
        <v>42823</v>
      </c>
      <c r="D1213" s="233" t="s">
        <v>1092</v>
      </c>
      <c r="E1213" s="281" t="s">
        <v>392</v>
      </c>
      <c r="F1213" s="281" t="s">
        <v>2224</v>
      </c>
      <c r="G1213" s="282" t="s">
        <v>2494</v>
      </c>
      <c r="H1213" s="282" t="s">
        <v>2495</v>
      </c>
      <c r="I1213" s="283">
        <v>36669.42</v>
      </c>
    </row>
    <row r="1214" spans="1:9" x14ac:dyDescent="0.2">
      <c r="A1214" s="293">
        <v>1213</v>
      </c>
      <c r="B1214" s="280">
        <v>42808</v>
      </c>
      <c r="C1214" s="280">
        <v>42823</v>
      </c>
      <c r="D1214" s="233" t="s">
        <v>1092</v>
      </c>
      <c r="E1214" s="281" t="s">
        <v>422</v>
      </c>
      <c r="F1214" s="281" t="s">
        <v>701</v>
      </c>
      <c r="G1214" s="282" t="s">
        <v>2496</v>
      </c>
      <c r="H1214" s="282" t="s">
        <v>2497</v>
      </c>
      <c r="I1214" s="283">
        <v>101117.7</v>
      </c>
    </row>
    <row r="1215" spans="1:9" x14ac:dyDescent="0.2">
      <c r="A1215" s="279">
        <v>1214</v>
      </c>
      <c r="B1215" s="280">
        <v>42808</v>
      </c>
      <c r="C1215" s="280">
        <v>42823</v>
      </c>
      <c r="D1215" s="233" t="s">
        <v>1092</v>
      </c>
      <c r="E1215" s="281" t="s">
        <v>392</v>
      </c>
      <c r="F1215" s="281" t="s">
        <v>9</v>
      </c>
      <c r="G1215" s="282" t="s">
        <v>2498</v>
      </c>
      <c r="H1215" s="282" t="s">
        <v>2499</v>
      </c>
      <c r="I1215" s="283">
        <v>90691</v>
      </c>
    </row>
    <row r="1216" spans="1:9" x14ac:dyDescent="0.2">
      <c r="A1216" s="293">
        <v>1215</v>
      </c>
      <c r="B1216" s="280">
        <v>42808</v>
      </c>
      <c r="C1216" s="280">
        <v>42823</v>
      </c>
      <c r="D1216" s="233" t="s">
        <v>1092</v>
      </c>
      <c r="E1216" s="281" t="s">
        <v>392</v>
      </c>
      <c r="F1216" s="281" t="s">
        <v>9</v>
      </c>
      <c r="G1216" s="282" t="s">
        <v>2500</v>
      </c>
      <c r="H1216" s="282" t="s">
        <v>2501</v>
      </c>
      <c r="I1216" s="283">
        <v>176561</v>
      </c>
    </row>
    <row r="1217" spans="1:9" x14ac:dyDescent="0.2">
      <c r="A1217" s="293">
        <v>1216</v>
      </c>
      <c r="B1217" s="280">
        <v>42808</v>
      </c>
      <c r="C1217" s="280">
        <v>42828</v>
      </c>
      <c r="D1217" s="233" t="s">
        <v>1092</v>
      </c>
      <c r="E1217" s="281" t="s">
        <v>392</v>
      </c>
      <c r="F1217" s="281" t="s">
        <v>393</v>
      </c>
      <c r="G1217" s="282" t="s">
        <v>2502</v>
      </c>
      <c r="H1217" s="282" t="s">
        <v>2503</v>
      </c>
      <c r="I1217" s="283">
        <v>25898.82</v>
      </c>
    </row>
    <row r="1218" spans="1:9" x14ac:dyDescent="0.2">
      <c r="A1218" s="279">
        <v>1217</v>
      </c>
      <c r="B1218" s="280">
        <v>42808</v>
      </c>
      <c r="C1218" s="280">
        <v>42823</v>
      </c>
      <c r="D1218" s="233" t="s">
        <v>1092</v>
      </c>
      <c r="E1218" s="281" t="s">
        <v>392</v>
      </c>
      <c r="F1218" s="281" t="s">
        <v>9</v>
      </c>
      <c r="G1218" s="282" t="s">
        <v>2504</v>
      </c>
      <c r="H1218" s="282" t="s">
        <v>2505</v>
      </c>
      <c r="I1218" s="283">
        <v>163086</v>
      </c>
    </row>
    <row r="1219" spans="1:9" x14ac:dyDescent="0.2">
      <c r="A1219" s="293">
        <v>1218</v>
      </c>
      <c r="B1219" s="280">
        <v>42810</v>
      </c>
      <c r="C1219" s="280">
        <v>42828</v>
      </c>
      <c r="D1219" s="233" t="s">
        <v>1092</v>
      </c>
      <c r="E1219" s="281" t="s">
        <v>392</v>
      </c>
      <c r="F1219" s="281" t="s">
        <v>71</v>
      </c>
      <c r="G1219" s="282" t="s">
        <v>2506</v>
      </c>
      <c r="H1219" s="282" t="s">
        <v>2507</v>
      </c>
      <c r="I1219" s="283">
        <v>15885.29</v>
      </c>
    </row>
    <row r="1220" spans="1:9" x14ac:dyDescent="0.2">
      <c r="A1220" s="293">
        <v>1219</v>
      </c>
      <c r="B1220" s="280">
        <v>42811</v>
      </c>
      <c r="C1220" s="280">
        <v>42830</v>
      </c>
      <c r="D1220" s="233" t="s">
        <v>1092</v>
      </c>
      <c r="E1220" s="281" t="s">
        <v>422</v>
      </c>
      <c r="F1220" s="281" t="s">
        <v>701</v>
      </c>
      <c r="G1220" s="282" t="s">
        <v>2508</v>
      </c>
      <c r="H1220" s="282" t="s">
        <v>2509</v>
      </c>
      <c r="I1220" s="283">
        <v>109360</v>
      </c>
    </row>
    <row r="1221" spans="1:9" x14ac:dyDescent="0.2">
      <c r="A1221" s="279">
        <v>1220</v>
      </c>
      <c r="B1221" s="280">
        <v>42811</v>
      </c>
      <c r="C1221" s="280">
        <v>42828</v>
      </c>
      <c r="D1221" s="233" t="s">
        <v>1092</v>
      </c>
      <c r="E1221" s="281" t="s">
        <v>392</v>
      </c>
      <c r="F1221" s="281" t="s">
        <v>71</v>
      </c>
      <c r="G1221" s="282" t="s">
        <v>2510</v>
      </c>
      <c r="H1221" s="282" t="s">
        <v>2511</v>
      </c>
      <c r="I1221" s="283">
        <v>45812.91</v>
      </c>
    </row>
    <row r="1222" spans="1:9" ht="13.5" customHeight="1" x14ac:dyDescent="0.2">
      <c r="A1222" s="293">
        <v>1221</v>
      </c>
      <c r="B1222" s="280">
        <v>42811</v>
      </c>
      <c r="C1222" s="280">
        <v>42828</v>
      </c>
      <c r="D1222" s="233" t="s">
        <v>1092</v>
      </c>
      <c r="E1222" s="281" t="s">
        <v>392</v>
      </c>
      <c r="F1222" s="281" t="s">
        <v>393</v>
      </c>
      <c r="G1222" s="282" t="s">
        <v>2512</v>
      </c>
      <c r="H1222" s="282" t="s">
        <v>2513</v>
      </c>
      <c r="I1222" s="283">
        <v>31500</v>
      </c>
    </row>
    <row r="1223" spans="1:9" x14ac:dyDescent="0.2">
      <c r="A1223" s="279">
        <v>1222</v>
      </c>
      <c r="B1223" s="280">
        <v>42814</v>
      </c>
      <c r="C1223" s="280">
        <v>42830</v>
      </c>
      <c r="D1223" s="233" t="s">
        <v>1092</v>
      </c>
      <c r="E1223" s="281" t="s">
        <v>392</v>
      </c>
      <c r="F1223" s="281" t="s">
        <v>393</v>
      </c>
      <c r="G1223" s="282" t="s">
        <v>2514</v>
      </c>
      <c r="H1223" s="282" t="s">
        <v>2515</v>
      </c>
      <c r="I1223" s="283">
        <v>140000</v>
      </c>
    </row>
    <row r="1224" spans="1:9" x14ac:dyDescent="0.2">
      <c r="A1224" s="293">
        <v>1223</v>
      </c>
      <c r="B1224" s="280">
        <v>42817</v>
      </c>
      <c r="C1224" s="280">
        <v>42835</v>
      </c>
      <c r="D1224" s="233" t="s">
        <v>1092</v>
      </c>
      <c r="E1224" s="281" t="s">
        <v>422</v>
      </c>
      <c r="F1224" s="281" t="s">
        <v>701</v>
      </c>
      <c r="G1224" s="282" t="s">
        <v>2516</v>
      </c>
      <c r="H1224" s="282" t="s">
        <v>2517</v>
      </c>
      <c r="I1224" s="283">
        <v>125000</v>
      </c>
    </row>
    <row r="1225" spans="1:9" x14ac:dyDescent="0.2">
      <c r="A1225" s="279">
        <v>1224</v>
      </c>
      <c r="B1225" s="280">
        <v>42818</v>
      </c>
      <c r="C1225" s="280">
        <v>42870</v>
      </c>
      <c r="D1225" s="233" t="s">
        <v>1092</v>
      </c>
      <c r="E1225" s="281" t="s">
        <v>392</v>
      </c>
      <c r="F1225" s="281" t="s">
        <v>9</v>
      </c>
      <c r="G1225" s="282" t="s">
        <v>2518</v>
      </c>
      <c r="H1225" s="282" t="s">
        <v>2519</v>
      </c>
      <c r="I1225" s="283">
        <v>426086</v>
      </c>
    </row>
    <row r="1226" spans="1:9" x14ac:dyDescent="0.2">
      <c r="A1226" s="293">
        <v>1225</v>
      </c>
      <c r="B1226" s="280">
        <v>42821</v>
      </c>
      <c r="C1226" s="280">
        <v>42844</v>
      </c>
      <c r="D1226" s="233" t="s">
        <v>1092</v>
      </c>
      <c r="E1226" s="281" t="s">
        <v>392</v>
      </c>
      <c r="F1226" s="281" t="s">
        <v>9</v>
      </c>
      <c r="G1226" s="282" t="s">
        <v>2520</v>
      </c>
      <c r="H1226" s="282" t="s">
        <v>2521</v>
      </c>
      <c r="I1226" s="283">
        <v>81758.960000000006</v>
      </c>
    </row>
    <row r="1227" spans="1:9" x14ac:dyDescent="0.2">
      <c r="A1227" s="279">
        <v>1226</v>
      </c>
      <c r="B1227" s="280">
        <v>42821</v>
      </c>
      <c r="C1227" s="280">
        <v>42844</v>
      </c>
      <c r="D1227" s="233" t="s">
        <v>1092</v>
      </c>
      <c r="E1227" s="281" t="s">
        <v>392</v>
      </c>
      <c r="F1227" s="281" t="s">
        <v>9</v>
      </c>
      <c r="G1227" s="282" t="s">
        <v>2522</v>
      </c>
      <c r="H1227" s="282" t="s">
        <v>2523</v>
      </c>
      <c r="I1227" s="283">
        <v>59028.11</v>
      </c>
    </row>
    <row r="1228" spans="1:9" x14ac:dyDescent="0.2">
      <c r="A1228" s="279">
        <v>1227</v>
      </c>
      <c r="B1228" s="280">
        <v>42822</v>
      </c>
      <c r="C1228" s="280">
        <v>42849</v>
      </c>
      <c r="D1228" s="233" t="s">
        <v>1092</v>
      </c>
      <c r="E1228" s="281" t="s">
        <v>392</v>
      </c>
      <c r="F1228" s="281" t="s">
        <v>71</v>
      </c>
      <c r="G1228" s="282" t="s">
        <v>2524</v>
      </c>
      <c r="H1228" s="282" t="s">
        <v>2525</v>
      </c>
      <c r="I1228" s="283">
        <v>47818.71</v>
      </c>
    </row>
    <row r="1229" spans="1:9" x14ac:dyDescent="0.2">
      <c r="A1229" s="279">
        <v>1228</v>
      </c>
      <c r="B1229" s="280">
        <v>42825</v>
      </c>
      <c r="C1229" s="280">
        <v>42844</v>
      </c>
      <c r="D1229" s="233" t="s">
        <v>1092</v>
      </c>
      <c r="E1229" s="281" t="s">
        <v>392</v>
      </c>
      <c r="F1229" s="281" t="s">
        <v>71</v>
      </c>
      <c r="G1229" s="282" t="s">
        <v>2526</v>
      </c>
      <c r="H1229" s="282" t="s">
        <v>2527</v>
      </c>
      <c r="I1229" s="283">
        <v>83362.59</v>
      </c>
    </row>
    <row r="1230" spans="1:9" x14ac:dyDescent="0.2">
      <c r="A1230" s="279">
        <v>1229</v>
      </c>
      <c r="B1230" s="280">
        <v>42829</v>
      </c>
      <c r="C1230" s="280">
        <v>42863</v>
      </c>
      <c r="D1230" s="233" t="s">
        <v>1092</v>
      </c>
      <c r="E1230" s="281" t="s">
        <v>422</v>
      </c>
      <c r="F1230" s="281" t="s">
        <v>701</v>
      </c>
      <c r="G1230" s="282" t="s">
        <v>2528</v>
      </c>
      <c r="H1230" s="282" t="s">
        <v>2529</v>
      </c>
      <c r="I1230" s="283">
        <v>23400</v>
      </c>
    </row>
    <row r="1231" spans="1:9" x14ac:dyDescent="0.2">
      <c r="A1231" s="279">
        <v>1230</v>
      </c>
      <c r="B1231" s="280">
        <v>42830</v>
      </c>
      <c r="C1231" s="280">
        <v>42849</v>
      </c>
      <c r="D1231" s="233" t="s">
        <v>1092</v>
      </c>
      <c r="E1231" s="281" t="s">
        <v>392</v>
      </c>
      <c r="F1231" s="281" t="s">
        <v>701</v>
      </c>
      <c r="G1231" s="282" t="s">
        <v>2530</v>
      </c>
      <c r="H1231" s="282" t="s">
        <v>2160</v>
      </c>
      <c r="I1231" s="283">
        <v>144000</v>
      </c>
    </row>
    <row r="1232" spans="1:9" x14ac:dyDescent="0.2">
      <c r="A1232" s="279">
        <v>1231</v>
      </c>
      <c r="B1232" s="280">
        <v>42830</v>
      </c>
      <c r="C1232" s="280">
        <v>42849</v>
      </c>
      <c r="D1232" s="233" t="s">
        <v>1092</v>
      </c>
      <c r="E1232" s="281" t="s">
        <v>392</v>
      </c>
      <c r="F1232" s="281" t="s">
        <v>393</v>
      </c>
      <c r="G1232" s="282" t="s">
        <v>2531</v>
      </c>
      <c r="H1232" s="282" t="s">
        <v>2532</v>
      </c>
      <c r="I1232" s="283">
        <v>27200</v>
      </c>
    </row>
    <row r="1233" spans="1:9" x14ac:dyDescent="0.2">
      <c r="A1233" s="279">
        <v>1232</v>
      </c>
      <c r="B1233" s="280">
        <v>42830</v>
      </c>
      <c r="C1233" s="280">
        <v>42849</v>
      </c>
      <c r="D1233" s="233" t="s">
        <v>1092</v>
      </c>
      <c r="E1233" s="281" t="s">
        <v>392</v>
      </c>
      <c r="F1233" s="281" t="s">
        <v>393</v>
      </c>
      <c r="G1233" s="282" t="s">
        <v>2533</v>
      </c>
      <c r="H1233" s="282" t="s">
        <v>2534</v>
      </c>
      <c r="I1233" s="283">
        <v>26500</v>
      </c>
    </row>
    <row r="1234" spans="1:9" x14ac:dyDescent="0.2">
      <c r="A1234" s="279">
        <v>1233</v>
      </c>
      <c r="B1234" s="280">
        <v>42831</v>
      </c>
      <c r="C1234" s="280">
        <v>42849</v>
      </c>
      <c r="D1234" s="233" t="s">
        <v>1092</v>
      </c>
      <c r="E1234" s="281" t="s">
        <v>392</v>
      </c>
      <c r="F1234" s="281" t="s">
        <v>396</v>
      </c>
      <c r="G1234" s="282" t="s">
        <v>2535</v>
      </c>
      <c r="H1234" s="282" t="s">
        <v>2536</v>
      </c>
      <c r="I1234" s="283">
        <v>22500</v>
      </c>
    </row>
    <row r="1235" spans="1:9" x14ac:dyDescent="0.2">
      <c r="A1235" s="279">
        <v>1234</v>
      </c>
      <c r="B1235" s="280">
        <v>42831</v>
      </c>
      <c r="C1235" s="280">
        <v>42849</v>
      </c>
      <c r="D1235" s="233" t="s">
        <v>1092</v>
      </c>
      <c r="E1235" s="281" t="s">
        <v>422</v>
      </c>
      <c r="F1235" s="281" t="s">
        <v>701</v>
      </c>
      <c r="G1235" s="282" t="s">
        <v>2537</v>
      </c>
      <c r="H1235" s="282" t="s">
        <v>2538</v>
      </c>
      <c r="I1235" s="283">
        <v>45000</v>
      </c>
    </row>
    <row r="1236" spans="1:9" x14ac:dyDescent="0.2">
      <c r="A1236" s="279">
        <v>1235</v>
      </c>
      <c r="B1236" s="280">
        <v>42831</v>
      </c>
      <c r="C1236" s="280">
        <v>42849</v>
      </c>
      <c r="D1236" s="233" t="s">
        <v>1092</v>
      </c>
      <c r="E1236" s="281" t="s">
        <v>422</v>
      </c>
      <c r="F1236" s="281" t="s">
        <v>701</v>
      </c>
      <c r="G1236" s="282" t="s">
        <v>2539</v>
      </c>
      <c r="H1236" s="282" t="s">
        <v>2540</v>
      </c>
      <c r="I1236" s="283">
        <v>20000</v>
      </c>
    </row>
    <row r="1237" spans="1:9" x14ac:dyDescent="0.2">
      <c r="A1237" s="279">
        <v>1236</v>
      </c>
      <c r="B1237" s="280">
        <v>42831</v>
      </c>
      <c r="C1237" s="280">
        <v>42849</v>
      </c>
      <c r="D1237" s="233" t="s">
        <v>1092</v>
      </c>
      <c r="E1237" s="281" t="s">
        <v>422</v>
      </c>
      <c r="F1237" s="281" t="s">
        <v>701</v>
      </c>
      <c r="G1237" s="282" t="s">
        <v>2541</v>
      </c>
      <c r="H1237" s="282" t="s">
        <v>2542</v>
      </c>
      <c r="I1237" s="283">
        <v>75000</v>
      </c>
    </row>
    <row r="1238" spans="1:9" x14ac:dyDescent="0.2">
      <c r="A1238" s="279">
        <v>1237</v>
      </c>
      <c r="B1238" s="280">
        <v>42831</v>
      </c>
      <c r="C1238" s="280">
        <v>42849</v>
      </c>
      <c r="D1238" s="233" t="s">
        <v>1092</v>
      </c>
      <c r="E1238" s="281" t="s">
        <v>422</v>
      </c>
      <c r="F1238" s="281" t="s">
        <v>396</v>
      </c>
      <c r="G1238" s="282" t="s">
        <v>2543</v>
      </c>
      <c r="H1238" s="282" t="s">
        <v>2544</v>
      </c>
      <c r="I1238" s="283">
        <v>194000</v>
      </c>
    </row>
    <row r="1239" spans="1:9" x14ac:dyDescent="0.2">
      <c r="A1239" s="279">
        <v>1238</v>
      </c>
      <c r="B1239" s="280">
        <v>42831</v>
      </c>
      <c r="C1239" s="280">
        <v>42849</v>
      </c>
      <c r="D1239" s="233" t="s">
        <v>1092</v>
      </c>
      <c r="E1239" s="281" t="s">
        <v>392</v>
      </c>
      <c r="F1239" s="281" t="s">
        <v>701</v>
      </c>
      <c r="G1239" s="282" t="s">
        <v>2545</v>
      </c>
      <c r="H1239" s="282" t="s">
        <v>2546</v>
      </c>
      <c r="I1239" s="283">
        <v>32000</v>
      </c>
    </row>
    <row r="1240" spans="1:9" x14ac:dyDescent="0.2">
      <c r="A1240" s="279">
        <v>1239</v>
      </c>
      <c r="B1240" s="280">
        <v>42835</v>
      </c>
      <c r="C1240" s="280">
        <v>42851</v>
      </c>
      <c r="D1240" s="233" t="s">
        <v>1092</v>
      </c>
      <c r="E1240" s="281" t="s">
        <v>422</v>
      </c>
      <c r="F1240" s="281" t="s">
        <v>701</v>
      </c>
      <c r="G1240" s="282" t="s">
        <v>2547</v>
      </c>
      <c r="H1240" s="282" t="s">
        <v>2548</v>
      </c>
      <c r="I1240" s="283">
        <v>83700</v>
      </c>
    </row>
    <row r="1241" spans="1:9" x14ac:dyDescent="0.2">
      <c r="A1241" s="279">
        <v>1240</v>
      </c>
      <c r="B1241" s="280">
        <v>42836</v>
      </c>
      <c r="C1241" s="280">
        <v>42857</v>
      </c>
      <c r="D1241" s="233" t="s">
        <v>1092</v>
      </c>
      <c r="E1241" s="281" t="s">
        <v>422</v>
      </c>
      <c r="F1241" s="281" t="s">
        <v>71</v>
      </c>
      <c r="G1241" s="282" t="s">
        <v>2549</v>
      </c>
      <c r="H1241" s="282" t="s">
        <v>2550</v>
      </c>
      <c r="I1241" s="283">
        <v>20863.62</v>
      </c>
    </row>
    <row r="1242" spans="1:9" x14ac:dyDescent="0.2">
      <c r="A1242" s="279">
        <v>1241</v>
      </c>
      <c r="B1242" s="280">
        <v>42836</v>
      </c>
      <c r="C1242" s="280">
        <v>42863</v>
      </c>
      <c r="D1242" s="233" t="s">
        <v>1092</v>
      </c>
      <c r="E1242" s="281" t="s">
        <v>392</v>
      </c>
      <c r="F1242" s="281" t="s">
        <v>9</v>
      </c>
      <c r="G1242" s="282" t="s">
        <v>2551</v>
      </c>
      <c r="H1242" s="282" t="s">
        <v>2552</v>
      </c>
      <c r="I1242" s="283">
        <v>46946</v>
      </c>
    </row>
    <row r="1243" spans="1:9" x14ac:dyDescent="0.2">
      <c r="A1243" s="279">
        <v>1242</v>
      </c>
      <c r="B1243" s="280">
        <v>42837</v>
      </c>
      <c r="C1243" s="280">
        <v>42857</v>
      </c>
      <c r="D1243" s="233" t="s">
        <v>1092</v>
      </c>
      <c r="E1243" s="281" t="s">
        <v>422</v>
      </c>
      <c r="F1243" s="281" t="s">
        <v>71</v>
      </c>
      <c r="G1243" s="282" t="s">
        <v>2553</v>
      </c>
      <c r="H1243" s="282" t="s">
        <v>2554</v>
      </c>
      <c r="I1243" s="283">
        <v>31847.38</v>
      </c>
    </row>
    <row r="1244" spans="1:9" x14ac:dyDescent="0.2">
      <c r="A1244" s="279">
        <v>1243</v>
      </c>
      <c r="B1244" s="280">
        <v>42838</v>
      </c>
      <c r="C1244" s="280">
        <v>42863</v>
      </c>
      <c r="D1244" s="233" t="s">
        <v>1092</v>
      </c>
      <c r="E1244" s="281" t="s">
        <v>392</v>
      </c>
      <c r="F1244" s="281" t="s">
        <v>9</v>
      </c>
      <c r="G1244" s="282" t="s">
        <v>2555</v>
      </c>
      <c r="H1244" s="282" t="s">
        <v>2556</v>
      </c>
      <c r="I1244" s="283">
        <v>76508.240000000005</v>
      </c>
    </row>
    <row r="1245" spans="1:9" x14ac:dyDescent="0.2">
      <c r="A1245" s="279">
        <v>1244</v>
      </c>
      <c r="B1245" s="280">
        <v>42838</v>
      </c>
      <c r="C1245" s="280">
        <v>42863</v>
      </c>
      <c r="D1245" s="233" t="s">
        <v>1092</v>
      </c>
      <c r="E1245" s="281" t="s">
        <v>392</v>
      </c>
      <c r="F1245" s="281" t="s">
        <v>9</v>
      </c>
      <c r="G1245" s="282" t="s">
        <v>2557</v>
      </c>
      <c r="H1245" s="282" t="s">
        <v>2558</v>
      </c>
      <c r="I1245" s="283">
        <v>53234.65</v>
      </c>
    </row>
    <row r="1246" spans="1:9" x14ac:dyDescent="0.2">
      <c r="A1246" s="279">
        <v>1245</v>
      </c>
      <c r="B1246" s="280">
        <v>42849</v>
      </c>
      <c r="C1246" s="280">
        <v>42870</v>
      </c>
      <c r="D1246" s="233" t="s">
        <v>1092</v>
      </c>
      <c r="E1246" s="281" t="s">
        <v>422</v>
      </c>
      <c r="F1246" s="281" t="s">
        <v>701</v>
      </c>
      <c r="G1246" s="282" t="s">
        <v>2559</v>
      </c>
      <c r="H1246" s="282" t="s">
        <v>2560</v>
      </c>
      <c r="I1246" s="283">
        <v>25500</v>
      </c>
    </row>
    <row r="1247" spans="1:9" x14ac:dyDescent="0.2">
      <c r="A1247" s="279">
        <v>1246</v>
      </c>
      <c r="B1247" s="280">
        <v>42849</v>
      </c>
      <c r="C1247" s="280">
        <v>42870</v>
      </c>
      <c r="D1247" s="233" t="s">
        <v>1092</v>
      </c>
      <c r="E1247" s="281" t="s">
        <v>422</v>
      </c>
      <c r="F1247" s="281" t="s">
        <v>701</v>
      </c>
      <c r="G1247" s="282" t="s">
        <v>2561</v>
      </c>
      <c r="H1247" s="282" t="s">
        <v>2562</v>
      </c>
      <c r="I1247" s="283">
        <v>33300</v>
      </c>
    </row>
    <row r="1248" spans="1:9" x14ac:dyDescent="0.2">
      <c r="A1248" s="279">
        <v>1247</v>
      </c>
      <c r="B1248" s="280">
        <v>42850</v>
      </c>
      <c r="C1248" s="280">
        <v>42898</v>
      </c>
      <c r="D1248" s="233" t="s">
        <v>1092</v>
      </c>
      <c r="E1248" s="281" t="s">
        <v>422</v>
      </c>
      <c r="F1248" s="281" t="s">
        <v>701</v>
      </c>
      <c r="G1248" s="282" t="s">
        <v>2563</v>
      </c>
      <c r="H1248" s="282" t="s">
        <v>2564</v>
      </c>
      <c r="I1248" s="283">
        <v>252000</v>
      </c>
    </row>
    <row r="1249" spans="1:10" x14ac:dyDescent="0.2">
      <c r="A1249" s="279">
        <v>1248</v>
      </c>
      <c r="B1249" s="280">
        <v>42850</v>
      </c>
      <c r="C1249" s="280">
        <v>42898</v>
      </c>
      <c r="D1249" s="233" t="s">
        <v>1092</v>
      </c>
      <c r="E1249" s="281" t="s">
        <v>392</v>
      </c>
      <c r="F1249" s="281" t="s">
        <v>9</v>
      </c>
      <c r="G1249" s="282" t="s">
        <v>2565</v>
      </c>
      <c r="H1249" s="282" t="s">
        <v>2566</v>
      </c>
      <c r="I1249" s="283">
        <v>376316</v>
      </c>
    </row>
    <row r="1250" spans="1:10" x14ac:dyDescent="0.2">
      <c r="A1250" s="279">
        <v>1249</v>
      </c>
      <c r="B1250" s="280">
        <v>42850</v>
      </c>
      <c r="C1250" s="280">
        <v>42898</v>
      </c>
      <c r="D1250" s="233" t="s">
        <v>1092</v>
      </c>
      <c r="E1250" s="281" t="s">
        <v>392</v>
      </c>
      <c r="F1250" s="281" t="s">
        <v>9</v>
      </c>
      <c r="G1250" s="282" t="s">
        <v>2567</v>
      </c>
      <c r="H1250" s="282" t="s">
        <v>2568</v>
      </c>
      <c r="I1250" s="283">
        <v>277164</v>
      </c>
    </row>
    <row r="1251" spans="1:10" x14ac:dyDescent="0.2">
      <c r="A1251" s="279">
        <v>1250</v>
      </c>
      <c r="B1251" s="280">
        <v>42850</v>
      </c>
      <c r="C1251" s="280">
        <v>42893</v>
      </c>
      <c r="D1251" s="233" t="s">
        <v>1092</v>
      </c>
      <c r="E1251" s="281" t="s">
        <v>392</v>
      </c>
      <c r="F1251" s="281" t="s">
        <v>9</v>
      </c>
      <c r="G1251" s="282" t="s">
        <v>2569</v>
      </c>
      <c r="H1251" s="282" t="s">
        <v>2570</v>
      </c>
      <c r="I1251" s="283">
        <v>50936</v>
      </c>
      <c r="J1251" s="178" t="s">
        <v>2630</v>
      </c>
    </row>
    <row r="1252" spans="1:10" x14ac:dyDescent="0.2">
      <c r="A1252" s="279">
        <v>1251</v>
      </c>
      <c r="B1252" s="280">
        <v>42850</v>
      </c>
      <c r="C1252" s="280">
        <v>42877</v>
      </c>
      <c r="D1252" s="233" t="s">
        <v>1092</v>
      </c>
      <c r="E1252" s="281" t="s">
        <v>392</v>
      </c>
      <c r="F1252" s="281" t="s">
        <v>9</v>
      </c>
      <c r="G1252" s="282" t="s">
        <v>2571</v>
      </c>
      <c r="H1252" s="282" t="s">
        <v>2572</v>
      </c>
      <c r="I1252" s="283">
        <v>52914</v>
      </c>
    </row>
    <row r="1253" spans="1:10" x14ac:dyDescent="0.2">
      <c r="A1253" s="279">
        <v>1252</v>
      </c>
      <c r="B1253" s="280">
        <v>42851</v>
      </c>
      <c r="C1253" s="280">
        <v>42872</v>
      </c>
      <c r="D1253" s="233" t="s">
        <v>1092</v>
      </c>
      <c r="E1253" s="281" t="s">
        <v>392</v>
      </c>
      <c r="F1253" s="281" t="s">
        <v>2224</v>
      </c>
      <c r="G1253" s="282" t="s">
        <v>2573</v>
      </c>
      <c r="H1253" s="282" t="s">
        <v>2574</v>
      </c>
      <c r="I1253" s="283">
        <v>44338.85</v>
      </c>
    </row>
    <row r="1254" spans="1:10" x14ac:dyDescent="0.2">
      <c r="A1254" s="279">
        <v>1253</v>
      </c>
      <c r="B1254" s="280">
        <v>42853</v>
      </c>
      <c r="C1254" s="280">
        <v>42870</v>
      </c>
      <c r="D1254" s="233" t="s">
        <v>1092</v>
      </c>
      <c r="E1254" s="281" t="s">
        <v>422</v>
      </c>
      <c r="F1254" s="281" t="s">
        <v>701</v>
      </c>
      <c r="G1254" s="282" t="s">
        <v>2575</v>
      </c>
      <c r="H1254" s="282" t="s">
        <v>2576</v>
      </c>
      <c r="I1254" s="283">
        <v>25500</v>
      </c>
    </row>
    <row r="1255" spans="1:10" x14ac:dyDescent="0.2">
      <c r="A1255" s="279">
        <v>1254</v>
      </c>
      <c r="B1255" s="280">
        <v>42853</v>
      </c>
      <c r="C1255" s="280">
        <v>42870</v>
      </c>
      <c r="D1255" s="233" t="s">
        <v>1092</v>
      </c>
      <c r="E1255" s="281" t="s">
        <v>422</v>
      </c>
      <c r="F1255" s="281" t="s">
        <v>701</v>
      </c>
      <c r="G1255" s="282" t="s">
        <v>2577</v>
      </c>
      <c r="H1255" s="282" t="s">
        <v>2578</v>
      </c>
      <c r="I1255" s="283">
        <v>39300</v>
      </c>
    </row>
    <row r="1256" spans="1:10" x14ac:dyDescent="0.2">
      <c r="A1256" s="279">
        <v>1255</v>
      </c>
      <c r="B1256" s="280">
        <v>42858</v>
      </c>
      <c r="C1256" s="280">
        <v>42877</v>
      </c>
      <c r="D1256" s="233" t="s">
        <v>1092</v>
      </c>
      <c r="E1256" s="281" t="s">
        <v>422</v>
      </c>
      <c r="F1256" s="281" t="s">
        <v>701</v>
      </c>
      <c r="G1256" s="282" t="s">
        <v>2579</v>
      </c>
      <c r="H1256" s="282" t="s">
        <v>2580</v>
      </c>
      <c r="I1256" s="283">
        <v>25500</v>
      </c>
    </row>
    <row r="1257" spans="1:10" x14ac:dyDescent="0.2">
      <c r="A1257" s="279">
        <v>1256</v>
      </c>
      <c r="B1257" s="280">
        <v>42859</v>
      </c>
      <c r="C1257" s="280">
        <v>42877</v>
      </c>
      <c r="D1257" s="233" t="s">
        <v>1092</v>
      </c>
      <c r="E1257" s="281" t="s">
        <v>422</v>
      </c>
      <c r="F1257" s="281" t="s">
        <v>71</v>
      </c>
      <c r="G1257" s="282" t="s">
        <v>2581</v>
      </c>
      <c r="H1257" s="282" t="s">
        <v>2582</v>
      </c>
      <c r="I1257" s="283">
        <v>100141.82</v>
      </c>
    </row>
    <row r="1258" spans="1:10" x14ac:dyDescent="0.2">
      <c r="A1258" s="279">
        <v>1257</v>
      </c>
      <c r="B1258" s="280">
        <v>42864</v>
      </c>
      <c r="C1258" s="280">
        <v>42912</v>
      </c>
      <c r="D1258" s="233" t="s">
        <v>1092</v>
      </c>
      <c r="E1258" s="281" t="s">
        <v>422</v>
      </c>
      <c r="F1258" s="281" t="s">
        <v>396</v>
      </c>
      <c r="G1258" s="282" t="s">
        <v>2583</v>
      </c>
      <c r="H1258" s="282" t="s">
        <v>2584</v>
      </c>
      <c r="I1258" s="283">
        <v>999500</v>
      </c>
    </row>
    <row r="1259" spans="1:10" x14ac:dyDescent="0.2">
      <c r="A1259" s="279">
        <v>1258</v>
      </c>
      <c r="B1259" s="280">
        <v>42866</v>
      </c>
      <c r="C1259" s="280">
        <v>42884</v>
      </c>
      <c r="D1259" s="233" t="s">
        <v>1092</v>
      </c>
      <c r="E1259" s="281" t="s">
        <v>422</v>
      </c>
      <c r="F1259" s="281" t="s">
        <v>396</v>
      </c>
      <c r="G1259" s="282" t="s">
        <v>2585</v>
      </c>
      <c r="H1259" s="282" t="s">
        <v>2586</v>
      </c>
      <c r="I1259" s="283">
        <v>19188.89</v>
      </c>
    </row>
    <row r="1260" spans="1:10" x14ac:dyDescent="0.2">
      <c r="A1260" s="279">
        <v>1259</v>
      </c>
      <c r="B1260" s="280">
        <v>42866</v>
      </c>
      <c r="C1260" s="280">
        <v>42884</v>
      </c>
      <c r="D1260" s="233" t="s">
        <v>1092</v>
      </c>
      <c r="E1260" s="281" t="s">
        <v>422</v>
      </c>
      <c r="F1260" s="281" t="s">
        <v>396</v>
      </c>
      <c r="G1260" s="282" t="s">
        <v>2587</v>
      </c>
      <c r="H1260" s="282" t="s">
        <v>2588</v>
      </c>
      <c r="I1260" s="283">
        <v>4900</v>
      </c>
    </row>
    <row r="1261" spans="1:10" x14ac:dyDescent="0.2">
      <c r="A1261" s="279">
        <v>1260</v>
      </c>
      <c r="B1261" s="280">
        <v>42866</v>
      </c>
      <c r="C1261" s="280">
        <v>42886</v>
      </c>
      <c r="D1261" s="233" t="s">
        <v>1092</v>
      </c>
      <c r="E1261" s="281" t="s">
        <v>392</v>
      </c>
      <c r="F1261" s="281" t="s">
        <v>71</v>
      </c>
      <c r="G1261" s="282" t="s">
        <v>2589</v>
      </c>
      <c r="H1261" s="282" t="s">
        <v>2590</v>
      </c>
      <c r="I1261" s="283">
        <v>1607.99</v>
      </c>
    </row>
    <row r="1262" spans="1:10" x14ac:dyDescent="0.2">
      <c r="A1262" s="279">
        <v>1261</v>
      </c>
      <c r="B1262" s="280">
        <v>42866</v>
      </c>
      <c r="C1262" s="280">
        <v>42886</v>
      </c>
      <c r="D1262" s="233" t="s">
        <v>1092</v>
      </c>
      <c r="E1262" s="281" t="s">
        <v>392</v>
      </c>
      <c r="F1262" s="281" t="s">
        <v>71</v>
      </c>
      <c r="G1262" s="282" t="s">
        <v>2591</v>
      </c>
      <c r="H1262" s="282" t="s">
        <v>2592</v>
      </c>
      <c r="I1262" s="283">
        <v>16047.13</v>
      </c>
    </row>
    <row r="1263" spans="1:10" x14ac:dyDescent="0.2">
      <c r="A1263" s="279">
        <v>1262</v>
      </c>
      <c r="B1263" s="280">
        <v>42866</v>
      </c>
      <c r="C1263" s="280">
        <v>42886</v>
      </c>
      <c r="D1263" s="233" t="s">
        <v>1092</v>
      </c>
      <c r="E1263" s="281" t="s">
        <v>392</v>
      </c>
      <c r="F1263" s="281" t="s">
        <v>71</v>
      </c>
      <c r="G1263" s="282" t="s">
        <v>2593</v>
      </c>
      <c r="H1263" s="282" t="s">
        <v>2594</v>
      </c>
      <c r="I1263" s="283">
        <v>2034.75</v>
      </c>
    </row>
    <row r="1264" spans="1:10" x14ac:dyDescent="0.2">
      <c r="A1264" s="279">
        <v>1263</v>
      </c>
      <c r="B1264" s="280">
        <v>42866</v>
      </c>
      <c r="C1264" s="280">
        <v>42886</v>
      </c>
      <c r="D1264" s="233" t="s">
        <v>1092</v>
      </c>
      <c r="E1264" s="281" t="s">
        <v>422</v>
      </c>
      <c r="F1264" s="281" t="s">
        <v>71</v>
      </c>
      <c r="G1264" s="282" t="s">
        <v>2595</v>
      </c>
      <c r="H1264" s="282" t="s">
        <v>2596</v>
      </c>
      <c r="I1264" s="283">
        <v>2304.44</v>
      </c>
    </row>
    <row r="1265" spans="1:9" x14ac:dyDescent="0.2">
      <c r="A1265" s="279">
        <v>1264</v>
      </c>
      <c r="B1265" s="280">
        <v>42871</v>
      </c>
      <c r="C1265" s="280">
        <v>42919</v>
      </c>
      <c r="D1265" s="233" t="s">
        <v>1092</v>
      </c>
      <c r="E1265" s="281" t="s">
        <v>422</v>
      </c>
      <c r="F1265" s="281" t="s">
        <v>1276</v>
      </c>
      <c r="G1265" s="282" t="s">
        <v>2597</v>
      </c>
      <c r="H1265" s="282" t="s">
        <v>2598</v>
      </c>
      <c r="I1265" s="283">
        <v>209088</v>
      </c>
    </row>
    <row r="1266" spans="1:9" x14ac:dyDescent="0.2">
      <c r="A1266" s="279">
        <v>1265</v>
      </c>
      <c r="B1266" s="280">
        <v>42870</v>
      </c>
      <c r="C1266" s="280">
        <v>42886</v>
      </c>
      <c r="D1266" s="233" t="s">
        <v>1092</v>
      </c>
      <c r="E1266" s="281" t="s">
        <v>422</v>
      </c>
      <c r="F1266" s="281" t="s">
        <v>1276</v>
      </c>
      <c r="G1266" s="282" t="s">
        <v>2599</v>
      </c>
      <c r="H1266" s="282" t="s">
        <v>2600</v>
      </c>
      <c r="I1266" s="283">
        <v>2180</v>
      </c>
    </row>
    <row r="1267" spans="1:9" x14ac:dyDescent="0.2">
      <c r="A1267" s="279">
        <v>1266</v>
      </c>
      <c r="B1267" s="280">
        <v>42870</v>
      </c>
      <c r="C1267" s="280">
        <v>42886</v>
      </c>
      <c r="D1267" s="233" t="s">
        <v>1092</v>
      </c>
      <c r="E1267" s="281" t="s">
        <v>422</v>
      </c>
      <c r="F1267" s="281" t="s">
        <v>71</v>
      </c>
      <c r="G1267" s="282" t="s">
        <v>2601</v>
      </c>
      <c r="H1267" s="282" t="s">
        <v>2602</v>
      </c>
      <c r="I1267" s="283">
        <v>3293.69</v>
      </c>
    </row>
    <row r="1268" spans="1:9" x14ac:dyDescent="0.2">
      <c r="A1268" s="279">
        <v>1267</v>
      </c>
      <c r="B1268" s="280">
        <v>42870</v>
      </c>
      <c r="C1268" s="280">
        <v>42886</v>
      </c>
      <c r="D1268" s="233" t="s">
        <v>1092</v>
      </c>
      <c r="E1268" s="281" t="s">
        <v>422</v>
      </c>
      <c r="F1268" s="281" t="s">
        <v>1276</v>
      </c>
      <c r="G1268" s="282" t="s">
        <v>2603</v>
      </c>
      <c r="H1268" s="282" t="s">
        <v>2604</v>
      </c>
      <c r="I1268" s="283">
        <v>22711.11</v>
      </c>
    </row>
    <row r="1269" spans="1:9" x14ac:dyDescent="0.2">
      <c r="A1269" s="279">
        <v>1268</v>
      </c>
      <c r="B1269" s="280">
        <v>42872</v>
      </c>
      <c r="C1269" s="280">
        <v>42893</v>
      </c>
      <c r="D1269" s="233" t="s">
        <v>1092</v>
      </c>
      <c r="E1269" s="281" t="s">
        <v>392</v>
      </c>
      <c r="F1269" s="281" t="s">
        <v>1276</v>
      </c>
      <c r="G1269" s="282" t="s">
        <v>2605</v>
      </c>
      <c r="H1269" s="282" t="s">
        <v>2606</v>
      </c>
      <c r="I1269" s="283">
        <v>51000</v>
      </c>
    </row>
    <row r="1270" spans="1:9" x14ac:dyDescent="0.2">
      <c r="A1270" s="279">
        <v>1269</v>
      </c>
      <c r="B1270" s="280">
        <v>42872</v>
      </c>
      <c r="C1270" s="280">
        <v>42893</v>
      </c>
      <c r="D1270" s="233" t="s">
        <v>1092</v>
      </c>
      <c r="E1270" s="281" t="s">
        <v>392</v>
      </c>
      <c r="F1270" s="281" t="s">
        <v>9</v>
      </c>
      <c r="G1270" s="282" t="s">
        <v>2607</v>
      </c>
      <c r="H1270" s="282" t="s">
        <v>2608</v>
      </c>
      <c r="I1270" s="283">
        <v>35590.910000000003</v>
      </c>
    </row>
    <row r="1271" spans="1:9" x14ac:dyDescent="0.2">
      <c r="A1271" s="279">
        <v>1270</v>
      </c>
      <c r="B1271" s="280">
        <v>42872</v>
      </c>
      <c r="C1271" s="280">
        <v>39245</v>
      </c>
      <c r="D1271" s="233" t="s">
        <v>1092</v>
      </c>
      <c r="E1271" s="281" t="s">
        <v>392</v>
      </c>
      <c r="F1271" s="281" t="s">
        <v>71</v>
      </c>
      <c r="G1271" s="282" t="s">
        <v>2609</v>
      </c>
      <c r="H1271" s="282" t="s">
        <v>2610</v>
      </c>
      <c r="I1271" s="283">
        <v>590.14</v>
      </c>
    </row>
    <row r="1272" spans="1:9" x14ac:dyDescent="0.2">
      <c r="A1272" s="279">
        <v>1271</v>
      </c>
      <c r="B1272" s="280">
        <v>42872</v>
      </c>
      <c r="C1272" s="280">
        <v>42893</v>
      </c>
      <c r="D1272" s="233" t="s">
        <v>1092</v>
      </c>
      <c r="E1272" s="281" t="s">
        <v>422</v>
      </c>
      <c r="F1272" s="281" t="s">
        <v>1276</v>
      </c>
      <c r="G1272" s="282" t="s">
        <v>2611</v>
      </c>
      <c r="H1272" s="282" t="s">
        <v>2612</v>
      </c>
      <c r="I1272" s="283">
        <v>32666.67</v>
      </c>
    </row>
    <row r="1273" spans="1:9" x14ac:dyDescent="0.2">
      <c r="A1273" s="279">
        <v>1272</v>
      </c>
      <c r="B1273" s="280">
        <v>42873</v>
      </c>
      <c r="C1273" s="280">
        <v>42893</v>
      </c>
      <c r="D1273" s="233" t="s">
        <v>1092</v>
      </c>
      <c r="E1273" s="281" t="s">
        <v>392</v>
      </c>
      <c r="F1273" s="281" t="s">
        <v>9</v>
      </c>
      <c r="G1273" s="282" t="s">
        <v>2613</v>
      </c>
      <c r="H1273" s="282" t="s">
        <v>2614</v>
      </c>
      <c r="I1273" s="283">
        <v>38062.5</v>
      </c>
    </row>
    <row r="1274" spans="1:9" x14ac:dyDescent="0.2">
      <c r="A1274" s="279">
        <v>1273</v>
      </c>
      <c r="B1274" s="280">
        <v>42873</v>
      </c>
      <c r="C1274" s="280">
        <v>42893</v>
      </c>
      <c r="D1274" s="233" t="s">
        <v>1092</v>
      </c>
      <c r="E1274" s="281" t="s">
        <v>392</v>
      </c>
      <c r="F1274" s="281" t="s">
        <v>393</v>
      </c>
      <c r="G1274" s="282" t="s">
        <v>2615</v>
      </c>
      <c r="H1274" s="282" t="s">
        <v>2616</v>
      </c>
      <c r="I1274" s="283">
        <v>14900</v>
      </c>
    </row>
    <row r="1275" spans="1:9" x14ac:dyDescent="0.2">
      <c r="A1275" s="279">
        <v>1274</v>
      </c>
      <c r="B1275" s="280">
        <v>42873</v>
      </c>
      <c r="C1275" s="280">
        <v>42898</v>
      </c>
      <c r="D1275" s="233" t="s">
        <v>1092</v>
      </c>
      <c r="E1275" s="281" t="s">
        <v>422</v>
      </c>
      <c r="F1275" s="281" t="s">
        <v>71</v>
      </c>
      <c r="G1275" s="282" t="s">
        <v>2617</v>
      </c>
      <c r="H1275" s="282" t="s">
        <v>2475</v>
      </c>
      <c r="I1275" s="283">
        <v>10692.03</v>
      </c>
    </row>
    <row r="1276" spans="1:9" x14ac:dyDescent="0.2">
      <c r="A1276" s="279">
        <v>1275</v>
      </c>
      <c r="B1276" s="280">
        <v>42873</v>
      </c>
      <c r="C1276" s="280">
        <v>42893</v>
      </c>
      <c r="D1276" s="233" t="s">
        <v>1092</v>
      </c>
      <c r="E1276" s="281" t="s">
        <v>392</v>
      </c>
      <c r="F1276" s="281" t="s">
        <v>71</v>
      </c>
      <c r="G1276" s="282" t="s">
        <v>2618</v>
      </c>
      <c r="H1276" s="282" t="s">
        <v>2619</v>
      </c>
      <c r="I1276" s="283">
        <v>9477.2000000000007</v>
      </c>
    </row>
    <row r="1277" spans="1:9" x14ac:dyDescent="0.2">
      <c r="A1277" s="279">
        <v>1276</v>
      </c>
      <c r="B1277" s="280">
        <v>42873</v>
      </c>
      <c r="C1277" s="280">
        <v>42893</v>
      </c>
      <c r="D1277" s="233" t="s">
        <v>1092</v>
      </c>
      <c r="E1277" s="281" t="s">
        <v>392</v>
      </c>
      <c r="F1277" s="281" t="s">
        <v>9</v>
      </c>
      <c r="G1277" s="282" t="s">
        <v>2620</v>
      </c>
      <c r="H1277" s="282" t="s">
        <v>2621</v>
      </c>
      <c r="I1277" s="283">
        <v>42017.05</v>
      </c>
    </row>
    <row r="1278" spans="1:9" x14ac:dyDescent="0.2">
      <c r="A1278" s="279">
        <v>1277</v>
      </c>
      <c r="B1278" s="280">
        <v>42873</v>
      </c>
      <c r="C1278" s="280">
        <v>42898</v>
      </c>
      <c r="D1278" s="233" t="s">
        <v>1092</v>
      </c>
      <c r="E1278" s="281" t="s">
        <v>422</v>
      </c>
      <c r="F1278" s="281" t="s">
        <v>1276</v>
      </c>
      <c r="G1278" s="282" t="s">
        <v>2622</v>
      </c>
      <c r="H1278" s="282" t="s">
        <v>2623</v>
      </c>
      <c r="I1278" s="283">
        <v>44511.11</v>
      </c>
    </row>
    <row r="1279" spans="1:9" x14ac:dyDescent="0.2">
      <c r="A1279" s="279">
        <v>1278</v>
      </c>
      <c r="B1279" s="280">
        <v>42873</v>
      </c>
      <c r="C1279" s="280">
        <v>42893</v>
      </c>
      <c r="D1279" s="233" t="s">
        <v>1092</v>
      </c>
      <c r="E1279" s="281" t="s">
        <v>392</v>
      </c>
      <c r="F1279" s="281" t="s">
        <v>393</v>
      </c>
      <c r="G1279" s="282" t="s">
        <v>2624</v>
      </c>
      <c r="H1279" s="282" t="s">
        <v>2625</v>
      </c>
      <c r="I1279" s="283">
        <v>6200</v>
      </c>
    </row>
    <row r="1280" spans="1:9" x14ac:dyDescent="0.2">
      <c r="A1280" s="279">
        <v>1279</v>
      </c>
      <c r="B1280" s="280">
        <v>42874</v>
      </c>
      <c r="C1280" s="280">
        <v>42898</v>
      </c>
      <c r="D1280" s="233" t="s">
        <v>1092</v>
      </c>
      <c r="E1280" s="281" t="s">
        <v>392</v>
      </c>
      <c r="F1280" s="281" t="s">
        <v>2224</v>
      </c>
      <c r="G1280" s="282" t="s">
        <v>2626</v>
      </c>
      <c r="H1280" s="282" t="s">
        <v>2627</v>
      </c>
      <c r="I1280" s="283">
        <v>7513.03</v>
      </c>
    </row>
    <row r="1281" spans="1:11" x14ac:dyDescent="0.2">
      <c r="A1281" s="279">
        <v>1280</v>
      </c>
      <c r="B1281" s="280">
        <v>42874</v>
      </c>
      <c r="C1281" s="280">
        <v>42900</v>
      </c>
      <c r="D1281" s="233" t="s">
        <v>1092</v>
      </c>
      <c r="E1281" s="281" t="s">
        <v>392</v>
      </c>
      <c r="F1281" s="281" t="s">
        <v>71</v>
      </c>
      <c r="G1281" s="282" t="s">
        <v>2628</v>
      </c>
      <c r="H1281" s="282" t="s">
        <v>2629</v>
      </c>
      <c r="I1281" s="283">
        <v>3515.19</v>
      </c>
    </row>
    <row r="1282" spans="1:11" x14ac:dyDescent="0.2">
      <c r="A1282" s="279">
        <v>1281</v>
      </c>
      <c r="B1282" s="280">
        <v>42877</v>
      </c>
      <c r="C1282" s="280">
        <v>42893</v>
      </c>
      <c r="D1282" s="233" t="s">
        <v>1092</v>
      </c>
      <c r="E1282" s="281" t="s">
        <v>422</v>
      </c>
      <c r="F1282" s="281" t="s">
        <v>71</v>
      </c>
      <c r="G1282" s="282" t="s">
        <v>2631</v>
      </c>
      <c r="H1282" s="282" t="s">
        <v>2632</v>
      </c>
      <c r="I1282" s="283">
        <v>2072</v>
      </c>
    </row>
    <row r="1283" spans="1:11" x14ac:dyDescent="0.2">
      <c r="A1283" s="279">
        <v>1282</v>
      </c>
      <c r="B1283" s="280">
        <v>42877</v>
      </c>
      <c r="C1283" s="280">
        <v>42893</v>
      </c>
      <c r="D1283" s="233" t="s">
        <v>1092</v>
      </c>
      <c r="E1283" s="281" t="s">
        <v>422</v>
      </c>
      <c r="F1283" s="281" t="s">
        <v>1276</v>
      </c>
      <c r="G1283" s="282" t="s">
        <v>2634</v>
      </c>
      <c r="H1283" s="282" t="s">
        <v>2633</v>
      </c>
      <c r="I1283" s="283">
        <v>6966.67</v>
      </c>
    </row>
    <row r="1284" spans="1:11" x14ac:dyDescent="0.2">
      <c r="A1284" s="279">
        <v>1283</v>
      </c>
      <c r="B1284" s="280">
        <v>42878</v>
      </c>
      <c r="C1284" s="280">
        <v>42893</v>
      </c>
      <c r="D1284" s="233" t="s">
        <v>1092</v>
      </c>
      <c r="E1284" s="281" t="s">
        <v>422</v>
      </c>
      <c r="F1284" s="281" t="s">
        <v>1276</v>
      </c>
      <c r="G1284" s="282" t="s">
        <v>2635</v>
      </c>
      <c r="H1284" s="282" t="s">
        <v>2636</v>
      </c>
      <c r="I1284" s="283">
        <v>1500</v>
      </c>
    </row>
    <row r="1285" spans="1:11" x14ac:dyDescent="0.2">
      <c r="A1285" s="279">
        <v>1284</v>
      </c>
      <c r="B1285" s="280">
        <v>42880</v>
      </c>
      <c r="C1285" s="280">
        <v>42926</v>
      </c>
      <c r="D1285" s="233" t="s">
        <v>1092</v>
      </c>
      <c r="E1285" s="281" t="s">
        <v>422</v>
      </c>
      <c r="F1285" s="281" t="s">
        <v>1276</v>
      </c>
      <c r="G1285" s="282" t="s">
        <v>2637</v>
      </c>
      <c r="H1285" s="282" t="s">
        <v>2638</v>
      </c>
      <c r="I1285" s="283">
        <v>257333.33</v>
      </c>
    </row>
    <row r="1286" spans="1:11" x14ac:dyDescent="0.2">
      <c r="A1286" s="279">
        <v>1285</v>
      </c>
      <c r="B1286" s="284">
        <v>42879</v>
      </c>
      <c r="C1286" s="284">
        <v>42898</v>
      </c>
      <c r="D1286" s="233" t="s">
        <v>1092</v>
      </c>
      <c r="E1286" s="285" t="s">
        <v>422</v>
      </c>
      <c r="F1286" s="285" t="s">
        <v>1276</v>
      </c>
      <c r="G1286" s="286" t="s">
        <v>2639</v>
      </c>
      <c r="H1286" s="286" t="s">
        <v>2640</v>
      </c>
      <c r="I1286" s="287">
        <v>5600</v>
      </c>
    </row>
    <row r="1287" spans="1:11" x14ac:dyDescent="0.2">
      <c r="A1287" s="279">
        <v>1286</v>
      </c>
      <c r="B1287" s="280">
        <v>42879</v>
      </c>
      <c r="C1287" s="280">
        <v>42898</v>
      </c>
      <c r="D1287" s="233" t="s">
        <v>1092</v>
      </c>
      <c r="E1287" s="281" t="s">
        <v>422</v>
      </c>
      <c r="F1287" s="281" t="s">
        <v>71</v>
      </c>
      <c r="G1287" s="282" t="s">
        <v>2641</v>
      </c>
      <c r="H1287" s="282" t="s">
        <v>2642</v>
      </c>
      <c r="I1287" s="283">
        <v>11355.4</v>
      </c>
    </row>
    <row r="1288" spans="1:11" x14ac:dyDescent="0.2">
      <c r="A1288" s="279">
        <v>1287</v>
      </c>
      <c r="B1288" s="284">
        <v>42881</v>
      </c>
      <c r="C1288" s="284">
        <v>42898</v>
      </c>
      <c r="D1288" s="233" t="s">
        <v>1092</v>
      </c>
      <c r="E1288" s="285" t="s">
        <v>422</v>
      </c>
      <c r="F1288" s="285" t="s">
        <v>396</v>
      </c>
      <c r="G1288" s="286" t="s">
        <v>2643</v>
      </c>
      <c r="H1288" s="286" t="s">
        <v>2644</v>
      </c>
      <c r="I1288" s="287">
        <v>14500</v>
      </c>
    </row>
    <row r="1289" spans="1:11" x14ac:dyDescent="0.2">
      <c r="A1289" s="279">
        <v>1288</v>
      </c>
      <c r="B1289" s="284">
        <v>42881</v>
      </c>
      <c r="C1289" s="284">
        <v>42898</v>
      </c>
      <c r="D1289" s="233" t="s">
        <v>1092</v>
      </c>
      <c r="E1289" s="285" t="s">
        <v>422</v>
      </c>
      <c r="F1289" s="285" t="s">
        <v>396</v>
      </c>
      <c r="G1289" s="286" t="s">
        <v>2645</v>
      </c>
      <c r="H1289" s="286" t="s">
        <v>2646</v>
      </c>
      <c r="I1289" s="287">
        <v>13900</v>
      </c>
    </row>
    <row r="1290" spans="1:11" x14ac:dyDescent="0.2">
      <c r="A1290" s="279">
        <v>1289</v>
      </c>
      <c r="B1290" s="280">
        <v>42884</v>
      </c>
      <c r="C1290" s="280">
        <v>42900</v>
      </c>
      <c r="D1290" s="233" t="s">
        <v>1092</v>
      </c>
      <c r="E1290" s="281" t="s">
        <v>392</v>
      </c>
      <c r="F1290" s="281" t="s">
        <v>71</v>
      </c>
      <c r="G1290" s="282" t="s">
        <v>2647</v>
      </c>
      <c r="H1290" s="282" t="s">
        <v>2648</v>
      </c>
      <c r="I1290" s="283">
        <v>7912.83</v>
      </c>
    </row>
    <row r="1291" spans="1:11" x14ac:dyDescent="0.2">
      <c r="A1291" s="279">
        <v>1290</v>
      </c>
      <c r="B1291" s="280">
        <v>42884</v>
      </c>
      <c r="C1291" s="280">
        <v>42900</v>
      </c>
      <c r="D1291" s="233" t="s">
        <v>1092</v>
      </c>
      <c r="E1291" s="281" t="s">
        <v>392</v>
      </c>
      <c r="F1291" s="281" t="s">
        <v>2224</v>
      </c>
      <c r="G1291" s="283" t="s">
        <v>2649</v>
      </c>
      <c r="H1291" s="282" t="s">
        <v>2650</v>
      </c>
      <c r="I1291" s="283">
        <v>1834.26</v>
      </c>
    </row>
    <row r="1292" spans="1:11" x14ac:dyDescent="0.2">
      <c r="A1292" s="279">
        <v>1291</v>
      </c>
      <c r="B1292" s="280">
        <v>42884</v>
      </c>
      <c r="C1292" s="280">
        <v>42900</v>
      </c>
      <c r="D1292" s="233" t="s">
        <v>1092</v>
      </c>
      <c r="E1292" s="281" t="s">
        <v>392</v>
      </c>
      <c r="F1292" s="281" t="s">
        <v>2224</v>
      </c>
      <c r="G1292" s="282" t="s">
        <v>2651</v>
      </c>
      <c r="H1292" s="282" t="s">
        <v>2652</v>
      </c>
      <c r="I1292" s="283">
        <v>3047.94</v>
      </c>
    </row>
    <row r="1293" spans="1:11" x14ac:dyDescent="0.2">
      <c r="A1293" s="279">
        <v>1292</v>
      </c>
      <c r="B1293" s="280">
        <v>42884</v>
      </c>
      <c r="C1293" s="280">
        <v>42900</v>
      </c>
      <c r="D1293" s="233" t="s">
        <v>1092</v>
      </c>
      <c r="E1293" s="281" t="s">
        <v>422</v>
      </c>
      <c r="F1293" s="281" t="s">
        <v>396</v>
      </c>
      <c r="G1293" s="282" t="s">
        <v>2653</v>
      </c>
      <c r="H1293" s="282" t="s">
        <v>2654</v>
      </c>
      <c r="I1293" s="283">
        <v>71922.22</v>
      </c>
    </row>
    <row r="1294" spans="1:11" x14ac:dyDescent="0.2">
      <c r="A1294" s="279">
        <v>1293</v>
      </c>
      <c r="B1294" s="280">
        <v>42880</v>
      </c>
      <c r="C1294" s="280">
        <v>42928</v>
      </c>
      <c r="D1294" s="233" t="s">
        <v>1092</v>
      </c>
      <c r="E1294" s="281" t="s">
        <v>422</v>
      </c>
      <c r="F1294" s="281" t="s">
        <v>701</v>
      </c>
      <c r="G1294" s="282" t="s">
        <v>2655</v>
      </c>
      <c r="H1294" s="282" t="s">
        <v>2656</v>
      </c>
      <c r="I1294" s="283">
        <v>538250</v>
      </c>
    </row>
    <row r="1295" spans="1:11" x14ac:dyDescent="0.2">
      <c r="A1295" s="279">
        <v>1294</v>
      </c>
      <c r="B1295" s="280">
        <v>42886</v>
      </c>
      <c r="C1295" s="280">
        <v>42919</v>
      </c>
      <c r="D1295" s="233" t="s">
        <v>1092</v>
      </c>
      <c r="E1295" s="281" t="s">
        <v>422</v>
      </c>
      <c r="F1295" s="281" t="s">
        <v>396</v>
      </c>
      <c r="G1295" s="282" t="s">
        <v>2659</v>
      </c>
      <c r="H1295" s="282" t="s">
        <v>2660</v>
      </c>
      <c r="I1295" s="283">
        <v>38200</v>
      </c>
      <c r="K1295" s="178" t="s">
        <v>2695</v>
      </c>
    </row>
    <row r="1296" spans="1:11" x14ac:dyDescent="0.2">
      <c r="A1296" s="279">
        <v>1295</v>
      </c>
      <c r="B1296" s="284">
        <v>42886</v>
      </c>
      <c r="C1296" s="284">
        <v>42905</v>
      </c>
      <c r="D1296" s="233" t="s">
        <v>1092</v>
      </c>
      <c r="E1296" s="285" t="s">
        <v>422</v>
      </c>
      <c r="F1296" s="285" t="s">
        <v>396</v>
      </c>
      <c r="G1296" s="286" t="s">
        <v>2661</v>
      </c>
      <c r="H1296" s="286" t="s">
        <v>2662</v>
      </c>
      <c r="I1296" s="287">
        <v>28000</v>
      </c>
    </row>
    <row r="1297" spans="1:11" x14ac:dyDescent="0.2">
      <c r="A1297" s="279">
        <v>1296</v>
      </c>
      <c r="B1297" s="280">
        <v>42886</v>
      </c>
      <c r="C1297" s="280">
        <v>42905</v>
      </c>
      <c r="D1297" s="233" t="s">
        <v>1092</v>
      </c>
      <c r="E1297" s="281" t="s">
        <v>392</v>
      </c>
      <c r="F1297" s="281" t="s">
        <v>393</v>
      </c>
      <c r="G1297" s="282" t="s">
        <v>2663</v>
      </c>
      <c r="H1297" s="282" t="s">
        <v>2664</v>
      </c>
      <c r="I1297" s="283">
        <v>3377.25</v>
      </c>
    </row>
    <row r="1298" spans="1:11" x14ac:dyDescent="0.2">
      <c r="A1298" s="279">
        <v>1297</v>
      </c>
      <c r="B1298" s="280">
        <v>42886</v>
      </c>
      <c r="C1298" s="280">
        <v>42905</v>
      </c>
      <c r="D1298" s="233" t="s">
        <v>1092</v>
      </c>
      <c r="E1298" s="281" t="s">
        <v>392</v>
      </c>
      <c r="F1298" s="281" t="s">
        <v>393</v>
      </c>
      <c r="G1298" s="282" t="s">
        <v>2665</v>
      </c>
      <c r="H1298" s="282" t="s">
        <v>2666</v>
      </c>
      <c r="I1298" s="283">
        <v>13509</v>
      </c>
    </row>
    <row r="1299" spans="1:11" x14ac:dyDescent="0.2">
      <c r="A1299" s="279">
        <v>1298</v>
      </c>
      <c r="B1299" s="294">
        <v>42884</v>
      </c>
      <c r="C1299" s="294">
        <v>42898</v>
      </c>
      <c r="D1299" s="233" t="s">
        <v>1092</v>
      </c>
      <c r="E1299" s="295" t="s">
        <v>392</v>
      </c>
      <c r="F1299" s="295" t="s">
        <v>393</v>
      </c>
      <c r="G1299" s="296" t="s">
        <v>3233</v>
      </c>
      <c r="H1299" s="296" t="s">
        <v>3234</v>
      </c>
      <c r="I1299" s="297">
        <v>40000</v>
      </c>
    </row>
    <row r="1300" spans="1:11" x14ac:dyDescent="0.2">
      <c r="A1300" s="279">
        <v>1299</v>
      </c>
      <c r="B1300" s="284">
        <v>42886</v>
      </c>
      <c r="C1300" s="284">
        <v>42907</v>
      </c>
      <c r="D1300" s="233" t="s">
        <v>1092</v>
      </c>
      <c r="E1300" s="285" t="s">
        <v>422</v>
      </c>
      <c r="F1300" s="285" t="s">
        <v>396</v>
      </c>
      <c r="G1300" s="286" t="s">
        <v>2667</v>
      </c>
      <c r="H1300" s="286" t="s">
        <v>2668</v>
      </c>
      <c r="I1300" s="287">
        <v>3256</v>
      </c>
    </row>
    <row r="1301" spans="1:11" x14ac:dyDescent="0.2">
      <c r="A1301" s="279">
        <v>1300</v>
      </c>
      <c r="B1301" s="280">
        <v>42886</v>
      </c>
      <c r="C1301" s="280">
        <v>42907</v>
      </c>
      <c r="D1301" s="233" t="s">
        <v>1092</v>
      </c>
      <c r="E1301" s="281" t="s">
        <v>392</v>
      </c>
      <c r="F1301" s="281" t="s">
        <v>393</v>
      </c>
      <c r="G1301" s="282" t="s">
        <v>2657</v>
      </c>
      <c r="H1301" s="282" t="s">
        <v>2658</v>
      </c>
      <c r="I1301" s="283">
        <v>10000</v>
      </c>
    </row>
    <row r="1302" spans="1:11" x14ac:dyDescent="0.2">
      <c r="A1302" s="279">
        <v>1301</v>
      </c>
      <c r="B1302" s="280">
        <v>42885</v>
      </c>
      <c r="C1302" s="280">
        <v>42905</v>
      </c>
      <c r="D1302" s="233" t="s">
        <v>1092</v>
      </c>
      <c r="E1302" s="281" t="s">
        <v>422</v>
      </c>
      <c r="F1302" s="281" t="s">
        <v>396</v>
      </c>
      <c r="G1302" s="282" t="s">
        <v>2669</v>
      </c>
      <c r="H1302" s="282" t="s">
        <v>2670</v>
      </c>
      <c r="I1302" s="283">
        <v>93792</v>
      </c>
    </row>
    <row r="1303" spans="1:11" x14ac:dyDescent="0.2">
      <c r="A1303" s="279">
        <v>1302</v>
      </c>
      <c r="B1303" s="294">
        <v>42887</v>
      </c>
      <c r="C1303" s="294">
        <v>42907</v>
      </c>
      <c r="D1303" s="233" t="s">
        <v>1092</v>
      </c>
      <c r="E1303" s="295" t="s">
        <v>392</v>
      </c>
      <c r="F1303" s="295" t="s">
        <v>393</v>
      </c>
      <c r="G1303" s="296" t="s">
        <v>2657</v>
      </c>
      <c r="H1303" s="296" t="s">
        <v>2658</v>
      </c>
      <c r="I1303" s="297">
        <v>10000</v>
      </c>
    </row>
    <row r="1304" spans="1:11" x14ac:dyDescent="0.2">
      <c r="A1304" s="279">
        <v>1303</v>
      </c>
      <c r="B1304" s="280">
        <v>42892</v>
      </c>
      <c r="C1304" s="280">
        <v>42912</v>
      </c>
      <c r="D1304" s="233" t="s">
        <v>1092</v>
      </c>
      <c r="E1304" s="281" t="s">
        <v>422</v>
      </c>
      <c r="F1304" s="281" t="s">
        <v>396</v>
      </c>
      <c r="G1304" s="282" t="s">
        <v>2671</v>
      </c>
      <c r="H1304" s="282" t="s">
        <v>2672</v>
      </c>
      <c r="I1304" s="283">
        <v>9744.44</v>
      </c>
    </row>
    <row r="1305" spans="1:11" x14ac:dyDescent="0.2">
      <c r="A1305" s="279">
        <v>1304</v>
      </c>
      <c r="B1305" s="280">
        <v>42888</v>
      </c>
      <c r="C1305" s="280">
        <v>42905</v>
      </c>
      <c r="D1305" s="233" t="s">
        <v>1092</v>
      </c>
      <c r="E1305" s="281" t="s">
        <v>422</v>
      </c>
      <c r="F1305" s="281" t="s">
        <v>71</v>
      </c>
      <c r="G1305" s="282" t="s">
        <v>2673</v>
      </c>
      <c r="H1305" s="282" t="s">
        <v>2674</v>
      </c>
      <c r="I1305" s="283">
        <v>1706.81</v>
      </c>
    </row>
    <row r="1306" spans="1:11" x14ac:dyDescent="0.2">
      <c r="A1306" s="279">
        <v>1305</v>
      </c>
      <c r="B1306" s="280">
        <v>42888</v>
      </c>
      <c r="C1306" s="280">
        <v>42928</v>
      </c>
      <c r="D1306" s="233" t="s">
        <v>1092</v>
      </c>
      <c r="E1306" s="281" t="s">
        <v>392</v>
      </c>
      <c r="F1306" s="281" t="s">
        <v>71</v>
      </c>
      <c r="G1306" s="282" t="s">
        <v>2675</v>
      </c>
      <c r="H1306" s="282" t="s">
        <v>2676</v>
      </c>
      <c r="I1306" s="283">
        <v>11967.24</v>
      </c>
      <c r="K1306" s="178" t="s">
        <v>2739</v>
      </c>
    </row>
    <row r="1307" spans="1:11" x14ac:dyDescent="0.2">
      <c r="A1307" s="279">
        <v>1306</v>
      </c>
      <c r="B1307" s="280">
        <v>42888</v>
      </c>
      <c r="C1307" s="280">
        <v>42905</v>
      </c>
      <c r="D1307" s="233" t="s">
        <v>1092</v>
      </c>
      <c r="E1307" s="281" t="s">
        <v>392</v>
      </c>
      <c r="F1307" s="281" t="s">
        <v>71</v>
      </c>
      <c r="G1307" s="282" t="s">
        <v>2677</v>
      </c>
      <c r="H1307" s="282" t="s">
        <v>2678</v>
      </c>
      <c r="I1307" s="283">
        <v>1498.42</v>
      </c>
    </row>
    <row r="1308" spans="1:11" x14ac:dyDescent="0.2">
      <c r="A1308" s="279">
        <v>1307</v>
      </c>
      <c r="B1308" s="294">
        <v>42893</v>
      </c>
      <c r="C1308" s="294">
        <v>42914</v>
      </c>
      <c r="D1308" s="233" t="s">
        <v>1092</v>
      </c>
      <c r="E1308" s="295" t="s">
        <v>392</v>
      </c>
      <c r="F1308" s="295" t="s">
        <v>71</v>
      </c>
      <c r="G1308" s="296" t="s">
        <v>3229</v>
      </c>
      <c r="H1308" s="296" t="s">
        <v>3230</v>
      </c>
      <c r="I1308" s="297">
        <v>3968.04</v>
      </c>
    </row>
    <row r="1309" spans="1:11" x14ac:dyDescent="0.2">
      <c r="A1309" s="279">
        <v>1308</v>
      </c>
      <c r="B1309" s="280">
        <v>42894</v>
      </c>
      <c r="C1309" s="280">
        <v>42912</v>
      </c>
      <c r="D1309" s="233" t="s">
        <v>1092</v>
      </c>
      <c r="E1309" s="281" t="s">
        <v>392</v>
      </c>
      <c r="F1309" s="281" t="s">
        <v>71</v>
      </c>
      <c r="G1309" s="282" t="s">
        <v>2679</v>
      </c>
      <c r="H1309" s="282" t="s">
        <v>2680</v>
      </c>
      <c r="I1309" s="283">
        <v>5692.64</v>
      </c>
    </row>
    <row r="1310" spans="1:11" x14ac:dyDescent="0.2">
      <c r="A1310" s="279">
        <v>1309</v>
      </c>
      <c r="B1310" s="280">
        <v>42894</v>
      </c>
      <c r="C1310" s="280">
        <v>42912</v>
      </c>
      <c r="D1310" s="233" t="s">
        <v>1092</v>
      </c>
      <c r="E1310" s="281" t="s">
        <v>392</v>
      </c>
      <c r="F1310" s="281" t="s">
        <v>71</v>
      </c>
      <c r="G1310" s="282" t="s">
        <v>2681</v>
      </c>
      <c r="H1310" s="282" t="s">
        <v>2682</v>
      </c>
      <c r="I1310" s="283">
        <v>1797.28</v>
      </c>
    </row>
    <row r="1311" spans="1:11" x14ac:dyDescent="0.2">
      <c r="A1311" s="279">
        <v>1310</v>
      </c>
      <c r="B1311" s="280">
        <v>42895</v>
      </c>
      <c r="C1311" s="280">
        <v>42919</v>
      </c>
      <c r="D1311" s="233" t="s">
        <v>1092</v>
      </c>
      <c r="E1311" s="281" t="s">
        <v>422</v>
      </c>
      <c r="F1311" s="281" t="s">
        <v>71</v>
      </c>
      <c r="G1311" s="282" t="s">
        <v>2683</v>
      </c>
      <c r="H1311" s="282" t="s">
        <v>2684</v>
      </c>
      <c r="I1311" s="283">
        <v>15249.53</v>
      </c>
    </row>
    <row r="1312" spans="1:11" x14ac:dyDescent="0.2">
      <c r="A1312" s="279">
        <v>1311</v>
      </c>
      <c r="B1312" s="280">
        <v>42895</v>
      </c>
      <c r="C1312" s="280">
        <v>42912</v>
      </c>
      <c r="D1312" s="233" t="s">
        <v>1092</v>
      </c>
      <c r="E1312" s="281" t="s">
        <v>392</v>
      </c>
      <c r="F1312" s="281" t="s">
        <v>71</v>
      </c>
      <c r="G1312" s="282" t="s">
        <v>2685</v>
      </c>
      <c r="H1312" s="282" t="s">
        <v>2687</v>
      </c>
      <c r="I1312" s="283">
        <v>566.70000000000005</v>
      </c>
    </row>
    <row r="1313" spans="1:11" x14ac:dyDescent="0.2">
      <c r="A1313" s="279">
        <v>1312</v>
      </c>
      <c r="B1313" s="280">
        <v>42895</v>
      </c>
      <c r="C1313" s="280">
        <v>42928</v>
      </c>
      <c r="D1313" s="233" t="s">
        <v>1092</v>
      </c>
      <c r="E1313" s="281" t="s">
        <v>392</v>
      </c>
      <c r="F1313" s="281" t="s">
        <v>71</v>
      </c>
      <c r="G1313" s="282" t="s">
        <v>2686</v>
      </c>
      <c r="H1313" s="282" t="s">
        <v>2688</v>
      </c>
      <c r="I1313" s="283">
        <v>46413.42</v>
      </c>
    </row>
    <row r="1314" spans="1:11" x14ac:dyDescent="0.2">
      <c r="A1314" s="279">
        <v>1313</v>
      </c>
      <c r="B1314" s="280">
        <v>42895</v>
      </c>
      <c r="C1314" s="280">
        <v>42912</v>
      </c>
      <c r="D1314" s="233" t="s">
        <v>1092</v>
      </c>
      <c r="E1314" s="281" t="s">
        <v>392</v>
      </c>
      <c r="F1314" s="281" t="s">
        <v>71</v>
      </c>
      <c r="G1314" s="282" t="s">
        <v>2689</v>
      </c>
      <c r="H1314" s="282" t="s">
        <v>2690</v>
      </c>
      <c r="I1314" s="283">
        <v>1845.38</v>
      </c>
    </row>
    <row r="1315" spans="1:11" x14ac:dyDescent="0.2">
      <c r="A1315" s="279">
        <v>1314</v>
      </c>
      <c r="B1315" s="280">
        <v>42895</v>
      </c>
      <c r="C1315" s="280">
        <v>42919</v>
      </c>
      <c r="D1315" s="233" t="s">
        <v>1092</v>
      </c>
      <c r="E1315" s="281" t="s">
        <v>392</v>
      </c>
      <c r="F1315" s="281" t="s">
        <v>71</v>
      </c>
      <c r="G1315" s="282" t="s">
        <v>2691</v>
      </c>
      <c r="H1315" s="282" t="s">
        <v>2692</v>
      </c>
      <c r="I1315" s="283">
        <v>2221.08</v>
      </c>
    </row>
    <row r="1316" spans="1:11" x14ac:dyDescent="0.2">
      <c r="A1316" s="279">
        <v>1315</v>
      </c>
      <c r="B1316" s="280">
        <v>42900</v>
      </c>
      <c r="C1316" s="280">
        <v>42919</v>
      </c>
      <c r="D1316" s="233" t="s">
        <v>1092</v>
      </c>
      <c r="E1316" s="281" t="s">
        <v>392</v>
      </c>
      <c r="F1316" s="281" t="s">
        <v>9</v>
      </c>
      <c r="G1316" s="282" t="s">
        <v>2693</v>
      </c>
      <c r="H1316" s="282" t="s">
        <v>2694</v>
      </c>
      <c r="I1316" s="283">
        <v>104536</v>
      </c>
    </row>
    <row r="1317" spans="1:11" x14ac:dyDescent="0.2">
      <c r="A1317" s="279">
        <v>1316</v>
      </c>
      <c r="B1317" s="280">
        <v>42900</v>
      </c>
      <c r="C1317" s="280">
        <v>42919</v>
      </c>
      <c r="D1317" s="233" t="s">
        <v>1092</v>
      </c>
      <c r="E1317" s="281" t="s">
        <v>392</v>
      </c>
      <c r="F1317" s="281" t="s">
        <v>71</v>
      </c>
      <c r="G1317" s="282" t="s">
        <v>2696</v>
      </c>
      <c r="H1317" s="282" t="s">
        <v>2697</v>
      </c>
      <c r="I1317" s="283">
        <v>1136.79</v>
      </c>
    </row>
    <row r="1318" spans="1:11" x14ac:dyDescent="0.2">
      <c r="A1318" s="279">
        <v>1317</v>
      </c>
      <c r="B1318" s="280">
        <v>42900</v>
      </c>
      <c r="C1318" s="280">
        <v>42919</v>
      </c>
      <c r="D1318" s="233" t="s">
        <v>1092</v>
      </c>
      <c r="E1318" s="281" t="s">
        <v>392</v>
      </c>
      <c r="F1318" s="281" t="s">
        <v>71</v>
      </c>
      <c r="G1318" s="282" t="s">
        <v>2698</v>
      </c>
      <c r="H1318" s="282" t="s">
        <v>2699</v>
      </c>
      <c r="I1318" s="283">
        <v>1595.41</v>
      </c>
    </row>
    <row r="1319" spans="1:11" x14ac:dyDescent="0.2">
      <c r="A1319" s="279">
        <v>1318</v>
      </c>
      <c r="B1319" s="280">
        <v>42900</v>
      </c>
      <c r="C1319" s="280">
        <v>42919</v>
      </c>
      <c r="D1319" s="233" t="s">
        <v>1092</v>
      </c>
      <c r="E1319" s="281" t="s">
        <v>422</v>
      </c>
      <c r="F1319" s="281" t="s">
        <v>71</v>
      </c>
      <c r="G1319" s="282" t="s">
        <v>2700</v>
      </c>
      <c r="H1319" s="282" t="s">
        <v>2701</v>
      </c>
      <c r="I1319" s="283">
        <v>4513.74</v>
      </c>
    </row>
    <row r="1320" spans="1:11" x14ac:dyDescent="0.2">
      <c r="A1320" s="279">
        <v>1319</v>
      </c>
      <c r="B1320" s="280">
        <v>42901</v>
      </c>
      <c r="C1320" s="280">
        <v>42919</v>
      </c>
      <c r="D1320" s="233" t="s">
        <v>1092</v>
      </c>
      <c r="E1320" s="281" t="s">
        <v>422</v>
      </c>
      <c r="F1320" s="281" t="s">
        <v>396</v>
      </c>
      <c r="G1320" s="282" t="s">
        <v>2702</v>
      </c>
      <c r="H1320" s="282" t="s">
        <v>2703</v>
      </c>
      <c r="I1320" s="283">
        <v>37444.44</v>
      </c>
    </row>
    <row r="1321" spans="1:11" x14ac:dyDescent="0.2">
      <c r="A1321" s="279">
        <v>1320</v>
      </c>
      <c r="B1321" s="280">
        <v>42901</v>
      </c>
      <c r="C1321" s="280">
        <v>42933</v>
      </c>
      <c r="D1321" s="233" t="s">
        <v>1092</v>
      </c>
      <c r="E1321" s="281" t="s">
        <v>422</v>
      </c>
      <c r="F1321" s="281" t="s">
        <v>396</v>
      </c>
      <c r="G1321" s="282" t="s">
        <v>2704</v>
      </c>
      <c r="H1321" s="282" t="s">
        <v>2705</v>
      </c>
      <c r="I1321" s="283">
        <v>1400</v>
      </c>
      <c r="K1321" s="178" t="s">
        <v>2749</v>
      </c>
    </row>
    <row r="1322" spans="1:11" x14ac:dyDescent="0.2">
      <c r="A1322" s="279">
        <v>1321</v>
      </c>
      <c r="B1322" s="280">
        <v>42901</v>
      </c>
      <c r="C1322" s="280">
        <v>42919</v>
      </c>
      <c r="D1322" s="233" t="s">
        <v>1092</v>
      </c>
      <c r="E1322" s="281" t="s">
        <v>422</v>
      </c>
      <c r="F1322" s="281" t="s">
        <v>396</v>
      </c>
      <c r="G1322" s="282" t="s">
        <v>2706</v>
      </c>
      <c r="H1322" s="282" t="s">
        <v>2707</v>
      </c>
      <c r="I1322" s="283">
        <v>5866.67</v>
      </c>
    </row>
    <row r="1323" spans="1:11" x14ac:dyDescent="0.2">
      <c r="A1323" s="279">
        <v>1322</v>
      </c>
      <c r="B1323" s="280">
        <v>42902</v>
      </c>
      <c r="C1323" s="280">
        <v>42919</v>
      </c>
      <c r="D1323" s="233" t="s">
        <v>1092</v>
      </c>
      <c r="E1323" s="281" t="s">
        <v>392</v>
      </c>
      <c r="F1323" s="281" t="s">
        <v>701</v>
      </c>
      <c r="G1323" s="282" t="s">
        <v>2708</v>
      </c>
      <c r="H1323" s="282" t="s">
        <v>2709</v>
      </c>
      <c r="I1323" s="283">
        <v>15000</v>
      </c>
    </row>
    <row r="1324" spans="1:11" x14ac:dyDescent="0.2">
      <c r="A1324" s="279">
        <v>1323</v>
      </c>
      <c r="B1324" s="280">
        <v>42902</v>
      </c>
      <c r="C1324" s="280">
        <v>42919</v>
      </c>
      <c r="D1324" s="233" t="s">
        <v>1092</v>
      </c>
      <c r="E1324" s="281" t="s">
        <v>422</v>
      </c>
      <c r="F1324" s="281" t="s">
        <v>71</v>
      </c>
      <c r="G1324" s="282" t="s">
        <v>2710</v>
      </c>
      <c r="H1324" s="282" t="s">
        <v>2711</v>
      </c>
      <c r="I1324" s="283">
        <v>11368.03</v>
      </c>
    </row>
    <row r="1325" spans="1:11" x14ac:dyDescent="0.2">
      <c r="A1325" s="279">
        <v>1324</v>
      </c>
      <c r="B1325" s="280">
        <v>42902</v>
      </c>
      <c r="C1325" s="280">
        <v>42919</v>
      </c>
      <c r="D1325" s="233" t="s">
        <v>1092</v>
      </c>
      <c r="E1325" s="281" t="s">
        <v>392</v>
      </c>
      <c r="F1325" s="281" t="s">
        <v>9</v>
      </c>
      <c r="G1325" s="282" t="s">
        <v>2712</v>
      </c>
      <c r="H1325" s="282" t="s">
        <v>2713</v>
      </c>
      <c r="I1325" s="283">
        <v>112981</v>
      </c>
    </row>
    <row r="1326" spans="1:11" x14ac:dyDescent="0.2">
      <c r="A1326" s="279">
        <v>1325</v>
      </c>
      <c r="B1326" s="280">
        <v>42902</v>
      </c>
      <c r="C1326" s="280">
        <v>42919</v>
      </c>
      <c r="D1326" s="233" t="s">
        <v>1092</v>
      </c>
      <c r="E1326" s="281" t="s">
        <v>392</v>
      </c>
      <c r="F1326" s="281" t="s">
        <v>9</v>
      </c>
      <c r="G1326" s="282" t="s">
        <v>2714</v>
      </c>
      <c r="H1326" s="282" t="s">
        <v>2715</v>
      </c>
      <c r="I1326" s="283">
        <v>198087</v>
      </c>
    </row>
    <row r="1327" spans="1:11" x14ac:dyDescent="0.2">
      <c r="A1327" s="279">
        <v>1326</v>
      </c>
      <c r="B1327" s="280">
        <v>42902</v>
      </c>
      <c r="C1327" s="280">
        <v>42933</v>
      </c>
      <c r="D1327" s="233" t="s">
        <v>1092</v>
      </c>
      <c r="E1327" s="281" t="s">
        <v>422</v>
      </c>
      <c r="F1327" s="281" t="s">
        <v>396</v>
      </c>
      <c r="G1327" s="282" t="s">
        <v>2716</v>
      </c>
      <c r="H1327" s="282" t="s">
        <v>2717</v>
      </c>
      <c r="I1327" s="283">
        <v>6400</v>
      </c>
      <c r="K1327" s="178" t="s">
        <v>2750</v>
      </c>
    </row>
    <row r="1328" spans="1:11" x14ac:dyDescent="0.2">
      <c r="A1328" s="279">
        <v>1327</v>
      </c>
      <c r="B1328" s="280">
        <v>42908</v>
      </c>
      <c r="C1328" s="280">
        <v>42928</v>
      </c>
      <c r="D1328" s="233" t="s">
        <v>1092</v>
      </c>
      <c r="E1328" s="281" t="s">
        <v>392</v>
      </c>
      <c r="F1328" s="281" t="s">
        <v>9</v>
      </c>
      <c r="G1328" s="282" t="s">
        <v>2718</v>
      </c>
      <c r="H1328" s="282" t="s">
        <v>2719</v>
      </c>
      <c r="I1328" s="283">
        <v>33271.25</v>
      </c>
      <c r="K1328" s="178" t="s">
        <v>2730</v>
      </c>
    </row>
    <row r="1329" spans="1:11" x14ac:dyDescent="0.2">
      <c r="A1329" s="279">
        <v>1328</v>
      </c>
      <c r="B1329" s="280">
        <v>42908</v>
      </c>
      <c r="C1329" s="280">
        <v>42928</v>
      </c>
      <c r="D1329" s="233" t="s">
        <v>1092</v>
      </c>
      <c r="E1329" s="281" t="s">
        <v>392</v>
      </c>
      <c r="F1329" s="281" t="s">
        <v>9</v>
      </c>
      <c r="G1329" s="282" t="s">
        <v>2720</v>
      </c>
      <c r="H1329" s="282" t="s">
        <v>2721</v>
      </c>
      <c r="I1329" s="283">
        <v>63107</v>
      </c>
    </row>
    <row r="1330" spans="1:11" x14ac:dyDescent="0.2">
      <c r="A1330" s="279">
        <v>1329</v>
      </c>
      <c r="B1330" s="280">
        <v>42908</v>
      </c>
      <c r="C1330" s="280">
        <v>42928</v>
      </c>
      <c r="D1330" s="233" t="s">
        <v>1092</v>
      </c>
      <c r="E1330" s="281" t="s">
        <v>392</v>
      </c>
      <c r="F1330" s="281" t="s">
        <v>393</v>
      </c>
      <c r="G1330" s="282" t="s">
        <v>2722</v>
      </c>
      <c r="H1330" s="282" t="s">
        <v>2723</v>
      </c>
      <c r="I1330" s="283">
        <v>29752.06</v>
      </c>
    </row>
    <row r="1331" spans="1:11" x14ac:dyDescent="0.2">
      <c r="A1331" s="279">
        <v>1330</v>
      </c>
      <c r="B1331" s="280">
        <v>42908</v>
      </c>
      <c r="C1331" s="280">
        <v>42926</v>
      </c>
      <c r="D1331" s="233" t="s">
        <v>1092</v>
      </c>
      <c r="E1331" s="281" t="s">
        <v>422</v>
      </c>
      <c r="F1331" s="281" t="s">
        <v>71</v>
      </c>
      <c r="G1331" s="282" t="s">
        <v>2724</v>
      </c>
      <c r="H1331" s="282" t="s">
        <v>2725</v>
      </c>
      <c r="I1331" s="283">
        <v>5990.76</v>
      </c>
    </row>
    <row r="1332" spans="1:11" x14ac:dyDescent="0.2">
      <c r="A1332" s="279">
        <v>1331</v>
      </c>
      <c r="B1332" s="280">
        <v>42907</v>
      </c>
      <c r="C1332" s="280">
        <v>42982</v>
      </c>
      <c r="D1332" s="233" t="s">
        <v>1092</v>
      </c>
      <c r="E1332" s="281" t="s">
        <v>392</v>
      </c>
      <c r="F1332" s="281" t="s">
        <v>9</v>
      </c>
      <c r="G1332" s="282" t="s">
        <v>2726</v>
      </c>
      <c r="H1332" s="282" t="s">
        <v>2727</v>
      </c>
      <c r="I1332" s="283">
        <v>223672</v>
      </c>
    </row>
    <row r="1333" spans="1:11" x14ac:dyDescent="0.2">
      <c r="A1333" s="279">
        <v>1332</v>
      </c>
      <c r="B1333" s="280">
        <v>42909</v>
      </c>
      <c r="C1333" s="280">
        <v>42926</v>
      </c>
      <c r="D1333" s="233" t="s">
        <v>1092</v>
      </c>
      <c r="E1333" s="281" t="s">
        <v>422</v>
      </c>
      <c r="F1333" s="281" t="s">
        <v>396</v>
      </c>
      <c r="G1333" s="282" t="s">
        <v>2728</v>
      </c>
      <c r="H1333" s="282" t="s">
        <v>2729</v>
      </c>
      <c r="I1333" s="283">
        <v>18322.22</v>
      </c>
    </row>
    <row r="1334" spans="1:11" x14ac:dyDescent="0.2">
      <c r="A1334" s="279">
        <v>1333</v>
      </c>
      <c r="B1334" s="280">
        <v>42912</v>
      </c>
      <c r="C1334" s="280">
        <v>42928</v>
      </c>
      <c r="D1334" s="233" t="s">
        <v>1092</v>
      </c>
      <c r="E1334" s="281" t="s">
        <v>422</v>
      </c>
      <c r="F1334" s="281" t="s">
        <v>396</v>
      </c>
      <c r="G1334" s="282" t="s">
        <v>2731</v>
      </c>
      <c r="H1334" s="282" t="s">
        <v>2732</v>
      </c>
      <c r="I1334" s="283">
        <v>9800</v>
      </c>
      <c r="K1334" s="178" t="s">
        <v>2749</v>
      </c>
    </row>
    <row r="1335" spans="1:11" x14ac:dyDescent="0.2">
      <c r="A1335" s="279">
        <v>1334</v>
      </c>
      <c r="B1335" s="280">
        <v>42912</v>
      </c>
      <c r="C1335" s="280">
        <v>42940</v>
      </c>
      <c r="D1335" s="233" t="s">
        <v>1092</v>
      </c>
      <c r="E1335" s="281" t="s">
        <v>422</v>
      </c>
      <c r="F1335" s="281" t="s">
        <v>701</v>
      </c>
      <c r="G1335" s="282" t="s">
        <v>2733</v>
      </c>
      <c r="H1335" s="282" t="s">
        <v>2734</v>
      </c>
      <c r="I1335" s="283">
        <v>142000</v>
      </c>
      <c r="K1335" s="178" t="s">
        <v>2773</v>
      </c>
    </row>
    <row r="1336" spans="1:11" x14ac:dyDescent="0.2">
      <c r="A1336" s="279">
        <v>1335</v>
      </c>
      <c r="B1336" s="280">
        <v>42912</v>
      </c>
      <c r="C1336" s="280">
        <v>42928</v>
      </c>
      <c r="D1336" s="233" t="s">
        <v>1092</v>
      </c>
      <c r="E1336" s="281" t="s">
        <v>392</v>
      </c>
      <c r="F1336" s="281" t="s">
        <v>71</v>
      </c>
      <c r="G1336" s="282" t="s">
        <v>2735</v>
      </c>
      <c r="H1336" s="282" t="s">
        <v>2736</v>
      </c>
      <c r="I1336" s="283">
        <v>4005.96</v>
      </c>
    </row>
    <row r="1337" spans="1:11" x14ac:dyDescent="0.2">
      <c r="A1337" s="279">
        <v>1336</v>
      </c>
      <c r="B1337" s="280">
        <v>42913</v>
      </c>
      <c r="C1337" s="280">
        <v>42921</v>
      </c>
      <c r="D1337" s="233" t="s">
        <v>1092</v>
      </c>
      <c r="E1337" s="281" t="s">
        <v>392</v>
      </c>
      <c r="F1337" s="281" t="s">
        <v>71</v>
      </c>
      <c r="G1337" s="282" t="s">
        <v>2737</v>
      </c>
      <c r="H1337" s="282" t="s">
        <v>2738</v>
      </c>
      <c r="I1337" s="283">
        <v>1260.81</v>
      </c>
    </row>
    <row r="1338" spans="1:11" x14ac:dyDescent="0.2">
      <c r="A1338" s="279">
        <v>1337</v>
      </c>
      <c r="B1338" s="280">
        <v>42914</v>
      </c>
      <c r="C1338" s="280">
        <v>42935</v>
      </c>
      <c r="D1338" s="233" t="s">
        <v>1092</v>
      </c>
      <c r="E1338" s="281" t="s">
        <v>392</v>
      </c>
      <c r="F1338" s="281" t="s">
        <v>9</v>
      </c>
      <c r="G1338" s="282" t="s">
        <v>2740</v>
      </c>
      <c r="H1338" s="282" t="s">
        <v>2741</v>
      </c>
      <c r="I1338" s="283">
        <v>42769</v>
      </c>
    </row>
    <row r="1339" spans="1:11" x14ac:dyDescent="0.2">
      <c r="A1339" s="279">
        <v>1338</v>
      </c>
      <c r="B1339" s="280">
        <v>42914</v>
      </c>
      <c r="C1339" s="280">
        <v>42935</v>
      </c>
      <c r="D1339" s="233" t="s">
        <v>1092</v>
      </c>
      <c r="E1339" s="281" t="s">
        <v>392</v>
      </c>
      <c r="F1339" s="281" t="s">
        <v>9</v>
      </c>
      <c r="G1339" s="282" t="s">
        <v>2742</v>
      </c>
      <c r="H1339" s="282" t="s">
        <v>2743</v>
      </c>
      <c r="I1339" s="283">
        <v>60826</v>
      </c>
    </row>
    <row r="1340" spans="1:11" x14ac:dyDescent="0.2">
      <c r="A1340" s="279">
        <v>1339</v>
      </c>
      <c r="B1340" s="280">
        <v>42914</v>
      </c>
      <c r="C1340" s="280">
        <v>42933</v>
      </c>
      <c r="D1340" s="233" t="s">
        <v>1092</v>
      </c>
      <c r="E1340" s="281" t="s">
        <v>392</v>
      </c>
      <c r="F1340" s="281" t="s">
        <v>9</v>
      </c>
      <c r="G1340" s="282" t="s">
        <v>2744</v>
      </c>
      <c r="H1340" s="282" t="s">
        <v>2745</v>
      </c>
      <c r="I1340" s="283">
        <v>106921.49</v>
      </c>
    </row>
    <row r="1341" spans="1:11" x14ac:dyDescent="0.2">
      <c r="A1341" s="279">
        <v>1340</v>
      </c>
      <c r="B1341" s="280">
        <v>42915</v>
      </c>
      <c r="C1341" s="280">
        <v>42933</v>
      </c>
      <c r="D1341" s="233" t="s">
        <v>1092</v>
      </c>
      <c r="E1341" s="281" t="s">
        <v>422</v>
      </c>
      <c r="F1341" s="281" t="s">
        <v>2746</v>
      </c>
      <c r="G1341" s="282" t="s">
        <v>2747</v>
      </c>
      <c r="H1341" s="282" t="s">
        <v>2748</v>
      </c>
      <c r="I1341" s="283">
        <v>9700</v>
      </c>
    </row>
    <row r="1342" spans="1:11" x14ac:dyDescent="0.2">
      <c r="A1342" s="279">
        <v>1341</v>
      </c>
      <c r="B1342" s="280">
        <v>42916</v>
      </c>
      <c r="C1342" s="280">
        <v>42933</v>
      </c>
      <c r="D1342" s="233" t="s">
        <v>1092</v>
      </c>
      <c r="E1342" s="281" t="s">
        <v>392</v>
      </c>
      <c r="F1342" s="281" t="s">
        <v>71</v>
      </c>
      <c r="G1342" s="282" t="s">
        <v>2751</v>
      </c>
      <c r="H1342" s="282" t="s">
        <v>2752</v>
      </c>
      <c r="I1342" s="283">
        <v>7608.62</v>
      </c>
    </row>
    <row r="1343" spans="1:11" x14ac:dyDescent="0.2">
      <c r="A1343" s="279">
        <v>1342</v>
      </c>
      <c r="B1343" s="280">
        <v>42919</v>
      </c>
      <c r="C1343" s="280">
        <v>42935</v>
      </c>
      <c r="D1343" s="233" t="s">
        <v>1092</v>
      </c>
      <c r="E1343" s="281" t="s">
        <v>422</v>
      </c>
      <c r="F1343" s="281" t="s">
        <v>71</v>
      </c>
      <c r="G1343" s="282" t="s">
        <v>2753</v>
      </c>
      <c r="H1343" s="282" t="s">
        <v>2754</v>
      </c>
      <c r="I1343" s="283">
        <v>20380.39</v>
      </c>
    </row>
    <row r="1344" spans="1:11" x14ac:dyDescent="0.2">
      <c r="A1344" s="279">
        <v>1343</v>
      </c>
      <c r="B1344" s="280">
        <v>42920</v>
      </c>
      <c r="C1344" s="280">
        <v>42942</v>
      </c>
      <c r="D1344" s="233" t="s">
        <v>1092</v>
      </c>
      <c r="E1344" s="281" t="s">
        <v>392</v>
      </c>
      <c r="F1344" s="281" t="s">
        <v>71</v>
      </c>
      <c r="G1344" s="282" t="s">
        <v>2755</v>
      </c>
      <c r="H1344" s="282" t="s">
        <v>2756</v>
      </c>
      <c r="I1344" s="283">
        <v>1928.01</v>
      </c>
    </row>
    <row r="1345" spans="1:11" x14ac:dyDescent="0.2">
      <c r="A1345" s="279">
        <v>1344</v>
      </c>
      <c r="B1345" s="280">
        <v>42920</v>
      </c>
      <c r="C1345" s="280">
        <v>42935</v>
      </c>
      <c r="D1345" s="233" t="s">
        <v>1092</v>
      </c>
      <c r="E1345" s="281" t="s">
        <v>422</v>
      </c>
      <c r="F1345" s="281" t="s">
        <v>701</v>
      </c>
      <c r="G1345" s="282" t="s">
        <v>2757</v>
      </c>
      <c r="H1345" s="282" t="s">
        <v>2758</v>
      </c>
      <c r="I1345" s="283">
        <v>103600</v>
      </c>
    </row>
    <row r="1346" spans="1:11" x14ac:dyDescent="0.2">
      <c r="A1346" s="279">
        <v>1345</v>
      </c>
      <c r="B1346" s="280">
        <v>42921</v>
      </c>
      <c r="C1346" s="280">
        <v>42940</v>
      </c>
      <c r="D1346" s="233" t="s">
        <v>1092</v>
      </c>
      <c r="E1346" s="281" t="s">
        <v>422</v>
      </c>
      <c r="F1346" s="281" t="s">
        <v>701</v>
      </c>
      <c r="G1346" s="282" t="s">
        <v>2759</v>
      </c>
      <c r="H1346" s="282" t="s">
        <v>2760</v>
      </c>
      <c r="I1346" s="283">
        <v>10082.65</v>
      </c>
    </row>
    <row r="1347" spans="1:11" x14ac:dyDescent="0.2">
      <c r="A1347" s="279">
        <v>1346</v>
      </c>
      <c r="B1347" s="280">
        <v>42921</v>
      </c>
      <c r="C1347" s="280">
        <v>42940</v>
      </c>
      <c r="D1347" s="233" t="s">
        <v>1092</v>
      </c>
      <c r="E1347" s="281" t="s">
        <v>422</v>
      </c>
      <c r="F1347" s="281" t="s">
        <v>396</v>
      </c>
      <c r="G1347" s="282" t="s">
        <v>2761</v>
      </c>
      <c r="H1347" s="282" t="s">
        <v>2762</v>
      </c>
      <c r="I1347" s="283">
        <v>8000</v>
      </c>
    </row>
    <row r="1348" spans="1:11" x14ac:dyDescent="0.2">
      <c r="A1348" s="279">
        <v>1347</v>
      </c>
      <c r="B1348" s="280">
        <v>42921</v>
      </c>
      <c r="C1348" s="280">
        <v>42940</v>
      </c>
      <c r="D1348" s="233" t="s">
        <v>1092</v>
      </c>
      <c r="E1348" s="281" t="s">
        <v>422</v>
      </c>
      <c r="F1348" s="281" t="s">
        <v>701</v>
      </c>
      <c r="G1348" s="282" t="s">
        <v>2763</v>
      </c>
      <c r="H1348" s="282" t="s">
        <v>2764</v>
      </c>
      <c r="I1348" s="283">
        <v>12000</v>
      </c>
    </row>
    <row r="1349" spans="1:11" x14ac:dyDescent="0.2">
      <c r="A1349" s="279">
        <v>1348</v>
      </c>
      <c r="B1349" s="280">
        <v>42921</v>
      </c>
      <c r="C1349" s="280">
        <v>42982</v>
      </c>
      <c r="D1349" s="233" t="s">
        <v>1092</v>
      </c>
      <c r="E1349" s="281" t="s">
        <v>392</v>
      </c>
      <c r="F1349" s="281" t="s">
        <v>393</v>
      </c>
      <c r="G1349" s="282" t="s">
        <v>2765</v>
      </c>
      <c r="H1349" s="282" t="s">
        <v>2766</v>
      </c>
      <c r="I1349" s="283">
        <v>7438.01</v>
      </c>
    </row>
    <row r="1350" spans="1:11" x14ac:dyDescent="0.2">
      <c r="A1350" s="279">
        <v>1349</v>
      </c>
      <c r="B1350" s="280">
        <v>42921</v>
      </c>
      <c r="C1350" s="280">
        <v>42982</v>
      </c>
      <c r="D1350" s="233" t="s">
        <v>1092</v>
      </c>
      <c r="E1350" s="281" t="s">
        <v>392</v>
      </c>
      <c r="F1350" s="281" t="s">
        <v>393</v>
      </c>
      <c r="G1350" s="282" t="s">
        <v>2767</v>
      </c>
      <c r="H1350" s="282" t="s">
        <v>2768</v>
      </c>
      <c r="I1350" s="283">
        <v>12750</v>
      </c>
    </row>
    <row r="1351" spans="1:11" x14ac:dyDescent="0.2">
      <c r="A1351" s="279">
        <v>1350</v>
      </c>
      <c r="B1351" s="280">
        <v>42922</v>
      </c>
      <c r="C1351" s="280">
        <v>42940</v>
      </c>
      <c r="D1351" s="233" t="s">
        <v>1092</v>
      </c>
      <c r="E1351" s="281" t="s">
        <v>422</v>
      </c>
      <c r="F1351" s="281" t="s">
        <v>71</v>
      </c>
      <c r="G1351" s="282" t="s">
        <v>2769</v>
      </c>
      <c r="H1351" s="282" t="s">
        <v>2770</v>
      </c>
      <c r="I1351" s="283">
        <v>2048.5</v>
      </c>
    </row>
    <row r="1352" spans="1:11" x14ac:dyDescent="0.2">
      <c r="A1352" s="279">
        <v>1351</v>
      </c>
      <c r="B1352" s="280">
        <v>42922</v>
      </c>
      <c r="C1352" s="280">
        <v>46594</v>
      </c>
      <c r="D1352" s="233" t="s">
        <v>1092</v>
      </c>
      <c r="E1352" s="281" t="s">
        <v>422</v>
      </c>
      <c r="F1352" s="281" t="s">
        <v>701</v>
      </c>
      <c r="G1352" s="282" t="s">
        <v>2771</v>
      </c>
      <c r="H1352" s="282" t="s">
        <v>2772</v>
      </c>
      <c r="I1352" s="283">
        <v>25000</v>
      </c>
    </row>
    <row r="1353" spans="1:11" x14ac:dyDescent="0.2">
      <c r="A1353" s="279">
        <v>1352</v>
      </c>
      <c r="B1353" s="280">
        <v>42923</v>
      </c>
      <c r="C1353" s="280">
        <v>42940</v>
      </c>
      <c r="D1353" s="233" t="s">
        <v>1092</v>
      </c>
      <c r="E1353" s="281" t="s">
        <v>422</v>
      </c>
      <c r="F1353" s="281" t="s">
        <v>701</v>
      </c>
      <c r="G1353" s="282" t="s">
        <v>2774</v>
      </c>
      <c r="H1353" s="282" t="s">
        <v>2775</v>
      </c>
      <c r="I1353" s="283">
        <v>30000</v>
      </c>
    </row>
    <row r="1354" spans="1:11" x14ac:dyDescent="0.2">
      <c r="A1354" s="279">
        <v>1353</v>
      </c>
      <c r="B1354" s="280">
        <v>42928</v>
      </c>
      <c r="C1354" s="280">
        <v>42947</v>
      </c>
      <c r="D1354" s="233" t="s">
        <v>1092</v>
      </c>
      <c r="E1354" s="281" t="s">
        <v>392</v>
      </c>
      <c r="F1354" s="281" t="s">
        <v>701</v>
      </c>
      <c r="G1354" s="282" t="s">
        <v>2776</v>
      </c>
      <c r="H1354" s="282" t="s">
        <v>2777</v>
      </c>
      <c r="I1354" s="283">
        <v>15000</v>
      </c>
    </row>
    <row r="1355" spans="1:11" x14ac:dyDescent="0.2">
      <c r="A1355" s="279">
        <v>1354</v>
      </c>
      <c r="B1355" s="284">
        <v>42928</v>
      </c>
      <c r="C1355" s="284">
        <v>42947</v>
      </c>
      <c r="D1355" s="233" t="s">
        <v>1092</v>
      </c>
      <c r="E1355" s="285" t="s">
        <v>392</v>
      </c>
      <c r="F1355" s="285" t="s">
        <v>71</v>
      </c>
      <c r="G1355" s="286" t="s">
        <v>2778</v>
      </c>
      <c r="H1355" s="286" t="s">
        <v>2779</v>
      </c>
      <c r="I1355" s="287">
        <v>5395.33</v>
      </c>
      <c r="K1355" s="178" t="s">
        <v>3268</v>
      </c>
    </row>
    <row r="1356" spans="1:11" x14ac:dyDescent="0.2">
      <c r="A1356" s="279">
        <v>1355</v>
      </c>
      <c r="B1356" s="280">
        <v>42929</v>
      </c>
      <c r="C1356" s="280">
        <v>42947</v>
      </c>
      <c r="D1356" s="233" t="s">
        <v>1092</v>
      </c>
      <c r="E1356" s="282" t="s">
        <v>392</v>
      </c>
      <c r="F1356" s="281" t="s">
        <v>9</v>
      </c>
      <c r="G1356" s="282" t="s">
        <v>2780</v>
      </c>
      <c r="H1356" s="282" t="s">
        <v>2781</v>
      </c>
      <c r="I1356" s="283">
        <v>73801</v>
      </c>
    </row>
    <row r="1357" spans="1:11" x14ac:dyDescent="0.2">
      <c r="A1357" s="279">
        <v>1356</v>
      </c>
      <c r="B1357" s="280">
        <v>42930</v>
      </c>
      <c r="C1357" s="280">
        <v>42947</v>
      </c>
      <c r="D1357" s="233" t="s">
        <v>1092</v>
      </c>
      <c r="E1357" s="281" t="s">
        <v>392</v>
      </c>
      <c r="F1357" s="281" t="s">
        <v>9</v>
      </c>
      <c r="G1357" s="282" t="s">
        <v>2782</v>
      </c>
      <c r="H1357" s="282" t="s">
        <v>2783</v>
      </c>
      <c r="I1357" s="283">
        <v>8889</v>
      </c>
    </row>
    <row r="1358" spans="1:11" x14ac:dyDescent="0.2">
      <c r="A1358" s="279">
        <v>1357</v>
      </c>
      <c r="B1358" s="280">
        <v>42930</v>
      </c>
      <c r="C1358" s="280">
        <v>42947</v>
      </c>
      <c r="D1358" s="233" t="s">
        <v>1092</v>
      </c>
      <c r="E1358" s="281" t="s">
        <v>422</v>
      </c>
      <c r="F1358" s="281" t="s">
        <v>701</v>
      </c>
      <c r="G1358" s="282" t="s">
        <v>2784</v>
      </c>
      <c r="H1358" s="282" t="s">
        <v>2785</v>
      </c>
      <c r="I1358" s="283">
        <v>12000</v>
      </c>
    </row>
    <row r="1359" spans="1:11" x14ac:dyDescent="0.2">
      <c r="A1359" s="279">
        <v>1358</v>
      </c>
      <c r="B1359" s="280">
        <v>42936</v>
      </c>
      <c r="C1359" s="280">
        <v>42983</v>
      </c>
      <c r="D1359" s="233" t="s">
        <v>1092</v>
      </c>
      <c r="E1359" s="281" t="s">
        <v>392</v>
      </c>
      <c r="F1359" s="281" t="s">
        <v>9</v>
      </c>
      <c r="G1359" s="282" t="s">
        <v>2786</v>
      </c>
      <c r="H1359" s="282" t="s">
        <v>2787</v>
      </c>
      <c r="I1359" s="283">
        <v>245556</v>
      </c>
    </row>
    <row r="1360" spans="1:11" x14ac:dyDescent="0.2">
      <c r="A1360" s="279">
        <v>1359</v>
      </c>
      <c r="B1360" s="280">
        <v>42942</v>
      </c>
      <c r="C1360" s="280">
        <v>42982</v>
      </c>
      <c r="D1360" s="233" t="s">
        <v>1092</v>
      </c>
      <c r="E1360" s="281" t="s">
        <v>422</v>
      </c>
      <c r="F1360" s="281" t="s">
        <v>396</v>
      </c>
      <c r="G1360" s="282" t="s">
        <v>2667</v>
      </c>
      <c r="H1360" s="282" t="s">
        <v>2788</v>
      </c>
      <c r="I1360" s="283">
        <v>3256</v>
      </c>
    </row>
    <row r="1361" spans="1:9" x14ac:dyDescent="0.2">
      <c r="A1361" s="279">
        <v>1360</v>
      </c>
      <c r="B1361" s="280">
        <v>42942</v>
      </c>
      <c r="C1361" s="280">
        <v>42984</v>
      </c>
      <c r="D1361" s="233" t="s">
        <v>1092</v>
      </c>
      <c r="E1361" s="281" t="s">
        <v>392</v>
      </c>
      <c r="F1361" s="281" t="s">
        <v>2224</v>
      </c>
      <c r="G1361" s="282" t="s">
        <v>2789</v>
      </c>
      <c r="H1361" s="282" t="s">
        <v>2790</v>
      </c>
      <c r="I1361" s="283">
        <v>18484.849999999999</v>
      </c>
    </row>
    <row r="1362" spans="1:9" x14ac:dyDescent="0.2">
      <c r="A1362" s="279">
        <v>1361</v>
      </c>
      <c r="B1362" s="280">
        <v>42944</v>
      </c>
      <c r="C1362" s="280">
        <v>43005</v>
      </c>
      <c r="D1362" s="233" t="s">
        <v>1092</v>
      </c>
      <c r="E1362" s="281" t="s">
        <v>392</v>
      </c>
      <c r="F1362" s="281" t="s">
        <v>71</v>
      </c>
      <c r="G1362" s="282" t="s">
        <v>2791</v>
      </c>
      <c r="H1362" s="282" t="s">
        <v>2792</v>
      </c>
      <c r="I1362" s="283">
        <v>347594.44</v>
      </c>
    </row>
    <row r="1363" spans="1:9" x14ac:dyDescent="0.2">
      <c r="A1363" s="279">
        <v>1362</v>
      </c>
      <c r="B1363" s="280">
        <v>42943</v>
      </c>
      <c r="C1363" s="280">
        <v>42996</v>
      </c>
      <c r="D1363" s="233" t="s">
        <v>1092</v>
      </c>
      <c r="E1363" s="281" t="s">
        <v>422</v>
      </c>
      <c r="F1363" s="281" t="s">
        <v>71</v>
      </c>
      <c r="G1363" s="282" t="s">
        <v>2793</v>
      </c>
      <c r="H1363" s="282" t="s">
        <v>2794</v>
      </c>
      <c r="I1363" s="283">
        <v>2070.84</v>
      </c>
    </row>
    <row r="1364" spans="1:9" x14ac:dyDescent="0.2">
      <c r="A1364" s="279">
        <v>1363</v>
      </c>
      <c r="B1364" s="280">
        <v>42943</v>
      </c>
      <c r="C1364" s="280">
        <v>42996</v>
      </c>
      <c r="D1364" s="233" t="s">
        <v>1092</v>
      </c>
      <c r="E1364" s="281" t="s">
        <v>422</v>
      </c>
      <c r="F1364" s="281" t="s">
        <v>1640</v>
      </c>
      <c r="G1364" s="282" t="s">
        <v>2795</v>
      </c>
      <c r="H1364" s="282" t="s">
        <v>2796</v>
      </c>
      <c r="I1364" s="283">
        <v>19188.89</v>
      </c>
    </row>
    <row r="1365" spans="1:9" x14ac:dyDescent="0.2">
      <c r="A1365" s="279">
        <v>1364</v>
      </c>
      <c r="B1365" s="280">
        <v>42943</v>
      </c>
      <c r="C1365" s="280">
        <v>42982</v>
      </c>
      <c r="D1365" s="233" t="s">
        <v>1092</v>
      </c>
      <c r="E1365" s="281" t="s">
        <v>392</v>
      </c>
      <c r="F1365" s="281" t="s">
        <v>71</v>
      </c>
      <c r="G1365" s="282" t="s">
        <v>2797</v>
      </c>
      <c r="H1365" s="282" t="s">
        <v>2798</v>
      </c>
      <c r="I1365" s="283">
        <v>6636.9</v>
      </c>
    </row>
    <row r="1366" spans="1:9" x14ac:dyDescent="0.2">
      <c r="A1366" s="279">
        <v>1365</v>
      </c>
      <c r="B1366" s="280">
        <v>42944</v>
      </c>
      <c r="C1366" s="280">
        <v>42984</v>
      </c>
      <c r="D1366" s="233" t="s">
        <v>1092</v>
      </c>
      <c r="E1366" s="281" t="s">
        <v>422</v>
      </c>
      <c r="F1366" s="281" t="s">
        <v>1276</v>
      </c>
      <c r="G1366" s="282" t="s">
        <v>2799</v>
      </c>
      <c r="H1366" s="282" t="s">
        <v>2800</v>
      </c>
      <c r="I1366" s="283">
        <v>4600</v>
      </c>
    </row>
    <row r="1367" spans="1:9" x14ac:dyDescent="0.2">
      <c r="A1367" s="279">
        <v>1366</v>
      </c>
      <c r="B1367" s="280">
        <v>42944</v>
      </c>
      <c r="C1367" s="280">
        <v>42982</v>
      </c>
      <c r="D1367" s="233" t="s">
        <v>1092</v>
      </c>
      <c r="E1367" s="281" t="s">
        <v>422</v>
      </c>
      <c r="F1367" s="281" t="s">
        <v>701</v>
      </c>
      <c r="G1367" s="282" t="s">
        <v>2801</v>
      </c>
      <c r="H1367" s="282" t="s">
        <v>2802</v>
      </c>
      <c r="I1367" s="283">
        <v>19000</v>
      </c>
    </row>
    <row r="1368" spans="1:9" x14ac:dyDescent="0.2">
      <c r="A1368" s="279">
        <v>1367</v>
      </c>
      <c r="B1368" s="280">
        <v>42944</v>
      </c>
      <c r="C1368" s="280">
        <v>42982</v>
      </c>
      <c r="D1368" s="233" t="s">
        <v>1092</v>
      </c>
      <c r="E1368" s="281" t="s">
        <v>422</v>
      </c>
      <c r="F1368" s="281" t="s">
        <v>1276</v>
      </c>
      <c r="G1368" s="282" t="s">
        <v>2639</v>
      </c>
      <c r="H1368" s="282" t="s">
        <v>2640</v>
      </c>
      <c r="I1368" s="283">
        <v>5600</v>
      </c>
    </row>
    <row r="1369" spans="1:9" x14ac:dyDescent="0.2">
      <c r="A1369" s="279">
        <v>1368</v>
      </c>
      <c r="B1369" s="280">
        <v>42943</v>
      </c>
      <c r="C1369" s="280">
        <v>42982</v>
      </c>
      <c r="D1369" s="233" t="s">
        <v>1092</v>
      </c>
      <c r="E1369" s="281" t="s">
        <v>422</v>
      </c>
      <c r="F1369" s="281" t="s">
        <v>701</v>
      </c>
      <c r="G1369" s="282" t="s">
        <v>2803</v>
      </c>
      <c r="H1369" s="282" t="s">
        <v>2804</v>
      </c>
      <c r="I1369" s="283">
        <v>31300</v>
      </c>
    </row>
    <row r="1370" spans="1:9" x14ac:dyDescent="0.2">
      <c r="A1370" s="279">
        <v>1369</v>
      </c>
      <c r="B1370" s="280">
        <v>42943</v>
      </c>
      <c r="C1370" s="280">
        <v>42984</v>
      </c>
      <c r="D1370" s="233" t="s">
        <v>1092</v>
      </c>
      <c r="E1370" s="281" t="s">
        <v>422</v>
      </c>
      <c r="F1370" s="281" t="s">
        <v>701</v>
      </c>
      <c r="G1370" s="282" t="s">
        <v>2805</v>
      </c>
      <c r="H1370" s="282" t="s">
        <v>2806</v>
      </c>
      <c r="I1370" s="283">
        <v>28000</v>
      </c>
    </row>
    <row r="1371" spans="1:9" x14ac:dyDescent="0.2">
      <c r="A1371" s="279">
        <v>1370</v>
      </c>
      <c r="B1371" s="289">
        <v>42957</v>
      </c>
      <c r="C1371" s="289">
        <v>43005</v>
      </c>
      <c r="D1371" s="233" t="s">
        <v>1092</v>
      </c>
      <c r="E1371" s="290" t="s">
        <v>422</v>
      </c>
      <c r="F1371" s="290" t="s">
        <v>1276</v>
      </c>
      <c r="G1371" s="291" t="s">
        <v>2807</v>
      </c>
      <c r="H1371" s="291" t="s">
        <v>2808</v>
      </c>
      <c r="I1371" s="292">
        <v>1020222.22</v>
      </c>
    </row>
    <row r="1372" spans="1:9" x14ac:dyDescent="0.2">
      <c r="A1372" s="279">
        <v>1371</v>
      </c>
      <c r="B1372" s="280">
        <v>42957</v>
      </c>
      <c r="C1372" s="280">
        <v>43005</v>
      </c>
      <c r="D1372" s="233" t="s">
        <v>1092</v>
      </c>
      <c r="E1372" s="281" t="s">
        <v>422</v>
      </c>
      <c r="F1372" s="281" t="s">
        <v>71</v>
      </c>
      <c r="G1372" s="282" t="s">
        <v>2809</v>
      </c>
      <c r="H1372" s="282" t="s">
        <v>2810</v>
      </c>
      <c r="I1372" s="283">
        <v>230668.27</v>
      </c>
    </row>
    <row r="1373" spans="1:9" x14ac:dyDescent="0.2">
      <c r="A1373" s="279">
        <v>1372</v>
      </c>
      <c r="B1373" s="280">
        <v>42957</v>
      </c>
      <c r="C1373" s="280">
        <v>42991</v>
      </c>
      <c r="D1373" s="233" t="s">
        <v>1092</v>
      </c>
      <c r="E1373" s="281" t="s">
        <v>422</v>
      </c>
      <c r="F1373" s="281" t="s">
        <v>701</v>
      </c>
      <c r="G1373" s="282" t="s">
        <v>2811</v>
      </c>
      <c r="H1373" s="282" t="s">
        <v>2812</v>
      </c>
      <c r="I1373" s="283">
        <v>122044.16</v>
      </c>
    </row>
    <row r="1374" spans="1:9" x14ac:dyDescent="0.2">
      <c r="A1374" s="279">
        <v>1373</v>
      </c>
      <c r="B1374" s="280">
        <v>42957</v>
      </c>
      <c r="C1374" s="280">
        <v>42991</v>
      </c>
      <c r="D1374" s="233" t="s">
        <v>1092</v>
      </c>
      <c r="E1374" s="281" t="s">
        <v>422</v>
      </c>
      <c r="F1374" s="281" t="s">
        <v>71</v>
      </c>
      <c r="G1374" s="282" t="s">
        <v>2813</v>
      </c>
      <c r="H1374" s="282" t="s">
        <v>2814</v>
      </c>
      <c r="I1374" s="283">
        <v>8800.0400000000009</v>
      </c>
    </row>
    <row r="1375" spans="1:9" x14ac:dyDescent="0.2">
      <c r="A1375" s="279">
        <v>1374</v>
      </c>
      <c r="B1375" s="280">
        <v>42957</v>
      </c>
      <c r="C1375" s="280">
        <v>42984</v>
      </c>
      <c r="D1375" s="233" t="s">
        <v>1092</v>
      </c>
      <c r="E1375" s="281" t="s">
        <v>422</v>
      </c>
      <c r="F1375" s="281" t="s">
        <v>701</v>
      </c>
      <c r="G1375" s="282" t="s">
        <v>2815</v>
      </c>
      <c r="H1375" s="282" t="s">
        <v>2816</v>
      </c>
      <c r="I1375" s="283">
        <v>55000</v>
      </c>
    </row>
    <row r="1376" spans="1:9" x14ac:dyDescent="0.2">
      <c r="A1376" s="279">
        <v>1375</v>
      </c>
      <c r="B1376" s="280">
        <v>42956</v>
      </c>
      <c r="C1376" s="280">
        <v>42991</v>
      </c>
      <c r="D1376" s="233" t="s">
        <v>1092</v>
      </c>
      <c r="E1376" s="281" t="s">
        <v>422</v>
      </c>
      <c r="F1376" s="281" t="s">
        <v>1276</v>
      </c>
      <c r="G1376" s="282" t="s">
        <v>2817</v>
      </c>
      <c r="H1376" s="283" t="s">
        <v>2818</v>
      </c>
      <c r="I1376" s="283">
        <v>153792</v>
      </c>
    </row>
    <row r="1377" spans="1:9" x14ac:dyDescent="0.2">
      <c r="A1377" s="279">
        <v>1376</v>
      </c>
      <c r="B1377" s="280">
        <v>42956</v>
      </c>
      <c r="C1377" s="280">
        <v>42991</v>
      </c>
      <c r="D1377" s="233" t="s">
        <v>1092</v>
      </c>
      <c r="E1377" s="281" t="s">
        <v>422</v>
      </c>
      <c r="F1377" s="281" t="s">
        <v>1276</v>
      </c>
      <c r="G1377" s="282" t="s">
        <v>2819</v>
      </c>
      <c r="H1377" s="282" t="s">
        <v>2820</v>
      </c>
      <c r="I1377" s="283">
        <v>140000</v>
      </c>
    </row>
    <row r="1378" spans="1:9" x14ac:dyDescent="0.2">
      <c r="A1378" s="279">
        <v>1377</v>
      </c>
      <c r="B1378" s="280">
        <v>42956</v>
      </c>
      <c r="C1378" s="280">
        <v>42991</v>
      </c>
      <c r="D1378" s="233" t="s">
        <v>1092</v>
      </c>
      <c r="E1378" s="281" t="s">
        <v>422</v>
      </c>
      <c r="F1378" s="281" t="s">
        <v>1276</v>
      </c>
      <c r="G1378" s="282" t="s">
        <v>2821</v>
      </c>
      <c r="H1378" s="282" t="s">
        <v>2822</v>
      </c>
      <c r="I1378" s="283">
        <v>4100</v>
      </c>
    </row>
    <row r="1379" spans="1:9" x14ac:dyDescent="0.2">
      <c r="A1379" s="279">
        <v>1378</v>
      </c>
      <c r="B1379" s="280">
        <v>42956</v>
      </c>
      <c r="C1379" s="280">
        <v>42991</v>
      </c>
      <c r="D1379" s="233" t="s">
        <v>1092</v>
      </c>
      <c r="E1379" s="281" t="s">
        <v>422</v>
      </c>
      <c r="F1379" s="281" t="s">
        <v>1276</v>
      </c>
      <c r="G1379" s="282" t="s">
        <v>2823</v>
      </c>
      <c r="H1379" s="282" t="s">
        <v>2824</v>
      </c>
      <c r="I1379" s="283">
        <v>6975</v>
      </c>
    </row>
    <row r="1380" spans="1:9" x14ac:dyDescent="0.2">
      <c r="A1380" s="279">
        <v>1379</v>
      </c>
      <c r="B1380" s="280">
        <v>42956</v>
      </c>
      <c r="C1380" s="280">
        <v>42991</v>
      </c>
      <c r="D1380" s="233" t="s">
        <v>1092</v>
      </c>
      <c r="E1380" s="281" t="s">
        <v>422</v>
      </c>
      <c r="F1380" s="281" t="s">
        <v>1276</v>
      </c>
      <c r="G1380" s="282" t="s">
        <v>2825</v>
      </c>
      <c r="H1380" s="282" t="s">
        <v>2826</v>
      </c>
      <c r="I1380" s="283">
        <v>26033.33</v>
      </c>
    </row>
    <row r="1381" spans="1:9" x14ac:dyDescent="0.2">
      <c r="A1381" s="279">
        <v>1380</v>
      </c>
      <c r="B1381" s="280">
        <v>42956</v>
      </c>
      <c r="C1381" s="280">
        <v>42991</v>
      </c>
      <c r="D1381" s="233" t="s">
        <v>1092</v>
      </c>
      <c r="E1381" s="281" t="s">
        <v>422</v>
      </c>
      <c r="F1381" s="281" t="s">
        <v>1276</v>
      </c>
      <c r="G1381" s="282" t="s">
        <v>2827</v>
      </c>
      <c r="H1381" s="282" t="s">
        <v>2828</v>
      </c>
      <c r="I1381" s="283">
        <v>54950</v>
      </c>
    </row>
    <row r="1382" spans="1:9" x14ac:dyDescent="0.2">
      <c r="A1382" s="279">
        <v>1381</v>
      </c>
      <c r="B1382" s="280">
        <v>42958</v>
      </c>
      <c r="C1382" s="280">
        <v>43005</v>
      </c>
      <c r="D1382" s="233" t="s">
        <v>1092</v>
      </c>
      <c r="E1382" s="281" t="s">
        <v>422</v>
      </c>
      <c r="F1382" s="281" t="s">
        <v>1276</v>
      </c>
      <c r="G1382" s="282" t="s">
        <v>305</v>
      </c>
      <c r="H1382" s="282" t="s">
        <v>2829</v>
      </c>
      <c r="I1382" s="283">
        <v>916875</v>
      </c>
    </row>
    <row r="1383" spans="1:9" x14ac:dyDescent="0.2">
      <c r="A1383" s="279">
        <v>1382</v>
      </c>
      <c r="B1383" s="289">
        <v>42958</v>
      </c>
      <c r="C1383" s="289">
        <v>43005</v>
      </c>
      <c r="D1383" s="233" t="s">
        <v>1092</v>
      </c>
      <c r="E1383" s="290" t="s">
        <v>392</v>
      </c>
      <c r="F1383" s="290" t="s">
        <v>9</v>
      </c>
      <c r="G1383" s="291" t="s">
        <v>2830</v>
      </c>
      <c r="H1383" s="291" t="s">
        <v>2831</v>
      </c>
      <c r="I1383" s="292">
        <v>1218509</v>
      </c>
    </row>
    <row r="1384" spans="1:9" x14ac:dyDescent="0.2">
      <c r="A1384" s="279">
        <v>1383</v>
      </c>
      <c r="B1384" s="280">
        <v>42972</v>
      </c>
      <c r="C1384" s="280">
        <v>42996</v>
      </c>
      <c r="D1384" s="233" t="s">
        <v>1092</v>
      </c>
      <c r="E1384" s="281" t="s">
        <v>422</v>
      </c>
      <c r="F1384" s="281" t="s">
        <v>701</v>
      </c>
      <c r="G1384" s="282" t="s">
        <v>2832</v>
      </c>
      <c r="H1384" s="282" t="s">
        <v>2833</v>
      </c>
      <c r="I1384" s="283">
        <v>102700</v>
      </c>
    </row>
    <row r="1385" spans="1:9" x14ac:dyDescent="0.2">
      <c r="A1385" s="279">
        <v>1384</v>
      </c>
      <c r="B1385" s="280">
        <v>42972</v>
      </c>
      <c r="C1385" s="280">
        <v>42996</v>
      </c>
      <c r="D1385" s="233" t="s">
        <v>1092</v>
      </c>
      <c r="E1385" s="281" t="s">
        <v>422</v>
      </c>
      <c r="F1385" s="281" t="s">
        <v>701</v>
      </c>
      <c r="G1385" s="282" t="s">
        <v>2834</v>
      </c>
      <c r="H1385" s="282" t="s">
        <v>2835</v>
      </c>
      <c r="I1385" s="283">
        <v>188700</v>
      </c>
    </row>
    <row r="1386" spans="1:9" x14ac:dyDescent="0.2">
      <c r="A1386" s="279">
        <v>1385</v>
      </c>
      <c r="B1386" s="280">
        <v>42979</v>
      </c>
      <c r="C1386" s="280">
        <v>43033</v>
      </c>
      <c r="D1386" s="233" t="s">
        <v>1092</v>
      </c>
      <c r="E1386" s="281" t="s">
        <v>422</v>
      </c>
      <c r="F1386" s="281" t="s">
        <v>701</v>
      </c>
      <c r="G1386" s="282" t="s">
        <v>2836</v>
      </c>
      <c r="H1386" s="282" t="s">
        <v>2838</v>
      </c>
      <c r="I1386" s="283">
        <v>357950</v>
      </c>
    </row>
    <row r="1387" spans="1:9" x14ac:dyDescent="0.2">
      <c r="A1387" s="279">
        <v>1386</v>
      </c>
      <c r="B1387" s="280">
        <v>42979</v>
      </c>
      <c r="C1387" s="280">
        <v>43033</v>
      </c>
      <c r="D1387" s="233" t="s">
        <v>1092</v>
      </c>
      <c r="E1387" s="281" t="s">
        <v>422</v>
      </c>
      <c r="F1387" s="281" t="s">
        <v>701</v>
      </c>
      <c r="G1387" s="282" t="s">
        <v>2837</v>
      </c>
      <c r="H1387" s="282" t="s">
        <v>2839</v>
      </c>
      <c r="I1387" s="283">
        <v>256500</v>
      </c>
    </row>
    <row r="1388" spans="1:9" x14ac:dyDescent="0.2">
      <c r="A1388" s="279">
        <v>1387</v>
      </c>
      <c r="B1388" s="280">
        <v>42982</v>
      </c>
      <c r="C1388" s="280">
        <v>42998</v>
      </c>
      <c r="D1388" s="233" t="s">
        <v>1092</v>
      </c>
      <c r="E1388" s="281" t="s">
        <v>422</v>
      </c>
      <c r="F1388" s="281" t="s">
        <v>396</v>
      </c>
      <c r="G1388" s="282" t="s">
        <v>2840</v>
      </c>
      <c r="H1388" s="282" t="s">
        <v>2843</v>
      </c>
      <c r="I1388" s="283">
        <v>610</v>
      </c>
    </row>
    <row r="1389" spans="1:9" x14ac:dyDescent="0.2">
      <c r="A1389" s="279">
        <v>1388</v>
      </c>
      <c r="B1389" s="280">
        <v>42982</v>
      </c>
      <c r="C1389" s="280">
        <v>42998</v>
      </c>
      <c r="D1389" s="233" t="s">
        <v>1092</v>
      </c>
      <c r="E1389" s="281" t="s">
        <v>422</v>
      </c>
      <c r="F1389" s="281" t="s">
        <v>71</v>
      </c>
      <c r="G1389" s="282" t="s">
        <v>2841</v>
      </c>
      <c r="H1389" s="282" t="s">
        <v>2844</v>
      </c>
      <c r="I1389" s="283">
        <v>578.39</v>
      </c>
    </row>
    <row r="1390" spans="1:9" x14ac:dyDescent="0.2">
      <c r="A1390" s="279">
        <v>1389</v>
      </c>
      <c r="B1390" s="280">
        <v>42982</v>
      </c>
      <c r="C1390" s="280">
        <v>42998</v>
      </c>
      <c r="D1390" s="233" t="s">
        <v>1092</v>
      </c>
      <c r="E1390" s="281" t="s">
        <v>422</v>
      </c>
      <c r="F1390" s="281" t="s">
        <v>396</v>
      </c>
      <c r="G1390" s="282" t="s">
        <v>2842</v>
      </c>
      <c r="H1390" s="282" t="s">
        <v>2845</v>
      </c>
      <c r="I1390" s="283">
        <v>2409</v>
      </c>
    </row>
    <row r="1391" spans="1:9" x14ac:dyDescent="0.2">
      <c r="A1391" s="279">
        <v>1390</v>
      </c>
      <c r="B1391" s="280">
        <v>42983</v>
      </c>
      <c r="C1391" s="280">
        <v>43005</v>
      </c>
      <c r="D1391" s="233" t="s">
        <v>1092</v>
      </c>
      <c r="E1391" s="281" t="s">
        <v>422</v>
      </c>
      <c r="F1391" s="281" t="s">
        <v>701</v>
      </c>
      <c r="G1391" s="282" t="s">
        <v>2846</v>
      </c>
      <c r="H1391" s="282" t="s">
        <v>2848</v>
      </c>
      <c r="I1391" s="283">
        <v>33300</v>
      </c>
    </row>
    <row r="1392" spans="1:9" x14ac:dyDescent="0.2">
      <c r="A1392" s="279">
        <v>1391</v>
      </c>
      <c r="B1392" s="280">
        <v>42983</v>
      </c>
      <c r="C1392" s="280">
        <v>43005</v>
      </c>
      <c r="D1392" s="233" t="s">
        <v>1092</v>
      </c>
      <c r="E1392" s="281" t="s">
        <v>422</v>
      </c>
      <c r="F1392" s="281" t="s">
        <v>701</v>
      </c>
      <c r="G1392" s="282" t="s">
        <v>2847</v>
      </c>
      <c r="H1392" s="282" t="s">
        <v>2849</v>
      </c>
      <c r="I1392" s="283">
        <v>25500</v>
      </c>
    </row>
    <row r="1393" spans="1:9" x14ac:dyDescent="0.2">
      <c r="A1393" s="279">
        <v>1392</v>
      </c>
      <c r="B1393" s="280">
        <v>42984</v>
      </c>
      <c r="C1393" s="280">
        <v>43003</v>
      </c>
      <c r="D1393" s="233" t="s">
        <v>1092</v>
      </c>
      <c r="E1393" s="281" t="s">
        <v>392</v>
      </c>
      <c r="F1393" s="281" t="s">
        <v>71</v>
      </c>
      <c r="G1393" s="282" t="s">
        <v>2850</v>
      </c>
      <c r="H1393" s="282" t="s">
        <v>2856</v>
      </c>
      <c r="I1393" s="283">
        <v>40214.33</v>
      </c>
    </row>
    <row r="1394" spans="1:9" x14ac:dyDescent="0.2">
      <c r="A1394" s="279">
        <v>1393</v>
      </c>
      <c r="B1394" s="280">
        <v>42984</v>
      </c>
      <c r="C1394" s="280">
        <v>43010</v>
      </c>
      <c r="D1394" s="233" t="s">
        <v>1092</v>
      </c>
      <c r="E1394" s="281" t="s">
        <v>422</v>
      </c>
      <c r="F1394" s="281" t="s">
        <v>701</v>
      </c>
      <c r="G1394" s="282" t="s">
        <v>2851</v>
      </c>
      <c r="H1394" s="282" t="s">
        <v>2857</v>
      </c>
      <c r="I1394" s="283">
        <v>15712.15</v>
      </c>
    </row>
    <row r="1395" spans="1:9" x14ac:dyDescent="0.2">
      <c r="A1395" s="279">
        <v>1394</v>
      </c>
      <c r="B1395" s="280">
        <v>42984</v>
      </c>
      <c r="C1395" s="280">
        <v>43010</v>
      </c>
      <c r="D1395" s="233" t="s">
        <v>1092</v>
      </c>
      <c r="E1395" s="281" t="s">
        <v>422</v>
      </c>
      <c r="F1395" s="281" t="s">
        <v>701</v>
      </c>
      <c r="G1395" s="282" t="s">
        <v>2852</v>
      </c>
      <c r="H1395" s="282" t="s">
        <v>2858</v>
      </c>
      <c r="I1395" s="283">
        <v>26367.57</v>
      </c>
    </row>
    <row r="1396" spans="1:9" x14ac:dyDescent="0.2">
      <c r="A1396" s="279">
        <v>1395</v>
      </c>
      <c r="B1396" s="280">
        <v>42984</v>
      </c>
      <c r="C1396" s="280">
        <v>43010</v>
      </c>
      <c r="D1396" s="233" t="s">
        <v>1092</v>
      </c>
      <c r="E1396" s="281" t="s">
        <v>422</v>
      </c>
      <c r="F1396" s="281" t="s">
        <v>396</v>
      </c>
      <c r="G1396" s="282" t="s">
        <v>2853</v>
      </c>
      <c r="H1396" s="282" t="s">
        <v>2859</v>
      </c>
      <c r="I1396" s="283">
        <v>7900</v>
      </c>
    </row>
    <row r="1397" spans="1:9" x14ac:dyDescent="0.2">
      <c r="A1397" s="279">
        <v>1396</v>
      </c>
      <c r="B1397" s="280">
        <v>42984</v>
      </c>
      <c r="C1397" s="280">
        <v>43005</v>
      </c>
      <c r="D1397" s="233" t="s">
        <v>1092</v>
      </c>
      <c r="E1397" s="281" t="s">
        <v>422</v>
      </c>
      <c r="F1397" s="281" t="s">
        <v>701</v>
      </c>
      <c r="G1397" s="282" t="s">
        <v>2854</v>
      </c>
      <c r="H1397" s="282" t="s">
        <v>2860</v>
      </c>
      <c r="I1397" s="283">
        <v>25500</v>
      </c>
    </row>
    <row r="1398" spans="1:9" x14ac:dyDescent="0.2">
      <c r="A1398" s="279">
        <v>1397</v>
      </c>
      <c r="B1398" s="280">
        <v>42984</v>
      </c>
      <c r="C1398" s="280">
        <v>43005</v>
      </c>
      <c r="D1398" s="233" t="s">
        <v>1092</v>
      </c>
      <c r="E1398" s="281" t="s">
        <v>422</v>
      </c>
      <c r="F1398" s="281" t="s">
        <v>701</v>
      </c>
      <c r="G1398" s="282" t="s">
        <v>2855</v>
      </c>
      <c r="H1398" s="282" t="s">
        <v>2861</v>
      </c>
      <c r="I1398" s="283">
        <v>19000</v>
      </c>
    </row>
    <row r="1399" spans="1:9" ht="15" x14ac:dyDescent="0.25">
      <c r="A1399" s="279">
        <v>1398</v>
      </c>
      <c r="B1399" s="294">
        <v>42985</v>
      </c>
      <c r="C1399" s="294">
        <v>43005</v>
      </c>
      <c r="D1399" s="233" t="s">
        <v>1092</v>
      </c>
      <c r="E1399" s="295" t="s">
        <v>422</v>
      </c>
      <c r="F1399" s="295" t="s">
        <v>396</v>
      </c>
      <c r="G1399" s="298" t="s">
        <v>2643</v>
      </c>
      <c r="H1399" s="296" t="s">
        <v>2644</v>
      </c>
      <c r="I1399" s="299">
        <v>14500</v>
      </c>
    </row>
    <row r="1400" spans="1:9" ht="15" x14ac:dyDescent="0.25">
      <c r="A1400" s="279">
        <v>1399</v>
      </c>
      <c r="B1400" s="294">
        <v>42985</v>
      </c>
      <c r="C1400" s="294">
        <v>43005</v>
      </c>
      <c r="D1400" s="233" t="s">
        <v>1092</v>
      </c>
      <c r="E1400" s="295" t="s">
        <v>422</v>
      </c>
      <c r="F1400" s="295" t="s">
        <v>396</v>
      </c>
      <c r="G1400" s="298" t="s">
        <v>2862</v>
      </c>
      <c r="H1400" s="296" t="s">
        <v>2863</v>
      </c>
      <c r="I1400" s="299">
        <v>4988.8900000000003</v>
      </c>
    </row>
    <row r="1401" spans="1:9" ht="15" x14ac:dyDescent="0.25">
      <c r="A1401" s="279">
        <v>1400</v>
      </c>
      <c r="B1401" s="294">
        <v>42985</v>
      </c>
      <c r="C1401" s="294">
        <v>43005</v>
      </c>
      <c r="D1401" s="233" t="s">
        <v>1092</v>
      </c>
      <c r="E1401" s="295" t="s">
        <v>422</v>
      </c>
      <c r="F1401" s="295" t="s">
        <v>396</v>
      </c>
      <c r="G1401" s="298" t="s">
        <v>1484</v>
      </c>
      <c r="H1401" s="296" t="s">
        <v>2864</v>
      </c>
      <c r="I1401" s="299">
        <v>12844.44</v>
      </c>
    </row>
    <row r="1402" spans="1:9" ht="15" x14ac:dyDescent="0.25">
      <c r="A1402" s="279">
        <v>1401</v>
      </c>
      <c r="B1402" s="294">
        <v>42985</v>
      </c>
      <c r="C1402" s="294">
        <v>43005</v>
      </c>
      <c r="D1402" s="233" t="s">
        <v>1092</v>
      </c>
      <c r="E1402" s="295" t="s">
        <v>422</v>
      </c>
      <c r="F1402" s="295" t="s">
        <v>396</v>
      </c>
      <c r="G1402" s="298" t="s">
        <v>2645</v>
      </c>
      <c r="H1402" s="296" t="s">
        <v>2646</v>
      </c>
      <c r="I1402" s="299">
        <v>13900</v>
      </c>
    </row>
    <row r="1403" spans="1:9" ht="15" x14ac:dyDescent="0.25">
      <c r="A1403" s="279">
        <v>1402</v>
      </c>
      <c r="B1403" s="294">
        <v>42985</v>
      </c>
      <c r="C1403" s="294">
        <v>43005</v>
      </c>
      <c r="D1403" s="233" t="s">
        <v>1092</v>
      </c>
      <c r="E1403" s="295" t="s">
        <v>422</v>
      </c>
      <c r="F1403" s="295" t="s">
        <v>396</v>
      </c>
      <c r="G1403" s="298" t="s">
        <v>2865</v>
      </c>
      <c r="H1403" s="296" t="s">
        <v>2866</v>
      </c>
      <c r="I1403" s="299">
        <v>9911.11</v>
      </c>
    </row>
    <row r="1404" spans="1:9" x14ac:dyDescent="0.2">
      <c r="A1404" s="279">
        <v>1403</v>
      </c>
      <c r="B1404" s="294">
        <v>42990</v>
      </c>
      <c r="C1404" s="294">
        <v>43010</v>
      </c>
      <c r="D1404" s="233" t="s">
        <v>1092</v>
      </c>
      <c r="E1404" s="295" t="s">
        <v>392</v>
      </c>
      <c r="F1404" s="295" t="s">
        <v>393</v>
      </c>
      <c r="G1404" s="296" t="s">
        <v>2867</v>
      </c>
      <c r="H1404" s="296" t="s">
        <v>2868</v>
      </c>
      <c r="I1404" s="297">
        <v>150760</v>
      </c>
    </row>
    <row r="1405" spans="1:9" x14ac:dyDescent="0.2">
      <c r="A1405" s="279">
        <v>1404</v>
      </c>
      <c r="B1405" s="294">
        <v>42990</v>
      </c>
      <c r="C1405" s="294">
        <v>43010</v>
      </c>
      <c r="D1405" s="233" t="s">
        <v>1092</v>
      </c>
      <c r="E1405" s="295" t="s">
        <v>422</v>
      </c>
      <c r="F1405" s="295" t="s">
        <v>71</v>
      </c>
      <c r="G1405" s="296" t="s">
        <v>2869</v>
      </c>
      <c r="H1405" s="296" t="s">
        <v>2870</v>
      </c>
      <c r="I1405" s="297">
        <v>73112.67</v>
      </c>
    </row>
    <row r="1406" spans="1:9" x14ac:dyDescent="0.2">
      <c r="A1406" s="279">
        <v>1405</v>
      </c>
      <c r="B1406" s="294">
        <v>42992</v>
      </c>
      <c r="C1406" s="294">
        <v>43010</v>
      </c>
      <c r="D1406" s="233" t="s">
        <v>1092</v>
      </c>
      <c r="E1406" s="295" t="s">
        <v>422</v>
      </c>
      <c r="F1406" s="295" t="s">
        <v>396</v>
      </c>
      <c r="G1406" s="296" t="s">
        <v>2871</v>
      </c>
      <c r="H1406" s="296" t="s">
        <v>2875</v>
      </c>
      <c r="I1406" s="297">
        <v>23000</v>
      </c>
    </row>
    <row r="1407" spans="1:9" x14ac:dyDescent="0.2">
      <c r="A1407" s="279">
        <v>1406</v>
      </c>
      <c r="B1407" s="294">
        <v>42992</v>
      </c>
      <c r="C1407" s="294">
        <v>43010</v>
      </c>
      <c r="D1407" s="233" t="s">
        <v>1092</v>
      </c>
      <c r="E1407" s="295" t="s">
        <v>422</v>
      </c>
      <c r="F1407" s="295" t="s">
        <v>396</v>
      </c>
      <c r="G1407" s="296" t="s">
        <v>2661</v>
      </c>
      <c r="H1407" s="296" t="s">
        <v>2662</v>
      </c>
      <c r="I1407" s="297">
        <v>28000</v>
      </c>
    </row>
    <row r="1408" spans="1:9" x14ac:dyDescent="0.2">
      <c r="A1408" s="279">
        <v>1407</v>
      </c>
      <c r="B1408" s="294">
        <v>42992</v>
      </c>
      <c r="C1408" s="294">
        <v>43010</v>
      </c>
      <c r="D1408" s="233" t="s">
        <v>1092</v>
      </c>
      <c r="E1408" s="295" t="s">
        <v>392</v>
      </c>
      <c r="F1408" s="295" t="s">
        <v>9</v>
      </c>
      <c r="G1408" s="296" t="s">
        <v>2872</v>
      </c>
      <c r="H1408" s="296" t="s">
        <v>2876</v>
      </c>
      <c r="I1408" s="297">
        <v>144891</v>
      </c>
    </row>
    <row r="1409" spans="1:9" x14ac:dyDescent="0.2">
      <c r="A1409" s="279">
        <v>1408</v>
      </c>
      <c r="B1409" s="294">
        <v>42992</v>
      </c>
      <c r="C1409" s="294">
        <v>43010</v>
      </c>
      <c r="D1409" s="233" t="s">
        <v>1092</v>
      </c>
      <c r="E1409" s="295" t="s">
        <v>392</v>
      </c>
      <c r="F1409" s="295" t="s">
        <v>393</v>
      </c>
      <c r="G1409" s="296" t="s">
        <v>2873</v>
      </c>
      <c r="H1409" s="296" t="s">
        <v>2877</v>
      </c>
      <c r="I1409" s="297">
        <v>34850</v>
      </c>
    </row>
    <row r="1410" spans="1:9" x14ac:dyDescent="0.2">
      <c r="A1410" s="279">
        <v>1409</v>
      </c>
      <c r="B1410" s="294">
        <v>42992</v>
      </c>
      <c r="C1410" s="294">
        <v>43010</v>
      </c>
      <c r="D1410" s="233" t="s">
        <v>1092</v>
      </c>
      <c r="E1410" s="295" t="s">
        <v>392</v>
      </c>
      <c r="F1410" s="295" t="s">
        <v>393</v>
      </c>
      <c r="G1410" s="296" t="s">
        <v>2874</v>
      </c>
      <c r="H1410" s="296" t="s">
        <v>2878</v>
      </c>
      <c r="I1410" s="297">
        <v>115000</v>
      </c>
    </row>
    <row r="1411" spans="1:9" x14ac:dyDescent="0.2">
      <c r="A1411" s="279">
        <v>1410</v>
      </c>
      <c r="B1411" s="294">
        <v>42997</v>
      </c>
      <c r="C1411" s="294">
        <v>43045</v>
      </c>
      <c r="D1411" s="233" t="s">
        <v>1092</v>
      </c>
      <c r="E1411" s="295" t="s">
        <v>392</v>
      </c>
      <c r="F1411" s="295" t="s">
        <v>9</v>
      </c>
      <c r="G1411" s="296" t="s">
        <v>2879</v>
      </c>
      <c r="H1411" s="296" t="s">
        <v>2881</v>
      </c>
      <c r="I1411" s="297">
        <v>255301</v>
      </c>
    </row>
    <row r="1412" spans="1:9" x14ac:dyDescent="0.2">
      <c r="A1412" s="279">
        <v>1411</v>
      </c>
      <c r="B1412" s="294">
        <v>42997</v>
      </c>
      <c r="C1412" s="294">
        <v>43045</v>
      </c>
      <c r="D1412" s="233" t="s">
        <v>1092</v>
      </c>
      <c r="E1412" s="295" t="s">
        <v>392</v>
      </c>
      <c r="F1412" s="295" t="s">
        <v>9</v>
      </c>
      <c r="G1412" s="296" t="s">
        <v>2880</v>
      </c>
      <c r="H1412" s="296" t="s">
        <v>2882</v>
      </c>
      <c r="I1412" s="297">
        <v>300717</v>
      </c>
    </row>
    <row r="1413" spans="1:9" x14ac:dyDescent="0.2">
      <c r="A1413" s="279">
        <v>1412</v>
      </c>
      <c r="B1413" s="294">
        <v>42998</v>
      </c>
      <c r="C1413" s="294">
        <v>43045</v>
      </c>
      <c r="D1413" s="233" t="s">
        <v>1092</v>
      </c>
      <c r="E1413" s="295" t="s">
        <v>392</v>
      </c>
      <c r="F1413" s="295" t="s">
        <v>9</v>
      </c>
      <c r="G1413" s="296" t="s">
        <v>2883</v>
      </c>
      <c r="H1413" s="296" t="s">
        <v>2884</v>
      </c>
      <c r="I1413" s="297">
        <v>231106</v>
      </c>
    </row>
    <row r="1414" spans="1:9" x14ac:dyDescent="0.2">
      <c r="A1414" s="279">
        <v>1413</v>
      </c>
      <c r="B1414" s="294">
        <v>43038</v>
      </c>
      <c r="C1414" s="294">
        <v>43054</v>
      </c>
      <c r="D1414" s="233" t="s">
        <v>1092</v>
      </c>
      <c r="E1414" s="295" t="s">
        <v>422</v>
      </c>
      <c r="F1414" s="295" t="s">
        <v>1285</v>
      </c>
      <c r="G1414" s="296" t="s">
        <v>2885</v>
      </c>
      <c r="H1414" s="296" t="s">
        <v>2886</v>
      </c>
      <c r="I1414" s="297">
        <v>76000</v>
      </c>
    </row>
    <row r="1415" spans="1:9" x14ac:dyDescent="0.2">
      <c r="A1415" s="279">
        <v>1414</v>
      </c>
      <c r="B1415" s="294">
        <v>43038</v>
      </c>
      <c r="C1415" s="294">
        <v>43054</v>
      </c>
      <c r="D1415" s="233" t="s">
        <v>1092</v>
      </c>
      <c r="E1415" s="295" t="s">
        <v>422</v>
      </c>
      <c r="F1415" s="295" t="s">
        <v>1285</v>
      </c>
      <c r="G1415" s="296" t="s">
        <v>2888</v>
      </c>
      <c r="H1415" s="296" t="s">
        <v>2887</v>
      </c>
      <c r="I1415" s="297">
        <v>124000</v>
      </c>
    </row>
    <row r="1416" spans="1:9" x14ac:dyDescent="0.2">
      <c r="A1416" s="279">
        <v>1415</v>
      </c>
      <c r="B1416" s="294">
        <v>43039</v>
      </c>
      <c r="C1416" s="294">
        <v>43061</v>
      </c>
      <c r="D1416" s="233" t="s">
        <v>1092</v>
      </c>
      <c r="E1416" s="295" t="s">
        <v>422</v>
      </c>
      <c r="F1416" s="295" t="s">
        <v>396</v>
      </c>
      <c r="G1416" s="296" t="s">
        <v>2889</v>
      </c>
      <c r="H1416" s="296" t="s">
        <v>2890</v>
      </c>
      <c r="I1416" s="297">
        <v>34000</v>
      </c>
    </row>
    <row r="1417" spans="1:9" x14ac:dyDescent="0.2">
      <c r="A1417" s="279">
        <v>1416</v>
      </c>
      <c r="B1417" s="294">
        <v>43041</v>
      </c>
      <c r="C1417" s="294">
        <v>43068</v>
      </c>
      <c r="D1417" s="233" t="s">
        <v>1092</v>
      </c>
      <c r="E1417" s="295" t="s">
        <v>422</v>
      </c>
      <c r="F1417" s="295" t="s">
        <v>701</v>
      </c>
      <c r="G1417" s="296" t="s">
        <v>2891</v>
      </c>
      <c r="H1417" s="296" t="s">
        <v>2894</v>
      </c>
      <c r="I1417" s="297">
        <v>189000</v>
      </c>
    </row>
    <row r="1418" spans="1:9" x14ac:dyDescent="0.2">
      <c r="A1418" s="279">
        <v>1417</v>
      </c>
      <c r="B1418" s="294">
        <v>43041</v>
      </c>
      <c r="C1418" s="294">
        <v>43059</v>
      </c>
      <c r="D1418" s="233" t="s">
        <v>1092</v>
      </c>
      <c r="E1418" s="295" t="s">
        <v>422</v>
      </c>
      <c r="F1418" s="295" t="s">
        <v>71</v>
      </c>
      <c r="G1418" s="296" t="s">
        <v>2892</v>
      </c>
      <c r="H1418" s="296" t="s">
        <v>2895</v>
      </c>
      <c r="I1418" s="297">
        <v>4246.24</v>
      </c>
    </row>
    <row r="1419" spans="1:9" x14ac:dyDescent="0.2">
      <c r="A1419" s="279">
        <v>1418</v>
      </c>
      <c r="B1419" s="294">
        <v>43041</v>
      </c>
      <c r="C1419" s="294">
        <v>43059</v>
      </c>
      <c r="D1419" s="233" t="s">
        <v>1092</v>
      </c>
      <c r="E1419" s="295" t="s">
        <v>422</v>
      </c>
      <c r="F1419" s="295" t="s">
        <v>701</v>
      </c>
      <c r="G1419" s="296" t="s">
        <v>2893</v>
      </c>
      <c r="H1419" s="296" t="s">
        <v>2896</v>
      </c>
      <c r="I1419" s="297">
        <v>19000</v>
      </c>
    </row>
    <row r="1420" spans="1:9" x14ac:dyDescent="0.2">
      <c r="A1420" s="279">
        <v>1419</v>
      </c>
      <c r="B1420" s="294">
        <v>43042</v>
      </c>
      <c r="C1420" s="294">
        <v>43061</v>
      </c>
      <c r="D1420" s="233" t="s">
        <v>1092</v>
      </c>
      <c r="E1420" s="295" t="s">
        <v>422</v>
      </c>
      <c r="F1420" s="295" t="s">
        <v>701</v>
      </c>
      <c r="G1420" s="296" t="s">
        <v>2897</v>
      </c>
      <c r="H1420" s="296" t="s">
        <v>2900</v>
      </c>
      <c r="I1420" s="297">
        <v>25000</v>
      </c>
    </row>
    <row r="1421" spans="1:9" x14ac:dyDescent="0.2">
      <c r="A1421" s="279">
        <v>1420</v>
      </c>
      <c r="B1421" s="294">
        <v>43042</v>
      </c>
      <c r="C1421" s="294">
        <v>43059</v>
      </c>
      <c r="D1421" s="233" t="s">
        <v>1092</v>
      </c>
      <c r="E1421" s="295" t="s">
        <v>392</v>
      </c>
      <c r="F1421" s="295" t="s">
        <v>71</v>
      </c>
      <c r="G1421" s="296" t="s">
        <v>2898</v>
      </c>
      <c r="H1421" s="296" t="s">
        <v>2901</v>
      </c>
      <c r="I1421" s="297">
        <v>5613.3</v>
      </c>
    </row>
    <row r="1422" spans="1:9" x14ac:dyDescent="0.2">
      <c r="A1422" s="279">
        <v>1421</v>
      </c>
      <c r="B1422" s="294">
        <v>43042</v>
      </c>
      <c r="C1422" s="294">
        <v>43059</v>
      </c>
      <c r="D1422" s="233" t="s">
        <v>1092</v>
      </c>
      <c r="E1422" s="295" t="s">
        <v>422</v>
      </c>
      <c r="F1422" s="295" t="s">
        <v>71</v>
      </c>
      <c r="G1422" s="296" t="s">
        <v>2899</v>
      </c>
      <c r="H1422" s="296" t="s">
        <v>2902</v>
      </c>
      <c r="I1422" s="297">
        <v>23171.85</v>
      </c>
    </row>
    <row r="1423" spans="1:9" x14ac:dyDescent="0.2">
      <c r="A1423" s="279">
        <v>1422</v>
      </c>
      <c r="B1423" s="294">
        <v>43045</v>
      </c>
      <c r="C1423" s="294">
        <v>43061</v>
      </c>
      <c r="D1423" s="233" t="s">
        <v>1092</v>
      </c>
      <c r="E1423" s="295" t="s">
        <v>422</v>
      </c>
      <c r="F1423" s="295" t="s">
        <v>9</v>
      </c>
      <c r="G1423" s="296" t="s">
        <v>2903</v>
      </c>
      <c r="H1423" s="296" t="s">
        <v>2905</v>
      </c>
      <c r="I1423" s="297">
        <v>48000</v>
      </c>
    </row>
    <row r="1424" spans="1:9" x14ac:dyDescent="0.2">
      <c r="A1424" s="279">
        <v>1423</v>
      </c>
      <c r="B1424" s="294">
        <v>43045</v>
      </c>
      <c r="C1424" s="294">
        <v>43061</v>
      </c>
      <c r="D1424" s="233" t="s">
        <v>1092</v>
      </c>
      <c r="E1424" s="295" t="s">
        <v>422</v>
      </c>
      <c r="F1424" s="295" t="s">
        <v>701</v>
      </c>
      <c r="G1424" s="296" t="s">
        <v>2904</v>
      </c>
      <c r="H1424" s="296" t="s">
        <v>2906</v>
      </c>
      <c r="I1424" s="297">
        <v>61600</v>
      </c>
    </row>
    <row r="1425" spans="1:9" x14ac:dyDescent="0.2">
      <c r="A1425" s="279">
        <v>1424</v>
      </c>
      <c r="B1425" s="294">
        <v>43047</v>
      </c>
      <c r="C1425" s="294">
        <v>43066</v>
      </c>
      <c r="D1425" s="233" t="s">
        <v>1092</v>
      </c>
      <c r="E1425" s="295" t="s">
        <v>422</v>
      </c>
      <c r="F1425" s="295" t="s">
        <v>701</v>
      </c>
      <c r="G1425" s="296" t="s">
        <v>2907</v>
      </c>
      <c r="H1425" s="296" t="s">
        <v>2908</v>
      </c>
      <c r="I1425" s="297">
        <v>37100</v>
      </c>
    </row>
    <row r="1426" spans="1:9" x14ac:dyDescent="0.2">
      <c r="A1426" s="279">
        <v>1425</v>
      </c>
      <c r="B1426" s="294">
        <v>43048</v>
      </c>
      <c r="C1426" s="294">
        <v>43066</v>
      </c>
      <c r="D1426" s="233" t="s">
        <v>1092</v>
      </c>
      <c r="E1426" s="295" t="s">
        <v>422</v>
      </c>
      <c r="F1426" s="295" t="s">
        <v>396</v>
      </c>
      <c r="G1426" s="296" t="s">
        <v>2909</v>
      </c>
      <c r="H1426" s="296" t="s">
        <v>2916</v>
      </c>
      <c r="I1426" s="297">
        <v>4400</v>
      </c>
    </row>
    <row r="1427" spans="1:9" x14ac:dyDescent="0.2">
      <c r="A1427" s="279">
        <v>1426</v>
      </c>
      <c r="B1427" s="294">
        <v>43048</v>
      </c>
      <c r="C1427" s="294">
        <v>43066</v>
      </c>
      <c r="D1427" s="233" t="s">
        <v>1092</v>
      </c>
      <c r="E1427" s="295" t="s">
        <v>422</v>
      </c>
      <c r="F1427" s="295" t="s">
        <v>71</v>
      </c>
      <c r="G1427" s="296" t="s">
        <v>2910</v>
      </c>
      <c r="H1427" s="296" t="s">
        <v>2917</v>
      </c>
      <c r="I1427" s="297">
        <v>14135.18</v>
      </c>
    </row>
    <row r="1428" spans="1:9" x14ac:dyDescent="0.2">
      <c r="A1428" s="279">
        <v>1427</v>
      </c>
      <c r="B1428" s="294">
        <v>43048</v>
      </c>
      <c r="C1428" s="294">
        <v>43066</v>
      </c>
      <c r="D1428" s="233" t="s">
        <v>1092</v>
      </c>
      <c r="E1428" s="295" t="s">
        <v>422</v>
      </c>
      <c r="F1428" s="295" t="s">
        <v>396</v>
      </c>
      <c r="G1428" s="296" t="s">
        <v>2911</v>
      </c>
      <c r="H1428" s="296" t="s">
        <v>2918</v>
      </c>
      <c r="I1428" s="297">
        <v>23077.78</v>
      </c>
    </row>
    <row r="1429" spans="1:9" x14ac:dyDescent="0.2">
      <c r="A1429" s="279">
        <v>1428</v>
      </c>
      <c r="B1429" s="294">
        <v>43048</v>
      </c>
      <c r="C1429" s="294">
        <v>43066</v>
      </c>
      <c r="D1429" s="233" t="s">
        <v>1092</v>
      </c>
      <c r="E1429" s="295" t="s">
        <v>392</v>
      </c>
      <c r="F1429" s="295" t="s">
        <v>393</v>
      </c>
      <c r="G1429" s="296" t="s">
        <v>2912</v>
      </c>
      <c r="H1429" s="296" t="s">
        <v>2919</v>
      </c>
      <c r="I1429" s="297">
        <v>69600</v>
      </c>
    </row>
    <row r="1430" spans="1:9" x14ac:dyDescent="0.2">
      <c r="A1430" s="279">
        <v>1429</v>
      </c>
      <c r="B1430" s="294">
        <v>43048</v>
      </c>
      <c r="C1430" s="294">
        <v>43066</v>
      </c>
      <c r="D1430" s="233" t="s">
        <v>1092</v>
      </c>
      <c r="E1430" s="295" t="s">
        <v>422</v>
      </c>
      <c r="F1430" s="295" t="s">
        <v>396</v>
      </c>
      <c r="G1430" s="296" t="s">
        <v>2913</v>
      </c>
      <c r="H1430" s="296" t="s">
        <v>2920</v>
      </c>
      <c r="I1430" s="297">
        <v>28488.89</v>
      </c>
    </row>
    <row r="1431" spans="1:9" x14ac:dyDescent="0.2">
      <c r="A1431" s="279">
        <v>1430</v>
      </c>
      <c r="B1431" s="294">
        <v>43048</v>
      </c>
      <c r="C1431" s="294">
        <v>43066</v>
      </c>
      <c r="D1431" s="233" t="s">
        <v>1092</v>
      </c>
      <c r="E1431" s="295" t="s">
        <v>422</v>
      </c>
      <c r="F1431" s="295" t="s">
        <v>701</v>
      </c>
      <c r="G1431" s="296" t="s">
        <v>2914</v>
      </c>
      <c r="H1431" s="296" t="s">
        <v>2921</v>
      </c>
      <c r="I1431" s="297">
        <v>29250</v>
      </c>
    </row>
    <row r="1432" spans="1:9" x14ac:dyDescent="0.2">
      <c r="A1432" s="279">
        <v>1431</v>
      </c>
      <c r="B1432" s="294">
        <v>43048</v>
      </c>
      <c r="C1432" s="294">
        <v>43066</v>
      </c>
      <c r="D1432" s="233" t="s">
        <v>1092</v>
      </c>
      <c r="E1432" s="295" t="s">
        <v>422</v>
      </c>
      <c r="F1432" s="295" t="s">
        <v>396</v>
      </c>
      <c r="G1432" s="296" t="s">
        <v>2915</v>
      </c>
      <c r="H1432" s="296" t="s">
        <v>2922</v>
      </c>
      <c r="I1432" s="297">
        <v>11000</v>
      </c>
    </row>
    <row r="1433" spans="1:9" x14ac:dyDescent="0.2">
      <c r="A1433" s="279">
        <v>1432</v>
      </c>
      <c r="B1433" s="294">
        <v>43049</v>
      </c>
      <c r="C1433" s="294">
        <v>43066</v>
      </c>
      <c r="D1433" s="233" t="s">
        <v>1092</v>
      </c>
      <c r="E1433" s="295" t="s">
        <v>422</v>
      </c>
      <c r="F1433" s="295" t="s">
        <v>701</v>
      </c>
      <c r="G1433" s="296" t="s">
        <v>2923</v>
      </c>
      <c r="H1433" s="296" t="s">
        <v>2924</v>
      </c>
      <c r="I1433" s="297">
        <v>12000</v>
      </c>
    </row>
    <row r="1434" spans="1:9" x14ac:dyDescent="0.2">
      <c r="A1434" s="279">
        <v>1433</v>
      </c>
      <c r="B1434" s="294">
        <v>43049</v>
      </c>
      <c r="C1434" s="294">
        <v>43068</v>
      </c>
      <c r="D1434" s="233" t="s">
        <v>1092</v>
      </c>
      <c r="E1434" s="295" t="s">
        <v>422</v>
      </c>
      <c r="F1434" s="295" t="s">
        <v>396</v>
      </c>
      <c r="G1434" s="296" t="s">
        <v>2925</v>
      </c>
      <c r="H1434" s="296" t="s">
        <v>2926</v>
      </c>
      <c r="I1434" s="297">
        <v>46244.44</v>
      </c>
    </row>
    <row r="1435" spans="1:9" x14ac:dyDescent="0.2">
      <c r="A1435" s="279">
        <v>1434</v>
      </c>
      <c r="B1435" s="294">
        <v>43052</v>
      </c>
      <c r="C1435" s="294">
        <v>43068</v>
      </c>
      <c r="D1435" s="233" t="s">
        <v>1092</v>
      </c>
      <c r="E1435" s="295" t="s">
        <v>422</v>
      </c>
      <c r="F1435" s="295" t="s">
        <v>396</v>
      </c>
      <c r="G1435" s="296" t="s">
        <v>2927</v>
      </c>
      <c r="H1435" s="296" t="s">
        <v>2928</v>
      </c>
      <c r="I1435" s="297">
        <v>137933.32999999999</v>
      </c>
    </row>
    <row r="1436" spans="1:9" x14ac:dyDescent="0.2">
      <c r="A1436" s="279">
        <v>1435</v>
      </c>
      <c r="B1436" s="294">
        <v>43052</v>
      </c>
      <c r="C1436" s="294">
        <v>43068</v>
      </c>
      <c r="D1436" s="233" t="s">
        <v>1092</v>
      </c>
      <c r="E1436" s="295" t="s">
        <v>422</v>
      </c>
      <c r="F1436" s="295" t="s">
        <v>701</v>
      </c>
      <c r="G1436" s="296" t="s">
        <v>2929</v>
      </c>
      <c r="H1436" s="296" t="s">
        <v>2930</v>
      </c>
      <c r="I1436" s="297">
        <v>19000</v>
      </c>
    </row>
    <row r="1437" spans="1:9" x14ac:dyDescent="0.2">
      <c r="A1437" s="279">
        <v>1436</v>
      </c>
      <c r="B1437" s="294">
        <v>43052</v>
      </c>
      <c r="C1437" s="294">
        <v>43068</v>
      </c>
      <c r="D1437" s="233" t="s">
        <v>1092</v>
      </c>
      <c r="E1437" s="295" t="s">
        <v>392</v>
      </c>
      <c r="F1437" s="295" t="s">
        <v>71</v>
      </c>
      <c r="G1437" s="296" t="s">
        <v>2931</v>
      </c>
      <c r="H1437" s="296" t="s">
        <v>2932</v>
      </c>
      <c r="I1437" s="297">
        <v>361.92</v>
      </c>
    </row>
    <row r="1438" spans="1:9" x14ac:dyDescent="0.2">
      <c r="A1438" s="279">
        <v>1437</v>
      </c>
      <c r="B1438" s="294">
        <v>43052</v>
      </c>
      <c r="C1438" s="294">
        <v>43068</v>
      </c>
      <c r="D1438" s="233" t="s">
        <v>1092</v>
      </c>
      <c r="E1438" s="295" t="s">
        <v>392</v>
      </c>
      <c r="F1438" s="295" t="s">
        <v>71</v>
      </c>
      <c r="G1438" s="296" t="s">
        <v>2933</v>
      </c>
      <c r="H1438" s="296" t="s">
        <v>2934</v>
      </c>
      <c r="I1438" s="297">
        <v>109527</v>
      </c>
    </row>
    <row r="1439" spans="1:9" x14ac:dyDescent="0.2">
      <c r="A1439" s="279">
        <v>1438</v>
      </c>
      <c r="B1439" s="294">
        <v>43053</v>
      </c>
      <c r="C1439" s="294">
        <v>43080</v>
      </c>
      <c r="D1439" s="233" t="s">
        <v>1092</v>
      </c>
      <c r="E1439" s="295" t="s">
        <v>422</v>
      </c>
      <c r="F1439" s="295" t="s">
        <v>71</v>
      </c>
      <c r="G1439" s="296" t="s">
        <v>2935</v>
      </c>
      <c r="H1439" s="296" t="s">
        <v>2936</v>
      </c>
      <c r="I1439" s="297">
        <v>7932.1</v>
      </c>
    </row>
    <row r="1440" spans="1:9" x14ac:dyDescent="0.2">
      <c r="A1440" s="279">
        <v>1439</v>
      </c>
      <c r="B1440" s="294">
        <v>43053</v>
      </c>
      <c r="C1440" s="294">
        <v>43080</v>
      </c>
      <c r="D1440" s="233" t="s">
        <v>1092</v>
      </c>
      <c r="E1440" s="295" t="s">
        <v>422</v>
      </c>
      <c r="F1440" s="295" t="s">
        <v>71</v>
      </c>
      <c r="G1440" s="296" t="s">
        <v>2937</v>
      </c>
      <c r="H1440" s="296" t="s">
        <v>2938</v>
      </c>
      <c r="I1440" s="297">
        <v>56058.85</v>
      </c>
    </row>
    <row r="1441" spans="1:9" x14ac:dyDescent="0.2">
      <c r="A1441" s="279">
        <v>1440</v>
      </c>
      <c r="B1441" s="294">
        <v>43053</v>
      </c>
      <c r="C1441" s="294">
        <v>43073</v>
      </c>
      <c r="D1441" s="233" t="s">
        <v>1092</v>
      </c>
      <c r="E1441" s="295" t="s">
        <v>422</v>
      </c>
      <c r="F1441" s="295" t="s">
        <v>396</v>
      </c>
      <c r="G1441" s="296" t="s">
        <v>2939</v>
      </c>
      <c r="H1441" s="296" t="s">
        <v>2940</v>
      </c>
      <c r="I1441" s="297">
        <v>5600</v>
      </c>
    </row>
    <row r="1442" spans="1:9" x14ac:dyDescent="0.2">
      <c r="A1442" s="279">
        <v>1441</v>
      </c>
      <c r="B1442" s="294">
        <v>43053</v>
      </c>
      <c r="C1442" s="294">
        <v>43073</v>
      </c>
      <c r="D1442" s="233" t="s">
        <v>1092</v>
      </c>
      <c r="E1442" s="295" t="s">
        <v>422</v>
      </c>
      <c r="F1442" s="295" t="s">
        <v>396</v>
      </c>
      <c r="G1442" s="296" t="s">
        <v>2941</v>
      </c>
      <c r="H1442" s="296" t="s">
        <v>2942</v>
      </c>
      <c r="I1442" s="297">
        <v>28577.78</v>
      </c>
    </row>
    <row r="1443" spans="1:9" x14ac:dyDescent="0.2">
      <c r="A1443" s="279">
        <v>1442</v>
      </c>
      <c r="B1443" s="294">
        <v>43053</v>
      </c>
      <c r="C1443" s="294">
        <v>43073</v>
      </c>
      <c r="D1443" s="233" t="s">
        <v>1092</v>
      </c>
      <c r="E1443" s="295" t="s">
        <v>422</v>
      </c>
      <c r="F1443" s="295" t="s">
        <v>396</v>
      </c>
      <c r="G1443" s="296" t="s">
        <v>2943</v>
      </c>
      <c r="H1443" s="296" t="s">
        <v>2944</v>
      </c>
      <c r="I1443" s="297">
        <v>7700</v>
      </c>
    </row>
    <row r="1444" spans="1:9" x14ac:dyDescent="0.2">
      <c r="A1444" s="279">
        <v>1443</v>
      </c>
      <c r="B1444" s="294">
        <v>43053</v>
      </c>
      <c r="C1444" s="294">
        <v>43073</v>
      </c>
      <c r="D1444" s="233" t="s">
        <v>1092</v>
      </c>
      <c r="E1444" s="295" t="s">
        <v>422</v>
      </c>
      <c r="F1444" s="295" t="s">
        <v>701</v>
      </c>
      <c r="G1444" s="296" t="s">
        <v>2945</v>
      </c>
      <c r="H1444" s="296" t="s">
        <v>2946</v>
      </c>
      <c r="I1444" s="297">
        <v>29400</v>
      </c>
    </row>
    <row r="1445" spans="1:9" x14ac:dyDescent="0.2">
      <c r="A1445" s="279">
        <v>1444</v>
      </c>
      <c r="B1445" s="294">
        <v>43053</v>
      </c>
      <c r="C1445" s="294">
        <v>43073</v>
      </c>
      <c r="D1445" s="233" t="s">
        <v>1092</v>
      </c>
      <c r="E1445" s="295" t="s">
        <v>422</v>
      </c>
      <c r="F1445" s="295" t="s">
        <v>701</v>
      </c>
      <c r="G1445" s="296" t="s">
        <v>2947</v>
      </c>
      <c r="H1445" s="296" t="s">
        <v>2948</v>
      </c>
      <c r="I1445" s="297">
        <v>25500</v>
      </c>
    </row>
    <row r="1446" spans="1:9" x14ac:dyDescent="0.2">
      <c r="A1446" s="279">
        <v>1445</v>
      </c>
      <c r="B1446" s="294">
        <v>43053</v>
      </c>
      <c r="C1446" s="294">
        <v>43073</v>
      </c>
      <c r="D1446" s="233" t="s">
        <v>1092</v>
      </c>
      <c r="E1446" s="295" t="s">
        <v>422</v>
      </c>
      <c r="F1446" s="295" t="s">
        <v>701</v>
      </c>
      <c r="G1446" s="296" t="s">
        <v>2949</v>
      </c>
      <c r="H1446" s="296" t="s">
        <v>2950</v>
      </c>
      <c r="I1446" s="297">
        <v>19000</v>
      </c>
    </row>
    <row r="1447" spans="1:9" x14ac:dyDescent="0.2">
      <c r="A1447" s="279">
        <v>1446</v>
      </c>
      <c r="B1447" s="294">
        <v>43053</v>
      </c>
      <c r="C1447" s="294">
        <v>43073</v>
      </c>
      <c r="D1447" s="233" t="s">
        <v>1092</v>
      </c>
      <c r="E1447" s="295" t="s">
        <v>422</v>
      </c>
      <c r="F1447" s="295" t="s">
        <v>701</v>
      </c>
      <c r="G1447" s="296" t="s">
        <v>2951</v>
      </c>
      <c r="H1447" s="296" t="s">
        <v>2952</v>
      </c>
      <c r="I1447" s="297">
        <v>15000</v>
      </c>
    </row>
    <row r="1448" spans="1:9" x14ac:dyDescent="0.2">
      <c r="A1448" s="279">
        <v>1447</v>
      </c>
      <c r="B1448" s="294">
        <v>43053</v>
      </c>
      <c r="C1448" s="294">
        <v>43073</v>
      </c>
      <c r="D1448" s="233" t="s">
        <v>1092</v>
      </c>
      <c r="E1448" s="295" t="s">
        <v>392</v>
      </c>
      <c r="F1448" s="295" t="s">
        <v>71</v>
      </c>
      <c r="G1448" s="296" t="s">
        <v>2953</v>
      </c>
      <c r="H1448" s="296" t="s">
        <v>2954</v>
      </c>
      <c r="I1448" s="297">
        <v>25396.07</v>
      </c>
    </row>
    <row r="1449" spans="1:9" x14ac:dyDescent="0.2">
      <c r="A1449" s="279">
        <v>1448</v>
      </c>
      <c r="B1449" s="294">
        <v>43053</v>
      </c>
      <c r="C1449" s="294">
        <v>43073</v>
      </c>
      <c r="D1449" s="233" t="s">
        <v>1092</v>
      </c>
      <c r="E1449" s="295" t="s">
        <v>392</v>
      </c>
      <c r="F1449" s="295" t="s">
        <v>393</v>
      </c>
      <c r="G1449" s="296" t="s">
        <v>2955</v>
      </c>
      <c r="H1449" s="296" t="s">
        <v>2956</v>
      </c>
      <c r="I1449" s="297">
        <v>16800</v>
      </c>
    </row>
    <row r="1450" spans="1:9" x14ac:dyDescent="0.2">
      <c r="A1450" s="279">
        <v>1449</v>
      </c>
      <c r="B1450" s="294">
        <v>43054</v>
      </c>
      <c r="C1450" s="294">
        <v>43073</v>
      </c>
      <c r="D1450" s="233" t="s">
        <v>1092</v>
      </c>
      <c r="E1450" s="295" t="s">
        <v>422</v>
      </c>
      <c r="F1450" s="295" t="s">
        <v>71</v>
      </c>
      <c r="G1450" s="296" t="s">
        <v>2957</v>
      </c>
      <c r="H1450" s="296" t="s">
        <v>2958</v>
      </c>
      <c r="I1450" s="297">
        <v>9526.52</v>
      </c>
    </row>
    <row r="1451" spans="1:9" x14ac:dyDescent="0.2">
      <c r="A1451" s="279">
        <v>1450</v>
      </c>
      <c r="B1451" s="294">
        <v>43054</v>
      </c>
      <c r="C1451" s="294">
        <v>43080</v>
      </c>
      <c r="D1451" s="233" t="s">
        <v>1092</v>
      </c>
      <c r="E1451" s="295" t="s">
        <v>422</v>
      </c>
      <c r="F1451" s="295" t="s">
        <v>1276</v>
      </c>
      <c r="G1451" s="296" t="s">
        <v>2959</v>
      </c>
      <c r="H1451" s="296" t="s">
        <v>2960</v>
      </c>
      <c r="I1451" s="297">
        <v>15055.56</v>
      </c>
    </row>
    <row r="1452" spans="1:9" x14ac:dyDescent="0.2">
      <c r="A1452" s="279">
        <v>1451</v>
      </c>
      <c r="B1452" s="294">
        <v>43054</v>
      </c>
      <c r="C1452" s="294">
        <v>43080</v>
      </c>
      <c r="D1452" s="233" t="s">
        <v>1092</v>
      </c>
      <c r="E1452" s="295" t="s">
        <v>422</v>
      </c>
      <c r="F1452" s="295" t="s">
        <v>71</v>
      </c>
      <c r="G1452" s="296" t="s">
        <v>2961</v>
      </c>
      <c r="H1452" s="296" t="s">
        <v>2962</v>
      </c>
      <c r="I1452" s="297">
        <v>1422.31</v>
      </c>
    </row>
    <row r="1453" spans="1:9" x14ac:dyDescent="0.2">
      <c r="A1453" s="279">
        <v>1452</v>
      </c>
      <c r="B1453" s="294">
        <v>43054</v>
      </c>
      <c r="C1453" s="294">
        <v>43080</v>
      </c>
      <c r="D1453" s="233" t="s">
        <v>1092</v>
      </c>
      <c r="E1453" s="295" t="s">
        <v>422</v>
      </c>
      <c r="F1453" s="295" t="s">
        <v>71</v>
      </c>
      <c r="G1453" s="296" t="s">
        <v>2963</v>
      </c>
      <c r="H1453" s="296" t="s">
        <v>2964</v>
      </c>
      <c r="I1453" s="297">
        <v>3023.42</v>
      </c>
    </row>
    <row r="1454" spans="1:9" x14ac:dyDescent="0.2">
      <c r="A1454" s="279">
        <v>1453</v>
      </c>
      <c r="B1454" s="294">
        <v>43054</v>
      </c>
      <c r="C1454" s="294">
        <v>43080</v>
      </c>
      <c r="D1454" s="233" t="s">
        <v>1092</v>
      </c>
      <c r="E1454" s="295" t="s">
        <v>422</v>
      </c>
      <c r="F1454" s="295" t="s">
        <v>71</v>
      </c>
      <c r="G1454" s="296" t="s">
        <v>2965</v>
      </c>
      <c r="H1454" s="296" t="s">
        <v>2966</v>
      </c>
      <c r="I1454" s="297">
        <v>6291.94</v>
      </c>
    </row>
    <row r="1455" spans="1:9" x14ac:dyDescent="0.2">
      <c r="A1455" s="279">
        <v>1454</v>
      </c>
      <c r="B1455" s="294">
        <v>43054</v>
      </c>
      <c r="C1455" s="294">
        <v>43080</v>
      </c>
      <c r="D1455" s="233" t="s">
        <v>1092</v>
      </c>
      <c r="E1455" s="295" t="s">
        <v>422</v>
      </c>
      <c r="F1455" s="295" t="s">
        <v>701</v>
      </c>
      <c r="G1455" s="296" t="s">
        <v>2967</v>
      </c>
      <c r="H1455" s="296" t="s">
        <v>2968</v>
      </c>
      <c r="I1455" s="297">
        <v>60000</v>
      </c>
    </row>
    <row r="1456" spans="1:9" x14ac:dyDescent="0.2">
      <c r="A1456" s="279">
        <v>1455</v>
      </c>
      <c r="B1456" s="294">
        <v>43054</v>
      </c>
      <c r="C1456" s="294">
        <v>43080</v>
      </c>
      <c r="D1456" s="233" t="s">
        <v>1092</v>
      </c>
      <c r="E1456" s="295" t="s">
        <v>422</v>
      </c>
      <c r="F1456" s="295" t="s">
        <v>71</v>
      </c>
      <c r="G1456" s="296" t="s">
        <v>2969</v>
      </c>
      <c r="H1456" s="296" t="s">
        <v>2970</v>
      </c>
      <c r="I1456" s="297">
        <v>5491.56</v>
      </c>
    </row>
    <row r="1457" spans="1:10" x14ac:dyDescent="0.2">
      <c r="A1457" s="279">
        <v>1456</v>
      </c>
      <c r="B1457" s="294">
        <v>43054</v>
      </c>
      <c r="C1457" s="294">
        <v>43073</v>
      </c>
      <c r="D1457" s="233" t="s">
        <v>1092</v>
      </c>
      <c r="E1457" s="295" t="s">
        <v>422</v>
      </c>
      <c r="F1457" s="295" t="s">
        <v>1276</v>
      </c>
      <c r="G1457" s="296" t="s">
        <v>2971</v>
      </c>
      <c r="H1457" s="296" t="s">
        <v>2972</v>
      </c>
      <c r="I1457" s="297">
        <v>194277.78</v>
      </c>
    </row>
    <row r="1458" spans="1:10" x14ac:dyDescent="0.2">
      <c r="A1458" s="279">
        <v>1457</v>
      </c>
      <c r="B1458" s="294">
        <v>43054</v>
      </c>
      <c r="C1458" s="294">
        <v>43073</v>
      </c>
      <c r="D1458" s="233" t="s">
        <v>1092</v>
      </c>
      <c r="E1458" s="295" t="s">
        <v>422</v>
      </c>
      <c r="F1458" s="295" t="s">
        <v>701</v>
      </c>
      <c r="G1458" s="296" t="s">
        <v>2973</v>
      </c>
      <c r="H1458" s="296" t="s">
        <v>2974</v>
      </c>
      <c r="I1458" s="297">
        <v>60000</v>
      </c>
    </row>
    <row r="1459" spans="1:10" x14ac:dyDescent="0.2">
      <c r="A1459" s="279">
        <v>1458</v>
      </c>
      <c r="B1459" s="294">
        <v>43054</v>
      </c>
      <c r="C1459" s="294">
        <v>43073</v>
      </c>
      <c r="D1459" s="233" t="s">
        <v>1092</v>
      </c>
      <c r="E1459" s="295" t="s">
        <v>422</v>
      </c>
      <c r="F1459" s="295" t="s">
        <v>701</v>
      </c>
      <c r="G1459" s="296" t="s">
        <v>2975</v>
      </c>
      <c r="H1459" s="296" t="s">
        <v>2976</v>
      </c>
      <c r="I1459" s="297">
        <v>46000</v>
      </c>
    </row>
    <row r="1460" spans="1:10" x14ac:dyDescent="0.2">
      <c r="A1460" s="279">
        <v>1459</v>
      </c>
      <c r="B1460" s="294">
        <v>43054</v>
      </c>
      <c r="C1460" s="294">
        <v>43073</v>
      </c>
      <c r="D1460" s="233" t="s">
        <v>1092</v>
      </c>
      <c r="E1460" s="295" t="s">
        <v>422</v>
      </c>
      <c r="F1460" s="295" t="s">
        <v>1276</v>
      </c>
      <c r="G1460" s="296" t="s">
        <v>2977</v>
      </c>
      <c r="H1460" s="296" t="s">
        <v>2978</v>
      </c>
      <c r="I1460" s="297">
        <v>5700</v>
      </c>
    </row>
    <row r="1461" spans="1:10" x14ac:dyDescent="0.2">
      <c r="A1461" s="279">
        <v>1460</v>
      </c>
      <c r="B1461" s="294">
        <v>43055</v>
      </c>
      <c r="C1461" s="294">
        <v>43082</v>
      </c>
      <c r="D1461" s="233" t="s">
        <v>1092</v>
      </c>
      <c r="E1461" s="295" t="s">
        <v>422</v>
      </c>
      <c r="F1461" s="295" t="s">
        <v>71</v>
      </c>
      <c r="G1461" s="296" t="s">
        <v>2979</v>
      </c>
      <c r="H1461" s="296" t="s">
        <v>2980</v>
      </c>
      <c r="I1461" s="297">
        <v>6510.67</v>
      </c>
    </row>
    <row r="1462" spans="1:10" x14ac:dyDescent="0.2">
      <c r="A1462" s="279">
        <v>1461</v>
      </c>
      <c r="B1462" s="294">
        <v>43055</v>
      </c>
      <c r="C1462" s="294">
        <v>43080</v>
      </c>
      <c r="D1462" s="233" t="s">
        <v>1092</v>
      </c>
      <c r="E1462" s="295" t="s">
        <v>422</v>
      </c>
      <c r="F1462" s="295" t="s">
        <v>701</v>
      </c>
      <c r="G1462" s="296" t="s">
        <v>2981</v>
      </c>
      <c r="H1462" s="296" t="s">
        <v>2982</v>
      </c>
      <c r="I1462" s="297">
        <v>65000</v>
      </c>
    </row>
    <row r="1463" spans="1:10" x14ac:dyDescent="0.2">
      <c r="A1463" s="279">
        <v>1462</v>
      </c>
      <c r="B1463" s="294">
        <v>43055</v>
      </c>
      <c r="C1463" s="294">
        <v>43082</v>
      </c>
      <c r="D1463" s="233" t="s">
        <v>1092</v>
      </c>
      <c r="E1463" s="295" t="s">
        <v>422</v>
      </c>
      <c r="F1463" s="295" t="s">
        <v>701</v>
      </c>
      <c r="G1463" s="296" t="s">
        <v>2983</v>
      </c>
      <c r="H1463" s="296" t="s">
        <v>2984</v>
      </c>
      <c r="I1463" s="297">
        <v>58500</v>
      </c>
    </row>
    <row r="1464" spans="1:10" x14ac:dyDescent="0.2">
      <c r="A1464" s="279">
        <v>1463</v>
      </c>
      <c r="B1464" s="294">
        <v>43055</v>
      </c>
      <c r="C1464" s="294">
        <v>43082</v>
      </c>
      <c r="D1464" s="233" t="s">
        <v>1092</v>
      </c>
      <c r="E1464" s="295" t="s">
        <v>422</v>
      </c>
      <c r="F1464" s="295" t="s">
        <v>701</v>
      </c>
      <c r="G1464" s="296" t="s">
        <v>2985</v>
      </c>
      <c r="H1464" s="296" t="s">
        <v>2986</v>
      </c>
      <c r="I1464" s="297">
        <v>58500</v>
      </c>
    </row>
    <row r="1465" spans="1:10" x14ac:dyDescent="0.2">
      <c r="A1465" s="279">
        <v>1464</v>
      </c>
      <c r="B1465" s="294">
        <v>43055</v>
      </c>
      <c r="C1465" s="294">
        <v>43082</v>
      </c>
      <c r="D1465" s="233" t="s">
        <v>1092</v>
      </c>
      <c r="E1465" s="295" t="s">
        <v>422</v>
      </c>
      <c r="F1465" s="295" t="s">
        <v>701</v>
      </c>
      <c r="G1465" s="296" t="s">
        <v>2987</v>
      </c>
      <c r="H1465" s="296" t="s">
        <v>2988</v>
      </c>
      <c r="I1465" s="297">
        <v>29400</v>
      </c>
    </row>
    <row r="1466" spans="1:10" x14ac:dyDescent="0.2">
      <c r="A1466" s="279">
        <v>1465</v>
      </c>
      <c r="B1466" s="294">
        <v>43056</v>
      </c>
      <c r="C1466" s="294">
        <v>43082</v>
      </c>
      <c r="D1466" s="233" t="s">
        <v>1092</v>
      </c>
      <c r="E1466" s="295" t="s">
        <v>422</v>
      </c>
      <c r="F1466" s="295" t="s">
        <v>396</v>
      </c>
      <c r="G1466" s="296" t="s">
        <v>2989</v>
      </c>
      <c r="H1466" s="296" t="s">
        <v>2990</v>
      </c>
      <c r="I1466" s="297">
        <v>19188.89</v>
      </c>
    </row>
    <row r="1467" spans="1:10" x14ac:dyDescent="0.2">
      <c r="A1467" s="279">
        <v>1466</v>
      </c>
      <c r="B1467" s="294">
        <v>43056</v>
      </c>
      <c r="C1467" s="294">
        <v>43150</v>
      </c>
      <c r="D1467" s="233" t="s">
        <v>1092</v>
      </c>
      <c r="E1467" s="295" t="s">
        <v>422</v>
      </c>
      <c r="F1467" s="295" t="s">
        <v>71</v>
      </c>
      <c r="G1467" s="296" t="s">
        <v>2991</v>
      </c>
      <c r="H1467" s="296" t="s">
        <v>2992</v>
      </c>
      <c r="I1467" s="297">
        <v>3224.95</v>
      </c>
      <c r="J1467" s="178" t="s">
        <v>3236</v>
      </c>
    </row>
    <row r="1468" spans="1:10" x14ac:dyDescent="0.2">
      <c r="A1468" s="279">
        <v>1467</v>
      </c>
      <c r="B1468" s="294">
        <v>43056</v>
      </c>
      <c r="C1468" s="294">
        <v>43087</v>
      </c>
      <c r="D1468" s="233" t="s">
        <v>1092</v>
      </c>
      <c r="E1468" s="295" t="s">
        <v>422</v>
      </c>
      <c r="F1468" s="295" t="s">
        <v>701</v>
      </c>
      <c r="G1468" s="296" t="s">
        <v>2993</v>
      </c>
      <c r="H1468" s="296" t="s">
        <v>2994</v>
      </c>
      <c r="I1468" s="297">
        <v>82300</v>
      </c>
    </row>
    <row r="1469" spans="1:10" x14ac:dyDescent="0.2">
      <c r="A1469" s="279">
        <v>1468</v>
      </c>
      <c r="B1469" s="294">
        <v>43056</v>
      </c>
      <c r="C1469" s="294">
        <v>43082</v>
      </c>
      <c r="D1469" s="233" t="s">
        <v>1092</v>
      </c>
      <c r="E1469" s="295" t="s">
        <v>422</v>
      </c>
      <c r="F1469" s="295" t="s">
        <v>1276</v>
      </c>
      <c r="G1469" s="296" t="s">
        <v>2997</v>
      </c>
      <c r="H1469" s="296" t="s">
        <v>2995</v>
      </c>
      <c r="I1469" s="297">
        <v>206288.89</v>
      </c>
    </row>
    <row r="1470" spans="1:10" x14ac:dyDescent="0.2">
      <c r="A1470" s="279">
        <v>1469</v>
      </c>
      <c r="B1470" s="294">
        <v>43056</v>
      </c>
      <c r="C1470" s="294">
        <v>43087</v>
      </c>
      <c r="D1470" s="233" t="s">
        <v>1092</v>
      </c>
      <c r="E1470" s="295" t="s">
        <v>422</v>
      </c>
      <c r="F1470" s="295" t="s">
        <v>701</v>
      </c>
      <c r="G1470" s="296" t="s">
        <v>2996</v>
      </c>
      <c r="H1470" s="296" t="s">
        <v>2998</v>
      </c>
      <c r="I1470" s="297">
        <v>70300</v>
      </c>
    </row>
    <row r="1471" spans="1:10" x14ac:dyDescent="0.2">
      <c r="A1471" s="279">
        <v>1470</v>
      </c>
      <c r="B1471" s="294">
        <v>43056</v>
      </c>
      <c r="C1471" s="294">
        <v>43087</v>
      </c>
      <c r="D1471" s="233" t="s">
        <v>1092</v>
      </c>
      <c r="E1471" s="295" t="s">
        <v>422</v>
      </c>
      <c r="F1471" s="295" t="s">
        <v>701</v>
      </c>
      <c r="G1471" s="296" t="s">
        <v>2999</v>
      </c>
      <c r="H1471" s="296" t="s">
        <v>3000</v>
      </c>
      <c r="I1471" s="297">
        <v>45300</v>
      </c>
    </row>
    <row r="1472" spans="1:10" x14ac:dyDescent="0.2">
      <c r="A1472" s="279">
        <v>1471</v>
      </c>
      <c r="B1472" s="294">
        <v>43056</v>
      </c>
      <c r="C1472" s="294">
        <v>43115</v>
      </c>
      <c r="D1472" s="233" t="s">
        <v>1092</v>
      </c>
      <c r="E1472" s="295" t="s">
        <v>422</v>
      </c>
      <c r="F1472" s="295" t="s">
        <v>71</v>
      </c>
      <c r="G1472" s="296" t="s">
        <v>3001</v>
      </c>
      <c r="H1472" s="296" t="s">
        <v>3002</v>
      </c>
      <c r="I1472" s="297">
        <v>27368.26</v>
      </c>
    </row>
    <row r="1473" spans="1:9" x14ac:dyDescent="0.2">
      <c r="A1473" s="279">
        <v>1472</v>
      </c>
      <c r="B1473" s="294">
        <v>43059</v>
      </c>
      <c r="C1473" s="294">
        <v>43080</v>
      </c>
      <c r="D1473" s="233" t="s">
        <v>1092</v>
      </c>
      <c r="E1473" s="295" t="s">
        <v>422</v>
      </c>
      <c r="F1473" s="295" t="s">
        <v>701</v>
      </c>
      <c r="G1473" s="296" t="s">
        <v>3003</v>
      </c>
      <c r="H1473" s="296" t="s">
        <v>3004</v>
      </c>
      <c r="I1473" s="297">
        <v>31700</v>
      </c>
    </row>
    <row r="1474" spans="1:9" x14ac:dyDescent="0.2">
      <c r="A1474" s="279">
        <v>1473</v>
      </c>
      <c r="B1474" s="294">
        <v>43061</v>
      </c>
      <c r="C1474" s="294">
        <v>43082</v>
      </c>
      <c r="D1474" s="233" t="s">
        <v>1092</v>
      </c>
      <c r="E1474" s="295" t="s">
        <v>422</v>
      </c>
      <c r="F1474" s="295" t="s">
        <v>1276</v>
      </c>
      <c r="G1474" s="296" t="s">
        <v>3005</v>
      </c>
      <c r="H1474" s="296" t="s">
        <v>3006</v>
      </c>
      <c r="I1474" s="297">
        <v>7400.39</v>
      </c>
    </row>
    <row r="1475" spans="1:9" x14ac:dyDescent="0.2">
      <c r="A1475" s="279">
        <v>1474</v>
      </c>
      <c r="B1475" s="294">
        <v>43061</v>
      </c>
      <c r="C1475" s="294">
        <v>43087</v>
      </c>
      <c r="D1475" s="233" t="s">
        <v>1092</v>
      </c>
      <c r="E1475" s="295" t="s">
        <v>422</v>
      </c>
      <c r="F1475" s="295" t="s">
        <v>1276</v>
      </c>
      <c r="G1475" s="296" t="s">
        <v>3007</v>
      </c>
      <c r="H1475" s="296" t="s">
        <v>3008</v>
      </c>
      <c r="I1475" s="297">
        <v>5800</v>
      </c>
    </row>
    <row r="1476" spans="1:9" x14ac:dyDescent="0.2">
      <c r="A1476" s="279">
        <v>1475</v>
      </c>
      <c r="B1476" s="294">
        <v>43061</v>
      </c>
      <c r="C1476" s="294">
        <v>43082</v>
      </c>
      <c r="D1476" s="233" t="s">
        <v>1092</v>
      </c>
      <c r="E1476" s="295" t="s">
        <v>422</v>
      </c>
      <c r="F1476" s="295" t="s">
        <v>1276</v>
      </c>
      <c r="G1476" s="296" t="s">
        <v>3009</v>
      </c>
      <c r="H1476" s="296" t="s">
        <v>3010</v>
      </c>
      <c r="I1476" s="297">
        <v>29666.67</v>
      </c>
    </row>
    <row r="1477" spans="1:9" x14ac:dyDescent="0.2">
      <c r="A1477" s="279">
        <v>1476</v>
      </c>
      <c r="B1477" s="294">
        <v>43063</v>
      </c>
      <c r="C1477" s="294">
        <v>43115</v>
      </c>
      <c r="D1477" s="233" t="s">
        <v>1092</v>
      </c>
      <c r="E1477" s="295" t="s">
        <v>392</v>
      </c>
      <c r="F1477" s="295" t="s">
        <v>71</v>
      </c>
      <c r="G1477" s="296" t="s">
        <v>3011</v>
      </c>
      <c r="H1477" s="296" t="s">
        <v>3012</v>
      </c>
      <c r="I1477" s="297">
        <v>36433.89</v>
      </c>
    </row>
    <row r="1478" spans="1:9" x14ac:dyDescent="0.2">
      <c r="A1478" s="279">
        <v>1477</v>
      </c>
      <c r="B1478" s="294">
        <v>43066</v>
      </c>
      <c r="C1478" s="294">
        <v>43087</v>
      </c>
      <c r="D1478" s="233" t="s">
        <v>1092</v>
      </c>
      <c r="E1478" s="295" t="s">
        <v>392</v>
      </c>
      <c r="F1478" s="295" t="s">
        <v>71</v>
      </c>
      <c r="G1478" s="296" t="s">
        <v>3013</v>
      </c>
      <c r="H1478" s="296" t="s">
        <v>3014</v>
      </c>
      <c r="I1478" s="297">
        <v>28580.82</v>
      </c>
    </row>
    <row r="1479" spans="1:9" x14ac:dyDescent="0.2">
      <c r="A1479" s="279">
        <v>1478</v>
      </c>
      <c r="B1479" s="294">
        <v>43069</v>
      </c>
      <c r="C1479" s="294">
        <v>43088</v>
      </c>
      <c r="D1479" s="233" t="s">
        <v>1092</v>
      </c>
      <c r="E1479" s="295" t="s">
        <v>392</v>
      </c>
      <c r="F1479" s="295" t="s">
        <v>2224</v>
      </c>
      <c r="G1479" s="296" t="s">
        <v>3015</v>
      </c>
      <c r="H1479" s="296" t="s">
        <v>3016</v>
      </c>
      <c r="I1479" s="297">
        <v>29958.68</v>
      </c>
    </row>
    <row r="1480" spans="1:9" x14ac:dyDescent="0.2">
      <c r="A1480" s="279">
        <v>1479</v>
      </c>
      <c r="B1480" s="294">
        <v>43069</v>
      </c>
      <c r="C1480" s="294">
        <v>43088</v>
      </c>
      <c r="D1480" s="233" t="s">
        <v>1092</v>
      </c>
      <c r="E1480" s="295" t="s">
        <v>392</v>
      </c>
      <c r="F1480" s="295" t="s">
        <v>2224</v>
      </c>
      <c r="G1480" s="296" t="s">
        <v>3017</v>
      </c>
      <c r="H1480" s="296" t="s">
        <v>3018</v>
      </c>
      <c r="I1480" s="297">
        <v>36612.5</v>
      </c>
    </row>
    <row r="1481" spans="1:9" x14ac:dyDescent="0.2">
      <c r="A1481" s="279">
        <v>1480</v>
      </c>
      <c r="B1481" s="294">
        <v>43069</v>
      </c>
      <c r="C1481" s="294">
        <v>43088</v>
      </c>
      <c r="D1481" s="233" t="s">
        <v>1092</v>
      </c>
      <c r="E1481" s="295" t="s">
        <v>392</v>
      </c>
      <c r="F1481" s="295" t="s">
        <v>2224</v>
      </c>
      <c r="G1481" s="296" t="s">
        <v>3019</v>
      </c>
      <c r="H1481" s="296" t="s">
        <v>3020</v>
      </c>
      <c r="I1481" s="297">
        <v>17917.689999999999</v>
      </c>
    </row>
    <row r="1482" spans="1:9" x14ac:dyDescent="0.2">
      <c r="A1482" s="279">
        <v>1481</v>
      </c>
      <c r="B1482" s="294">
        <v>43069</v>
      </c>
      <c r="C1482" s="294">
        <v>43088</v>
      </c>
      <c r="D1482" s="233" t="s">
        <v>1092</v>
      </c>
      <c r="E1482" s="295" t="s">
        <v>392</v>
      </c>
      <c r="F1482" s="295" t="s">
        <v>2224</v>
      </c>
      <c r="G1482" s="296" t="s">
        <v>3021</v>
      </c>
      <c r="H1482" s="296" t="s">
        <v>3022</v>
      </c>
      <c r="I1482" s="297">
        <v>65909.08</v>
      </c>
    </row>
    <row r="1483" spans="1:9" x14ac:dyDescent="0.2">
      <c r="A1483" s="279">
        <v>1482</v>
      </c>
      <c r="B1483" s="294">
        <v>43069</v>
      </c>
      <c r="C1483" s="294">
        <v>43088</v>
      </c>
      <c r="D1483" s="233" t="s">
        <v>1092</v>
      </c>
      <c r="E1483" s="295" t="s">
        <v>392</v>
      </c>
      <c r="F1483" s="295" t="s">
        <v>2224</v>
      </c>
      <c r="G1483" s="296" t="s">
        <v>3023</v>
      </c>
      <c r="H1483" s="296" t="s">
        <v>3024</v>
      </c>
      <c r="I1483" s="297">
        <v>20371.91</v>
      </c>
    </row>
    <row r="1484" spans="1:9" x14ac:dyDescent="0.2">
      <c r="A1484" s="279">
        <v>1483</v>
      </c>
      <c r="B1484" s="294">
        <v>43069</v>
      </c>
      <c r="C1484" s="294">
        <v>43088</v>
      </c>
      <c r="D1484" s="233" t="s">
        <v>1092</v>
      </c>
      <c r="E1484" s="295" t="s">
        <v>392</v>
      </c>
      <c r="F1484" s="295" t="s">
        <v>2224</v>
      </c>
      <c r="G1484" s="296" t="s">
        <v>3025</v>
      </c>
      <c r="H1484" s="296" t="s">
        <v>3026</v>
      </c>
      <c r="I1484" s="297">
        <v>50570.25</v>
      </c>
    </row>
    <row r="1485" spans="1:9" x14ac:dyDescent="0.2">
      <c r="A1485" s="279">
        <v>1484</v>
      </c>
      <c r="B1485" s="294">
        <v>43069</v>
      </c>
      <c r="C1485" s="294">
        <v>43088</v>
      </c>
      <c r="D1485" s="233" t="s">
        <v>1092</v>
      </c>
      <c r="E1485" s="295" t="s">
        <v>392</v>
      </c>
      <c r="F1485" s="295" t="s">
        <v>2224</v>
      </c>
      <c r="G1485" s="296" t="s">
        <v>3027</v>
      </c>
      <c r="H1485" s="296" t="s">
        <v>3028</v>
      </c>
      <c r="I1485" s="297">
        <v>70702.48</v>
      </c>
    </row>
    <row r="1486" spans="1:9" x14ac:dyDescent="0.2">
      <c r="A1486" s="279">
        <v>1485</v>
      </c>
      <c r="B1486" s="294">
        <v>43069</v>
      </c>
      <c r="C1486" s="294">
        <v>43088</v>
      </c>
      <c r="D1486" s="233" t="s">
        <v>1092</v>
      </c>
      <c r="E1486" s="295" t="s">
        <v>392</v>
      </c>
      <c r="F1486" s="295" t="s">
        <v>2224</v>
      </c>
      <c r="G1486" s="296" t="s">
        <v>3029</v>
      </c>
      <c r="H1486" s="296" t="s">
        <v>3030</v>
      </c>
      <c r="I1486" s="297">
        <v>45537.2</v>
      </c>
    </row>
    <row r="1487" spans="1:9" x14ac:dyDescent="0.2">
      <c r="A1487" s="279">
        <v>1486</v>
      </c>
      <c r="B1487" s="294">
        <v>43069</v>
      </c>
      <c r="C1487" s="294">
        <v>43088</v>
      </c>
      <c r="D1487" s="233" t="s">
        <v>1092</v>
      </c>
      <c r="E1487" s="295" t="s">
        <v>392</v>
      </c>
      <c r="F1487" s="295" t="s">
        <v>2224</v>
      </c>
      <c r="G1487" s="296" t="s">
        <v>3031</v>
      </c>
      <c r="H1487" s="296" t="s">
        <v>3032</v>
      </c>
      <c r="I1487" s="297">
        <v>26363.65</v>
      </c>
    </row>
    <row r="1488" spans="1:9" x14ac:dyDescent="0.2">
      <c r="A1488" s="279">
        <v>1487</v>
      </c>
      <c r="B1488" s="294">
        <v>43069</v>
      </c>
      <c r="C1488" s="294">
        <v>43088</v>
      </c>
      <c r="D1488" s="233" t="s">
        <v>1092</v>
      </c>
      <c r="E1488" s="295" t="s">
        <v>392</v>
      </c>
      <c r="F1488" s="295" t="s">
        <v>2224</v>
      </c>
      <c r="G1488" s="296" t="s">
        <v>3033</v>
      </c>
      <c r="H1488" s="296" t="s">
        <v>3034</v>
      </c>
      <c r="I1488" s="297">
        <v>31300.83</v>
      </c>
    </row>
    <row r="1489" spans="1:9" x14ac:dyDescent="0.2">
      <c r="A1489" s="279">
        <v>1488</v>
      </c>
      <c r="B1489" s="294">
        <v>43069</v>
      </c>
      <c r="C1489" s="294">
        <v>43088</v>
      </c>
      <c r="D1489" s="233" t="s">
        <v>1092</v>
      </c>
      <c r="E1489" s="295" t="s">
        <v>392</v>
      </c>
      <c r="F1489" s="295" t="s">
        <v>2224</v>
      </c>
      <c r="G1489" s="296" t="s">
        <v>3035</v>
      </c>
      <c r="H1489" s="296" t="s">
        <v>3036</v>
      </c>
      <c r="I1489" s="297">
        <v>33553.72</v>
      </c>
    </row>
    <row r="1490" spans="1:9" x14ac:dyDescent="0.2">
      <c r="A1490" s="279">
        <v>1489</v>
      </c>
      <c r="B1490" s="294">
        <v>43069</v>
      </c>
      <c r="C1490" s="294">
        <v>43088</v>
      </c>
      <c r="D1490" s="233" t="s">
        <v>1092</v>
      </c>
      <c r="E1490" s="295" t="s">
        <v>392</v>
      </c>
      <c r="F1490" s="295" t="s">
        <v>2224</v>
      </c>
      <c r="G1490" s="296" t="s">
        <v>3037</v>
      </c>
      <c r="H1490" s="296" t="s">
        <v>3038</v>
      </c>
      <c r="I1490" s="297">
        <v>28760.33</v>
      </c>
    </row>
    <row r="1491" spans="1:9" x14ac:dyDescent="0.2">
      <c r="A1491" s="279">
        <v>1490</v>
      </c>
      <c r="B1491" s="294">
        <v>43069</v>
      </c>
      <c r="C1491" s="294">
        <v>43088</v>
      </c>
      <c r="D1491" s="233" t="s">
        <v>1092</v>
      </c>
      <c r="E1491" s="295" t="s">
        <v>392</v>
      </c>
      <c r="F1491" s="295" t="s">
        <v>2224</v>
      </c>
      <c r="G1491" s="296" t="s">
        <v>3041</v>
      </c>
      <c r="H1491" s="296" t="s">
        <v>3039</v>
      </c>
      <c r="I1491" s="297">
        <v>43140.49</v>
      </c>
    </row>
    <row r="1492" spans="1:9" x14ac:dyDescent="0.2">
      <c r="A1492" s="279">
        <v>1491</v>
      </c>
      <c r="B1492" s="294">
        <v>43069</v>
      </c>
      <c r="C1492" s="294">
        <v>43088</v>
      </c>
      <c r="D1492" s="233" t="s">
        <v>1092</v>
      </c>
      <c r="E1492" s="295" t="s">
        <v>392</v>
      </c>
      <c r="F1492" s="295" t="s">
        <v>2224</v>
      </c>
      <c r="G1492" s="296" t="s">
        <v>3040</v>
      </c>
      <c r="H1492" s="296" t="s">
        <v>3042</v>
      </c>
      <c r="I1492" s="297">
        <v>57520.67</v>
      </c>
    </row>
    <row r="1493" spans="1:9" x14ac:dyDescent="0.2">
      <c r="A1493" s="279">
        <v>1492</v>
      </c>
      <c r="B1493" s="294">
        <v>43069</v>
      </c>
      <c r="C1493" s="294">
        <v>43088</v>
      </c>
      <c r="D1493" s="233" t="s">
        <v>1092</v>
      </c>
      <c r="E1493" s="295" t="s">
        <v>392</v>
      </c>
      <c r="F1493" s="295" t="s">
        <v>2224</v>
      </c>
      <c r="G1493" s="296" t="s">
        <v>3043</v>
      </c>
      <c r="H1493" s="296" t="s">
        <v>3046</v>
      </c>
      <c r="I1493" s="297">
        <v>52727.27</v>
      </c>
    </row>
    <row r="1494" spans="1:9" x14ac:dyDescent="0.2">
      <c r="A1494" s="279">
        <v>1493</v>
      </c>
      <c r="B1494" s="294">
        <v>43069</v>
      </c>
      <c r="C1494" s="294">
        <v>43088</v>
      </c>
      <c r="D1494" s="233" t="s">
        <v>1092</v>
      </c>
      <c r="E1494" s="295" t="s">
        <v>392</v>
      </c>
      <c r="F1494" s="295" t="s">
        <v>2224</v>
      </c>
      <c r="G1494" s="296" t="s">
        <v>3044</v>
      </c>
      <c r="H1494" s="296" t="s">
        <v>3045</v>
      </c>
      <c r="I1494" s="297">
        <v>33553.72</v>
      </c>
    </row>
    <row r="1495" spans="1:9" x14ac:dyDescent="0.2">
      <c r="A1495" s="279">
        <v>1494</v>
      </c>
      <c r="B1495" s="294">
        <v>43069</v>
      </c>
      <c r="C1495" s="294">
        <v>43088</v>
      </c>
      <c r="D1495" s="233" t="s">
        <v>1092</v>
      </c>
      <c r="E1495" s="295" t="s">
        <v>392</v>
      </c>
      <c r="F1495" s="295" t="s">
        <v>2224</v>
      </c>
      <c r="G1495" s="296" t="s">
        <v>3047</v>
      </c>
      <c r="H1495" s="296" t="s">
        <v>3048</v>
      </c>
      <c r="I1495" s="297">
        <v>57520.67</v>
      </c>
    </row>
    <row r="1496" spans="1:9" x14ac:dyDescent="0.2">
      <c r="A1496" s="279">
        <v>1495</v>
      </c>
      <c r="B1496" s="294">
        <v>43069</v>
      </c>
      <c r="C1496" s="294">
        <v>43088</v>
      </c>
      <c r="D1496" s="233" t="s">
        <v>1092</v>
      </c>
      <c r="E1496" s="295" t="s">
        <v>392</v>
      </c>
      <c r="F1496" s="295" t="s">
        <v>2224</v>
      </c>
      <c r="G1496" s="296" t="s">
        <v>3049</v>
      </c>
      <c r="H1496" s="296" t="s">
        <v>3050</v>
      </c>
      <c r="I1496" s="297">
        <v>17975.21</v>
      </c>
    </row>
    <row r="1497" spans="1:9" x14ac:dyDescent="0.2">
      <c r="A1497" s="279">
        <v>1496</v>
      </c>
      <c r="B1497" s="294">
        <v>43069</v>
      </c>
      <c r="C1497" s="294">
        <v>43088</v>
      </c>
      <c r="D1497" s="233" t="s">
        <v>1092</v>
      </c>
      <c r="E1497" s="295" t="s">
        <v>392</v>
      </c>
      <c r="F1497" s="295" t="s">
        <v>2224</v>
      </c>
      <c r="G1497" s="296" t="s">
        <v>3051</v>
      </c>
      <c r="H1497" s="296" t="s">
        <v>3052</v>
      </c>
      <c r="I1497" s="297">
        <v>43140.49</v>
      </c>
    </row>
    <row r="1498" spans="1:9" x14ac:dyDescent="0.2">
      <c r="A1498" s="279">
        <v>1497</v>
      </c>
      <c r="B1498" s="294">
        <v>43069</v>
      </c>
      <c r="C1498" s="294">
        <v>43088</v>
      </c>
      <c r="D1498" s="233" t="s">
        <v>1092</v>
      </c>
      <c r="E1498" s="295" t="s">
        <v>392</v>
      </c>
      <c r="F1498" s="295" t="s">
        <v>2224</v>
      </c>
      <c r="G1498" s="296" t="s">
        <v>3053</v>
      </c>
      <c r="H1498" s="296" t="s">
        <v>3054</v>
      </c>
      <c r="I1498" s="297">
        <v>28760.33</v>
      </c>
    </row>
    <row r="1499" spans="1:9" x14ac:dyDescent="0.2">
      <c r="A1499" s="279">
        <v>1498</v>
      </c>
      <c r="B1499" s="294">
        <v>43069</v>
      </c>
      <c r="C1499" s="294">
        <v>43088</v>
      </c>
      <c r="D1499" s="233" t="s">
        <v>1092</v>
      </c>
      <c r="E1499" s="295" t="s">
        <v>392</v>
      </c>
      <c r="F1499" s="295" t="s">
        <v>2224</v>
      </c>
      <c r="G1499" s="296" t="s">
        <v>3055</v>
      </c>
      <c r="H1499" s="296" t="s">
        <v>3056</v>
      </c>
      <c r="I1499" s="297">
        <v>49731.41</v>
      </c>
    </row>
    <row r="1500" spans="1:9" x14ac:dyDescent="0.2">
      <c r="A1500" s="279">
        <v>1499</v>
      </c>
      <c r="B1500" s="294">
        <v>43069</v>
      </c>
      <c r="C1500" s="294">
        <v>43088</v>
      </c>
      <c r="D1500" s="233" t="s">
        <v>1092</v>
      </c>
      <c r="E1500" s="295" t="s">
        <v>392</v>
      </c>
      <c r="F1500" s="295" t="s">
        <v>2224</v>
      </c>
      <c r="G1500" s="296" t="s">
        <v>3057</v>
      </c>
      <c r="H1500" s="296" t="s">
        <v>3058</v>
      </c>
      <c r="I1500" s="297">
        <v>49132.22</v>
      </c>
    </row>
    <row r="1501" spans="1:9" x14ac:dyDescent="0.2">
      <c r="A1501" s="279">
        <v>1500</v>
      </c>
      <c r="B1501" s="294">
        <v>43069</v>
      </c>
      <c r="C1501" s="294">
        <v>43088</v>
      </c>
      <c r="D1501" s="233" t="s">
        <v>1092</v>
      </c>
      <c r="E1501" s="295" t="s">
        <v>392</v>
      </c>
      <c r="F1501" s="295" t="s">
        <v>2224</v>
      </c>
      <c r="G1501" s="296" t="s">
        <v>3059</v>
      </c>
      <c r="H1501" s="296" t="s">
        <v>3060</v>
      </c>
      <c r="I1501" s="297">
        <v>57520.67</v>
      </c>
    </row>
    <row r="1502" spans="1:9" x14ac:dyDescent="0.2">
      <c r="A1502" s="279">
        <v>1501</v>
      </c>
      <c r="B1502" s="294">
        <v>43069</v>
      </c>
      <c r="C1502" s="294">
        <v>43088</v>
      </c>
      <c r="D1502" s="233" t="s">
        <v>1092</v>
      </c>
      <c r="E1502" s="295" t="s">
        <v>392</v>
      </c>
      <c r="F1502" s="295" t="s">
        <v>2224</v>
      </c>
      <c r="G1502" s="296" t="s">
        <v>3061</v>
      </c>
      <c r="H1502" s="296" t="s">
        <v>3062</v>
      </c>
      <c r="I1502" s="297">
        <v>45681.53</v>
      </c>
    </row>
    <row r="1503" spans="1:9" x14ac:dyDescent="0.2">
      <c r="A1503" s="279">
        <v>1502</v>
      </c>
      <c r="B1503" s="294">
        <v>43069</v>
      </c>
      <c r="C1503" s="294">
        <v>43088</v>
      </c>
      <c r="D1503" s="233" t="s">
        <v>1092</v>
      </c>
      <c r="E1503" s="295" t="s">
        <v>392</v>
      </c>
      <c r="F1503" s="295" t="s">
        <v>2224</v>
      </c>
      <c r="G1503" s="296" t="s">
        <v>3063</v>
      </c>
      <c r="H1503" s="296" t="s">
        <v>3064</v>
      </c>
      <c r="I1503" s="297">
        <v>38490.910000000003</v>
      </c>
    </row>
    <row r="1504" spans="1:9" x14ac:dyDescent="0.2">
      <c r="A1504" s="279">
        <v>1503</v>
      </c>
      <c r="B1504" s="294">
        <v>43066</v>
      </c>
      <c r="C1504" s="294">
        <v>43087</v>
      </c>
      <c r="D1504" s="233" t="s">
        <v>1092</v>
      </c>
      <c r="E1504" s="295" t="s">
        <v>422</v>
      </c>
      <c r="F1504" s="295" t="s">
        <v>701</v>
      </c>
      <c r="G1504" s="296" t="s">
        <v>3065</v>
      </c>
      <c r="H1504" s="296" t="s">
        <v>3066</v>
      </c>
      <c r="I1504" s="297">
        <v>33300</v>
      </c>
    </row>
    <row r="1505" spans="1:11" x14ac:dyDescent="0.2">
      <c r="A1505" s="279">
        <v>1504</v>
      </c>
      <c r="B1505" s="294">
        <v>43066</v>
      </c>
      <c r="C1505" s="294">
        <v>43108</v>
      </c>
      <c r="D1505" s="233" t="s">
        <v>1092</v>
      </c>
      <c r="E1505" s="295" t="s">
        <v>422</v>
      </c>
      <c r="F1505" s="295" t="s">
        <v>396</v>
      </c>
      <c r="G1505" s="296" t="s">
        <v>3092</v>
      </c>
      <c r="H1505" s="296" t="s">
        <v>3091</v>
      </c>
      <c r="I1505" s="297">
        <v>80000</v>
      </c>
    </row>
    <row r="1506" spans="1:11" x14ac:dyDescent="0.2">
      <c r="A1506" s="279">
        <v>1505</v>
      </c>
      <c r="B1506" s="294">
        <v>43067</v>
      </c>
      <c r="C1506" s="294">
        <v>43108</v>
      </c>
      <c r="D1506" s="233" t="s">
        <v>1092</v>
      </c>
      <c r="E1506" s="295" t="s">
        <v>392</v>
      </c>
      <c r="F1506" s="295" t="s">
        <v>2224</v>
      </c>
      <c r="G1506" s="296" t="s">
        <v>3067</v>
      </c>
      <c r="H1506" s="296" t="s">
        <v>3068</v>
      </c>
      <c r="I1506" s="297">
        <v>53983.68</v>
      </c>
    </row>
    <row r="1507" spans="1:11" x14ac:dyDescent="0.2">
      <c r="A1507" s="279">
        <v>1506</v>
      </c>
      <c r="B1507" s="294">
        <v>43070</v>
      </c>
      <c r="C1507" s="294">
        <v>43088</v>
      </c>
      <c r="D1507" s="233" t="s">
        <v>1092</v>
      </c>
      <c r="E1507" s="295" t="s">
        <v>392</v>
      </c>
      <c r="F1507" s="295" t="s">
        <v>2224</v>
      </c>
      <c r="G1507" s="296" t="s">
        <v>3069</v>
      </c>
      <c r="H1507" s="296" t="s">
        <v>3070</v>
      </c>
      <c r="I1507" s="297">
        <v>47933.88</v>
      </c>
    </row>
    <row r="1508" spans="1:11" x14ac:dyDescent="0.2">
      <c r="A1508" s="279">
        <v>1507</v>
      </c>
      <c r="B1508" s="294">
        <v>43070</v>
      </c>
      <c r="C1508" s="294">
        <v>43088</v>
      </c>
      <c r="D1508" s="233" t="s">
        <v>1092</v>
      </c>
      <c r="E1508" s="295" t="s">
        <v>392</v>
      </c>
      <c r="F1508" s="295" t="s">
        <v>2224</v>
      </c>
      <c r="G1508" s="296" t="s">
        <v>3071</v>
      </c>
      <c r="H1508" s="296" t="s">
        <v>3072</v>
      </c>
      <c r="I1508" s="297">
        <v>61714.23</v>
      </c>
    </row>
    <row r="1509" spans="1:11" x14ac:dyDescent="0.2">
      <c r="A1509" s="279">
        <v>1508</v>
      </c>
      <c r="B1509" s="294">
        <v>43070</v>
      </c>
      <c r="C1509" s="294">
        <v>43088</v>
      </c>
      <c r="D1509" s="233" t="s">
        <v>1092</v>
      </c>
      <c r="E1509" s="295" t="s">
        <v>392</v>
      </c>
      <c r="F1509" s="295" t="s">
        <v>2224</v>
      </c>
      <c r="G1509" s="296" t="s">
        <v>3073</v>
      </c>
      <c r="H1509" s="296" t="s">
        <v>3074</v>
      </c>
      <c r="I1509" s="297">
        <v>52727.27</v>
      </c>
    </row>
    <row r="1510" spans="1:11" x14ac:dyDescent="0.2">
      <c r="A1510" s="279">
        <v>1509</v>
      </c>
      <c r="B1510" s="294">
        <v>43070</v>
      </c>
      <c r="C1510" s="294">
        <v>43088</v>
      </c>
      <c r="D1510" s="233" t="s">
        <v>1092</v>
      </c>
      <c r="E1510" s="295" t="s">
        <v>392</v>
      </c>
      <c r="F1510" s="295" t="s">
        <v>2224</v>
      </c>
      <c r="G1510" s="296" t="s">
        <v>3075</v>
      </c>
      <c r="H1510" s="296" t="s">
        <v>3076</v>
      </c>
      <c r="I1510" s="297">
        <v>71900.820000000007</v>
      </c>
    </row>
    <row r="1511" spans="1:11" x14ac:dyDescent="0.2">
      <c r="A1511" s="279">
        <v>1510</v>
      </c>
      <c r="B1511" s="294">
        <v>43070</v>
      </c>
      <c r="C1511" s="294">
        <v>43117</v>
      </c>
      <c r="D1511" s="233" t="s">
        <v>1092</v>
      </c>
      <c r="E1511" s="295" t="s">
        <v>392</v>
      </c>
      <c r="F1511" s="295" t="s">
        <v>393</v>
      </c>
      <c r="G1511" s="296" t="s">
        <v>3077</v>
      </c>
      <c r="H1511" s="296" t="s">
        <v>3078</v>
      </c>
      <c r="I1511" s="297">
        <v>465000</v>
      </c>
    </row>
    <row r="1512" spans="1:11" x14ac:dyDescent="0.2">
      <c r="A1512" s="279">
        <v>1511</v>
      </c>
      <c r="B1512" s="294">
        <v>43070</v>
      </c>
      <c r="C1512" s="294">
        <v>43088</v>
      </c>
      <c r="D1512" s="233" t="s">
        <v>1092</v>
      </c>
      <c r="E1512" s="295" t="s">
        <v>392</v>
      </c>
      <c r="F1512" s="295" t="s">
        <v>2224</v>
      </c>
      <c r="G1512" s="296" t="s">
        <v>3079</v>
      </c>
      <c r="H1512" s="296" t="s">
        <v>3080</v>
      </c>
      <c r="I1512" s="297">
        <v>29958.68</v>
      </c>
    </row>
    <row r="1513" spans="1:11" x14ac:dyDescent="0.2">
      <c r="A1513" s="279">
        <v>1512</v>
      </c>
      <c r="B1513" s="294">
        <v>43070</v>
      </c>
      <c r="C1513" s="294">
        <v>43088</v>
      </c>
      <c r="D1513" s="233" t="s">
        <v>1092</v>
      </c>
      <c r="E1513" s="295" t="s">
        <v>392</v>
      </c>
      <c r="F1513" s="295" t="s">
        <v>2224</v>
      </c>
      <c r="G1513" s="297" t="s">
        <v>3231</v>
      </c>
      <c r="H1513" s="296" t="s">
        <v>3232</v>
      </c>
      <c r="I1513" s="297">
        <v>52727.27</v>
      </c>
    </row>
    <row r="1514" spans="1:11" x14ac:dyDescent="0.2">
      <c r="A1514" s="279">
        <v>1513</v>
      </c>
      <c r="B1514" s="294">
        <v>43073</v>
      </c>
      <c r="C1514" s="294">
        <v>43115</v>
      </c>
      <c r="D1514" s="233" t="s">
        <v>1092</v>
      </c>
      <c r="E1514" s="295" t="s">
        <v>422</v>
      </c>
      <c r="F1514" s="295" t="s">
        <v>2102</v>
      </c>
      <c r="G1514" s="296" t="s">
        <v>3081</v>
      </c>
      <c r="H1514" s="296" t="s">
        <v>3082</v>
      </c>
      <c r="I1514" s="297">
        <v>48000</v>
      </c>
      <c r="K1514" s="178" t="s">
        <v>3142</v>
      </c>
    </row>
    <row r="1515" spans="1:11" x14ac:dyDescent="0.2">
      <c r="A1515" s="279">
        <v>1514</v>
      </c>
      <c r="B1515" s="294">
        <v>43073</v>
      </c>
      <c r="C1515" s="294">
        <v>43089</v>
      </c>
      <c r="D1515" s="233" t="s">
        <v>1092</v>
      </c>
      <c r="E1515" s="295" t="s">
        <v>422</v>
      </c>
      <c r="F1515" s="295" t="s">
        <v>2102</v>
      </c>
      <c r="G1515" s="296" t="s">
        <v>3083</v>
      </c>
      <c r="H1515" s="296" t="s">
        <v>3084</v>
      </c>
      <c r="I1515" s="297">
        <v>100000</v>
      </c>
    </row>
    <row r="1516" spans="1:11" x14ac:dyDescent="0.2">
      <c r="A1516" s="279">
        <v>1515</v>
      </c>
      <c r="B1516" s="294">
        <v>43073</v>
      </c>
      <c r="C1516" s="294">
        <v>43089</v>
      </c>
      <c r="D1516" s="233" t="s">
        <v>1092</v>
      </c>
      <c r="E1516" s="295" t="s">
        <v>422</v>
      </c>
      <c r="F1516" s="295" t="s">
        <v>2102</v>
      </c>
      <c r="G1516" s="300" t="s">
        <v>3085</v>
      </c>
      <c r="H1516" s="301" t="s">
        <v>3086</v>
      </c>
      <c r="I1516" s="297">
        <v>19000</v>
      </c>
    </row>
    <row r="1517" spans="1:11" x14ac:dyDescent="0.2">
      <c r="A1517" s="279">
        <v>1516</v>
      </c>
      <c r="B1517" s="294">
        <v>43073</v>
      </c>
      <c r="C1517" s="294">
        <v>43087</v>
      </c>
      <c r="D1517" s="233" t="s">
        <v>1092</v>
      </c>
      <c r="E1517" s="295" t="s">
        <v>422</v>
      </c>
      <c r="F1517" s="295" t="s">
        <v>2102</v>
      </c>
      <c r="G1517" s="296" t="s">
        <v>3087</v>
      </c>
      <c r="H1517" s="296" t="s">
        <v>3088</v>
      </c>
      <c r="I1517" s="297">
        <v>131500</v>
      </c>
    </row>
    <row r="1518" spans="1:11" x14ac:dyDescent="0.2">
      <c r="A1518" s="279">
        <v>1517</v>
      </c>
      <c r="B1518" s="294">
        <v>43073</v>
      </c>
      <c r="C1518" s="294">
        <v>43082</v>
      </c>
      <c r="D1518" s="233" t="s">
        <v>1092</v>
      </c>
      <c r="E1518" s="295" t="s">
        <v>422</v>
      </c>
      <c r="F1518" s="295" t="s">
        <v>2102</v>
      </c>
      <c r="G1518" s="296" t="s">
        <v>3089</v>
      </c>
      <c r="H1518" s="296" t="s">
        <v>3090</v>
      </c>
      <c r="I1518" s="297">
        <v>38500</v>
      </c>
    </row>
    <row r="1519" spans="1:11" x14ac:dyDescent="0.2">
      <c r="A1519" s="279">
        <v>1518</v>
      </c>
      <c r="B1519" s="294">
        <v>43080</v>
      </c>
      <c r="C1519" s="294">
        <v>43108</v>
      </c>
      <c r="D1519" s="233" t="s">
        <v>1092</v>
      </c>
      <c r="E1519" s="295" t="s">
        <v>392</v>
      </c>
      <c r="F1519" s="295" t="s">
        <v>396</v>
      </c>
      <c r="G1519" s="296" t="s">
        <v>3093</v>
      </c>
      <c r="H1519" s="296" t="s">
        <v>3094</v>
      </c>
      <c r="I1519" s="297">
        <v>90314.07</v>
      </c>
    </row>
    <row r="1520" spans="1:11" x14ac:dyDescent="0.2">
      <c r="A1520" s="279">
        <v>1519</v>
      </c>
      <c r="B1520" s="294">
        <v>43080</v>
      </c>
      <c r="C1520" s="294">
        <v>43108</v>
      </c>
      <c r="D1520" s="233" t="s">
        <v>1092</v>
      </c>
      <c r="E1520" s="295" t="s">
        <v>422</v>
      </c>
      <c r="F1520" s="295" t="s">
        <v>701</v>
      </c>
      <c r="G1520" s="296" t="s">
        <v>3095</v>
      </c>
      <c r="H1520" s="296" t="s">
        <v>3096</v>
      </c>
      <c r="I1520" s="297">
        <v>28500</v>
      </c>
    </row>
    <row r="1521" spans="1:11" x14ac:dyDescent="0.2">
      <c r="A1521" s="279">
        <v>1520</v>
      </c>
      <c r="B1521" s="294">
        <v>43080</v>
      </c>
      <c r="C1521" s="294">
        <v>43108</v>
      </c>
      <c r="D1521" s="233" t="s">
        <v>1092</v>
      </c>
      <c r="E1521" s="295" t="s">
        <v>422</v>
      </c>
      <c r="F1521" s="295" t="s">
        <v>701</v>
      </c>
      <c r="G1521" s="296" t="s">
        <v>3097</v>
      </c>
      <c r="H1521" s="296" t="s">
        <v>3098</v>
      </c>
      <c r="I1521" s="297">
        <v>23400</v>
      </c>
    </row>
    <row r="1522" spans="1:11" x14ac:dyDescent="0.2">
      <c r="A1522" s="279">
        <v>1521</v>
      </c>
      <c r="B1522" s="294">
        <v>43080</v>
      </c>
      <c r="C1522" s="294">
        <v>43087</v>
      </c>
      <c r="D1522" s="233" t="s">
        <v>1092</v>
      </c>
      <c r="E1522" s="295" t="s">
        <v>422</v>
      </c>
      <c r="F1522" s="295" t="s">
        <v>701</v>
      </c>
      <c r="G1522" s="296" t="s">
        <v>3099</v>
      </c>
      <c r="H1522" s="296" t="s">
        <v>3100</v>
      </c>
      <c r="I1522" s="297">
        <v>42100</v>
      </c>
    </row>
    <row r="1523" spans="1:11" x14ac:dyDescent="0.2">
      <c r="A1523" s="279">
        <v>1522</v>
      </c>
      <c r="B1523" s="294">
        <v>43080</v>
      </c>
      <c r="C1523" s="294">
        <v>43115</v>
      </c>
      <c r="D1523" s="233" t="s">
        <v>1092</v>
      </c>
      <c r="E1523" s="295" t="s">
        <v>422</v>
      </c>
      <c r="F1523" s="295" t="s">
        <v>701</v>
      </c>
      <c r="G1523" s="296" t="s">
        <v>3101</v>
      </c>
      <c r="H1523" s="296" t="s">
        <v>3102</v>
      </c>
      <c r="I1523" s="297">
        <v>123000</v>
      </c>
      <c r="K1523" s="178" t="s">
        <v>3121</v>
      </c>
    </row>
    <row r="1524" spans="1:11" x14ac:dyDescent="0.2">
      <c r="A1524" s="279">
        <v>1523</v>
      </c>
      <c r="B1524" s="294">
        <v>43081</v>
      </c>
      <c r="C1524" s="294">
        <v>43129</v>
      </c>
      <c r="D1524" s="233" t="s">
        <v>1092</v>
      </c>
      <c r="E1524" s="295" t="s">
        <v>392</v>
      </c>
      <c r="F1524" s="295" t="s">
        <v>9</v>
      </c>
      <c r="G1524" s="296" t="s">
        <v>3104</v>
      </c>
      <c r="H1524" s="296" t="s">
        <v>3103</v>
      </c>
      <c r="I1524" s="297">
        <v>291179.09999999998</v>
      </c>
    </row>
    <row r="1525" spans="1:11" x14ac:dyDescent="0.2">
      <c r="A1525" s="279">
        <v>1524</v>
      </c>
      <c r="B1525" s="294">
        <v>43081</v>
      </c>
      <c r="C1525" s="294">
        <v>43129</v>
      </c>
      <c r="D1525" s="233" t="s">
        <v>1092</v>
      </c>
      <c r="E1525" s="295" t="s">
        <v>392</v>
      </c>
      <c r="F1525" s="295" t="s">
        <v>9</v>
      </c>
      <c r="G1525" s="296" t="s">
        <v>3105</v>
      </c>
      <c r="H1525" s="296" t="s">
        <v>3106</v>
      </c>
      <c r="I1525" s="297">
        <v>554653.9</v>
      </c>
    </row>
    <row r="1526" spans="1:11" x14ac:dyDescent="0.2">
      <c r="A1526" s="279">
        <v>1525</v>
      </c>
      <c r="B1526" s="302">
        <v>43081</v>
      </c>
      <c r="C1526" s="302">
        <v>43136</v>
      </c>
      <c r="D1526" s="233" t="s">
        <v>1092</v>
      </c>
      <c r="E1526" s="303" t="s">
        <v>422</v>
      </c>
      <c r="F1526" s="303" t="s">
        <v>701</v>
      </c>
      <c r="G1526" s="304" t="s">
        <v>3112</v>
      </c>
      <c r="H1526" s="304" t="s">
        <v>3107</v>
      </c>
      <c r="I1526" s="305">
        <v>311200</v>
      </c>
      <c r="J1526" s="178" t="s">
        <v>3362</v>
      </c>
    </row>
    <row r="1527" spans="1:11" x14ac:dyDescent="0.2">
      <c r="A1527" s="279">
        <v>1526</v>
      </c>
      <c r="B1527" s="294">
        <v>43082</v>
      </c>
      <c r="C1527" s="294">
        <v>43108</v>
      </c>
      <c r="D1527" s="233" t="s">
        <v>1092</v>
      </c>
      <c r="E1527" s="295" t="s">
        <v>422</v>
      </c>
      <c r="F1527" s="295" t="s">
        <v>701</v>
      </c>
      <c r="G1527" s="296" t="s">
        <v>3108</v>
      </c>
      <c r="H1527" s="296" t="s">
        <v>3109</v>
      </c>
      <c r="I1527" s="297">
        <v>126500</v>
      </c>
    </row>
    <row r="1528" spans="1:11" x14ac:dyDescent="0.2">
      <c r="A1528" s="279">
        <v>1527</v>
      </c>
      <c r="B1528" s="294">
        <v>43082</v>
      </c>
      <c r="C1528" s="294">
        <v>43108</v>
      </c>
      <c r="D1528" s="233" t="s">
        <v>1092</v>
      </c>
      <c r="E1528" s="295" t="s">
        <v>422</v>
      </c>
      <c r="F1528" s="295" t="s">
        <v>71</v>
      </c>
      <c r="G1528" s="296" t="s">
        <v>3110</v>
      </c>
      <c r="H1528" s="296" t="s">
        <v>3111</v>
      </c>
      <c r="I1528" s="297">
        <v>52868.85</v>
      </c>
    </row>
    <row r="1529" spans="1:11" x14ac:dyDescent="0.2">
      <c r="A1529" s="279">
        <v>1528</v>
      </c>
      <c r="B1529" s="294">
        <v>43083</v>
      </c>
      <c r="C1529" s="294">
        <v>43122</v>
      </c>
      <c r="D1529" s="233" t="s">
        <v>1092</v>
      </c>
      <c r="E1529" s="295" t="s">
        <v>392</v>
      </c>
      <c r="F1529" s="295" t="s">
        <v>393</v>
      </c>
      <c r="G1529" s="296" t="s">
        <v>3113</v>
      </c>
      <c r="H1529" s="296" t="s">
        <v>3114</v>
      </c>
      <c r="I1529" s="297">
        <v>75029</v>
      </c>
    </row>
    <row r="1530" spans="1:11" x14ac:dyDescent="0.2">
      <c r="A1530" s="279">
        <v>1529</v>
      </c>
      <c r="B1530" s="294">
        <v>43083</v>
      </c>
      <c r="C1530" s="294">
        <v>43108</v>
      </c>
      <c r="D1530" s="233" t="s">
        <v>1092</v>
      </c>
      <c r="E1530" s="295" t="s">
        <v>422</v>
      </c>
      <c r="F1530" s="295" t="s">
        <v>701</v>
      </c>
      <c r="G1530" s="296" t="s">
        <v>3115</v>
      </c>
      <c r="H1530" s="296" t="s">
        <v>3116</v>
      </c>
      <c r="I1530" s="297">
        <v>11700</v>
      </c>
    </row>
    <row r="1531" spans="1:11" x14ac:dyDescent="0.2">
      <c r="A1531" s="279">
        <v>1530</v>
      </c>
      <c r="B1531" s="294">
        <v>43083</v>
      </c>
      <c r="C1531" s="294">
        <v>43124</v>
      </c>
      <c r="D1531" s="233" t="s">
        <v>1092</v>
      </c>
      <c r="E1531" s="295" t="s">
        <v>422</v>
      </c>
      <c r="F1531" s="295" t="s">
        <v>701</v>
      </c>
      <c r="G1531" s="296" t="s">
        <v>3117</v>
      </c>
      <c r="H1531" s="296" t="s">
        <v>3118</v>
      </c>
      <c r="I1531" s="297">
        <v>28000</v>
      </c>
    </row>
    <row r="1532" spans="1:11" x14ac:dyDescent="0.2">
      <c r="A1532" s="279">
        <v>1531</v>
      </c>
      <c r="B1532" s="294">
        <v>43083</v>
      </c>
      <c r="C1532" s="294">
        <v>43108</v>
      </c>
      <c r="D1532" s="233" t="s">
        <v>1092</v>
      </c>
      <c r="E1532" s="295" t="s">
        <v>422</v>
      </c>
      <c r="F1532" s="295" t="s">
        <v>701</v>
      </c>
      <c r="G1532" s="296" t="s">
        <v>3119</v>
      </c>
      <c r="H1532" s="296" t="s">
        <v>3120</v>
      </c>
      <c r="I1532" s="297">
        <v>25500</v>
      </c>
    </row>
    <row r="1533" spans="1:11" x14ac:dyDescent="0.2">
      <c r="A1533" s="279">
        <v>1532</v>
      </c>
      <c r="B1533" s="294">
        <v>43084</v>
      </c>
      <c r="C1533" s="294">
        <v>43110</v>
      </c>
      <c r="D1533" s="233" t="s">
        <v>1092</v>
      </c>
      <c r="E1533" s="295" t="s">
        <v>422</v>
      </c>
      <c r="F1533" s="295" t="s">
        <v>393</v>
      </c>
      <c r="G1533" s="296" t="s">
        <v>3134</v>
      </c>
      <c r="H1533" s="296" t="s">
        <v>3135</v>
      </c>
      <c r="I1533" s="297">
        <v>14400</v>
      </c>
    </row>
    <row r="1534" spans="1:11" x14ac:dyDescent="0.2">
      <c r="A1534" s="279">
        <v>1533</v>
      </c>
      <c r="B1534" s="294">
        <v>43084</v>
      </c>
      <c r="C1534" s="294">
        <v>43136</v>
      </c>
      <c r="D1534" s="233" t="s">
        <v>1092</v>
      </c>
      <c r="E1534" s="295" t="s">
        <v>422</v>
      </c>
      <c r="F1534" s="295" t="s">
        <v>701</v>
      </c>
      <c r="G1534" s="296" t="s">
        <v>3122</v>
      </c>
      <c r="H1534" s="296" t="s">
        <v>3123</v>
      </c>
      <c r="I1534" s="297">
        <v>89400</v>
      </c>
    </row>
    <row r="1535" spans="1:11" x14ac:dyDescent="0.2">
      <c r="A1535" s="279">
        <v>1534</v>
      </c>
      <c r="B1535" s="294">
        <v>43084</v>
      </c>
      <c r="C1535" s="294">
        <v>43136</v>
      </c>
      <c r="D1535" s="233" t="s">
        <v>1092</v>
      </c>
      <c r="E1535" s="295" t="s">
        <v>422</v>
      </c>
      <c r="F1535" s="295" t="s">
        <v>701</v>
      </c>
      <c r="G1535" s="296" t="s">
        <v>3124</v>
      </c>
      <c r="H1535" s="296" t="s">
        <v>3125</v>
      </c>
      <c r="I1535" s="297">
        <v>88100</v>
      </c>
    </row>
    <row r="1536" spans="1:11" x14ac:dyDescent="0.2">
      <c r="A1536" s="279">
        <v>1535</v>
      </c>
      <c r="B1536" s="294">
        <v>43084</v>
      </c>
      <c r="C1536" s="294">
        <v>43115</v>
      </c>
      <c r="D1536" s="233" t="s">
        <v>1092</v>
      </c>
      <c r="E1536" s="295" t="s">
        <v>422</v>
      </c>
      <c r="F1536" s="295" t="s">
        <v>701</v>
      </c>
      <c r="G1536" s="296" t="s">
        <v>3126</v>
      </c>
      <c r="H1536" s="296" t="s">
        <v>3127</v>
      </c>
      <c r="I1536" s="297">
        <v>19000</v>
      </c>
    </row>
    <row r="1537" spans="1:11" x14ac:dyDescent="0.2">
      <c r="A1537" s="279">
        <v>1536</v>
      </c>
      <c r="B1537" s="294">
        <v>43084</v>
      </c>
      <c r="C1537" s="294">
        <v>43110</v>
      </c>
      <c r="D1537" s="233" t="s">
        <v>1092</v>
      </c>
      <c r="E1537" s="295" t="s">
        <v>392</v>
      </c>
      <c r="F1537" s="295" t="s">
        <v>71</v>
      </c>
      <c r="G1537" s="296" t="s">
        <v>3128</v>
      </c>
      <c r="H1537" s="296" t="s">
        <v>3129</v>
      </c>
      <c r="I1537" s="297">
        <v>53698.06</v>
      </c>
    </row>
    <row r="1538" spans="1:11" x14ac:dyDescent="0.2">
      <c r="A1538" s="279">
        <v>1537</v>
      </c>
      <c r="B1538" s="294">
        <v>43084</v>
      </c>
      <c r="C1538" s="294">
        <v>43125</v>
      </c>
      <c r="D1538" s="233" t="s">
        <v>1092</v>
      </c>
      <c r="E1538" s="295" t="s">
        <v>392</v>
      </c>
      <c r="F1538" s="295" t="s">
        <v>393</v>
      </c>
      <c r="G1538" s="296" t="s">
        <v>3130</v>
      </c>
      <c r="H1538" s="296" t="s">
        <v>3131</v>
      </c>
      <c r="I1538" s="297">
        <v>18757</v>
      </c>
    </row>
    <row r="1539" spans="1:11" x14ac:dyDescent="0.2">
      <c r="A1539" s="279">
        <v>1538</v>
      </c>
      <c r="B1539" s="294">
        <v>43084</v>
      </c>
      <c r="C1539" s="294">
        <v>43115</v>
      </c>
      <c r="D1539" s="233" t="s">
        <v>1092</v>
      </c>
      <c r="E1539" s="295" t="s">
        <v>422</v>
      </c>
      <c r="F1539" s="295" t="s">
        <v>701</v>
      </c>
      <c r="G1539" s="296" t="s">
        <v>3132</v>
      </c>
      <c r="H1539" s="296" t="s">
        <v>3133</v>
      </c>
      <c r="I1539" s="297">
        <v>97200</v>
      </c>
    </row>
    <row r="1540" spans="1:11" x14ac:dyDescent="0.2">
      <c r="A1540" s="279">
        <v>1539</v>
      </c>
      <c r="B1540" s="294">
        <v>43084</v>
      </c>
      <c r="C1540" s="294">
        <v>43110</v>
      </c>
      <c r="D1540" s="233" t="s">
        <v>1092</v>
      </c>
      <c r="E1540" s="295" t="s">
        <v>422</v>
      </c>
      <c r="F1540" s="295" t="s">
        <v>396</v>
      </c>
      <c r="G1540" s="301" t="s">
        <v>3134</v>
      </c>
      <c r="H1540" s="296" t="s">
        <v>3135</v>
      </c>
      <c r="I1540" s="297">
        <v>14400</v>
      </c>
    </row>
    <row r="1541" spans="1:11" x14ac:dyDescent="0.2">
      <c r="A1541" s="279">
        <v>1540</v>
      </c>
      <c r="B1541" s="294">
        <v>43084</v>
      </c>
      <c r="C1541" s="294">
        <v>43110</v>
      </c>
      <c r="D1541" s="233" t="s">
        <v>1092</v>
      </c>
      <c r="E1541" s="295" t="s">
        <v>392</v>
      </c>
      <c r="F1541" s="295" t="s">
        <v>393</v>
      </c>
      <c r="G1541" s="296" t="s">
        <v>3136</v>
      </c>
      <c r="H1541" s="296" t="s">
        <v>3137</v>
      </c>
      <c r="I1541" s="297">
        <v>15900</v>
      </c>
    </row>
    <row r="1542" spans="1:11" x14ac:dyDescent="0.2">
      <c r="A1542" s="279">
        <v>1541</v>
      </c>
      <c r="B1542" s="294">
        <v>43087</v>
      </c>
      <c r="C1542" s="294">
        <v>43117</v>
      </c>
      <c r="D1542" s="233" t="s">
        <v>1092</v>
      </c>
      <c r="E1542" s="295" t="s">
        <v>392</v>
      </c>
      <c r="F1542" s="295" t="s">
        <v>9</v>
      </c>
      <c r="G1542" s="296" t="s">
        <v>3138</v>
      </c>
      <c r="H1542" s="296" t="s">
        <v>3140</v>
      </c>
      <c r="I1542" s="297">
        <v>131187</v>
      </c>
    </row>
    <row r="1543" spans="1:11" x14ac:dyDescent="0.2">
      <c r="A1543" s="279">
        <v>1542</v>
      </c>
      <c r="B1543" s="294">
        <v>43087</v>
      </c>
      <c r="C1543" s="294">
        <v>43110</v>
      </c>
      <c r="D1543" s="233" t="s">
        <v>1092</v>
      </c>
      <c r="E1543" s="295" t="s">
        <v>392</v>
      </c>
      <c r="F1543" s="295" t="s">
        <v>393</v>
      </c>
      <c r="G1543" s="296" t="s">
        <v>3139</v>
      </c>
      <c r="H1543" s="296" t="s">
        <v>3141</v>
      </c>
      <c r="I1543" s="297">
        <v>32000</v>
      </c>
    </row>
    <row r="1544" spans="1:11" x14ac:dyDescent="0.2">
      <c r="A1544" s="279">
        <v>1543</v>
      </c>
      <c r="B1544" s="294">
        <v>43088</v>
      </c>
      <c r="C1544" s="294">
        <v>43110</v>
      </c>
      <c r="D1544" s="233" t="s">
        <v>1092</v>
      </c>
      <c r="E1544" s="295" t="s">
        <v>422</v>
      </c>
      <c r="F1544" s="295" t="s">
        <v>396</v>
      </c>
      <c r="G1544" s="296" t="s">
        <v>3143</v>
      </c>
      <c r="H1544" s="296" t="s">
        <v>3144</v>
      </c>
      <c r="I1544" s="297">
        <v>4800</v>
      </c>
    </row>
    <row r="1545" spans="1:11" x14ac:dyDescent="0.2">
      <c r="A1545" s="279">
        <v>1544</v>
      </c>
      <c r="B1545" s="294">
        <v>43088</v>
      </c>
      <c r="C1545" s="294">
        <v>43108</v>
      </c>
      <c r="D1545" s="233" t="s">
        <v>1092</v>
      </c>
      <c r="E1545" s="295" t="s">
        <v>392</v>
      </c>
      <c r="F1545" s="295" t="s">
        <v>9</v>
      </c>
      <c r="G1545" s="296" t="s">
        <v>3145</v>
      </c>
      <c r="H1545" s="296" t="s">
        <v>3146</v>
      </c>
      <c r="I1545" s="297">
        <v>118613.8</v>
      </c>
    </row>
    <row r="1546" spans="1:11" x14ac:dyDescent="0.2">
      <c r="A1546" s="279">
        <v>1545</v>
      </c>
      <c r="B1546" s="294">
        <v>43090</v>
      </c>
      <c r="C1546" s="294">
        <v>43178</v>
      </c>
      <c r="D1546" s="233" t="s">
        <v>1092</v>
      </c>
      <c r="E1546" s="295" t="s">
        <v>392</v>
      </c>
      <c r="F1546" s="295" t="s">
        <v>9</v>
      </c>
      <c r="G1546" s="296" t="s">
        <v>3147</v>
      </c>
      <c r="H1546" s="296" t="s">
        <v>3148</v>
      </c>
      <c r="I1546" s="297">
        <v>234323</v>
      </c>
      <c r="K1546" s="178" t="s">
        <v>3243</v>
      </c>
    </row>
    <row r="1547" spans="1:11" x14ac:dyDescent="0.2">
      <c r="A1547" s="279">
        <v>1546</v>
      </c>
      <c r="B1547" s="294">
        <v>43089</v>
      </c>
      <c r="C1547" s="294">
        <v>43121</v>
      </c>
      <c r="D1547" s="233" t="s">
        <v>1092</v>
      </c>
      <c r="E1547" s="295" t="s">
        <v>392</v>
      </c>
      <c r="F1547" s="295" t="s">
        <v>393</v>
      </c>
      <c r="G1547" s="296" t="s">
        <v>3149</v>
      </c>
      <c r="H1547" s="296" t="s">
        <v>3150</v>
      </c>
      <c r="I1547" s="297">
        <v>88000</v>
      </c>
    </row>
    <row r="1548" spans="1:11" x14ac:dyDescent="0.2">
      <c r="A1548" s="279">
        <v>1547</v>
      </c>
      <c r="B1548" s="294">
        <v>43089</v>
      </c>
      <c r="C1548" s="294">
        <v>43117</v>
      </c>
      <c r="D1548" s="233" t="s">
        <v>1092</v>
      </c>
      <c r="E1548" s="295" t="s">
        <v>422</v>
      </c>
      <c r="F1548" s="295" t="s">
        <v>701</v>
      </c>
      <c r="G1548" s="296" t="s">
        <v>3151</v>
      </c>
      <c r="H1548" s="296" t="s">
        <v>3152</v>
      </c>
      <c r="I1548" s="297">
        <v>45600</v>
      </c>
    </row>
    <row r="1549" spans="1:11" x14ac:dyDescent="0.2">
      <c r="A1549" s="279">
        <v>1548</v>
      </c>
      <c r="B1549" s="294">
        <v>43090</v>
      </c>
      <c r="C1549" s="294">
        <v>43137</v>
      </c>
      <c r="D1549" s="233" t="s">
        <v>1092</v>
      </c>
      <c r="E1549" s="295" t="s">
        <v>392</v>
      </c>
      <c r="F1549" s="295" t="s">
        <v>9</v>
      </c>
      <c r="G1549" s="296" t="s">
        <v>3153</v>
      </c>
      <c r="H1549" s="296" t="s">
        <v>3154</v>
      </c>
      <c r="I1549" s="297">
        <v>788284</v>
      </c>
    </row>
    <row r="1550" spans="1:11" x14ac:dyDescent="0.2">
      <c r="A1550" s="279">
        <v>1549</v>
      </c>
      <c r="B1550" s="294">
        <v>43097</v>
      </c>
      <c r="C1550" s="294">
        <v>43117</v>
      </c>
      <c r="D1550" s="233" t="s">
        <v>1092</v>
      </c>
      <c r="E1550" s="295" t="s">
        <v>392</v>
      </c>
      <c r="F1550" s="295" t="s">
        <v>393</v>
      </c>
      <c r="G1550" s="296" t="s">
        <v>3155</v>
      </c>
      <c r="H1550" s="296" t="s">
        <v>3156</v>
      </c>
      <c r="I1550" s="297">
        <v>79546.44</v>
      </c>
    </row>
    <row r="1551" spans="1:11" x14ac:dyDescent="0.2">
      <c r="A1551" s="279">
        <v>1550</v>
      </c>
      <c r="B1551" s="294">
        <v>43097</v>
      </c>
      <c r="C1551" s="294">
        <v>43122</v>
      </c>
      <c r="D1551" s="233" t="s">
        <v>1092</v>
      </c>
      <c r="E1551" s="295" t="s">
        <v>422</v>
      </c>
      <c r="F1551" s="295" t="s">
        <v>701</v>
      </c>
      <c r="G1551" s="296" t="s">
        <v>3157</v>
      </c>
      <c r="H1551" s="296" t="s">
        <v>3158</v>
      </c>
      <c r="I1551" s="297">
        <v>19000</v>
      </c>
    </row>
    <row r="1552" spans="1:11" x14ac:dyDescent="0.2">
      <c r="A1552" s="279">
        <v>1551</v>
      </c>
      <c r="B1552" s="294">
        <v>43097</v>
      </c>
      <c r="C1552" s="294">
        <v>43122</v>
      </c>
      <c r="D1552" s="233" t="s">
        <v>1092</v>
      </c>
      <c r="E1552" s="295" t="s">
        <v>422</v>
      </c>
      <c r="F1552" s="295" t="s">
        <v>701</v>
      </c>
      <c r="G1552" s="296" t="s">
        <v>3159</v>
      </c>
      <c r="H1552" s="296" t="s">
        <v>3160</v>
      </c>
      <c r="I1552" s="297">
        <v>57500</v>
      </c>
    </row>
    <row r="1553" spans="1:9" x14ac:dyDescent="0.2">
      <c r="A1553" s="279">
        <v>1552</v>
      </c>
      <c r="B1553" s="294">
        <v>43096</v>
      </c>
      <c r="C1553" s="294">
        <v>43115</v>
      </c>
      <c r="D1553" s="233" t="s">
        <v>1092</v>
      </c>
      <c r="E1553" s="295" t="s">
        <v>422</v>
      </c>
      <c r="F1553" s="295" t="s">
        <v>1276</v>
      </c>
      <c r="G1553" s="296" t="s">
        <v>3161</v>
      </c>
      <c r="H1553" s="296" t="s">
        <v>3162</v>
      </c>
      <c r="I1553" s="297">
        <v>112444.44</v>
      </c>
    </row>
    <row r="1554" spans="1:9" x14ac:dyDescent="0.2">
      <c r="A1554" s="279">
        <v>1553</v>
      </c>
      <c r="B1554" s="294">
        <v>43096</v>
      </c>
      <c r="C1554" s="294">
        <v>43117</v>
      </c>
      <c r="D1554" s="233" t="s">
        <v>1092</v>
      </c>
      <c r="E1554" s="295" t="s">
        <v>422</v>
      </c>
      <c r="F1554" s="295" t="s">
        <v>701</v>
      </c>
      <c r="G1554" s="296" t="s">
        <v>3163</v>
      </c>
      <c r="H1554" s="296" t="s">
        <v>3164</v>
      </c>
      <c r="I1554" s="297">
        <v>60000</v>
      </c>
    </row>
    <row r="1555" spans="1:9" x14ac:dyDescent="0.2">
      <c r="A1555" s="279">
        <v>1554</v>
      </c>
      <c r="B1555" s="294">
        <v>43091</v>
      </c>
      <c r="C1555" s="294">
        <v>43129</v>
      </c>
      <c r="D1555" s="233" t="s">
        <v>1092</v>
      </c>
      <c r="E1555" s="295" t="s">
        <v>422</v>
      </c>
      <c r="F1555" s="295" t="s">
        <v>701</v>
      </c>
      <c r="G1555" s="296" t="s">
        <v>3165</v>
      </c>
      <c r="H1555" s="296" t="s">
        <v>3166</v>
      </c>
      <c r="I1555" s="297">
        <v>25500</v>
      </c>
    </row>
    <row r="1556" spans="1:9" ht="13.5" customHeight="1" x14ac:dyDescent="0.2">
      <c r="A1556" s="279">
        <v>1555</v>
      </c>
      <c r="B1556" s="294">
        <v>43098</v>
      </c>
      <c r="C1556" s="294">
        <v>43129</v>
      </c>
      <c r="D1556" s="233" t="s">
        <v>1092</v>
      </c>
      <c r="E1556" s="295" t="s">
        <v>422</v>
      </c>
      <c r="F1556" s="295" t="s">
        <v>701</v>
      </c>
      <c r="G1556" s="296" t="s">
        <v>3167</v>
      </c>
      <c r="H1556" s="296" t="s">
        <v>3168</v>
      </c>
      <c r="I1556" s="297">
        <v>33300</v>
      </c>
    </row>
    <row r="1557" spans="1:9" x14ac:dyDescent="0.2">
      <c r="A1557" s="279">
        <v>1556</v>
      </c>
      <c r="B1557" s="294">
        <v>43091</v>
      </c>
      <c r="C1557" s="294">
        <v>43110</v>
      </c>
      <c r="D1557" s="233" t="s">
        <v>1092</v>
      </c>
      <c r="E1557" s="295" t="s">
        <v>392</v>
      </c>
      <c r="F1557" s="295" t="s">
        <v>9</v>
      </c>
      <c r="G1557" s="296" t="s">
        <v>3171</v>
      </c>
      <c r="H1557" s="296" t="s">
        <v>3172</v>
      </c>
      <c r="I1557" s="297">
        <v>163696</v>
      </c>
    </row>
    <row r="1558" spans="1:9" x14ac:dyDescent="0.2">
      <c r="A1558" s="279">
        <v>1557</v>
      </c>
      <c r="B1558" s="294">
        <v>43091</v>
      </c>
      <c r="C1558" s="294">
        <v>43110</v>
      </c>
      <c r="D1558" s="233" t="s">
        <v>1092</v>
      </c>
      <c r="E1558" s="295" t="s">
        <v>392</v>
      </c>
      <c r="F1558" s="295" t="s">
        <v>9</v>
      </c>
      <c r="G1558" s="296" t="s">
        <v>3173</v>
      </c>
      <c r="H1558" s="296" t="s">
        <v>3174</v>
      </c>
      <c r="I1558" s="297">
        <v>145786</v>
      </c>
    </row>
    <row r="1559" spans="1:9" x14ac:dyDescent="0.2">
      <c r="A1559" s="279">
        <v>1558</v>
      </c>
      <c r="B1559" s="294">
        <v>43104</v>
      </c>
      <c r="C1559" s="294">
        <v>43122</v>
      </c>
      <c r="D1559" s="233" t="s">
        <v>1092</v>
      </c>
      <c r="E1559" s="295" t="s">
        <v>392</v>
      </c>
      <c r="F1559" s="295" t="s">
        <v>393</v>
      </c>
      <c r="G1559" s="296" t="s">
        <v>3175</v>
      </c>
      <c r="H1559" s="296" t="s">
        <v>3176</v>
      </c>
      <c r="I1559" s="297">
        <v>51000</v>
      </c>
    </row>
    <row r="1560" spans="1:9" x14ac:dyDescent="0.2">
      <c r="A1560" s="279">
        <v>1559</v>
      </c>
      <c r="B1560" s="294">
        <v>43104</v>
      </c>
      <c r="C1560" s="294">
        <v>43122</v>
      </c>
      <c r="D1560" s="233" t="s">
        <v>1092</v>
      </c>
      <c r="E1560" s="295" t="s">
        <v>392</v>
      </c>
      <c r="F1560" s="295" t="s">
        <v>71</v>
      </c>
      <c r="G1560" s="296" t="s">
        <v>3177</v>
      </c>
      <c r="H1560" s="296" t="s">
        <v>3178</v>
      </c>
      <c r="I1560" s="297">
        <v>7176.31</v>
      </c>
    </row>
    <row r="1561" spans="1:9" x14ac:dyDescent="0.2">
      <c r="A1561" s="279">
        <v>1560</v>
      </c>
      <c r="B1561" s="294">
        <v>43103</v>
      </c>
      <c r="C1561" s="294">
        <v>43129</v>
      </c>
      <c r="D1561" s="233" t="s">
        <v>1092</v>
      </c>
      <c r="E1561" s="295" t="s">
        <v>392</v>
      </c>
      <c r="F1561" s="295" t="s">
        <v>9</v>
      </c>
      <c r="G1561" s="296" t="s">
        <v>3179</v>
      </c>
      <c r="H1561" s="296" t="s">
        <v>3180</v>
      </c>
      <c r="I1561" s="297">
        <v>187561.2</v>
      </c>
    </row>
    <row r="1562" spans="1:9" x14ac:dyDescent="0.2">
      <c r="A1562" s="279">
        <v>1561</v>
      </c>
      <c r="B1562" s="294">
        <v>43105</v>
      </c>
      <c r="C1562" s="294">
        <v>43122</v>
      </c>
      <c r="D1562" s="233" t="s">
        <v>1092</v>
      </c>
      <c r="E1562" s="295" t="s">
        <v>422</v>
      </c>
      <c r="F1562" s="295" t="s">
        <v>701</v>
      </c>
      <c r="G1562" s="296" t="s">
        <v>3181</v>
      </c>
      <c r="H1562" s="296" t="s">
        <v>3182</v>
      </c>
      <c r="I1562" s="297">
        <v>40000</v>
      </c>
    </row>
    <row r="1563" spans="1:9" x14ac:dyDescent="0.2">
      <c r="A1563" s="279">
        <v>1562</v>
      </c>
      <c r="B1563" s="294">
        <v>43102</v>
      </c>
      <c r="C1563" s="294">
        <v>43143</v>
      </c>
      <c r="D1563" s="233" t="s">
        <v>1092</v>
      </c>
      <c r="E1563" s="295" t="s">
        <v>392</v>
      </c>
      <c r="F1563" s="295" t="s">
        <v>9</v>
      </c>
      <c r="G1563" s="296" t="s">
        <v>3183</v>
      </c>
      <c r="H1563" s="296" t="s">
        <v>3184</v>
      </c>
      <c r="I1563" s="297">
        <v>335572.86</v>
      </c>
    </row>
    <row r="1564" spans="1:9" x14ac:dyDescent="0.2">
      <c r="A1564" s="279">
        <v>1563</v>
      </c>
      <c r="B1564" s="294">
        <v>43109</v>
      </c>
      <c r="C1564" s="294">
        <v>43131</v>
      </c>
      <c r="D1564" s="233" t="s">
        <v>1092</v>
      </c>
      <c r="E1564" s="295" t="s">
        <v>392</v>
      </c>
      <c r="F1564" s="295" t="s">
        <v>71</v>
      </c>
      <c r="G1564" s="296" t="s">
        <v>3185</v>
      </c>
      <c r="H1564" s="296" t="s">
        <v>3186</v>
      </c>
      <c r="I1564" s="297">
        <v>34739.919999999998</v>
      </c>
    </row>
    <row r="1565" spans="1:9" x14ac:dyDescent="0.2">
      <c r="A1565" s="279">
        <v>1564</v>
      </c>
      <c r="B1565" s="294">
        <v>43109</v>
      </c>
      <c r="C1565" s="294">
        <v>43131</v>
      </c>
      <c r="D1565" s="233" t="s">
        <v>1092</v>
      </c>
      <c r="E1565" s="295" t="s">
        <v>392</v>
      </c>
      <c r="F1565" s="295" t="s">
        <v>9</v>
      </c>
      <c r="G1565" s="296" t="s">
        <v>3187</v>
      </c>
      <c r="H1565" s="296" t="s">
        <v>3188</v>
      </c>
      <c r="I1565" s="297">
        <v>89071</v>
      </c>
    </row>
    <row r="1566" spans="1:9" x14ac:dyDescent="0.2">
      <c r="A1566" s="279">
        <v>1565</v>
      </c>
      <c r="B1566" s="294">
        <v>43109</v>
      </c>
      <c r="C1566" s="294">
        <v>43129</v>
      </c>
      <c r="D1566" s="233" t="s">
        <v>1092</v>
      </c>
      <c r="E1566" s="295" t="s">
        <v>392</v>
      </c>
      <c r="F1566" s="295" t="s">
        <v>393</v>
      </c>
      <c r="G1566" s="296" t="s">
        <v>3189</v>
      </c>
      <c r="H1566" s="296" t="s">
        <v>3190</v>
      </c>
      <c r="I1566" s="297">
        <v>39680</v>
      </c>
    </row>
    <row r="1567" spans="1:9" x14ac:dyDescent="0.2">
      <c r="A1567" s="279">
        <v>1566</v>
      </c>
      <c r="B1567" s="294">
        <v>43110</v>
      </c>
      <c r="C1567" s="294">
        <v>43129</v>
      </c>
      <c r="D1567" s="233" t="s">
        <v>1092</v>
      </c>
      <c r="E1567" s="295" t="s">
        <v>422</v>
      </c>
      <c r="F1567" s="295" t="s">
        <v>701</v>
      </c>
      <c r="G1567" s="296" t="s">
        <v>3191</v>
      </c>
      <c r="H1567" s="296" t="s">
        <v>3192</v>
      </c>
      <c r="I1567" s="297">
        <v>13516.56</v>
      </c>
    </row>
    <row r="1568" spans="1:9" x14ac:dyDescent="0.2">
      <c r="A1568" s="279">
        <v>1567</v>
      </c>
      <c r="B1568" s="294">
        <v>43111</v>
      </c>
      <c r="C1568" s="294">
        <v>43131</v>
      </c>
      <c r="D1568" s="233" t="s">
        <v>1092</v>
      </c>
      <c r="E1568" s="295" t="s">
        <v>422</v>
      </c>
      <c r="F1568" s="295" t="s">
        <v>396</v>
      </c>
      <c r="G1568" s="296" t="s">
        <v>3193</v>
      </c>
      <c r="H1568" s="296" t="s">
        <v>3194</v>
      </c>
      <c r="I1568" s="297">
        <v>25600</v>
      </c>
    </row>
    <row r="1569" spans="1:9" x14ac:dyDescent="0.2">
      <c r="A1569" s="279">
        <v>1568</v>
      </c>
      <c r="B1569" s="294">
        <v>43112</v>
      </c>
      <c r="C1569" s="294">
        <v>43129</v>
      </c>
      <c r="D1569" s="233" t="s">
        <v>1092</v>
      </c>
      <c r="E1569" s="295" t="s">
        <v>422</v>
      </c>
      <c r="F1569" s="295" t="s">
        <v>701</v>
      </c>
      <c r="G1569" s="296" t="s">
        <v>3195</v>
      </c>
      <c r="H1569" s="296" t="s">
        <v>3196</v>
      </c>
      <c r="I1569" s="297">
        <v>10000</v>
      </c>
    </row>
    <row r="1570" spans="1:9" x14ac:dyDescent="0.2">
      <c r="A1570" s="279">
        <v>1569</v>
      </c>
      <c r="B1570" s="294">
        <v>43112</v>
      </c>
      <c r="C1570" s="294">
        <v>43129</v>
      </c>
      <c r="D1570" s="233" t="s">
        <v>1092</v>
      </c>
      <c r="E1570" s="295" t="s">
        <v>422</v>
      </c>
      <c r="F1570" s="295" t="s">
        <v>701</v>
      </c>
      <c r="G1570" s="296" t="s">
        <v>3197</v>
      </c>
      <c r="H1570" s="296" t="s">
        <v>3198</v>
      </c>
      <c r="I1570" s="297">
        <v>10000</v>
      </c>
    </row>
    <row r="1571" spans="1:9" x14ac:dyDescent="0.2">
      <c r="A1571" s="279">
        <v>1570</v>
      </c>
      <c r="B1571" s="294">
        <v>43112</v>
      </c>
      <c r="C1571" s="294">
        <v>43131</v>
      </c>
      <c r="D1571" s="233" t="s">
        <v>1092</v>
      </c>
      <c r="E1571" s="295" t="s">
        <v>392</v>
      </c>
      <c r="F1571" s="295" t="s">
        <v>9</v>
      </c>
      <c r="G1571" s="296" t="s">
        <v>3199</v>
      </c>
      <c r="H1571" s="296" t="s">
        <v>3200</v>
      </c>
      <c r="I1571" s="297">
        <v>146344</v>
      </c>
    </row>
    <row r="1572" spans="1:9" x14ac:dyDescent="0.2">
      <c r="A1572" s="279">
        <v>1571</v>
      </c>
      <c r="B1572" s="294">
        <v>43112</v>
      </c>
      <c r="C1572" s="294">
        <v>43129</v>
      </c>
      <c r="D1572" s="233" t="s">
        <v>1092</v>
      </c>
      <c r="E1572" s="295" t="s">
        <v>392</v>
      </c>
      <c r="F1572" s="295" t="s">
        <v>393</v>
      </c>
      <c r="G1572" s="296" t="s">
        <v>3201</v>
      </c>
      <c r="H1572" s="296" t="s">
        <v>3202</v>
      </c>
      <c r="I1572" s="297">
        <v>132812.1</v>
      </c>
    </row>
    <row r="1573" spans="1:9" x14ac:dyDescent="0.2">
      <c r="A1573" s="279">
        <v>1572</v>
      </c>
      <c r="B1573" s="294">
        <v>43116</v>
      </c>
      <c r="C1573" s="294">
        <v>43136</v>
      </c>
      <c r="D1573" s="233" t="s">
        <v>1092</v>
      </c>
      <c r="E1573" s="295" t="s">
        <v>392</v>
      </c>
      <c r="F1573" s="295" t="s">
        <v>393</v>
      </c>
      <c r="G1573" s="296" t="s">
        <v>3203</v>
      </c>
      <c r="H1573" s="296" t="s">
        <v>3204</v>
      </c>
      <c r="I1573" s="297">
        <v>22000</v>
      </c>
    </row>
    <row r="1574" spans="1:9" x14ac:dyDescent="0.2">
      <c r="A1574" s="279">
        <v>1573</v>
      </c>
      <c r="B1574" s="294">
        <v>43116</v>
      </c>
      <c r="C1574" s="294">
        <v>43131</v>
      </c>
      <c r="D1574" s="233" t="s">
        <v>1092</v>
      </c>
      <c r="E1574" s="295" t="s">
        <v>422</v>
      </c>
      <c r="F1574" s="295" t="s">
        <v>701</v>
      </c>
      <c r="G1574" s="296" t="s">
        <v>3205</v>
      </c>
      <c r="H1574" s="296" t="s">
        <v>3206</v>
      </c>
      <c r="I1574" s="297">
        <v>189600</v>
      </c>
    </row>
    <row r="1575" spans="1:9" x14ac:dyDescent="0.2">
      <c r="A1575" s="279">
        <v>1574</v>
      </c>
      <c r="B1575" s="294">
        <v>43116</v>
      </c>
      <c r="C1575" s="294">
        <v>43136</v>
      </c>
      <c r="D1575" s="233" t="s">
        <v>1092</v>
      </c>
      <c r="E1575" s="295" t="s">
        <v>422</v>
      </c>
      <c r="F1575" s="295" t="s">
        <v>701</v>
      </c>
      <c r="G1575" s="296" t="s">
        <v>3207</v>
      </c>
      <c r="H1575" s="296" t="s">
        <v>3208</v>
      </c>
      <c r="I1575" s="297">
        <v>12407.6</v>
      </c>
    </row>
    <row r="1576" spans="1:9" x14ac:dyDescent="0.2">
      <c r="A1576" s="279">
        <v>1575</v>
      </c>
      <c r="B1576" s="294">
        <v>43118</v>
      </c>
      <c r="C1576" s="294">
        <v>43136</v>
      </c>
      <c r="D1576" s="233" t="s">
        <v>1092</v>
      </c>
      <c r="E1576" s="295" t="s">
        <v>392</v>
      </c>
      <c r="F1576" s="295" t="s">
        <v>2224</v>
      </c>
      <c r="G1576" s="296" t="s">
        <v>3209</v>
      </c>
      <c r="H1576" s="296" t="s">
        <v>3210</v>
      </c>
      <c r="I1576" s="297">
        <v>35000</v>
      </c>
    </row>
    <row r="1577" spans="1:9" x14ac:dyDescent="0.2">
      <c r="A1577" s="279">
        <v>1576</v>
      </c>
      <c r="B1577" s="294">
        <v>43118</v>
      </c>
      <c r="C1577" s="294">
        <v>43138</v>
      </c>
      <c r="D1577" s="233" t="s">
        <v>1092</v>
      </c>
      <c r="E1577" s="295" t="s">
        <v>392</v>
      </c>
      <c r="F1577" s="295" t="s">
        <v>71</v>
      </c>
      <c r="G1577" s="296" t="s">
        <v>3211</v>
      </c>
      <c r="H1577" s="296" t="s">
        <v>3212</v>
      </c>
      <c r="I1577" s="297">
        <v>9941.68</v>
      </c>
    </row>
    <row r="1578" spans="1:9" x14ac:dyDescent="0.2">
      <c r="A1578" s="279">
        <v>1577</v>
      </c>
      <c r="B1578" s="294">
        <v>43118</v>
      </c>
      <c r="C1578" s="294">
        <v>43136</v>
      </c>
      <c r="D1578" s="233" t="s">
        <v>1092</v>
      </c>
      <c r="E1578" s="295" t="s">
        <v>422</v>
      </c>
      <c r="F1578" s="295" t="s">
        <v>71</v>
      </c>
      <c r="G1578" s="296" t="s">
        <v>3213</v>
      </c>
      <c r="H1578" s="296" t="s">
        <v>3214</v>
      </c>
      <c r="I1578" s="297">
        <v>4845.6400000000003</v>
      </c>
    </row>
    <row r="1579" spans="1:9" x14ac:dyDescent="0.2">
      <c r="A1579" s="279">
        <v>1578</v>
      </c>
      <c r="B1579" s="294">
        <v>43118</v>
      </c>
      <c r="C1579" s="294">
        <v>43136</v>
      </c>
      <c r="D1579" s="233" t="s">
        <v>1092</v>
      </c>
      <c r="E1579" s="295" t="s">
        <v>422</v>
      </c>
      <c r="F1579" s="295" t="s">
        <v>71</v>
      </c>
      <c r="G1579" s="296" t="s">
        <v>3215</v>
      </c>
      <c r="H1579" s="296" t="s">
        <v>3216</v>
      </c>
      <c r="I1579" s="297">
        <v>55407.71</v>
      </c>
    </row>
    <row r="1580" spans="1:9" x14ac:dyDescent="0.2">
      <c r="A1580" s="279">
        <v>1579</v>
      </c>
      <c r="B1580" s="294">
        <v>43119</v>
      </c>
      <c r="C1580" s="294">
        <v>43136</v>
      </c>
      <c r="D1580" s="233" t="s">
        <v>1092</v>
      </c>
      <c r="E1580" s="295" t="s">
        <v>422</v>
      </c>
      <c r="F1580" s="295" t="s">
        <v>1640</v>
      </c>
      <c r="G1580" s="296" t="s">
        <v>3217</v>
      </c>
      <c r="H1580" s="296" t="s">
        <v>3218</v>
      </c>
      <c r="I1580" s="297">
        <v>146761.10999999999</v>
      </c>
    </row>
    <row r="1581" spans="1:9" x14ac:dyDescent="0.2">
      <c r="A1581" s="279">
        <v>1580</v>
      </c>
      <c r="B1581" s="294">
        <v>43119</v>
      </c>
      <c r="C1581" s="294">
        <v>43136</v>
      </c>
      <c r="D1581" s="233" t="s">
        <v>1092</v>
      </c>
      <c r="E1581" s="295" t="s">
        <v>392</v>
      </c>
      <c r="F1581" s="295" t="s">
        <v>393</v>
      </c>
      <c r="G1581" s="296" t="s">
        <v>3219</v>
      </c>
      <c r="H1581" s="296" t="s">
        <v>3220</v>
      </c>
      <c r="I1581" s="297">
        <v>9920</v>
      </c>
    </row>
    <row r="1582" spans="1:9" x14ac:dyDescent="0.2">
      <c r="A1582" s="279">
        <v>1581</v>
      </c>
      <c r="B1582" s="294">
        <v>43119</v>
      </c>
      <c r="C1582" s="294">
        <v>43171</v>
      </c>
      <c r="D1582" s="233" t="s">
        <v>1092</v>
      </c>
      <c r="E1582" s="295" t="s">
        <v>392</v>
      </c>
      <c r="F1582" s="295" t="s">
        <v>701</v>
      </c>
      <c r="G1582" s="296" t="s">
        <v>3221</v>
      </c>
      <c r="H1582" s="296" t="s">
        <v>3222</v>
      </c>
      <c r="I1582" s="297">
        <v>363000</v>
      </c>
    </row>
    <row r="1583" spans="1:9" x14ac:dyDescent="0.2">
      <c r="A1583" s="279">
        <v>1582</v>
      </c>
      <c r="B1583" s="294">
        <v>43129</v>
      </c>
      <c r="C1583" s="294">
        <v>43145</v>
      </c>
      <c r="D1583" s="233" t="s">
        <v>1092</v>
      </c>
      <c r="E1583" s="295" t="s">
        <v>422</v>
      </c>
      <c r="F1583" s="295" t="s">
        <v>1640</v>
      </c>
      <c r="G1583" s="296" t="s">
        <v>3223</v>
      </c>
      <c r="H1583" s="296" t="s">
        <v>3224</v>
      </c>
      <c r="I1583" s="297">
        <v>12888.89</v>
      </c>
    </row>
    <row r="1584" spans="1:9" x14ac:dyDescent="0.2">
      <c r="A1584" s="279">
        <v>1583</v>
      </c>
      <c r="B1584" s="294">
        <v>43129</v>
      </c>
      <c r="C1584" s="294">
        <v>43145</v>
      </c>
      <c r="D1584" s="233" t="s">
        <v>1092</v>
      </c>
      <c r="E1584" s="295" t="s">
        <v>422</v>
      </c>
      <c r="F1584" s="295" t="s">
        <v>701</v>
      </c>
      <c r="G1584" s="296" t="s">
        <v>3225</v>
      </c>
      <c r="H1584" s="296" t="s">
        <v>3226</v>
      </c>
      <c r="I1584" s="297">
        <v>13365</v>
      </c>
    </row>
    <row r="1585" spans="1:10" x14ac:dyDescent="0.2">
      <c r="A1585" s="279">
        <v>1584</v>
      </c>
      <c r="B1585" s="294">
        <v>43130</v>
      </c>
      <c r="C1585" s="294">
        <v>43150</v>
      </c>
      <c r="D1585" s="233" t="s">
        <v>1092</v>
      </c>
      <c r="E1585" s="295" t="s">
        <v>422</v>
      </c>
      <c r="F1585" s="295" t="s">
        <v>701</v>
      </c>
      <c r="G1585" s="296" t="s">
        <v>3227</v>
      </c>
      <c r="H1585" s="296" t="s">
        <v>3228</v>
      </c>
      <c r="I1585" s="297">
        <v>22000</v>
      </c>
    </row>
    <row r="1586" spans="1:10" x14ac:dyDescent="0.2">
      <c r="A1586" s="306">
        <v>1585</v>
      </c>
      <c r="B1586" s="294">
        <v>43137</v>
      </c>
      <c r="C1586" s="294">
        <v>43157</v>
      </c>
      <c r="D1586" s="233" t="s">
        <v>1092</v>
      </c>
      <c r="E1586" s="295" t="s">
        <v>422</v>
      </c>
      <c r="F1586" s="295" t="s">
        <v>71</v>
      </c>
      <c r="G1586" s="296" t="s">
        <v>3237</v>
      </c>
      <c r="H1586" s="296" t="s">
        <v>3238</v>
      </c>
      <c r="I1586" s="297">
        <v>96863.84</v>
      </c>
    </row>
    <row r="1587" spans="1:10" x14ac:dyDescent="0.2">
      <c r="A1587" s="306">
        <v>1586</v>
      </c>
      <c r="B1587" s="294">
        <v>43137</v>
      </c>
      <c r="C1587" s="294">
        <v>43157</v>
      </c>
      <c r="D1587" s="233" t="s">
        <v>1092</v>
      </c>
      <c r="E1587" s="295" t="s">
        <v>422</v>
      </c>
      <c r="F1587" s="295" t="s">
        <v>396</v>
      </c>
      <c r="G1587" s="296" t="s">
        <v>3239</v>
      </c>
      <c r="H1587" s="296" t="s">
        <v>3240</v>
      </c>
      <c r="I1587" s="297">
        <v>4000</v>
      </c>
    </row>
    <row r="1588" spans="1:10" x14ac:dyDescent="0.2">
      <c r="A1588" s="306">
        <v>1587</v>
      </c>
      <c r="B1588" s="294">
        <v>43137</v>
      </c>
      <c r="C1588" s="294">
        <v>43157</v>
      </c>
      <c r="D1588" s="233" t="s">
        <v>1092</v>
      </c>
      <c r="E1588" s="295" t="s">
        <v>422</v>
      </c>
      <c r="F1588" s="295" t="s">
        <v>396</v>
      </c>
      <c r="G1588" s="296" t="s">
        <v>3241</v>
      </c>
      <c r="H1588" s="296" t="s">
        <v>3242</v>
      </c>
      <c r="I1588" s="297">
        <v>11022.22</v>
      </c>
    </row>
    <row r="1589" spans="1:10" x14ac:dyDescent="0.2">
      <c r="A1589" s="306">
        <v>1588</v>
      </c>
      <c r="B1589" s="294">
        <v>43138</v>
      </c>
      <c r="C1589" s="294">
        <v>43157</v>
      </c>
      <c r="D1589" s="233" t="s">
        <v>1092</v>
      </c>
      <c r="E1589" s="295" t="s">
        <v>422</v>
      </c>
      <c r="F1589" s="295" t="s">
        <v>701</v>
      </c>
      <c r="G1589" s="296" t="s">
        <v>3244</v>
      </c>
      <c r="H1589" s="296" t="s">
        <v>3245</v>
      </c>
      <c r="I1589" s="297">
        <v>36000</v>
      </c>
    </row>
    <row r="1590" spans="1:10" x14ac:dyDescent="0.2">
      <c r="A1590" s="306">
        <v>1589</v>
      </c>
      <c r="B1590" s="294">
        <v>43138</v>
      </c>
      <c r="C1590" s="294">
        <v>43157</v>
      </c>
      <c r="D1590" s="233" t="s">
        <v>1092</v>
      </c>
      <c r="E1590" s="295" t="s">
        <v>422</v>
      </c>
      <c r="F1590" s="295" t="s">
        <v>396</v>
      </c>
      <c r="G1590" s="296" t="s">
        <v>3246</v>
      </c>
      <c r="H1590" s="296" t="s">
        <v>3247</v>
      </c>
      <c r="I1590" s="297">
        <v>19852.8</v>
      </c>
    </row>
    <row r="1591" spans="1:10" x14ac:dyDescent="0.2">
      <c r="A1591" s="306">
        <v>1590</v>
      </c>
      <c r="B1591" s="294">
        <v>43138</v>
      </c>
      <c r="C1591" s="294">
        <v>43157</v>
      </c>
      <c r="D1591" s="233" t="s">
        <v>1092</v>
      </c>
      <c r="E1591" s="295" t="s">
        <v>422</v>
      </c>
      <c r="F1591" s="295" t="s">
        <v>701</v>
      </c>
      <c r="G1591" s="296" t="s">
        <v>3248</v>
      </c>
      <c r="H1591" s="296" t="s">
        <v>3249</v>
      </c>
      <c r="I1591" s="297">
        <v>25500</v>
      </c>
    </row>
    <row r="1592" spans="1:10" x14ac:dyDescent="0.2">
      <c r="A1592" s="306">
        <v>1591</v>
      </c>
      <c r="B1592" s="294">
        <v>43140</v>
      </c>
      <c r="C1592" s="294">
        <v>43157</v>
      </c>
      <c r="D1592" s="233" t="s">
        <v>1092</v>
      </c>
      <c r="E1592" s="295" t="s">
        <v>392</v>
      </c>
      <c r="F1592" s="295" t="s">
        <v>2224</v>
      </c>
      <c r="G1592" s="296" t="s">
        <v>3250</v>
      </c>
      <c r="H1592" s="296" t="s">
        <v>3251</v>
      </c>
      <c r="I1592" s="297">
        <v>13000</v>
      </c>
    </row>
    <row r="1593" spans="1:10" x14ac:dyDescent="0.2">
      <c r="A1593" s="306">
        <v>1592</v>
      </c>
      <c r="B1593" s="294">
        <v>43140</v>
      </c>
      <c r="C1593" s="294">
        <v>43157</v>
      </c>
      <c r="D1593" s="233" t="s">
        <v>1092</v>
      </c>
      <c r="E1593" s="295" t="s">
        <v>392</v>
      </c>
      <c r="F1593" s="295" t="s">
        <v>9</v>
      </c>
      <c r="G1593" s="296" t="s">
        <v>3252</v>
      </c>
      <c r="H1593" s="296" t="s">
        <v>3253</v>
      </c>
      <c r="I1593" s="297">
        <v>150842.85999999999</v>
      </c>
    </row>
    <row r="1594" spans="1:10" x14ac:dyDescent="0.2">
      <c r="A1594" s="306">
        <v>1593</v>
      </c>
      <c r="B1594" s="294">
        <v>43144</v>
      </c>
      <c r="C1594" s="294">
        <v>43164</v>
      </c>
      <c r="D1594" s="233" t="s">
        <v>1092</v>
      </c>
      <c r="E1594" s="295" t="s">
        <v>392</v>
      </c>
      <c r="F1594" s="295" t="s">
        <v>2224</v>
      </c>
      <c r="G1594" s="296" t="s">
        <v>3254</v>
      </c>
      <c r="H1594" s="296" t="s">
        <v>3255</v>
      </c>
      <c r="I1594" s="297">
        <v>14380.16</v>
      </c>
    </row>
    <row r="1595" spans="1:10" x14ac:dyDescent="0.2">
      <c r="A1595" s="306">
        <v>1594</v>
      </c>
      <c r="B1595" s="302">
        <v>43144</v>
      </c>
      <c r="C1595" s="302">
        <v>43164</v>
      </c>
      <c r="D1595" s="233" t="s">
        <v>1092</v>
      </c>
      <c r="E1595" s="303" t="s">
        <v>392</v>
      </c>
      <c r="F1595" s="303" t="s">
        <v>2224</v>
      </c>
      <c r="G1595" s="304" t="s">
        <v>3033</v>
      </c>
      <c r="H1595" s="304" t="s">
        <v>3256</v>
      </c>
      <c r="I1595" s="305">
        <v>16776.86</v>
      </c>
      <c r="J1595" s="178" t="s">
        <v>3359</v>
      </c>
    </row>
    <row r="1596" spans="1:10" x14ac:dyDescent="0.2">
      <c r="A1596" s="306">
        <v>1595</v>
      </c>
      <c r="B1596" s="294">
        <v>43144</v>
      </c>
      <c r="C1596" s="294">
        <v>43164</v>
      </c>
      <c r="D1596" s="233" t="s">
        <v>1092</v>
      </c>
      <c r="E1596" s="295" t="s">
        <v>392</v>
      </c>
      <c r="F1596" s="295" t="s">
        <v>2224</v>
      </c>
      <c r="G1596" s="296" t="s">
        <v>3257</v>
      </c>
      <c r="H1596" s="296" t="s">
        <v>3258</v>
      </c>
      <c r="I1596" s="297">
        <v>11983.47</v>
      </c>
    </row>
    <row r="1597" spans="1:10" x14ac:dyDescent="0.2">
      <c r="A1597" s="306">
        <v>1596</v>
      </c>
      <c r="B1597" s="294">
        <v>43145</v>
      </c>
      <c r="C1597" s="294">
        <v>43164</v>
      </c>
      <c r="D1597" s="233" t="s">
        <v>1092</v>
      </c>
      <c r="E1597" s="295" t="s">
        <v>392</v>
      </c>
      <c r="F1597" s="295" t="s">
        <v>2224</v>
      </c>
      <c r="G1597" s="296" t="s">
        <v>3259</v>
      </c>
      <c r="H1597" s="296" t="s">
        <v>3260</v>
      </c>
      <c r="I1597" s="297">
        <v>15000</v>
      </c>
    </row>
    <row r="1598" spans="1:10" x14ac:dyDescent="0.2">
      <c r="A1598" s="306">
        <v>1597</v>
      </c>
      <c r="B1598" s="294">
        <v>43145</v>
      </c>
      <c r="C1598" s="294">
        <v>43164</v>
      </c>
      <c r="D1598" s="233" t="s">
        <v>1092</v>
      </c>
      <c r="E1598" s="295" t="s">
        <v>422</v>
      </c>
      <c r="F1598" s="295" t="s">
        <v>396</v>
      </c>
      <c r="G1598" s="296" t="s">
        <v>3269</v>
      </c>
      <c r="H1598" s="296" t="s">
        <v>3261</v>
      </c>
      <c r="I1598" s="297">
        <v>198083.33</v>
      </c>
    </row>
    <row r="1599" spans="1:10" x14ac:dyDescent="0.2">
      <c r="A1599" s="306">
        <v>1598</v>
      </c>
      <c r="B1599" s="294">
        <v>43145</v>
      </c>
      <c r="C1599" s="294">
        <v>43164</v>
      </c>
      <c r="D1599" s="233" t="s">
        <v>1092</v>
      </c>
      <c r="E1599" s="295" t="s">
        <v>422</v>
      </c>
      <c r="F1599" s="295" t="s">
        <v>701</v>
      </c>
      <c r="G1599" s="296" t="s">
        <v>3262</v>
      </c>
      <c r="H1599" s="296" t="s">
        <v>3263</v>
      </c>
      <c r="I1599" s="297">
        <v>18000</v>
      </c>
    </row>
    <row r="1600" spans="1:10" x14ac:dyDescent="0.2">
      <c r="A1600" s="306">
        <v>1599</v>
      </c>
      <c r="B1600" s="294">
        <v>43145</v>
      </c>
      <c r="C1600" s="294">
        <v>43164</v>
      </c>
      <c r="D1600" s="233" t="s">
        <v>1092</v>
      </c>
      <c r="E1600" s="295" t="s">
        <v>392</v>
      </c>
      <c r="F1600" s="295" t="s">
        <v>2224</v>
      </c>
      <c r="G1600" s="296" t="s">
        <v>3264</v>
      </c>
      <c r="H1600" s="296" t="s">
        <v>3265</v>
      </c>
      <c r="I1600" s="297">
        <v>20000</v>
      </c>
    </row>
    <row r="1601" spans="1:9" x14ac:dyDescent="0.2">
      <c r="A1601" s="306">
        <v>1600</v>
      </c>
      <c r="B1601" s="294">
        <v>43145</v>
      </c>
      <c r="C1601" s="294">
        <v>43166</v>
      </c>
      <c r="D1601" s="233" t="s">
        <v>1092</v>
      </c>
      <c r="E1601" s="295" t="s">
        <v>422</v>
      </c>
      <c r="F1601" s="295" t="s">
        <v>701</v>
      </c>
      <c r="G1601" s="296" t="s">
        <v>3266</v>
      </c>
      <c r="H1601" s="296" t="s">
        <v>3267</v>
      </c>
      <c r="I1601" s="297">
        <v>19000</v>
      </c>
    </row>
    <row r="1602" spans="1:9" x14ac:dyDescent="0.2">
      <c r="A1602" s="306">
        <v>1601</v>
      </c>
      <c r="B1602" s="294">
        <v>43145</v>
      </c>
      <c r="C1602" s="294">
        <v>43164</v>
      </c>
      <c r="D1602" s="233" t="s">
        <v>1092</v>
      </c>
      <c r="E1602" s="295" t="s">
        <v>392</v>
      </c>
      <c r="F1602" s="295" t="s">
        <v>71</v>
      </c>
      <c r="G1602" s="296" t="s">
        <v>2778</v>
      </c>
      <c r="H1602" s="296" t="s">
        <v>2779</v>
      </c>
      <c r="I1602" s="297">
        <v>5395.33</v>
      </c>
    </row>
    <row r="1603" spans="1:9" x14ac:dyDescent="0.2">
      <c r="A1603" s="306">
        <v>1602</v>
      </c>
      <c r="B1603" s="294">
        <v>43147</v>
      </c>
      <c r="C1603" s="294">
        <v>43164</v>
      </c>
      <c r="D1603" s="233" t="s">
        <v>1092</v>
      </c>
      <c r="E1603" s="295" t="s">
        <v>392</v>
      </c>
      <c r="F1603" s="295" t="s">
        <v>2224</v>
      </c>
      <c r="G1603" s="296" t="s">
        <v>3270</v>
      </c>
      <c r="H1603" s="296" t="s">
        <v>3271</v>
      </c>
      <c r="I1603" s="297">
        <v>28000</v>
      </c>
    </row>
    <row r="1604" spans="1:9" x14ac:dyDescent="0.2">
      <c r="A1604" s="306">
        <v>1603</v>
      </c>
      <c r="B1604" s="294">
        <v>43151</v>
      </c>
      <c r="C1604" s="294">
        <v>43199</v>
      </c>
      <c r="D1604" s="233" t="s">
        <v>1092</v>
      </c>
      <c r="E1604" s="295" t="s">
        <v>392</v>
      </c>
      <c r="F1604" s="295" t="s">
        <v>9</v>
      </c>
      <c r="G1604" s="296" t="s">
        <v>3272</v>
      </c>
      <c r="H1604" s="296" t="s">
        <v>3273</v>
      </c>
      <c r="I1604" s="297">
        <v>250764</v>
      </c>
    </row>
    <row r="1605" spans="1:9" x14ac:dyDescent="0.2">
      <c r="A1605" s="306">
        <v>1604</v>
      </c>
      <c r="B1605" s="294">
        <v>43151</v>
      </c>
      <c r="C1605" s="294">
        <v>43171</v>
      </c>
      <c r="D1605" s="233" t="s">
        <v>1092</v>
      </c>
      <c r="E1605" s="295" t="s">
        <v>422</v>
      </c>
      <c r="F1605" s="295" t="s">
        <v>396</v>
      </c>
      <c r="G1605" s="296" t="s">
        <v>3274</v>
      </c>
      <c r="H1605" s="296" t="s">
        <v>3275</v>
      </c>
      <c r="I1605" s="297">
        <v>28800</v>
      </c>
    </row>
    <row r="1606" spans="1:9" x14ac:dyDescent="0.2">
      <c r="A1606" s="306">
        <v>1605</v>
      </c>
      <c r="B1606" s="294">
        <v>43152</v>
      </c>
      <c r="C1606" s="294">
        <v>43171</v>
      </c>
      <c r="D1606" s="233" t="s">
        <v>1092</v>
      </c>
      <c r="E1606" s="295" t="s">
        <v>422</v>
      </c>
      <c r="F1606" s="295" t="s">
        <v>701</v>
      </c>
      <c r="G1606" s="296" t="s">
        <v>3276</v>
      </c>
      <c r="H1606" s="296" t="s">
        <v>3277</v>
      </c>
      <c r="I1606" s="297">
        <v>25000</v>
      </c>
    </row>
    <row r="1607" spans="1:9" x14ac:dyDescent="0.2">
      <c r="A1607" s="306">
        <v>1606</v>
      </c>
      <c r="B1607" s="294">
        <v>43152</v>
      </c>
      <c r="C1607" s="294">
        <v>43199</v>
      </c>
      <c r="D1607" s="233" t="s">
        <v>1092</v>
      </c>
      <c r="E1607" s="295" t="s">
        <v>392</v>
      </c>
      <c r="F1607" s="295" t="s">
        <v>9</v>
      </c>
      <c r="G1607" s="296" t="s">
        <v>3278</v>
      </c>
      <c r="H1607" s="296" t="s">
        <v>3279</v>
      </c>
      <c r="I1607" s="297">
        <v>214486</v>
      </c>
    </row>
    <row r="1608" spans="1:9" x14ac:dyDescent="0.2">
      <c r="A1608" s="306">
        <v>1607</v>
      </c>
      <c r="B1608" s="294">
        <v>43153</v>
      </c>
      <c r="C1608" s="294">
        <v>43172</v>
      </c>
      <c r="D1608" s="233" t="s">
        <v>1092</v>
      </c>
      <c r="E1608" s="295" t="s">
        <v>422</v>
      </c>
      <c r="F1608" s="295" t="s">
        <v>701</v>
      </c>
      <c r="G1608" s="296" t="s">
        <v>3280</v>
      </c>
      <c r="H1608" s="296" t="s">
        <v>3281</v>
      </c>
      <c r="I1608" s="297">
        <v>25500</v>
      </c>
    </row>
    <row r="1609" spans="1:9" x14ac:dyDescent="0.2">
      <c r="A1609" s="306">
        <v>1608</v>
      </c>
      <c r="B1609" s="294">
        <v>43160</v>
      </c>
      <c r="C1609" s="294">
        <v>43208</v>
      </c>
      <c r="D1609" s="233" t="s">
        <v>1092</v>
      </c>
      <c r="E1609" s="295" t="s">
        <v>392</v>
      </c>
      <c r="F1609" s="295" t="s">
        <v>9</v>
      </c>
      <c r="G1609" s="296" t="s">
        <v>3282</v>
      </c>
      <c r="H1609" s="296" t="s">
        <v>3283</v>
      </c>
      <c r="I1609" s="297">
        <v>348860</v>
      </c>
    </row>
    <row r="1610" spans="1:9" x14ac:dyDescent="0.2">
      <c r="A1610" s="306">
        <v>1609</v>
      </c>
      <c r="B1610" s="294">
        <v>43160</v>
      </c>
      <c r="C1610" s="294">
        <v>43208</v>
      </c>
      <c r="D1610" s="233" t="s">
        <v>1092</v>
      </c>
      <c r="E1610" s="295" t="s">
        <v>392</v>
      </c>
      <c r="F1610" s="295" t="s">
        <v>9</v>
      </c>
      <c r="G1610" s="296" t="s">
        <v>3284</v>
      </c>
      <c r="H1610" s="296" t="s">
        <v>3285</v>
      </c>
      <c r="I1610" s="297">
        <v>226355.71</v>
      </c>
    </row>
    <row r="1611" spans="1:9" x14ac:dyDescent="0.2">
      <c r="A1611" s="306">
        <v>1610</v>
      </c>
      <c r="B1611" s="294">
        <v>43161</v>
      </c>
      <c r="C1611" s="294">
        <v>43178</v>
      </c>
      <c r="D1611" s="233" t="s">
        <v>1092</v>
      </c>
      <c r="E1611" s="295" t="s">
        <v>422</v>
      </c>
      <c r="F1611" s="295" t="s">
        <v>701</v>
      </c>
      <c r="G1611" s="296" t="s">
        <v>3286</v>
      </c>
      <c r="H1611" s="296" t="s">
        <v>3287</v>
      </c>
      <c r="I1611" s="297">
        <v>63300</v>
      </c>
    </row>
    <row r="1612" spans="1:9" x14ac:dyDescent="0.2">
      <c r="A1612" s="306">
        <v>1611</v>
      </c>
      <c r="B1612" s="294">
        <v>43161</v>
      </c>
      <c r="C1612" s="294">
        <v>43180</v>
      </c>
      <c r="D1612" s="233" t="s">
        <v>1092</v>
      </c>
      <c r="E1612" s="295" t="s">
        <v>422</v>
      </c>
      <c r="F1612" s="295" t="s">
        <v>396</v>
      </c>
      <c r="G1612" s="296" t="s">
        <v>3288</v>
      </c>
      <c r="H1612" s="296" t="s">
        <v>3295</v>
      </c>
      <c r="I1612" s="297">
        <v>9500</v>
      </c>
    </row>
    <row r="1613" spans="1:9" x14ac:dyDescent="0.2">
      <c r="A1613" s="306">
        <v>1612</v>
      </c>
      <c r="B1613" s="294">
        <v>43161</v>
      </c>
      <c r="C1613" s="294">
        <v>43180</v>
      </c>
      <c r="D1613" s="233" t="s">
        <v>1092</v>
      </c>
      <c r="E1613" s="295" t="s">
        <v>422</v>
      </c>
      <c r="F1613" s="295" t="s">
        <v>396</v>
      </c>
      <c r="G1613" s="296" t="s">
        <v>3289</v>
      </c>
      <c r="H1613" s="296" t="s">
        <v>3296</v>
      </c>
      <c r="I1613" s="297">
        <v>44450</v>
      </c>
    </row>
    <row r="1614" spans="1:9" x14ac:dyDescent="0.2">
      <c r="A1614" s="306">
        <v>1613</v>
      </c>
      <c r="B1614" s="294">
        <v>43161</v>
      </c>
      <c r="C1614" s="294">
        <v>43194</v>
      </c>
      <c r="D1614" s="233" t="s">
        <v>1092</v>
      </c>
      <c r="E1614" s="295" t="s">
        <v>422</v>
      </c>
      <c r="F1614" s="295" t="s">
        <v>71</v>
      </c>
      <c r="G1614" s="296" t="s">
        <v>3290</v>
      </c>
      <c r="H1614" s="296" t="s">
        <v>3297</v>
      </c>
      <c r="I1614" s="297">
        <v>490.66</v>
      </c>
    </row>
    <row r="1615" spans="1:9" x14ac:dyDescent="0.2">
      <c r="A1615" s="306">
        <v>1614</v>
      </c>
      <c r="B1615" s="294">
        <v>43161</v>
      </c>
      <c r="C1615" s="294">
        <v>43180</v>
      </c>
      <c r="D1615" s="233" t="s">
        <v>1092</v>
      </c>
      <c r="E1615" s="295" t="s">
        <v>422</v>
      </c>
      <c r="F1615" s="295" t="s">
        <v>71</v>
      </c>
      <c r="G1615" s="296" t="s">
        <v>3291</v>
      </c>
      <c r="H1615" s="296" t="s">
        <v>3298</v>
      </c>
      <c r="I1615" s="297">
        <v>13243.28</v>
      </c>
    </row>
    <row r="1616" spans="1:9" x14ac:dyDescent="0.2">
      <c r="A1616" s="306">
        <v>1615</v>
      </c>
      <c r="B1616" s="294">
        <v>43161</v>
      </c>
      <c r="C1616" s="294">
        <v>43178</v>
      </c>
      <c r="D1616" s="233" t="s">
        <v>1092</v>
      </c>
      <c r="E1616" s="295" t="s">
        <v>422</v>
      </c>
      <c r="F1616" s="295" t="s">
        <v>701</v>
      </c>
      <c r="G1616" s="296" t="s">
        <v>3292</v>
      </c>
      <c r="H1616" s="296" t="s">
        <v>3299</v>
      </c>
      <c r="I1616" s="297">
        <v>11880</v>
      </c>
    </row>
    <row r="1617" spans="1:10" x14ac:dyDescent="0.2">
      <c r="A1617" s="306">
        <v>1616</v>
      </c>
      <c r="B1617" s="294">
        <v>43161</v>
      </c>
      <c r="C1617" s="294">
        <v>43194</v>
      </c>
      <c r="D1617" s="233" t="s">
        <v>1092</v>
      </c>
      <c r="E1617" s="295" t="s">
        <v>392</v>
      </c>
      <c r="F1617" s="295" t="s">
        <v>71</v>
      </c>
      <c r="G1617" s="296" t="s">
        <v>3293</v>
      </c>
      <c r="H1617" s="296" t="s">
        <v>3300</v>
      </c>
      <c r="I1617" s="297">
        <v>1364.94</v>
      </c>
    </row>
    <row r="1618" spans="1:10" x14ac:dyDescent="0.2">
      <c r="A1618" s="306">
        <v>1617</v>
      </c>
      <c r="B1618" s="294">
        <v>43161</v>
      </c>
      <c r="C1618" s="294">
        <v>43180</v>
      </c>
      <c r="D1618" s="233" t="s">
        <v>1092</v>
      </c>
      <c r="E1618" s="295" t="s">
        <v>422</v>
      </c>
      <c r="F1618" s="295" t="s">
        <v>2266</v>
      </c>
      <c r="G1618" s="296" t="s">
        <v>3294</v>
      </c>
      <c r="H1618" s="296" t="s">
        <v>3301</v>
      </c>
      <c r="I1618" s="297">
        <v>27000</v>
      </c>
    </row>
    <row r="1619" spans="1:10" x14ac:dyDescent="0.2">
      <c r="A1619" s="306">
        <v>1618</v>
      </c>
      <c r="B1619" s="294">
        <v>43164</v>
      </c>
      <c r="C1619" s="294">
        <v>43194</v>
      </c>
      <c r="D1619" s="233" t="s">
        <v>1092</v>
      </c>
      <c r="E1619" s="295" t="s">
        <v>422</v>
      </c>
      <c r="F1619" s="295" t="s">
        <v>2266</v>
      </c>
      <c r="G1619" s="296" t="s">
        <v>3302</v>
      </c>
      <c r="H1619" s="296" t="s">
        <v>3303</v>
      </c>
      <c r="I1619" s="297">
        <v>2116.67</v>
      </c>
    </row>
    <row r="1620" spans="1:10" x14ac:dyDescent="0.2">
      <c r="A1620" s="306">
        <v>1619</v>
      </c>
      <c r="B1620" s="294">
        <v>43164</v>
      </c>
      <c r="C1620" s="294">
        <v>43185</v>
      </c>
      <c r="D1620" s="233" t="s">
        <v>1092</v>
      </c>
      <c r="E1620" s="295" t="s">
        <v>392</v>
      </c>
      <c r="F1620" s="295" t="s">
        <v>71</v>
      </c>
      <c r="G1620" s="296" t="s">
        <v>3304</v>
      </c>
      <c r="H1620" s="296" t="s">
        <v>3305</v>
      </c>
      <c r="I1620" s="297">
        <v>8089.34</v>
      </c>
    </row>
    <row r="1621" spans="1:10" x14ac:dyDescent="0.2">
      <c r="A1621" s="306">
        <v>1620</v>
      </c>
      <c r="B1621" s="294">
        <v>43164</v>
      </c>
      <c r="C1621" s="294">
        <v>43180</v>
      </c>
      <c r="D1621" s="233" t="s">
        <v>1092</v>
      </c>
      <c r="E1621" s="295" t="s">
        <v>422</v>
      </c>
      <c r="F1621" s="295" t="s">
        <v>701</v>
      </c>
      <c r="G1621" s="296" t="s">
        <v>3306</v>
      </c>
      <c r="H1621" s="296" t="s">
        <v>3307</v>
      </c>
      <c r="I1621" s="297">
        <v>38000</v>
      </c>
    </row>
    <row r="1622" spans="1:10" x14ac:dyDescent="0.2">
      <c r="A1622" s="306">
        <v>1621</v>
      </c>
      <c r="B1622" s="294">
        <v>43164</v>
      </c>
      <c r="C1622" s="294">
        <v>43194</v>
      </c>
      <c r="D1622" s="233" t="s">
        <v>1092</v>
      </c>
      <c r="E1622" s="295" t="s">
        <v>392</v>
      </c>
      <c r="F1622" s="295" t="s">
        <v>71</v>
      </c>
      <c r="G1622" s="296" t="s">
        <v>3308</v>
      </c>
      <c r="H1622" s="296" t="s">
        <v>3309</v>
      </c>
      <c r="I1622" s="297">
        <v>5494.4</v>
      </c>
    </row>
    <row r="1623" spans="1:10" x14ac:dyDescent="0.2">
      <c r="A1623" s="306">
        <v>1622</v>
      </c>
      <c r="B1623" s="294">
        <v>43164</v>
      </c>
      <c r="C1623" s="294">
        <v>43185</v>
      </c>
      <c r="D1623" s="233" t="s">
        <v>1092</v>
      </c>
      <c r="E1623" s="295" t="s">
        <v>422</v>
      </c>
      <c r="F1623" s="295" t="s">
        <v>396</v>
      </c>
      <c r="G1623" s="296" t="s">
        <v>3310</v>
      </c>
      <c r="H1623" s="296" t="s">
        <v>3311</v>
      </c>
      <c r="I1623" s="297">
        <v>25905</v>
      </c>
    </row>
    <row r="1624" spans="1:10" x14ac:dyDescent="0.2">
      <c r="A1624" s="306">
        <v>1623</v>
      </c>
      <c r="B1624" s="294">
        <v>43164</v>
      </c>
      <c r="C1624" s="294">
        <v>43180</v>
      </c>
      <c r="D1624" s="233" t="s">
        <v>1092</v>
      </c>
      <c r="E1624" s="295" t="s">
        <v>422</v>
      </c>
      <c r="F1624" s="295" t="s">
        <v>701</v>
      </c>
      <c r="G1624" s="296" t="s">
        <v>3312</v>
      </c>
      <c r="H1624" s="296" t="s">
        <v>3313</v>
      </c>
      <c r="I1624" s="297">
        <v>22275</v>
      </c>
    </row>
    <row r="1625" spans="1:10" x14ac:dyDescent="0.2">
      <c r="A1625" s="306">
        <v>1624</v>
      </c>
      <c r="B1625" s="294">
        <v>43165</v>
      </c>
      <c r="C1625" s="294">
        <v>43194</v>
      </c>
      <c r="D1625" s="233" t="s">
        <v>1092</v>
      </c>
      <c r="E1625" s="295" t="s">
        <v>422</v>
      </c>
      <c r="F1625" s="295" t="s">
        <v>396</v>
      </c>
      <c r="G1625" s="296" t="s">
        <v>3314</v>
      </c>
      <c r="H1625" s="296" t="s">
        <v>3315</v>
      </c>
      <c r="I1625" s="297">
        <v>650</v>
      </c>
    </row>
    <row r="1626" spans="1:10" x14ac:dyDescent="0.2">
      <c r="A1626" s="306">
        <v>1625</v>
      </c>
      <c r="B1626" s="294">
        <v>43165</v>
      </c>
      <c r="C1626" s="294">
        <v>43194</v>
      </c>
      <c r="D1626" s="233" t="s">
        <v>1092</v>
      </c>
      <c r="E1626" s="295" t="s">
        <v>392</v>
      </c>
      <c r="F1626" s="295" t="s">
        <v>2224</v>
      </c>
      <c r="G1626" s="296" t="s">
        <v>3316</v>
      </c>
      <c r="H1626" s="296" t="s">
        <v>3317</v>
      </c>
      <c r="I1626" s="297">
        <v>11000</v>
      </c>
    </row>
    <row r="1627" spans="1:10" x14ac:dyDescent="0.2">
      <c r="A1627" s="306">
        <v>1626</v>
      </c>
      <c r="B1627" s="294">
        <v>43165</v>
      </c>
      <c r="C1627" s="294">
        <v>43206</v>
      </c>
      <c r="D1627" s="233" t="s">
        <v>1092</v>
      </c>
      <c r="E1627" s="295" t="s">
        <v>422</v>
      </c>
      <c r="F1627" s="295" t="s">
        <v>71</v>
      </c>
      <c r="G1627" s="296" t="s">
        <v>3318</v>
      </c>
      <c r="H1627" s="296" t="s">
        <v>3319</v>
      </c>
      <c r="I1627" s="297">
        <v>1985</v>
      </c>
    </row>
    <row r="1628" spans="1:10" x14ac:dyDescent="0.2">
      <c r="A1628" s="306">
        <v>1627</v>
      </c>
      <c r="B1628" s="294">
        <v>43165</v>
      </c>
      <c r="C1628" s="294">
        <v>43194</v>
      </c>
      <c r="D1628" s="233" t="s">
        <v>1092</v>
      </c>
      <c r="E1628" s="295" t="s">
        <v>392</v>
      </c>
      <c r="F1628" s="295" t="s">
        <v>2224</v>
      </c>
      <c r="G1628" s="296" t="s">
        <v>3320</v>
      </c>
      <c r="H1628" s="296" t="s">
        <v>3321</v>
      </c>
      <c r="I1628" s="297">
        <v>11000</v>
      </c>
    </row>
    <row r="1629" spans="1:10" x14ac:dyDescent="0.2">
      <c r="A1629" s="306">
        <v>1628</v>
      </c>
      <c r="B1629" s="302">
        <v>43167</v>
      </c>
      <c r="C1629" s="302">
        <v>43220</v>
      </c>
      <c r="D1629" s="233" t="s">
        <v>1092</v>
      </c>
      <c r="E1629" s="303" t="s">
        <v>392</v>
      </c>
      <c r="F1629" s="303" t="s">
        <v>9</v>
      </c>
      <c r="G1629" s="304" t="s">
        <v>3322</v>
      </c>
      <c r="H1629" s="304" t="s">
        <v>3323</v>
      </c>
      <c r="I1629" s="305">
        <v>271502</v>
      </c>
      <c r="J1629" s="178" t="s">
        <v>3358</v>
      </c>
    </row>
    <row r="1630" spans="1:10" x14ac:dyDescent="0.2">
      <c r="A1630" s="306">
        <v>1629</v>
      </c>
      <c r="B1630" s="294">
        <v>43166</v>
      </c>
      <c r="C1630" s="294">
        <v>43185</v>
      </c>
      <c r="D1630" s="233" t="s">
        <v>1092</v>
      </c>
      <c r="E1630" s="295" t="s">
        <v>392</v>
      </c>
      <c r="F1630" s="295" t="s">
        <v>2224</v>
      </c>
      <c r="G1630" s="296" t="s">
        <v>3324</v>
      </c>
      <c r="H1630" s="296" t="s">
        <v>3325</v>
      </c>
      <c r="I1630" s="297">
        <v>11000</v>
      </c>
    </row>
    <row r="1631" spans="1:10" x14ac:dyDescent="0.2">
      <c r="A1631" s="306">
        <v>1630</v>
      </c>
      <c r="B1631" s="294">
        <v>43166</v>
      </c>
      <c r="C1631" s="294">
        <v>43194</v>
      </c>
      <c r="D1631" s="233" t="s">
        <v>1092</v>
      </c>
      <c r="E1631" s="295" t="s">
        <v>392</v>
      </c>
      <c r="F1631" s="295" t="s">
        <v>396</v>
      </c>
      <c r="G1631" s="296" t="s">
        <v>3326</v>
      </c>
      <c r="H1631" s="296" t="s">
        <v>3327</v>
      </c>
      <c r="I1631" s="297">
        <v>39000</v>
      </c>
    </row>
    <row r="1632" spans="1:10" x14ac:dyDescent="0.2">
      <c r="A1632" s="306">
        <v>1631</v>
      </c>
      <c r="B1632" s="294">
        <v>43166</v>
      </c>
      <c r="C1632" s="294">
        <v>43185</v>
      </c>
      <c r="D1632" s="233" t="s">
        <v>1092</v>
      </c>
      <c r="E1632" s="295" t="s">
        <v>422</v>
      </c>
      <c r="F1632" s="295" t="s">
        <v>396</v>
      </c>
      <c r="G1632" s="296" t="s">
        <v>3328</v>
      </c>
      <c r="H1632" s="296" t="s">
        <v>3329</v>
      </c>
      <c r="I1632" s="297">
        <v>8400</v>
      </c>
    </row>
    <row r="1633" spans="1:10" x14ac:dyDescent="0.2">
      <c r="A1633" s="306">
        <v>1632</v>
      </c>
      <c r="B1633" s="294">
        <v>43172</v>
      </c>
      <c r="C1633" s="294">
        <v>43227</v>
      </c>
      <c r="D1633" s="233" t="s">
        <v>1092</v>
      </c>
      <c r="E1633" s="295" t="s">
        <v>392</v>
      </c>
      <c r="F1633" s="295" t="s">
        <v>9</v>
      </c>
      <c r="G1633" s="296" t="s">
        <v>3330</v>
      </c>
      <c r="H1633" s="296" t="s">
        <v>3331</v>
      </c>
      <c r="I1633" s="297">
        <v>289714</v>
      </c>
    </row>
    <row r="1634" spans="1:10" x14ac:dyDescent="0.2">
      <c r="A1634" s="306">
        <v>1633</v>
      </c>
      <c r="B1634" s="294">
        <v>43166</v>
      </c>
      <c r="C1634" s="294">
        <v>43206</v>
      </c>
      <c r="D1634" s="233" t="s">
        <v>1092</v>
      </c>
      <c r="E1634" s="295" t="s">
        <v>422</v>
      </c>
      <c r="F1634" s="295" t="s">
        <v>701</v>
      </c>
      <c r="G1634" s="296" t="s">
        <v>3332</v>
      </c>
      <c r="H1634" s="296" t="s">
        <v>3333</v>
      </c>
      <c r="I1634" s="297">
        <v>68500</v>
      </c>
      <c r="J1634" s="178" t="s">
        <v>3357</v>
      </c>
    </row>
    <row r="1635" spans="1:10" x14ac:dyDescent="0.2">
      <c r="A1635" s="306">
        <v>1634</v>
      </c>
      <c r="B1635" s="294">
        <v>43166</v>
      </c>
      <c r="C1635" s="294">
        <v>43185</v>
      </c>
      <c r="D1635" s="233" t="s">
        <v>1092</v>
      </c>
      <c r="E1635" s="295" t="s">
        <v>422</v>
      </c>
      <c r="F1635" s="295" t="s">
        <v>701</v>
      </c>
      <c r="G1635" s="296" t="s">
        <v>3334</v>
      </c>
      <c r="H1635" s="296" t="s">
        <v>3335</v>
      </c>
      <c r="I1635" s="297">
        <v>28500</v>
      </c>
    </row>
    <row r="1636" spans="1:10" x14ac:dyDescent="0.2">
      <c r="A1636" s="306">
        <v>1635</v>
      </c>
      <c r="B1636" s="294">
        <v>43167</v>
      </c>
      <c r="C1636" s="294">
        <v>43201</v>
      </c>
      <c r="D1636" s="233" t="s">
        <v>1092</v>
      </c>
      <c r="E1636" s="295" t="s">
        <v>392</v>
      </c>
      <c r="F1636" s="295" t="s">
        <v>1272</v>
      </c>
      <c r="G1636" s="296" t="s">
        <v>3336</v>
      </c>
      <c r="H1636" s="296" t="s">
        <v>3337</v>
      </c>
      <c r="I1636" s="297">
        <v>17670</v>
      </c>
    </row>
    <row r="1637" spans="1:10" x14ac:dyDescent="0.2">
      <c r="A1637" s="306">
        <v>1636</v>
      </c>
      <c r="B1637" s="294">
        <v>43167</v>
      </c>
      <c r="C1637" s="294">
        <v>43201</v>
      </c>
      <c r="D1637" s="233" t="s">
        <v>1092</v>
      </c>
      <c r="E1637" s="295" t="s">
        <v>392</v>
      </c>
      <c r="F1637" s="295" t="s">
        <v>71</v>
      </c>
      <c r="G1637" s="296" t="s">
        <v>3338</v>
      </c>
      <c r="H1637" s="296" t="s">
        <v>3339</v>
      </c>
      <c r="I1637" s="297">
        <v>33342.47</v>
      </c>
    </row>
    <row r="1638" spans="1:10" x14ac:dyDescent="0.2">
      <c r="A1638" s="306">
        <v>1637</v>
      </c>
      <c r="B1638" s="294">
        <v>43167</v>
      </c>
      <c r="C1638" s="294">
        <v>43194</v>
      </c>
      <c r="D1638" s="233" t="s">
        <v>1092</v>
      </c>
      <c r="E1638" s="295" t="s">
        <v>392</v>
      </c>
      <c r="F1638" s="295" t="s">
        <v>71</v>
      </c>
      <c r="G1638" s="296" t="s">
        <v>3340</v>
      </c>
      <c r="H1638" s="296" t="s">
        <v>3343</v>
      </c>
      <c r="I1638" s="297">
        <v>100021.09</v>
      </c>
    </row>
    <row r="1639" spans="1:10" x14ac:dyDescent="0.2">
      <c r="A1639" s="306">
        <v>1638</v>
      </c>
      <c r="B1639" s="294">
        <v>43167</v>
      </c>
      <c r="C1639" s="294">
        <v>43201</v>
      </c>
      <c r="D1639" s="233" t="s">
        <v>1092</v>
      </c>
      <c r="E1639" s="295" t="s">
        <v>392</v>
      </c>
      <c r="F1639" s="295" t="s">
        <v>1257</v>
      </c>
      <c r="G1639" s="296" t="s">
        <v>3341</v>
      </c>
      <c r="H1639" s="296" t="s">
        <v>3342</v>
      </c>
      <c r="I1639" s="297">
        <v>70680</v>
      </c>
    </row>
    <row r="1640" spans="1:10" x14ac:dyDescent="0.2">
      <c r="A1640" s="306">
        <v>1639</v>
      </c>
      <c r="B1640" s="294">
        <v>43167</v>
      </c>
      <c r="C1640" s="294">
        <v>43185</v>
      </c>
      <c r="D1640" s="233" t="s">
        <v>1092</v>
      </c>
      <c r="E1640" s="295" t="s">
        <v>422</v>
      </c>
      <c r="F1640" s="295" t="s">
        <v>396</v>
      </c>
      <c r="G1640" s="296" t="s">
        <v>3345</v>
      </c>
      <c r="H1640" s="296" t="s">
        <v>3344</v>
      </c>
      <c r="I1640" s="297">
        <v>208000</v>
      </c>
    </row>
    <row r="1641" spans="1:10" x14ac:dyDescent="0.2">
      <c r="A1641" s="306">
        <v>1640</v>
      </c>
      <c r="B1641" s="294">
        <v>43167</v>
      </c>
      <c r="C1641" s="294">
        <v>43208</v>
      </c>
      <c r="D1641" s="233" t="s">
        <v>1092</v>
      </c>
      <c r="E1641" s="295" t="s">
        <v>392</v>
      </c>
      <c r="F1641" s="295" t="s">
        <v>71</v>
      </c>
      <c r="G1641" s="296" t="s">
        <v>3346</v>
      </c>
      <c r="H1641" s="296" t="s">
        <v>3347</v>
      </c>
      <c r="I1641" s="297">
        <v>1433.32</v>
      </c>
    </row>
    <row r="1642" spans="1:10" x14ac:dyDescent="0.2">
      <c r="A1642" s="306">
        <v>1641</v>
      </c>
      <c r="B1642" s="294">
        <v>43167</v>
      </c>
      <c r="C1642" s="294">
        <v>43199</v>
      </c>
      <c r="D1642" s="233" t="s">
        <v>1092</v>
      </c>
      <c r="E1642" s="295" t="s">
        <v>392</v>
      </c>
      <c r="F1642" s="295" t="s">
        <v>2224</v>
      </c>
      <c r="G1642" s="296" t="s">
        <v>3348</v>
      </c>
      <c r="H1642" s="296" t="s">
        <v>3349</v>
      </c>
      <c r="I1642" s="297">
        <v>8000</v>
      </c>
    </row>
    <row r="1643" spans="1:10" x14ac:dyDescent="0.2">
      <c r="A1643" s="306">
        <v>1642</v>
      </c>
      <c r="B1643" s="294">
        <v>43167</v>
      </c>
      <c r="C1643" s="294">
        <v>43206</v>
      </c>
      <c r="D1643" s="233" t="s">
        <v>1092</v>
      </c>
      <c r="E1643" s="295" t="s">
        <v>392</v>
      </c>
      <c r="F1643" s="295" t="s">
        <v>9</v>
      </c>
      <c r="G1643" s="296" t="s">
        <v>3350</v>
      </c>
      <c r="H1643" s="296" t="s">
        <v>3351</v>
      </c>
      <c r="I1643" s="297">
        <v>73988</v>
      </c>
    </row>
    <row r="1644" spans="1:10" x14ac:dyDescent="0.2">
      <c r="A1644" s="306">
        <v>1643</v>
      </c>
      <c r="B1644" s="294">
        <v>43167</v>
      </c>
      <c r="C1644" s="294">
        <v>43199</v>
      </c>
      <c r="D1644" s="233" t="s">
        <v>1092</v>
      </c>
      <c r="E1644" s="295" t="s">
        <v>392</v>
      </c>
      <c r="F1644" s="295" t="s">
        <v>9</v>
      </c>
      <c r="G1644" s="296" t="s">
        <v>3352</v>
      </c>
      <c r="H1644" s="296" t="s">
        <v>3353</v>
      </c>
      <c r="I1644" s="297">
        <v>219387</v>
      </c>
      <c r="J1644" s="178" t="s">
        <v>3356</v>
      </c>
    </row>
    <row r="1645" spans="1:10" x14ac:dyDescent="0.2">
      <c r="A1645" s="306">
        <v>1644</v>
      </c>
      <c r="B1645" s="294">
        <v>43167</v>
      </c>
      <c r="C1645" s="294">
        <v>43194</v>
      </c>
      <c r="D1645" s="233" t="s">
        <v>1092</v>
      </c>
      <c r="E1645" s="295" t="s">
        <v>392</v>
      </c>
      <c r="F1645" s="295" t="s">
        <v>9</v>
      </c>
      <c r="G1645" s="296" t="s">
        <v>3354</v>
      </c>
      <c r="H1645" s="296" t="s">
        <v>3355</v>
      </c>
      <c r="I1645" s="297">
        <v>198871</v>
      </c>
    </row>
    <row r="1646" spans="1:10" x14ac:dyDescent="0.2">
      <c r="A1646" s="306">
        <v>1645</v>
      </c>
      <c r="B1646" s="294">
        <v>43255</v>
      </c>
      <c r="C1646" s="294">
        <v>43271</v>
      </c>
      <c r="D1646" s="233" t="s">
        <v>1092</v>
      </c>
      <c r="E1646" s="295" t="s">
        <v>422</v>
      </c>
      <c r="F1646" s="295" t="s">
        <v>701</v>
      </c>
      <c r="G1646" s="296" t="s">
        <v>3360</v>
      </c>
      <c r="H1646" s="296" t="s">
        <v>3361</v>
      </c>
      <c r="I1646" s="297">
        <v>94679.2</v>
      </c>
    </row>
    <row r="1647" spans="1:10" x14ac:dyDescent="0.2">
      <c r="A1647" s="306">
        <v>1646</v>
      </c>
      <c r="B1647" s="294">
        <v>43266</v>
      </c>
      <c r="C1647" s="294">
        <v>43283</v>
      </c>
      <c r="D1647" s="233" t="s">
        <v>1092</v>
      </c>
      <c r="E1647" s="295" t="s">
        <v>422</v>
      </c>
      <c r="F1647" s="295" t="s">
        <v>1276</v>
      </c>
      <c r="G1647" s="296" t="s">
        <v>3363</v>
      </c>
      <c r="H1647" s="296" t="s">
        <v>3364</v>
      </c>
      <c r="I1647" s="297">
        <v>87200</v>
      </c>
    </row>
    <row r="1648" spans="1:10" x14ac:dyDescent="0.2">
      <c r="A1648" s="306">
        <v>1647</v>
      </c>
      <c r="B1648" s="302">
        <v>43280</v>
      </c>
      <c r="C1648" s="302">
        <v>43297</v>
      </c>
      <c r="D1648" s="303" t="s">
        <v>1092</v>
      </c>
      <c r="E1648" s="303" t="s">
        <v>422</v>
      </c>
      <c r="F1648" s="303" t="s">
        <v>701</v>
      </c>
      <c r="G1648" s="304" t="s">
        <v>3365</v>
      </c>
      <c r="H1648" s="304" t="s">
        <v>3366</v>
      </c>
      <c r="I1648" s="305">
        <v>100000</v>
      </c>
      <c r="J1648" s="178" t="s">
        <v>3719</v>
      </c>
    </row>
    <row r="1649" spans="1:10" x14ac:dyDescent="0.2">
      <c r="A1649" s="306">
        <v>1648</v>
      </c>
      <c r="B1649" s="294">
        <v>43280</v>
      </c>
      <c r="C1649" s="294">
        <v>43297</v>
      </c>
      <c r="D1649" s="295" t="s">
        <v>1092</v>
      </c>
      <c r="E1649" s="295" t="s">
        <v>422</v>
      </c>
      <c r="F1649" s="295" t="s">
        <v>701</v>
      </c>
      <c r="G1649" s="295" t="s">
        <v>3368</v>
      </c>
      <c r="H1649" s="296" t="s">
        <v>3367</v>
      </c>
      <c r="I1649" s="297">
        <v>100000</v>
      </c>
    </row>
    <row r="1650" spans="1:10" x14ac:dyDescent="0.2">
      <c r="A1650" s="306">
        <v>1649</v>
      </c>
      <c r="B1650" s="294">
        <v>43307</v>
      </c>
      <c r="C1650" s="294">
        <v>43362</v>
      </c>
      <c r="D1650" s="295" t="s">
        <v>1092</v>
      </c>
      <c r="E1650" s="295" t="s">
        <v>392</v>
      </c>
      <c r="F1650" s="295" t="s">
        <v>71</v>
      </c>
      <c r="G1650" s="296" t="s">
        <v>3369</v>
      </c>
      <c r="H1650" s="296" t="s">
        <v>3370</v>
      </c>
      <c r="I1650" s="297">
        <v>5400</v>
      </c>
    </row>
    <row r="1651" spans="1:10" x14ac:dyDescent="0.2">
      <c r="A1651" s="306">
        <v>1650</v>
      </c>
      <c r="B1651" s="294">
        <v>43307</v>
      </c>
      <c r="C1651" s="294">
        <v>43355</v>
      </c>
      <c r="D1651" s="295" t="s">
        <v>1092</v>
      </c>
      <c r="E1651" s="295" t="s">
        <v>392</v>
      </c>
      <c r="F1651" s="295" t="s">
        <v>71</v>
      </c>
      <c r="G1651" s="296" t="s">
        <v>3371</v>
      </c>
      <c r="H1651" s="296" t="s">
        <v>3372</v>
      </c>
      <c r="I1651" s="297">
        <v>23777.57</v>
      </c>
    </row>
    <row r="1652" spans="1:10" x14ac:dyDescent="0.2">
      <c r="A1652" s="306">
        <v>1651</v>
      </c>
      <c r="B1652" s="302">
        <v>43308</v>
      </c>
      <c r="C1652" s="302">
        <v>43355</v>
      </c>
      <c r="D1652" s="303" t="s">
        <v>1092</v>
      </c>
      <c r="E1652" s="303" t="s">
        <v>392</v>
      </c>
      <c r="F1652" s="303" t="s">
        <v>71</v>
      </c>
      <c r="G1652" s="304" t="s">
        <v>3373</v>
      </c>
      <c r="H1652" s="304" t="s">
        <v>3379</v>
      </c>
      <c r="I1652" s="305">
        <v>2157.34</v>
      </c>
      <c r="J1652" s="178" t="s">
        <v>3791</v>
      </c>
    </row>
    <row r="1653" spans="1:10" x14ac:dyDescent="0.2">
      <c r="A1653" s="306">
        <v>1652</v>
      </c>
      <c r="B1653" s="294">
        <v>43308</v>
      </c>
      <c r="C1653" s="294">
        <v>43355</v>
      </c>
      <c r="D1653" s="295" t="s">
        <v>1092</v>
      </c>
      <c r="E1653" s="295" t="s">
        <v>392</v>
      </c>
      <c r="F1653" s="295" t="s">
        <v>71</v>
      </c>
      <c r="G1653" s="296" t="s">
        <v>3374</v>
      </c>
      <c r="H1653" s="296" t="s">
        <v>3380</v>
      </c>
      <c r="I1653" s="297">
        <v>14254.05</v>
      </c>
    </row>
    <row r="1654" spans="1:10" x14ac:dyDescent="0.2">
      <c r="A1654" s="306">
        <v>1653</v>
      </c>
      <c r="B1654" s="294">
        <v>43308</v>
      </c>
      <c r="C1654" s="294">
        <v>43355</v>
      </c>
      <c r="D1654" s="295" t="s">
        <v>1092</v>
      </c>
      <c r="E1654" s="295" t="s">
        <v>392</v>
      </c>
      <c r="F1654" s="295" t="s">
        <v>71</v>
      </c>
      <c r="G1654" s="296" t="s">
        <v>3375</v>
      </c>
      <c r="H1654" s="296" t="s">
        <v>3381</v>
      </c>
      <c r="I1654" s="297">
        <v>673.99</v>
      </c>
    </row>
    <row r="1655" spans="1:10" x14ac:dyDescent="0.2">
      <c r="A1655" s="306">
        <v>1654</v>
      </c>
      <c r="B1655" s="294">
        <v>43308</v>
      </c>
      <c r="C1655" s="294">
        <v>43362</v>
      </c>
      <c r="D1655" s="295" t="s">
        <v>1092</v>
      </c>
      <c r="E1655" s="295" t="s">
        <v>392</v>
      </c>
      <c r="F1655" s="295" t="s">
        <v>71</v>
      </c>
      <c r="G1655" s="296" t="s">
        <v>3376</v>
      </c>
      <c r="H1655" s="296" t="s">
        <v>3382</v>
      </c>
      <c r="I1655" s="297">
        <v>7583.29</v>
      </c>
    </row>
    <row r="1656" spans="1:10" x14ac:dyDescent="0.2">
      <c r="A1656" s="306">
        <v>1655</v>
      </c>
      <c r="B1656" s="294">
        <v>43308</v>
      </c>
      <c r="C1656" s="294">
        <v>43355</v>
      </c>
      <c r="D1656" s="295" t="s">
        <v>1092</v>
      </c>
      <c r="E1656" s="295" t="s">
        <v>392</v>
      </c>
      <c r="F1656" s="295" t="s">
        <v>71</v>
      </c>
      <c r="G1656" s="296" t="s">
        <v>3377</v>
      </c>
      <c r="H1656" s="296" t="s">
        <v>3383</v>
      </c>
      <c r="I1656" s="297">
        <v>42705.89</v>
      </c>
    </row>
    <row r="1657" spans="1:10" x14ac:dyDescent="0.2">
      <c r="A1657" s="306">
        <v>1656</v>
      </c>
      <c r="B1657" s="294">
        <v>43308</v>
      </c>
      <c r="C1657" s="294">
        <v>43360</v>
      </c>
      <c r="D1657" s="295" t="s">
        <v>1092</v>
      </c>
      <c r="E1657" s="295" t="s">
        <v>392</v>
      </c>
      <c r="F1657" s="295" t="s">
        <v>71</v>
      </c>
      <c r="G1657" s="296" t="s">
        <v>3378</v>
      </c>
      <c r="H1657" s="296" t="s">
        <v>3384</v>
      </c>
      <c r="I1657" s="297">
        <v>33085.21</v>
      </c>
    </row>
    <row r="1658" spans="1:10" x14ac:dyDescent="0.2">
      <c r="A1658" s="306">
        <v>1657</v>
      </c>
      <c r="B1658" s="294">
        <v>43308</v>
      </c>
      <c r="C1658" s="294">
        <v>43355</v>
      </c>
      <c r="D1658" s="295" t="s">
        <v>1092</v>
      </c>
      <c r="E1658" s="295" t="s">
        <v>392</v>
      </c>
      <c r="F1658" s="295" t="s">
        <v>71</v>
      </c>
      <c r="G1658" s="296" t="s">
        <v>3427</v>
      </c>
      <c r="H1658" s="296" t="s">
        <v>3404</v>
      </c>
      <c r="I1658" s="297">
        <v>13842.71</v>
      </c>
    </row>
    <row r="1659" spans="1:10" x14ac:dyDescent="0.2">
      <c r="A1659" s="306">
        <v>1658</v>
      </c>
      <c r="B1659" s="294">
        <v>43308</v>
      </c>
      <c r="C1659" s="294">
        <v>43355</v>
      </c>
      <c r="D1659" s="295" t="s">
        <v>1092</v>
      </c>
      <c r="E1659" s="295" t="s">
        <v>392</v>
      </c>
      <c r="F1659" s="295" t="s">
        <v>71</v>
      </c>
      <c r="G1659" s="296" t="s">
        <v>3428</v>
      </c>
      <c r="H1659" s="296" t="s">
        <v>3429</v>
      </c>
      <c r="I1659" s="297">
        <v>8112</v>
      </c>
    </row>
    <row r="1660" spans="1:10" x14ac:dyDescent="0.2">
      <c r="A1660" s="306">
        <v>1659</v>
      </c>
      <c r="B1660" s="294">
        <v>43308</v>
      </c>
      <c r="C1660" s="294">
        <v>43348</v>
      </c>
      <c r="D1660" s="295" t="s">
        <v>1092</v>
      </c>
      <c r="E1660" s="295" t="s">
        <v>422</v>
      </c>
      <c r="F1660" s="295" t="s">
        <v>396</v>
      </c>
      <c r="G1660" s="296" t="s">
        <v>3430</v>
      </c>
      <c r="H1660" s="296" t="s">
        <v>3431</v>
      </c>
      <c r="I1660" s="297">
        <v>31944</v>
      </c>
    </row>
    <row r="1661" spans="1:10" x14ac:dyDescent="0.2">
      <c r="A1661" s="306">
        <v>1660</v>
      </c>
      <c r="B1661" s="294">
        <v>43312</v>
      </c>
      <c r="C1661" s="294">
        <v>43355</v>
      </c>
      <c r="D1661" s="295" t="s">
        <v>1092</v>
      </c>
      <c r="E1661" s="295" t="s">
        <v>422</v>
      </c>
      <c r="F1661" s="295" t="s">
        <v>71</v>
      </c>
      <c r="G1661" s="296" t="s">
        <v>3385</v>
      </c>
      <c r="H1661" s="296" t="s">
        <v>3388</v>
      </c>
      <c r="I1661" s="297">
        <v>18189.23</v>
      </c>
    </row>
    <row r="1662" spans="1:10" x14ac:dyDescent="0.2">
      <c r="A1662" s="306">
        <v>1661</v>
      </c>
      <c r="B1662" s="294">
        <v>43313</v>
      </c>
      <c r="C1662" s="294">
        <v>43355</v>
      </c>
      <c r="D1662" s="295" t="s">
        <v>1092</v>
      </c>
      <c r="E1662" s="295" t="s">
        <v>392</v>
      </c>
      <c r="F1662" s="295" t="s">
        <v>71</v>
      </c>
      <c r="G1662" s="296" t="s">
        <v>3386</v>
      </c>
      <c r="H1662" s="296" t="s">
        <v>3389</v>
      </c>
      <c r="I1662" s="297">
        <v>7469.11</v>
      </c>
    </row>
    <row r="1663" spans="1:10" x14ac:dyDescent="0.2">
      <c r="A1663" s="306">
        <v>1662</v>
      </c>
      <c r="B1663" s="294">
        <v>43313</v>
      </c>
      <c r="C1663" s="294">
        <v>43355</v>
      </c>
      <c r="D1663" s="295" t="s">
        <v>1092</v>
      </c>
      <c r="E1663" s="295" t="s">
        <v>392</v>
      </c>
      <c r="F1663" s="295" t="s">
        <v>71</v>
      </c>
      <c r="G1663" s="296" t="s">
        <v>3392</v>
      </c>
      <c r="H1663" s="296" t="s">
        <v>3390</v>
      </c>
      <c r="I1663" s="297">
        <v>214765.57</v>
      </c>
    </row>
    <row r="1664" spans="1:10" x14ac:dyDescent="0.2">
      <c r="A1664" s="306">
        <v>1663</v>
      </c>
      <c r="B1664" s="294">
        <v>43315</v>
      </c>
      <c r="C1664" s="294">
        <v>43355</v>
      </c>
      <c r="D1664" s="295" t="s">
        <v>1092</v>
      </c>
      <c r="E1664" s="295" t="s">
        <v>422</v>
      </c>
      <c r="F1664" s="295" t="s">
        <v>701</v>
      </c>
      <c r="G1664" s="296" t="s">
        <v>3387</v>
      </c>
      <c r="H1664" s="296" t="s">
        <v>3391</v>
      </c>
      <c r="I1664" s="297">
        <v>311200</v>
      </c>
    </row>
    <row r="1665" spans="1:10" x14ac:dyDescent="0.2">
      <c r="A1665" s="306">
        <v>1664</v>
      </c>
      <c r="B1665" s="294">
        <v>43315</v>
      </c>
      <c r="C1665" s="294">
        <v>43355</v>
      </c>
      <c r="D1665" s="295" t="s">
        <v>1092</v>
      </c>
      <c r="E1665" s="295" t="s">
        <v>392</v>
      </c>
      <c r="F1665" s="295" t="s">
        <v>71</v>
      </c>
      <c r="G1665" s="296" t="s">
        <v>3393</v>
      </c>
      <c r="H1665" s="296" t="s">
        <v>3394</v>
      </c>
      <c r="I1665" s="297">
        <v>4200</v>
      </c>
    </row>
    <row r="1666" spans="1:10" x14ac:dyDescent="0.2">
      <c r="A1666" s="306">
        <v>1665</v>
      </c>
      <c r="B1666" s="294">
        <v>43315</v>
      </c>
      <c r="C1666" s="294">
        <v>43355</v>
      </c>
      <c r="D1666" s="295" t="s">
        <v>1092</v>
      </c>
      <c r="E1666" s="295" t="s">
        <v>392</v>
      </c>
      <c r="F1666" s="295" t="s">
        <v>71</v>
      </c>
      <c r="G1666" s="296" t="s">
        <v>3395</v>
      </c>
      <c r="H1666" s="296" t="s">
        <v>3396</v>
      </c>
      <c r="I1666" s="297">
        <v>54137.79</v>
      </c>
    </row>
    <row r="1667" spans="1:10" x14ac:dyDescent="0.2">
      <c r="A1667" s="306">
        <v>1666</v>
      </c>
      <c r="B1667" s="294">
        <v>43315</v>
      </c>
      <c r="C1667" s="294">
        <v>43355</v>
      </c>
      <c r="D1667" s="295" t="s">
        <v>1092</v>
      </c>
      <c r="E1667" s="295" t="s">
        <v>392</v>
      </c>
      <c r="F1667" s="295" t="s">
        <v>71</v>
      </c>
      <c r="G1667" s="296" t="s">
        <v>3397</v>
      </c>
      <c r="H1667" s="296" t="s">
        <v>3398</v>
      </c>
      <c r="I1667" s="297">
        <v>24027.15</v>
      </c>
    </row>
    <row r="1668" spans="1:10" x14ac:dyDescent="0.2">
      <c r="A1668" s="306">
        <v>1667</v>
      </c>
      <c r="B1668" s="294">
        <v>43318</v>
      </c>
      <c r="C1668" s="294">
        <v>43362</v>
      </c>
      <c r="D1668" s="295" t="s">
        <v>1092</v>
      </c>
      <c r="E1668" s="295" t="s">
        <v>422</v>
      </c>
      <c r="F1668" s="295" t="s">
        <v>71</v>
      </c>
      <c r="G1668" s="296" t="s">
        <v>3399</v>
      </c>
      <c r="H1668" s="296" t="s">
        <v>3400</v>
      </c>
      <c r="I1668" s="297">
        <v>5007.1099999999997</v>
      </c>
    </row>
    <row r="1669" spans="1:10" x14ac:dyDescent="0.2">
      <c r="A1669" s="306">
        <v>1668</v>
      </c>
      <c r="B1669" s="294">
        <v>43318</v>
      </c>
      <c r="C1669" s="294">
        <v>43362</v>
      </c>
      <c r="D1669" s="295" t="s">
        <v>1092</v>
      </c>
      <c r="E1669" s="295" t="s">
        <v>422</v>
      </c>
      <c r="F1669" s="295" t="s">
        <v>71</v>
      </c>
      <c r="G1669" s="296" t="s">
        <v>3401</v>
      </c>
      <c r="H1669" s="296" t="s">
        <v>3402</v>
      </c>
      <c r="I1669" s="297">
        <v>4881.76</v>
      </c>
    </row>
    <row r="1670" spans="1:10" x14ac:dyDescent="0.2">
      <c r="A1670" s="306">
        <v>1669</v>
      </c>
      <c r="B1670" s="294">
        <v>43318</v>
      </c>
      <c r="C1670" s="294">
        <v>43362</v>
      </c>
      <c r="D1670" s="295" t="s">
        <v>1092</v>
      </c>
      <c r="E1670" s="295" t="s">
        <v>392</v>
      </c>
      <c r="F1670" s="295" t="s">
        <v>1257</v>
      </c>
      <c r="G1670" s="296" t="s">
        <v>3403</v>
      </c>
      <c r="H1670" s="296" t="s">
        <v>3404</v>
      </c>
      <c r="I1670" s="297">
        <v>30000</v>
      </c>
    </row>
    <row r="1671" spans="1:10" x14ac:dyDescent="0.2">
      <c r="A1671" s="306">
        <v>1670</v>
      </c>
      <c r="B1671" s="294">
        <v>43318</v>
      </c>
      <c r="C1671" s="294">
        <v>43362</v>
      </c>
      <c r="D1671" s="295" t="s">
        <v>1092</v>
      </c>
      <c r="E1671" s="295" t="s">
        <v>422</v>
      </c>
      <c r="F1671" s="295" t="s">
        <v>396</v>
      </c>
      <c r="G1671" s="296" t="s">
        <v>3405</v>
      </c>
      <c r="H1671" s="296" t="s">
        <v>3406</v>
      </c>
      <c r="I1671" s="297">
        <v>62370</v>
      </c>
    </row>
    <row r="1672" spans="1:10" x14ac:dyDescent="0.2">
      <c r="A1672" s="306">
        <v>1671</v>
      </c>
      <c r="B1672" s="294">
        <v>43319</v>
      </c>
      <c r="C1672" s="294">
        <v>43362</v>
      </c>
      <c r="D1672" s="295" t="s">
        <v>1092</v>
      </c>
      <c r="E1672" s="295" t="s">
        <v>422</v>
      </c>
      <c r="F1672" s="295" t="s">
        <v>396</v>
      </c>
      <c r="G1672" s="296" t="s">
        <v>3407</v>
      </c>
      <c r="H1672" s="296" t="s">
        <v>3408</v>
      </c>
      <c r="I1672" s="297">
        <v>23466.67</v>
      </c>
    </row>
    <row r="1673" spans="1:10" x14ac:dyDescent="0.2">
      <c r="A1673" s="306">
        <v>1672</v>
      </c>
      <c r="B1673" s="294">
        <v>43319</v>
      </c>
      <c r="C1673" s="294">
        <v>43362</v>
      </c>
      <c r="D1673" s="295" t="s">
        <v>1092</v>
      </c>
      <c r="E1673" s="295" t="s">
        <v>392</v>
      </c>
      <c r="F1673" s="295" t="s">
        <v>393</v>
      </c>
      <c r="G1673" s="296" t="s">
        <v>3409</v>
      </c>
      <c r="H1673" s="296" t="s">
        <v>3410</v>
      </c>
      <c r="I1673" s="297">
        <v>140000</v>
      </c>
    </row>
    <row r="1674" spans="1:10" x14ac:dyDescent="0.2">
      <c r="A1674" s="306">
        <v>1673</v>
      </c>
      <c r="B1674" s="294">
        <v>43319</v>
      </c>
      <c r="C1674" s="294">
        <v>43362</v>
      </c>
      <c r="D1674" s="295" t="s">
        <v>1092</v>
      </c>
      <c r="E1674" s="295" t="s">
        <v>422</v>
      </c>
      <c r="F1674" s="295" t="s">
        <v>396</v>
      </c>
      <c r="G1674" s="296" t="s">
        <v>3411</v>
      </c>
      <c r="H1674" s="296" t="s">
        <v>3412</v>
      </c>
      <c r="I1674" s="297">
        <v>34333.33</v>
      </c>
    </row>
    <row r="1675" spans="1:10" x14ac:dyDescent="0.2">
      <c r="A1675" s="306">
        <v>1674</v>
      </c>
      <c r="B1675" s="294">
        <v>43319</v>
      </c>
      <c r="C1675" s="294">
        <v>43362</v>
      </c>
      <c r="D1675" s="295" t="s">
        <v>1092</v>
      </c>
      <c r="E1675" s="295" t="s">
        <v>392</v>
      </c>
      <c r="F1675" s="295" t="s">
        <v>393</v>
      </c>
      <c r="G1675" s="296" t="s">
        <v>3413</v>
      </c>
      <c r="H1675" s="296" t="s">
        <v>3414</v>
      </c>
      <c r="I1675" s="297">
        <v>24000</v>
      </c>
    </row>
    <row r="1676" spans="1:10" x14ac:dyDescent="0.2">
      <c r="A1676" s="306">
        <v>1675</v>
      </c>
      <c r="B1676" s="294">
        <v>43319</v>
      </c>
      <c r="C1676" s="294">
        <v>43362</v>
      </c>
      <c r="D1676" s="295" t="s">
        <v>1092</v>
      </c>
      <c r="E1676" s="295" t="s">
        <v>392</v>
      </c>
      <c r="F1676" s="295" t="s">
        <v>393</v>
      </c>
      <c r="G1676" s="296" t="s">
        <v>3415</v>
      </c>
      <c r="H1676" s="296" t="s">
        <v>3416</v>
      </c>
      <c r="I1676" s="297">
        <v>7200</v>
      </c>
    </row>
    <row r="1677" spans="1:10" x14ac:dyDescent="0.2">
      <c r="A1677" s="306">
        <v>1676</v>
      </c>
      <c r="B1677" s="294">
        <v>43319</v>
      </c>
      <c r="C1677" s="294">
        <v>43362</v>
      </c>
      <c r="D1677" s="295" t="s">
        <v>1092</v>
      </c>
      <c r="E1677" s="295" t="s">
        <v>392</v>
      </c>
      <c r="F1677" s="295" t="s">
        <v>393</v>
      </c>
      <c r="G1677" s="296" t="s">
        <v>3417</v>
      </c>
      <c r="H1677" s="296" t="s">
        <v>3418</v>
      </c>
      <c r="I1677" s="297">
        <v>52350</v>
      </c>
    </row>
    <row r="1678" spans="1:10" x14ac:dyDescent="0.2">
      <c r="A1678" s="306">
        <v>1677</v>
      </c>
      <c r="B1678" s="302">
        <v>43319</v>
      </c>
      <c r="C1678" s="302">
        <v>43362</v>
      </c>
      <c r="D1678" s="303" t="s">
        <v>1092</v>
      </c>
      <c r="E1678" s="303" t="s">
        <v>392</v>
      </c>
      <c r="F1678" s="303" t="s">
        <v>393</v>
      </c>
      <c r="G1678" s="304" t="s">
        <v>3419</v>
      </c>
      <c r="H1678" s="304" t="s">
        <v>3420</v>
      </c>
      <c r="I1678" s="305">
        <v>21810</v>
      </c>
      <c r="J1678" s="178" t="s">
        <v>3814</v>
      </c>
    </row>
    <row r="1679" spans="1:10" x14ac:dyDescent="0.2">
      <c r="A1679" s="306">
        <v>1678</v>
      </c>
      <c r="B1679" s="294">
        <v>43346</v>
      </c>
      <c r="C1679" s="294">
        <v>43362</v>
      </c>
      <c r="D1679" s="295" t="s">
        <v>1092</v>
      </c>
      <c r="E1679" s="295" t="s">
        <v>422</v>
      </c>
      <c r="F1679" s="295" t="s">
        <v>396</v>
      </c>
      <c r="G1679" s="296" t="s">
        <v>3421</v>
      </c>
      <c r="H1679" s="296" t="s">
        <v>3422</v>
      </c>
      <c r="I1679" s="297">
        <v>96166.67</v>
      </c>
    </row>
    <row r="1680" spans="1:10" x14ac:dyDescent="0.2">
      <c r="A1680" s="306">
        <v>1679</v>
      </c>
      <c r="B1680" s="294">
        <v>43346</v>
      </c>
      <c r="C1680" s="294">
        <v>43362</v>
      </c>
      <c r="D1680" s="295" t="s">
        <v>1092</v>
      </c>
      <c r="E1680" s="295" t="s">
        <v>422</v>
      </c>
      <c r="F1680" s="295" t="s">
        <v>71</v>
      </c>
      <c r="G1680" s="296" t="s">
        <v>3423</v>
      </c>
      <c r="H1680" s="296" t="s">
        <v>3424</v>
      </c>
      <c r="I1680" s="297">
        <v>32947.21</v>
      </c>
    </row>
    <row r="1681" spans="1:10" x14ac:dyDescent="0.2">
      <c r="A1681" s="306">
        <v>1680</v>
      </c>
      <c r="B1681" s="294">
        <v>43346</v>
      </c>
      <c r="C1681" s="294">
        <v>43362</v>
      </c>
      <c r="D1681" s="295" t="s">
        <v>1092</v>
      </c>
      <c r="E1681" s="295" t="s">
        <v>422</v>
      </c>
      <c r="F1681" s="295" t="s">
        <v>396</v>
      </c>
      <c r="G1681" s="296" t="s">
        <v>3425</v>
      </c>
      <c r="H1681" s="296" t="s">
        <v>3426</v>
      </c>
      <c r="I1681" s="297">
        <v>23280</v>
      </c>
    </row>
    <row r="1682" spans="1:10" x14ac:dyDescent="0.2">
      <c r="A1682" s="306">
        <v>1681</v>
      </c>
      <c r="B1682" s="294">
        <v>43353</v>
      </c>
      <c r="C1682" s="294">
        <v>43369</v>
      </c>
      <c r="D1682" s="295" t="s">
        <v>1092</v>
      </c>
      <c r="E1682" s="295" t="s">
        <v>392</v>
      </c>
      <c r="F1682" s="295" t="s">
        <v>71</v>
      </c>
      <c r="G1682" s="296" t="s">
        <v>3432</v>
      </c>
      <c r="H1682" s="296" t="s">
        <v>3433</v>
      </c>
      <c r="I1682" s="297">
        <v>18120.55</v>
      </c>
    </row>
    <row r="1683" spans="1:10" x14ac:dyDescent="0.2">
      <c r="A1683" s="306">
        <v>1682</v>
      </c>
      <c r="B1683" s="294">
        <v>43350</v>
      </c>
      <c r="C1683" s="294">
        <v>43369</v>
      </c>
      <c r="D1683" s="295" t="s">
        <v>1092</v>
      </c>
      <c r="E1683" s="295" t="s">
        <v>422</v>
      </c>
      <c r="F1683" s="295" t="s">
        <v>2266</v>
      </c>
      <c r="G1683" s="296" t="s">
        <v>3434</v>
      </c>
      <c r="H1683" s="296" t="s">
        <v>3435</v>
      </c>
      <c r="I1683" s="297">
        <v>52093.33</v>
      </c>
    </row>
    <row r="1684" spans="1:10" x14ac:dyDescent="0.2">
      <c r="A1684" s="306">
        <v>1683</v>
      </c>
      <c r="B1684" s="294">
        <v>43350</v>
      </c>
      <c r="C1684" s="294">
        <v>43369</v>
      </c>
      <c r="D1684" s="295" t="s">
        <v>1092</v>
      </c>
      <c r="E1684" s="295" t="s">
        <v>392</v>
      </c>
      <c r="F1684" s="295" t="s">
        <v>2266</v>
      </c>
      <c r="G1684" s="296" t="s">
        <v>3436</v>
      </c>
      <c r="H1684" s="296" t="s">
        <v>3437</v>
      </c>
      <c r="I1684" s="297">
        <v>120000</v>
      </c>
    </row>
    <row r="1685" spans="1:10" x14ac:dyDescent="0.2">
      <c r="A1685" s="306">
        <v>1684</v>
      </c>
      <c r="B1685" s="294">
        <v>43350</v>
      </c>
      <c r="C1685" s="294">
        <v>43369</v>
      </c>
      <c r="D1685" s="295" t="s">
        <v>1092</v>
      </c>
      <c r="E1685" s="295" t="s">
        <v>392</v>
      </c>
      <c r="F1685" s="295" t="s">
        <v>71</v>
      </c>
      <c r="G1685" s="296" t="s">
        <v>3438</v>
      </c>
      <c r="H1685" s="296" t="s">
        <v>3439</v>
      </c>
      <c r="I1685" s="297">
        <v>11407.59</v>
      </c>
    </row>
    <row r="1686" spans="1:10" x14ac:dyDescent="0.2">
      <c r="A1686" s="306">
        <v>1685</v>
      </c>
      <c r="B1686" s="294">
        <v>43350</v>
      </c>
      <c r="C1686" s="294">
        <v>43369</v>
      </c>
      <c r="D1686" s="295" t="s">
        <v>1092</v>
      </c>
      <c r="E1686" s="295" t="s">
        <v>392</v>
      </c>
      <c r="F1686" s="295" t="s">
        <v>1272</v>
      </c>
      <c r="G1686" s="296" t="s">
        <v>3440</v>
      </c>
      <c r="H1686" s="296" t="s">
        <v>3441</v>
      </c>
      <c r="I1686" s="297">
        <v>17160</v>
      </c>
    </row>
    <row r="1687" spans="1:10" x14ac:dyDescent="0.2">
      <c r="A1687" s="306">
        <v>1686</v>
      </c>
      <c r="B1687" s="302">
        <v>43350</v>
      </c>
      <c r="C1687" s="302">
        <v>43369</v>
      </c>
      <c r="D1687" s="303" t="s">
        <v>1092</v>
      </c>
      <c r="E1687" s="303" t="s">
        <v>422</v>
      </c>
      <c r="F1687" s="303" t="s">
        <v>396</v>
      </c>
      <c r="G1687" s="304" t="s">
        <v>3442</v>
      </c>
      <c r="H1687" s="304" t="s">
        <v>3443</v>
      </c>
      <c r="I1687" s="305">
        <v>12840</v>
      </c>
      <c r="J1687" s="178" t="s">
        <v>3705</v>
      </c>
    </row>
    <row r="1688" spans="1:10" x14ac:dyDescent="0.2">
      <c r="A1688" s="306">
        <v>1687</v>
      </c>
      <c r="B1688" s="294">
        <v>43356</v>
      </c>
      <c r="C1688" s="294">
        <v>43374</v>
      </c>
      <c r="D1688" s="295" t="s">
        <v>1092</v>
      </c>
      <c r="E1688" s="295" t="s">
        <v>392</v>
      </c>
      <c r="F1688" s="295" t="s">
        <v>2266</v>
      </c>
      <c r="G1688" s="296" t="s">
        <v>3444</v>
      </c>
      <c r="H1688" s="296" t="s">
        <v>3445</v>
      </c>
      <c r="I1688" s="297">
        <v>86000</v>
      </c>
    </row>
    <row r="1689" spans="1:10" x14ac:dyDescent="0.2">
      <c r="A1689" s="306">
        <v>1688</v>
      </c>
      <c r="B1689" s="294">
        <v>43357</v>
      </c>
      <c r="C1689" s="294">
        <v>43376</v>
      </c>
      <c r="D1689" s="295" t="s">
        <v>1092</v>
      </c>
      <c r="E1689" s="295" t="s">
        <v>422</v>
      </c>
      <c r="F1689" s="295" t="s">
        <v>71</v>
      </c>
      <c r="G1689" s="296" t="s">
        <v>3446</v>
      </c>
      <c r="H1689" s="296" t="s">
        <v>3447</v>
      </c>
      <c r="I1689" s="297">
        <v>18359.349999999999</v>
      </c>
    </row>
    <row r="1690" spans="1:10" x14ac:dyDescent="0.2">
      <c r="A1690" s="306">
        <v>1689</v>
      </c>
      <c r="B1690" s="294">
        <v>43357</v>
      </c>
      <c r="C1690" s="294">
        <v>43376</v>
      </c>
      <c r="D1690" s="295" t="s">
        <v>1092</v>
      </c>
      <c r="E1690" s="295" t="s">
        <v>392</v>
      </c>
      <c r="F1690" s="295" t="s">
        <v>71</v>
      </c>
      <c r="G1690" s="296" t="s">
        <v>3448</v>
      </c>
      <c r="H1690" s="296" t="s">
        <v>3449</v>
      </c>
      <c r="I1690" s="297">
        <v>2229.0100000000002</v>
      </c>
    </row>
    <row r="1691" spans="1:10" x14ac:dyDescent="0.2">
      <c r="A1691" s="306">
        <v>1690</v>
      </c>
      <c r="B1691" s="294">
        <v>43357</v>
      </c>
      <c r="C1691" s="294">
        <v>43376</v>
      </c>
      <c r="D1691" s="295" t="s">
        <v>1092</v>
      </c>
      <c r="E1691" s="295" t="s">
        <v>392</v>
      </c>
      <c r="F1691" s="295" t="s">
        <v>71</v>
      </c>
      <c r="G1691" s="296" t="s">
        <v>3450</v>
      </c>
      <c r="H1691" s="296" t="s">
        <v>3451</v>
      </c>
      <c r="I1691" s="297">
        <v>2668.36</v>
      </c>
    </row>
    <row r="1692" spans="1:10" x14ac:dyDescent="0.2">
      <c r="A1692" s="306">
        <v>1691</v>
      </c>
      <c r="B1692" s="294">
        <v>43360</v>
      </c>
      <c r="C1692" s="294">
        <v>43381</v>
      </c>
      <c r="D1692" s="295" t="s">
        <v>1092</v>
      </c>
      <c r="E1692" s="295" t="s">
        <v>392</v>
      </c>
      <c r="F1692" s="295" t="s">
        <v>71</v>
      </c>
      <c r="G1692" s="296" t="s">
        <v>3452</v>
      </c>
      <c r="H1692" s="296" t="s">
        <v>3453</v>
      </c>
      <c r="I1692" s="297">
        <v>33468.959999999999</v>
      </c>
    </row>
    <row r="1693" spans="1:10" x14ac:dyDescent="0.2">
      <c r="A1693" s="306">
        <v>1692</v>
      </c>
      <c r="B1693" s="294">
        <v>43363</v>
      </c>
      <c r="C1693" s="294">
        <v>43381</v>
      </c>
      <c r="D1693" s="295" t="s">
        <v>1092</v>
      </c>
      <c r="E1693" s="295" t="s">
        <v>422</v>
      </c>
      <c r="F1693" s="295" t="s">
        <v>2266</v>
      </c>
      <c r="G1693" s="296" t="s">
        <v>3456</v>
      </c>
      <c r="H1693" s="296" t="s">
        <v>3457</v>
      </c>
      <c r="I1693" s="297">
        <v>25800</v>
      </c>
    </row>
    <row r="1694" spans="1:10" x14ac:dyDescent="0.2">
      <c r="A1694" s="306">
        <v>1693</v>
      </c>
      <c r="B1694" s="294">
        <v>43363</v>
      </c>
      <c r="C1694" s="294">
        <v>43381</v>
      </c>
      <c r="D1694" s="295" t="s">
        <v>1092</v>
      </c>
      <c r="E1694" s="295" t="s">
        <v>422</v>
      </c>
      <c r="F1694" s="295" t="s">
        <v>2266</v>
      </c>
      <c r="G1694" s="295" t="s">
        <v>3454</v>
      </c>
      <c r="H1694" s="295" t="s">
        <v>3455</v>
      </c>
      <c r="I1694" s="297">
        <v>8640</v>
      </c>
    </row>
    <row r="1695" spans="1:10" x14ac:dyDescent="0.2">
      <c r="A1695" s="306">
        <v>1694</v>
      </c>
      <c r="B1695" s="294">
        <v>43370</v>
      </c>
      <c r="C1695" s="294">
        <v>43388</v>
      </c>
      <c r="D1695" s="295" t="s">
        <v>1092</v>
      </c>
      <c r="E1695" s="295" t="s">
        <v>392</v>
      </c>
      <c r="F1695" s="295" t="s">
        <v>1272</v>
      </c>
      <c r="G1695" s="296" t="s">
        <v>3458</v>
      </c>
      <c r="H1695" s="296" t="s">
        <v>3467</v>
      </c>
      <c r="I1695" s="297">
        <v>15200</v>
      </c>
    </row>
    <row r="1696" spans="1:10" x14ac:dyDescent="0.2">
      <c r="A1696" s="306">
        <v>1695</v>
      </c>
      <c r="B1696" s="302">
        <v>43370</v>
      </c>
      <c r="C1696" s="302">
        <v>43388</v>
      </c>
      <c r="D1696" s="303" t="s">
        <v>1092</v>
      </c>
      <c r="E1696" s="303" t="s">
        <v>392</v>
      </c>
      <c r="F1696" s="303" t="s">
        <v>1272</v>
      </c>
      <c r="G1696" s="304" t="s">
        <v>3459</v>
      </c>
      <c r="H1696" s="304" t="s">
        <v>3468</v>
      </c>
      <c r="I1696" s="305">
        <v>7200</v>
      </c>
      <c r="J1696" s="178" t="s">
        <v>3606</v>
      </c>
    </row>
    <row r="1697" spans="1:9" x14ac:dyDescent="0.2">
      <c r="A1697" s="306">
        <v>1696</v>
      </c>
      <c r="B1697" s="294">
        <v>43371</v>
      </c>
      <c r="C1697" s="294">
        <v>43388</v>
      </c>
      <c r="D1697" s="295" t="s">
        <v>1092</v>
      </c>
      <c r="E1697" s="295" t="s">
        <v>422</v>
      </c>
      <c r="F1697" s="295" t="s">
        <v>71</v>
      </c>
      <c r="G1697" s="296" t="s">
        <v>3460</v>
      </c>
      <c r="H1697" s="296" t="s">
        <v>3469</v>
      </c>
      <c r="I1697" s="297">
        <v>16801.02</v>
      </c>
    </row>
    <row r="1698" spans="1:9" x14ac:dyDescent="0.2">
      <c r="A1698" s="306">
        <v>1697</v>
      </c>
      <c r="B1698" s="294">
        <v>43371</v>
      </c>
      <c r="C1698" s="294">
        <v>43388</v>
      </c>
      <c r="D1698" s="295" t="s">
        <v>1092</v>
      </c>
      <c r="E1698" s="295" t="s">
        <v>422</v>
      </c>
      <c r="F1698" s="295" t="s">
        <v>71</v>
      </c>
      <c r="G1698" s="296" t="s">
        <v>3461</v>
      </c>
      <c r="H1698" s="296" t="s">
        <v>3470</v>
      </c>
      <c r="I1698" s="297">
        <v>63105.32</v>
      </c>
    </row>
    <row r="1699" spans="1:9" x14ac:dyDescent="0.2">
      <c r="A1699" s="306">
        <v>1698</v>
      </c>
      <c r="B1699" s="294">
        <v>43371</v>
      </c>
      <c r="C1699" s="294">
        <v>43388</v>
      </c>
      <c r="D1699" s="295" t="s">
        <v>1092</v>
      </c>
      <c r="E1699" s="295" t="s">
        <v>422</v>
      </c>
      <c r="F1699" s="295" t="s">
        <v>71</v>
      </c>
      <c r="G1699" s="296" t="s">
        <v>3462</v>
      </c>
      <c r="H1699" s="296" t="s">
        <v>3471</v>
      </c>
      <c r="I1699" s="297">
        <v>6473.75</v>
      </c>
    </row>
    <row r="1700" spans="1:9" x14ac:dyDescent="0.2">
      <c r="A1700" s="306">
        <v>1699</v>
      </c>
      <c r="B1700" s="294">
        <v>43371</v>
      </c>
      <c r="C1700" s="294">
        <v>43388</v>
      </c>
      <c r="D1700" s="295" t="s">
        <v>1092</v>
      </c>
      <c r="E1700" s="295" t="s">
        <v>392</v>
      </c>
      <c r="F1700" s="295" t="s">
        <v>71</v>
      </c>
      <c r="G1700" s="296" t="s">
        <v>3463</v>
      </c>
      <c r="H1700" s="296" t="s">
        <v>3472</v>
      </c>
      <c r="I1700" s="297">
        <v>8418.9</v>
      </c>
    </row>
    <row r="1701" spans="1:9" x14ac:dyDescent="0.2">
      <c r="A1701" s="306">
        <v>1700</v>
      </c>
      <c r="B1701" s="294">
        <v>43371</v>
      </c>
      <c r="C1701" s="294">
        <v>43388</v>
      </c>
      <c r="D1701" s="295" t="s">
        <v>1092</v>
      </c>
      <c r="E1701" s="295" t="s">
        <v>392</v>
      </c>
      <c r="F1701" s="295" t="s">
        <v>1272</v>
      </c>
      <c r="G1701" s="296" t="s">
        <v>3464</v>
      </c>
      <c r="H1701" s="296" t="s">
        <v>3473</v>
      </c>
      <c r="I1701" s="297">
        <v>4560</v>
      </c>
    </row>
    <row r="1702" spans="1:9" x14ac:dyDescent="0.2">
      <c r="A1702" s="306">
        <v>1701</v>
      </c>
      <c r="B1702" s="294">
        <v>43371</v>
      </c>
      <c r="C1702" s="294">
        <v>43388</v>
      </c>
      <c r="D1702" s="295" t="s">
        <v>1092</v>
      </c>
      <c r="E1702" s="295" t="s">
        <v>422</v>
      </c>
      <c r="F1702" s="295" t="s">
        <v>71</v>
      </c>
      <c r="G1702" s="296" t="s">
        <v>3465</v>
      </c>
      <c r="H1702" s="296" t="s">
        <v>3474</v>
      </c>
      <c r="I1702" s="297">
        <v>75558.11</v>
      </c>
    </row>
    <row r="1703" spans="1:9" x14ac:dyDescent="0.2">
      <c r="A1703" s="306">
        <v>1702</v>
      </c>
      <c r="B1703" s="294">
        <v>43371</v>
      </c>
      <c r="C1703" s="294">
        <v>43388</v>
      </c>
      <c r="D1703" s="295" t="s">
        <v>1092</v>
      </c>
      <c r="E1703" s="295" t="s">
        <v>392</v>
      </c>
      <c r="F1703" s="295" t="s">
        <v>71</v>
      </c>
      <c r="G1703" s="296" t="s">
        <v>3466</v>
      </c>
      <c r="H1703" s="296" t="s">
        <v>3475</v>
      </c>
      <c r="I1703" s="297">
        <v>1138.48</v>
      </c>
    </row>
    <row r="1704" spans="1:9" x14ac:dyDescent="0.2">
      <c r="A1704" s="306">
        <v>1703</v>
      </c>
      <c r="B1704" s="294">
        <v>43377</v>
      </c>
      <c r="C1704" s="294">
        <v>43395</v>
      </c>
      <c r="D1704" s="295" t="s">
        <v>1092</v>
      </c>
      <c r="E1704" s="295" t="s">
        <v>392</v>
      </c>
      <c r="F1704" s="295" t="s">
        <v>71</v>
      </c>
      <c r="G1704" s="296" t="s">
        <v>3476</v>
      </c>
      <c r="H1704" s="296" t="s">
        <v>3477</v>
      </c>
      <c r="I1704" s="297">
        <v>769.14</v>
      </c>
    </row>
    <row r="1705" spans="1:9" x14ac:dyDescent="0.2">
      <c r="A1705" s="306">
        <v>1704</v>
      </c>
      <c r="B1705" s="294">
        <v>43377</v>
      </c>
      <c r="C1705" s="294">
        <v>43395</v>
      </c>
      <c r="D1705" s="295" t="s">
        <v>1092</v>
      </c>
      <c r="E1705" s="295" t="s">
        <v>422</v>
      </c>
      <c r="F1705" s="295" t="s">
        <v>396</v>
      </c>
      <c r="G1705" s="296" t="s">
        <v>3478</v>
      </c>
      <c r="H1705" s="296" t="s">
        <v>3479</v>
      </c>
      <c r="I1705" s="297">
        <v>9636</v>
      </c>
    </row>
    <row r="1706" spans="1:9" x14ac:dyDescent="0.2">
      <c r="A1706" s="306">
        <v>1705</v>
      </c>
      <c r="B1706" s="294">
        <v>43378</v>
      </c>
      <c r="C1706" s="294">
        <v>43395</v>
      </c>
      <c r="D1706" s="295" t="s">
        <v>1092</v>
      </c>
      <c r="E1706" s="295" t="s">
        <v>392</v>
      </c>
      <c r="F1706" s="295" t="s">
        <v>1272</v>
      </c>
      <c r="G1706" s="296" t="s">
        <v>3480</v>
      </c>
      <c r="H1706" s="296" t="s">
        <v>3486</v>
      </c>
      <c r="I1706" s="297">
        <v>9000</v>
      </c>
    </row>
    <row r="1707" spans="1:9" x14ac:dyDescent="0.2">
      <c r="A1707" s="306">
        <v>1706</v>
      </c>
      <c r="B1707" s="294">
        <v>43378</v>
      </c>
      <c r="C1707" s="294">
        <v>43395</v>
      </c>
      <c r="D1707" s="295" t="s">
        <v>1092</v>
      </c>
      <c r="E1707" s="295" t="s">
        <v>422</v>
      </c>
      <c r="F1707" s="295" t="s">
        <v>396</v>
      </c>
      <c r="G1707" s="296" t="s">
        <v>3481</v>
      </c>
      <c r="H1707" s="296" t="s">
        <v>3487</v>
      </c>
      <c r="I1707" s="297">
        <v>10200</v>
      </c>
    </row>
    <row r="1708" spans="1:9" x14ac:dyDescent="0.2">
      <c r="A1708" s="306">
        <v>1707</v>
      </c>
      <c r="B1708" s="294">
        <v>43378</v>
      </c>
      <c r="C1708" s="294">
        <v>43395</v>
      </c>
      <c r="D1708" s="295" t="s">
        <v>1092</v>
      </c>
      <c r="E1708" s="295" t="s">
        <v>392</v>
      </c>
      <c r="F1708" s="295" t="s">
        <v>1272</v>
      </c>
      <c r="G1708" s="296" t="s">
        <v>3482</v>
      </c>
      <c r="H1708" s="296" t="s">
        <v>3488</v>
      </c>
      <c r="I1708" s="297">
        <v>4800</v>
      </c>
    </row>
    <row r="1709" spans="1:9" x14ac:dyDescent="0.2">
      <c r="A1709" s="306">
        <v>1708</v>
      </c>
      <c r="B1709" s="294">
        <v>43378</v>
      </c>
      <c r="C1709" s="294">
        <v>43395</v>
      </c>
      <c r="D1709" s="295" t="s">
        <v>1092</v>
      </c>
      <c r="E1709" s="295" t="s">
        <v>422</v>
      </c>
      <c r="F1709" s="295" t="s">
        <v>396</v>
      </c>
      <c r="G1709" s="296" t="s">
        <v>3483</v>
      </c>
      <c r="H1709" s="296" t="s">
        <v>3489</v>
      </c>
      <c r="I1709" s="297">
        <v>49200</v>
      </c>
    </row>
    <row r="1710" spans="1:9" x14ac:dyDescent="0.2">
      <c r="A1710" s="306">
        <v>1709</v>
      </c>
      <c r="B1710" s="294">
        <v>43378</v>
      </c>
      <c r="C1710" s="294">
        <v>43395</v>
      </c>
      <c r="D1710" s="295" t="s">
        <v>1092</v>
      </c>
      <c r="E1710" s="295" t="s">
        <v>422</v>
      </c>
      <c r="F1710" s="295" t="s">
        <v>396</v>
      </c>
      <c r="G1710" s="296" t="s">
        <v>3484</v>
      </c>
      <c r="H1710" s="296" t="s">
        <v>3490</v>
      </c>
      <c r="I1710" s="297">
        <v>34200</v>
      </c>
    </row>
    <row r="1711" spans="1:9" x14ac:dyDescent="0.2">
      <c r="A1711" s="306">
        <v>1710</v>
      </c>
      <c r="B1711" s="294">
        <v>43378</v>
      </c>
      <c r="C1711" s="294">
        <v>43395</v>
      </c>
      <c r="D1711" s="295" t="s">
        <v>1092</v>
      </c>
      <c r="E1711" s="295" t="s">
        <v>422</v>
      </c>
      <c r="F1711" s="295" t="s">
        <v>396</v>
      </c>
      <c r="G1711" s="296" t="s">
        <v>3485</v>
      </c>
      <c r="H1711" s="296" t="s">
        <v>3491</v>
      </c>
      <c r="I1711" s="297">
        <v>37422</v>
      </c>
    </row>
    <row r="1712" spans="1:9" x14ac:dyDescent="0.2">
      <c r="A1712" s="306">
        <v>1711</v>
      </c>
      <c r="B1712" s="294">
        <v>43381</v>
      </c>
      <c r="C1712" s="294">
        <v>43396</v>
      </c>
      <c r="D1712" s="295" t="s">
        <v>1092</v>
      </c>
      <c r="E1712" s="295" t="s">
        <v>392</v>
      </c>
      <c r="F1712" s="295" t="s">
        <v>71</v>
      </c>
      <c r="G1712" s="301" t="s">
        <v>3492</v>
      </c>
      <c r="H1712" s="296" t="s">
        <v>3497</v>
      </c>
      <c r="I1712" s="297">
        <v>22104.47</v>
      </c>
    </row>
    <row r="1713" spans="1:9" x14ac:dyDescent="0.2">
      <c r="A1713" s="306">
        <v>1712</v>
      </c>
      <c r="B1713" s="294">
        <v>43381</v>
      </c>
      <c r="C1713" s="294">
        <v>43396</v>
      </c>
      <c r="D1713" s="295" t="s">
        <v>1092</v>
      </c>
      <c r="E1713" s="295" t="s">
        <v>392</v>
      </c>
      <c r="F1713" s="295" t="s">
        <v>1272</v>
      </c>
      <c r="G1713" s="296" t="s">
        <v>3493</v>
      </c>
      <c r="H1713" s="296" t="s">
        <v>3498</v>
      </c>
      <c r="I1713" s="297">
        <v>34000</v>
      </c>
    </row>
    <row r="1714" spans="1:9" x14ac:dyDescent="0.2">
      <c r="A1714" s="306">
        <v>1713</v>
      </c>
      <c r="B1714" s="294">
        <v>43381</v>
      </c>
      <c r="C1714" s="294">
        <v>43396</v>
      </c>
      <c r="D1714" s="295" t="s">
        <v>1092</v>
      </c>
      <c r="E1714" s="295" t="s">
        <v>392</v>
      </c>
      <c r="F1714" s="295" t="s">
        <v>1272</v>
      </c>
      <c r="G1714" s="296" t="s">
        <v>3494</v>
      </c>
      <c r="H1714" s="296" t="s">
        <v>3499</v>
      </c>
      <c r="I1714" s="297">
        <v>14865.91</v>
      </c>
    </row>
    <row r="1715" spans="1:9" x14ac:dyDescent="0.2">
      <c r="A1715" s="306">
        <v>1714</v>
      </c>
      <c r="B1715" s="294">
        <v>43381</v>
      </c>
      <c r="C1715" s="294">
        <v>43397</v>
      </c>
      <c r="D1715" s="295" t="s">
        <v>1092</v>
      </c>
      <c r="E1715" s="295" t="s">
        <v>422</v>
      </c>
      <c r="F1715" s="295" t="s">
        <v>71</v>
      </c>
      <c r="G1715" s="296" t="s">
        <v>3495</v>
      </c>
      <c r="H1715" s="296" t="s">
        <v>3500</v>
      </c>
      <c r="I1715" s="297">
        <v>152916.17000000001</v>
      </c>
    </row>
    <row r="1716" spans="1:9" x14ac:dyDescent="0.2">
      <c r="A1716" s="306">
        <v>1715</v>
      </c>
      <c r="B1716" s="294">
        <v>43381</v>
      </c>
      <c r="C1716" s="294">
        <v>43402</v>
      </c>
      <c r="D1716" s="295" t="s">
        <v>1092</v>
      </c>
      <c r="E1716" s="295" t="s">
        <v>422</v>
      </c>
      <c r="F1716" s="295" t="s">
        <v>71</v>
      </c>
      <c r="G1716" s="296" t="s">
        <v>3496</v>
      </c>
      <c r="H1716" s="296" t="s">
        <v>3501</v>
      </c>
      <c r="I1716" s="297">
        <v>14382.45</v>
      </c>
    </row>
    <row r="1717" spans="1:9" x14ac:dyDescent="0.2">
      <c r="A1717" s="306">
        <v>1716</v>
      </c>
      <c r="B1717" s="294">
        <v>43382</v>
      </c>
      <c r="C1717" s="294">
        <v>43395</v>
      </c>
      <c r="D1717" s="295" t="s">
        <v>1092</v>
      </c>
      <c r="E1717" s="295" t="s">
        <v>422</v>
      </c>
      <c r="F1717" s="295" t="s">
        <v>396</v>
      </c>
      <c r="G1717" s="296" t="s">
        <v>3502</v>
      </c>
      <c r="H1717" s="296" t="s">
        <v>3507</v>
      </c>
      <c r="I1717" s="297">
        <v>17040</v>
      </c>
    </row>
    <row r="1718" spans="1:9" x14ac:dyDescent="0.2">
      <c r="A1718" s="306">
        <v>1717</v>
      </c>
      <c r="B1718" s="294">
        <v>43382</v>
      </c>
      <c r="C1718" s="294">
        <v>43397</v>
      </c>
      <c r="D1718" s="295" t="s">
        <v>1092</v>
      </c>
      <c r="E1718" s="295" t="s">
        <v>392</v>
      </c>
      <c r="F1718" s="295" t="s">
        <v>71</v>
      </c>
      <c r="G1718" s="296" t="s">
        <v>3503</v>
      </c>
      <c r="H1718" s="296" t="s">
        <v>3508</v>
      </c>
      <c r="I1718" s="297">
        <v>42372.2</v>
      </c>
    </row>
    <row r="1719" spans="1:9" x14ac:dyDescent="0.2">
      <c r="A1719" s="306">
        <v>1718</v>
      </c>
      <c r="B1719" s="294">
        <v>43382</v>
      </c>
      <c r="C1719" s="294">
        <v>43397</v>
      </c>
      <c r="D1719" s="295" t="s">
        <v>1092</v>
      </c>
      <c r="E1719" s="295" t="s">
        <v>392</v>
      </c>
      <c r="F1719" s="295" t="s">
        <v>71</v>
      </c>
      <c r="G1719" s="296" t="s">
        <v>3504</v>
      </c>
      <c r="H1719" s="296" t="s">
        <v>3509</v>
      </c>
      <c r="I1719" s="297">
        <v>1383.55</v>
      </c>
    </row>
    <row r="1720" spans="1:9" x14ac:dyDescent="0.2">
      <c r="A1720" s="306">
        <v>1719</v>
      </c>
      <c r="B1720" s="294">
        <v>43382</v>
      </c>
      <c r="C1720" s="294">
        <v>43397</v>
      </c>
      <c r="D1720" s="295" t="s">
        <v>1092</v>
      </c>
      <c r="E1720" s="295" t="s">
        <v>392</v>
      </c>
      <c r="F1720" s="295" t="s">
        <v>71</v>
      </c>
      <c r="G1720" s="296" t="s">
        <v>3505</v>
      </c>
      <c r="H1720" s="296" t="s">
        <v>3510</v>
      </c>
      <c r="I1720" s="297">
        <v>8180.2</v>
      </c>
    </row>
    <row r="1721" spans="1:9" x14ac:dyDescent="0.2">
      <c r="A1721" s="306">
        <v>1720</v>
      </c>
      <c r="B1721" s="294">
        <v>43382</v>
      </c>
      <c r="C1721" s="294">
        <v>43397</v>
      </c>
      <c r="D1721" s="295" t="s">
        <v>1092</v>
      </c>
      <c r="E1721" s="295" t="s">
        <v>422</v>
      </c>
      <c r="F1721" s="295" t="s">
        <v>396</v>
      </c>
      <c r="G1721" s="296" t="s">
        <v>3506</v>
      </c>
      <c r="H1721" s="296" t="s">
        <v>3511</v>
      </c>
      <c r="I1721" s="297">
        <v>51600</v>
      </c>
    </row>
    <row r="1722" spans="1:9" x14ac:dyDescent="0.2">
      <c r="A1722" s="306">
        <v>1721</v>
      </c>
      <c r="B1722" s="294">
        <v>43383</v>
      </c>
      <c r="C1722" s="294">
        <v>43402</v>
      </c>
      <c r="D1722" s="295" t="s">
        <v>1092</v>
      </c>
      <c r="E1722" s="295" t="s">
        <v>422</v>
      </c>
      <c r="F1722" s="295" t="s">
        <v>396</v>
      </c>
      <c r="G1722" s="296" t="s">
        <v>3512</v>
      </c>
      <c r="H1722" s="296" t="s">
        <v>3514</v>
      </c>
      <c r="I1722" s="297">
        <v>212953.33</v>
      </c>
    </row>
    <row r="1723" spans="1:9" x14ac:dyDescent="0.2">
      <c r="A1723" s="306">
        <v>1722</v>
      </c>
      <c r="B1723" s="294">
        <v>43383</v>
      </c>
      <c r="C1723" s="294">
        <v>43402</v>
      </c>
      <c r="D1723" s="295" t="s">
        <v>1092</v>
      </c>
      <c r="E1723" s="295" t="s">
        <v>392</v>
      </c>
      <c r="F1723" s="295" t="s">
        <v>1272</v>
      </c>
      <c r="G1723" s="296" t="s">
        <v>3513</v>
      </c>
      <c r="H1723" s="296" t="s">
        <v>3515</v>
      </c>
      <c r="I1723" s="297">
        <v>63800</v>
      </c>
    </row>
    <row r="1724" spans="1:9" x14ac:dyDescent="0.2">
      <c r="A1724" s="306">
        <v>1723</v>
      </c>
      <c r="B1724" s="294">
        <v>43384</v>
      </c>
      <c r="C1724" s="294">
        <v>43402</v>
      </c>
      <c r="D1724" s="295" t="s">
        <v>1092</v>
      </c>
      <c r="E1724" s="295" t="s">
        <v>392</v>
      </c>
      <c r="F1724" s="295" t="s">
        <v>1272</v>
      </c>
      <c r="G1724" s="296" t="s">
        <v>3516</v>
      </c>
      <c r="H1724" s="296" t="s">
        <v>3524</v>
      </c>
      <c r="I1724" s="297">
        <v>21000</v>
      </c>
    </row>
    <row r="1725" spans="1:9" x14ac:dyDescent="0.2">
      <c r="A1725" s="306">
        <v>1724</v>
      </c>
      <c r="B1725" s="294">
        <v>43384</v>
      </c>
      <c r="C1725" s="294">
        <v>43402</v>
      </c>
      <c r="D1725" s="295" t="s">
        <v>1092</v>
      </c>
      <c r="E1725" s="295" t="s">
        <v>422</v>
      </c>
      <c r="F1725" s="295" t="s">
        <v>701</v>
      </c>
      <c r="G1725" s="296" t="s">
        <v>3517</v>
      </c>
      <c r="H1725" s="296" t="s">
        <v>3525</v>
      </c>
      <c r="I1725" s="297">
        <v>216300</v>
      </c>
    </row>
    <row r="1726" spans="1:9" x14ac:dyDescent="0.2">
      <c r="A1726" s="306">
        <v>1725</v>
      </c>
      <c r="B1726" s="294">
        <v>43384</v>
      </c>
      <c r="C1726" s="294">
        <v>43402</v>
      </c>
      <c r="D1726" s="295" t="s">
        <v>1092</v>
      </c>
      <c r="E1726" s="295" t="s">
        <v>422</v>
      </c>
      <c r="F1726" s="295" t="s">
        <v>396</v>
      </c>
      <c r="G1726" s="296" t="s">
        <v>3518</v>
      </c>
      <c r="H1726" s="296" t="s">
        <v>3526</v>
      </c>
      <c r="I1726" s="297">
        <v>30973.33</v>
      </c>
    </row>
    <row r="1727" spans="1:9" x14ac:dyDescent="0.2">
      <c r="A1727" s="306">
        <v>1726</v>
      </c>
      <c r="B1727" s="294">
        <v>43384</v>
      </c>
      <c r="C1727" s="294">
        <v>43402</v>
      </c>
      <c r="D1727" s="295" t="s">
        <v>1092</v>
      </c>
      <c r="E1727" s="295" t="s">
        <v>422</v>
      </c>
      <c r="F1727" s="295" t="s">
        <v>396</v>
      </c>
      <c r="G1727" s="296" t="s">
        <v>3519</v>
      </c>
      <c r="H1727" s="296" t="s">
        <v>3527</v>
      </c>
      <c r="I1727" s="297">
        <v>181280</v>
      </c>
    </row>
    <row r="1728" spans="1:9" x14ac:dyDescent="0.2">
      <c r="A1728" s="306">
        <v>1727</v>
      </c>
      <c r="B1728" s="294">
        <v>43384</v>
      </c>
      <c r="C1728" s="294">
        <v>43402</v>
      </c>
      <c r="D1728" s="295" t="s">
        <v>1092</v>
      </c>
      <c r="E1728" s="295" t="s">
        <v>422</v>
      </c>
      <c r="F1728" s="295" t="s">
        <v>396</v>
      </c>
      <c r="G1728" s="296" t="s">
        <v>3520</v>
      </c>
      <c r="H1728" s="296" t="s">
        <v>3528</v>
      </c>
      <c r="I1728" s="297">
        <v>38833.33</v>
      </c>
    </row>
    <row r="1729" spans="1:10" x14ac:dyDescent="0.2">
      <c r="A1729" s="306">
        <v>1728</v>
      </c>
      <c r="B1729" s="294">
        <v>43384</v>
      </c>
      <c r="C1729" s="294">
        <v>43402</v>
      </c>
      <c r="D1729" s="295" t="s">
        <v>1092</v>
      </c>
      <c r="E1729" s="295" t="s">
        <v>422</v>
      </c>
      <c r="F1729" s="295" t="s">
        <v>396</v>
      </c>
      <c r="G1729" s="296" t="s">
        <v>3521</v>
      </c>
      <c r="H1729" s="296" t="s">
        <v>3529</v>
      </c>
      <c r="I1729" s="297">
        <v>18000</v>
      </c>
    </row>
    <row r="1730" spans="1:10" x14ac:dyDescent="0.2">
      <c r="A1730" s="306">
        <v>1729</v>
      </c>
      <c r="B1730" s="294">
        <v>43384</v>
      </c>
      <c r="C1730" s="294">
        <v>43402</v>
      </c>
      <c r="D1730" s="295" t="s">
        <v>1092</v>
      </c>
      <c r="E1730" s="295" t="s">
        <v>422</v>
      </c>
      <c r="F1730" s="295" t="s">
        <v>71</v>
      </c>
      <c r="G1730" s="296" t="s">
        <v>3522</v>
      </c>
      <c r="H1730" s="296" t="s">
        <v>3530</v>
      </c>
      <c r="I1730" s="297">
        <v>12462.13</v>
      </c>
    </row>
    <row r="1731" spans="1:10" x14ac:dyDescent="0.2">
      <c r="A1731" s="306">
        <v>1730</v>
      </c>
      <c r="B1731" s="294">
        <v>43388</v>
      </c>
      <c r="C1731" s="294">
        <v>43409</v>
      </c>
      <c r="D1731" s="295" t="s">
        <v>1092</v>
      </c>
      <c r="E1731" s="295" t="s">
        <v>392</v>
      </c>
      <c r="F1731" s="295" t="s">
        <v>1272</v>
      </c>
      <c r="G1731" s="296" t="s">
        <v>3523</v>
      </c>
      <c r="H1731" s="296" t="s">
        <v>3531</v>
      </c>
      <c r="I1731" s="297">
        <v>8700</v>
      </c>
    </row>
    <row r="1732" spans="1:10" x14ac:dyDescent="0.2">
      <c r="A1732" s="307">
        <v>1731</v>
      </c>
      <c r="B1732" s="302">
        <v>43389</v>
      </c>
      <c r="C1732" s="302">
        <v>43404</v>
      </c>
      <c r="D1732" s="303" t="s">
        <v>1092</v>
      </c>
      <c r="E1732" s="303" t="s">
        <v>422</v>
      </c>
      <c r="F1732" s="303" t="s">
        <v>396</v>
      </c>
      <c r="G1732" s="304" t="s">
        <v>3532</v>
      </c>
      <c r="H1732" s="304" t="s">
        <v>3533</v>
      </c>
      <c r="I1732" s="305">
        <v>19900</v>
      </c>
      <c r="J1732" s="178" t="s">
        <v>3759</v>
      </c>
    </row>
    <row r="1733" spans="1:10" x14ac:dyDescent="0.2">
      <c r="A1733" s="306">
        <v>1732</v>
      </c>
      <c r="B1733" s="294">
        <v>43390</v>
      </c>
      <c r="C1733" s="294">
        <v>43409</v>
      </c>
      <c r="D1733" s="295" t="s">
        <v>1092</v>
      </c>
      <c r="E1733" s="295" t="s">
        <v>422</v>
      </c>
      <c r="F1733" s="295" t="s">
        <v>71</v>
      </c>
      <c r="G1733" s="296" t="s">
        <v>3534</v>
      </c>
      <c r="H1733" s="296" t="s">
        <v>3535</v>
      </c>
      <c r="I1733" s="297">
        <v>6469.65</v>
      </c>
    </row>
    <row r="1734" spans="1:10" x14ac:dyDescent="0.2">
      <c r="A1734" s="306">
        <v>1733</v>
      </c>
      <c r="B1734" s="294">
        <v>43392</v>
      </c>
      <c r="C1734" s="294">
        <v>43416</v>
      </c>
      <c r="D1734" s="295" t="s">
        <v>1092</v>
      </c>
      <c r="E1734" s="295" t="s">
        <v>422</v>
      </c>
      <c r="F1734" s="295" t="s">
        <v>71</v>
      </c>
      <c r="G1734" s="296" t="s">
        <v>3536</v>
      </c>
      <c r="H1734" s="296" t="s">
        <v>3537</v>
      </c>
      <c r="I1734" s="297">
        <v>851.7</v>
      </c>
    </row>
    <row r="1735" spans="1:10" x14ac:dyDescent="0.2">
      <c r="A1735" s="306">
        <v>1734</v>
      </c>
      <c r="B1735" s="294">
        <v>43392</v>
      </c>
      <c r="C1735" s="294">
        <v>43409</v>
      </c>
      <c r="D1735" s="295" t="s">
        <v>1092</v>
      </c>
      <c r="E1735" s="295" t="s">
        <v>392</v>
      </c>
      <c r="F1735" s="295" t="s">
        <v>71</v>
      </c>
      <c r="G1735" s="296" t="s">
        <v>3538</v>
      </c>
      <c r="H1735" s="296" t="s">
        <v>3539</v>
      </c>
      <c r="I1735" s="297">
        <v>1591.82</v>
      </c>
    </row>
    <row r="1736" spans="1:10" x14ac:dyDescent="0.2">
      <c r="A1736" s="306">
        <v>1735</v>
      </c>
      <c r="B1736" s="294">
        <v>43392</v>
      </c>
      <c r="C1736" s="294">
        <v>43411</v>
      </c>
      <c r="D1736" s="295" t="s">
        <v>1092</v>
      </c>
      <c r="E1736" s="295" t="s">
        <v>422</v>
      </c>
      <c r="F1736" s="295" t="s">
        <v>396</v>
      </c>
      <c r="G1736" s="296" t="s">
        <v>3540</v>
      </c>
      <c r="H1736" s="296" t="s">
        <v>3541</v>
      </c>
      <c r="I1736" s="297">
        <v>11760</v>
      </c>
    </row>
    <row r="1737" spans="1:10" x14ac:dyDescent="0.2">
      <c r="A1737" s="306">
        <v>1736</v>
      </c>
      <c r="B1737" s="294">
        <v>43397</v>
      </c>
      <c r="C1737" s="294">
        <v>43416</v>
      </c>
      <c r="D1737" s="295" t="s">
        <v>1092</v>
      </c>
      <c r="E1737" s="295" t="s">
        <v>422</v>
      </c>
      <c r="F1737" s="295" t="s">
        <v>396</v>
      </c>
      <c r="G1737" s="296" t="s">
        <v>3542</v>
      </c>
      <c r="H1737" s="296" t="s">
        <v>3543</v>
      </c>
      <c r="I1737" s="297">
        <v>41166.67</v>
      </c>
    </row>
    <row r="1738" spans="1:10" x14ac:dyDescent="0.2">
      <c r="A1738" s="306">
        <v>1737</v>
      </c>
      <c r="B1738" s="294">
        <v>43399</v>
      </c>
      <c r="C1738" s="294">
        <v>43416</v>
      </c>
      <c r="D1738" s="295" t="s">
        <v>1092</v>
      </c>
      <c r="E1738" s="295" t="s">
        <v>422</v>
      </c>
      <c r="F1738" s="295" t="s">
        <v>71</v>
      </c>
      <c r="G1738" s="296" t="s">
        <v>3544</v>
      </c>
      <c r="H1738" s="296" t="s">
        <v>3545</v>
      </c>
      <c r="I1738" s="297">
        <v>15415.66</v>
      </c>
    </row>
    <row r="1739" spans="1:10" x14ac:dyDescent="0.2">
      <c r="A1739" s="306">
        <v>1738</v>
      </c>
      <c r="B1739" s="294">
        <v>43409</v>
      </c>
      <c r="C1739" s="294">
        <v>43431</v>
      </c>
      <c r="D1739" s="295" t="s">
        <v>1092</v>
      </c>
      <c r="E1739" s="295" t="s">
        <v>392</v>
      </c>
      <c r="F1739" s="295" t="s">
        <v>393</v>
      </c>
      <c r="G1739" s="296" t="s">
        <v>3546</v>
      </c>
      <c r="H1739" s="296" t="s">
        <v>3549</v>
      </c>
      <c r="I1739" s="297">
        <v>96000</v>
      </c>
    </row>
    <row r="1740" spans="1:10" x14ac:dyDescent="0.2">
      <c r="A1740" s="306">
        <v>1739</v>
      </c>
      <c r="B1740" s="294">
        <v>43409</v>
      </c>
      <c r="C1740" s="294">
        <v>43431</v>
      </c>
      <c r="D1740" s="295" t="s">
        <v>1092</v>
      </c>
      <c r="E1740" s="295" t="s">
        <v>392</v>
      </c>
      <c r="F1740" s="295" t="s">
        <v>71</v>
      </c>
      <c r="G1740" s="296" t="s">
        <v>3547</v>
      </c>
      <c r="H1740" s="296" t="s">
        <v>3548</v>
      </c>
      <c r="I1740" s="297">
        <v>91339.33</v>
      </c>
    </row>
    <row r="1741" spans="1:10" x14ac:dyDescent="0.2">
      <c r="A1741" s="306">
        <v>1740</v>
      </c>
      <c r="B1741" s="294">
        <v>43409</v>
      </c>
      <c r="C1741" s="294">
        <v>43423</v>
      </c>
      <c r="D1741" s="295" t="s">
        <v>1092</v>
      </c>
      <c r="E1741" s="295" t="s">
        <v>422</v>
      </c>
      <c r="F1741" s="295" t="s">
        <v>1276</v>
      </c>
      <c r="G1741" s="296" t="s">
        <v>3550</v>
      </c>
      <c r="H1741" s="296" t="s">
        <v>3551</v>
      </c>
      <c r="I1741" s="297">
        <v>6240</v>
      </c>
    </row>
    <row r="1742" spans="1:10" x14ac:dyDescent="0.2">
      <c r="A1742" s="306">
        <v>1741</v>
      </c>
      <c r="B1742" s="294">
        <v>43409</v>
      </c>
      <c r="C1742" s="294">
        <v>43423</v>
      </c>
      <c r="D1742" s="295" t="s">
        <v>1092</v>
      </c>
      <c r="E1742" s="295" t="s">
        <v>392</v>
      </c>
      <c r="F1742" s="295" t="s">
        <v>393</v>
      </c>
      <c r="G1742" s="296" t="s">
        <v>3552</v>
      </c>
      <c r="H1742" s="296" t="s">
        <v>3553</v>
      </c>
      <c r="I1742" s="297">
        <v>94200</v>
      </c>
    </row>
    <row r="1743" spans="1:10" x14ac:dyDescent="0.2">
      <c r="A1743" s="306">
        <v>1742</v>
      </c>
      <c r="B1743" s="294">
        <v>43412</v>
      </c>
      <c r="C1743" s="294">
        <v>43430</v>
      </c>
      <c r="D1743" s="295" t="s">
        <v>1092</v>
      </c>
      <c r="E1743" s="295" t="s">
        <v>422</v>
      </c>
      <c r="F1743" s="295" t="s">
        <v>71</v>
      </c>
      <c r="G1743" s="296" t="s">
        <v>3554</v>
      </c>
      <c r="H1743" s="296" t="s">
        <v>3558</v>
      </c>
      <c r="I1743" s="297">
        <v>4558.8500000000004</v>
      </c>
    </row>
    <row r="1744" spans="1:10" x14ac:dyDescent="0.2">
      <c r="A1744" s="306">
        <v>1743</v>
      </c>
      <c r="B1744" s="294">
        <v>43412</v>
      </c>
      <c r="C1744" s="294">
        <v>43430</v>
      </c>
      <c r="D1744" s="295" t="s">
        <v>1092</v>
      </c>
      <c r="E1744" s="295" t="s">
        <v>392</v>
      </c>
      <c r="F1744" s="295" t="s">
        <v>393</v>
      </c>
      <c r="G1744" s="296" t="s">
        <v>3555</v>
      </c>
      <c r="H1744" s="296" t="s">
        <v>3559</v>
      </c>
      <c r="I1744" s="297">
        <v>10453.82</v>
      </c>
    </row>
    <row r="1745" spans="1:10" x14ac:dyDescent="0.2">
      <c r="A1745" s="306">
        <v>1744</v>
      </c>
      <c r="B1745" s="294">
        <v>43412</v>
      </c>
      <c r="C1745" s="294">
        <v>43430</v>
      </c>
      <c r="D1745" s="295" t="s">
        <v>1092</v>
      </c>
      <c r="E1745" s="295" t="s">
        <v>392</v>
      </c>
      <c r="F1745" s="295" t="s">
        <v>393</v>
      </c>
      <c r="G1745" s="296" t="s">
        <v>3556</v>
      </c>
      <c r="H1745" s="296" t="s">
        <v>3560</v>
      </c>
      <c r="I1745" s="297">
        <v>98754</v>
      </c>
    </row>
    <row r="1746" spans="1:10" x14ac:dyDescent="0.2">
      <c r="A1746" s="306">
        <v>1745</v>
      </c>
      <c r="B1746" s="294">
        <v>43412</v>
      </c>
      <c r="C1746" s="294">
        <v>43430</v>
      </c>
      <c r="D1746" s="295" t="s">
        <v>1092</v>
      </c>
      <c r="E1746" s="295" t="s">
        <v>392</v>
      </c>
      <c r="F1746" s="295" t="s">
        <v>393</v>
      </c>
      <c r="G1746" s="296" t="s">
        <v>3557</v>
      </c>
      <c r="H1746" s="296" t="s">
        <v>3561</v>
      </c>
      <c r="I1746" s="297">
        <v>15687</v>
      </c>
    </row>
    <row r="1747" spans="1:10" x14ac:dyDescent="0.2">
      <c r="A1747" s="306">
        <v>1746</v>
      </c>
      <c r="B1747" s="294">
        <v>43413</v>
      </c>
      <c r="C1747" s="294">
        <v>43430</v>
      </c>
      <c r="D1747" s="295" t="s">
        <v>1092</v>
      </c>
      <c r="E1747" s="295" t="s">
        <v>392</v>
      </c>
      <c r="F1747" s="295" t="s">
        <v>393</v>
      </c>
      <c r="G1747" s="296" t="s">
        <v>3562</v>
      </c>
      <c r="H1747" s="296" t="s">
        <v>3563</v>
      </c>
      <c r="I1747" s="297">
        <v>13665</v>
      </c>
    </row>
    <row r="1748" spans="1:10" x14ac:dyDescent="0.2">
      <c r="A1748" s="307">
        <v>1747</v>
      </c>
      <c r="B1748" s="302">
        <v>43413</v>
      </c>
      <c r="C1748" s="302">
        <v>43430</v>
      </c>
      <c r="D1748" s="303" t="s">
        <v>1092</v>
      </c>
      <c r="E1748" s="303" t="s">
        <v>392</v>
      </c>
      <c r="F1748" s="303" t="s">
        <v>393</v>
      </c>
      <c r="G1748" s="304" t="s">
        <v>3564</v>
      </c>
      <c r="H1748" s="304" t="s">
        <v>3565</v>
      </c>
      <c r="I1748" s="305">
        <v>8000</v>
      </c>
      <c r="J1748" s="178" t="s">
        <v>3879</v>
      </c>
    </row>
    <row r="1749" spans="1:10" x14ac:dyDescent="0.2">
      <c r="A1749" s="306">
        <v>1748</v>
      </c>
      <c r="B1749" s="294">
        <v>43413</v>
      </c>
      <c r="C1749" s="294">
        <v>43430</v>
      </c>
      <c r="D1749" s="295" t="s">
        <v>1092</v>
      </c>
      <c r="E1749" s="295" t="s">
        <v>392</v>
      </c>
      <c r="F1749" s="295" t="s">
        <v>393</v>
      </c>
      <c r="G1749" s="296" t="s">
        <v>3566</v>
      </c>
      <c r="H1749" s="296" t="s">
        <v>3567</v>
      </c>
      <c r="I1749" s="297">
        <v>45550</v>
      </c>
    </row>
    <row r="1750" spans="1:10" x14ac:dyDescent="0.2">
      <c r="A1750" s="306">
        <v>1749</v>
      </c>
      <c r="B1750" s="294">
        <v>43413</v>
      </c>
      <c r="C1750" s="294">
        <v>43432</v>
      </c>
      <c r="D1750" s="295" t="s">
        <v>1092</v>
      </c>
      <c r="E1750" s="295" t="s">
        <v>392</v>
      </c>
      <c r="F1750" s="295" t="s">
        <v>393</v>
      </c>
      <c r="G1750" s="296" t="s">
        <v>3568</v>
      </c>
      <c r="H1750" s="296" t="s">
        <v>3569</v>
      </c>
      <c r="I1750" s="297">
        <v>31000</v>
      </c>
    </row>
    <row r="1751" spans="1:10" x14ac:dyDescent="0.2">
      <c r="A1751" s="306">
        <v>1750</v>
      </c>
      <c r="B1751" s="294">
        <v>43416</v>
      </c>
      <c r="C1751" s="294">
        <v>43437</v>
      </c>
      <c r="D1751" s="295" t="s">
        <v>1092</v>
      </c>
      <c r="E1751" s="295" t="s">
        <v>392</v>
      </c>
      <c r="F1751" s="295" t="s">
        <v>393</v>
      </c>
      <c r="G1751" s="296" t="s">
        <v>3570</v>
      </c>
      <c r="H1751" s="296" t="s">
        <v>3571</v>
      </c>
      <c r="I1751" s="297">
        <v>8800</v>
      </c>
    </row>
    <row r="1752" spans="1:10" x14ac:dyDescent="0.2">
      <c r="A1752" s="306">
        <v>1751</v>
      </c>
      <c r="B1752" s="294">
        <v>43416</v>
      </c>
      <c r="C1752" s="294">
        <v>43432</v>
      </c>
      <c r="D1752" s="295" t="s">
        <v>1092</v>
      </c>
      <c r="E1752" s="295" t="s">
        <v>422</v>
      </c>
      <c r="F1752" s="295" t="s">
        <v>71</v>
      </c>
      <c r="G1752" s="296" t="s">
        <v>3572</v>
      </c>
      <c r="H1752" s="296" t="s">
        <v>3573</v>
      </c>
      <c r="I1752" s="297">
        <v>12653.52</v>
      </c>
    </row>
    <row r="1753" spans="1:10" x14ac:dyDescent="0.2">
      <c r="A1753" s="306">
        <v>1752</v>
      </c>
      <c r="B1753" s="294">
        <v>43417</v>
      </c>
      <c r="C1753" s="294">
        <v>43432</v>
      </c>
      <c r="D1753" s="295" t="s">
        <v>1092</v>
      </c>
      <c r="E1753" s="295" t="s">
        <v>422</v>
      </c>
      <c r="F1753" s="295" t="s">
        <v>396</v>
      </c>
      <c r="G1753" s="296" t="s">
        <v>3574</v>
      </c>
      <c r="H1753" s="296" t="s">
        <v>3575</v>
      </c>
      <c r="I1753" s="297">
        <v>385450</v>
      </c>
    </row>
    <row r="1754" spans="1:10" x14ac:dyDescent="0.2">
      <c r="A1754" s="306">
        <v>1753</v>
      </c>
      <c r="B1754" s="294">
        <v>43418</v>
      </c>
      <c r="C1754" s="294">
        <v>43437</v>
      </c>
      <c r="D1754" s="308" t="s">
        <v>1092</v>
      </c>
      <c r="E1754" s="295" t="s">
        <v>422</v>
      </c>
      <c r="F1754" s="295" t="s">
        <v>396</v>
      </c>
      <c r="G1754" s="296" t="s">
        <v>3576</v>
      </c>
      <c r="H1754" s="296" t="s">
        <v>3577</v>
      </c>
      <c r="I1754" s="297">
        <v>2200.0300000000002</v>
      </c>
    </row>
    <row r="1755" spans="1:10" x14ac:dyDescent="0.2">
      <c r="A1755" s="306">
        <v>1754</v>
      </c>
      <c r="B1755" s="294">
        <v>43418</v>
      </c>
      <c r="C1755" s="294">
        <v>43437</v>
      </c>
      <c r="D1755" s="295" t="s">
        <v>1092</v>
      </c>
      <c r="E1755" s="295" t="s">
        <v>392</v>
      </c>
      <c r="F1755" s="295" t="s">
        <v>393</v>
      </c>
      <c r="G1755" s="296" t="s">
        <v>3578</v>
      </c>
      <c r="H1755" s="296" t="s">
        <v>3579</v>
      </c>
      <c r="I1755" s="297">
        <v>66950</v>
      </c>
    </row>
    <row r="1756" spans="1:10" x14ac:dyDescent="0.2">
      <c r="A1756" s="306">
        <v>1755</v>
      </c>
      <c r="B1756" s="294">
        <v>43418</v>
      </c>
      <c r="C1756" s="294">
        <v>43437</v>
      </c>
      <c r="D1756" s="295" t="s">
        <v>1092</v>
      </c>
      <c r="E1756" s="295" t="s">
        <v>392</v>
      </c>
      <c r="F1756" s="295" t="s">
        <v>393</v>
      </c>
      <c r="G1756" s="296" t="s">
        <v>3580</v>
      </c>
      <c r="H1756" s="296" t="s">
        <v>3581</v>
      </c>
      <c r="I1756" s="297">
        <v>5720.5</v>
      </c>
    </row>
    <row r="1757" spans="1:10" x14ac:dyDescent="0.2">
      <c r="A1757" s="306">
        <v>1756</v>
      </c>
      <c r="B1757" s="294">
        <v>43420</v>
      </c>
      <c r="C1757" s="294">
        <v>43437</v>
      </c>
      <c r="D1757" s="295" t="s">
        <v>1092</v>
      </c>
      <c r="E1757" s="295" t="s">
        <v>392</v>
      </c>
      <c r="F1757" s="295" t="s">
        <v>393</v>
      </c>
      <c r="G1757" s="296" t="s">
        <v>3582</v>
      </c>
      <c r="H1757" s="296" t="s">
        <v>3583</v>
      </c>
      <c r="I1757" s="297">
        <v>9000</v>
      </c>
    </row>
    <row r="1758" spans="1:10" x14ac:dyDescent="0.2">
      <c r="A1758" s="306">
        <v>1757</v>
      </c>
      <c r="B1758" s="294">
        <v>43420</v>
      </c>
      <c r="C1758" s="294">
        <v>43439</v>
      </c>
      <c r="D1758" s="295" t="s">
        <v>1092</v>
      </c>
      <c r="E1758" s="295" t="s">
        <v>392</v>
      </c>
      <c r="F1758" s="295" t="s">
        <v>393</v>
      </c>
      <c r="G1758" s="296" t="s">
        <v>3584</v>
      </c>
      <c r="H1758" s="296" t="s">
        <v>3585</v>
      </c>
      <c r="I1758" s="297">
        <v>16500</v>
      </c>
    </row>
    <row r="1759" spans="1:10" x14ac:dyDescent="0.2">
      <c r="A1759" s="306">
        <v>1758</v>
      </c>
      <c r="B1759" s="294">
        <v>43420</v>
      </c>
      <c r="C1759" s="294">
        <v>43437</v>
      </c>
      <c r="D1759" s="295" t="s">
        <v>1092</v>
      </c>
      <c r="E1759" s="295" t="s">
        <v>392</v>
      </c>
      <c r="F1759" s="295" t="s">
        <v>393</v>
      </c>
      <c r="G1759" s="296" t="s">
        <v>3586</v>
      </c>
      <c r="H1759" s="296" t="s">
        <v>3587</v>
      </c>
      <c r="I1759" s="297">
        <v>19475</v>
      </c>
    </row>
    <row r="1760" spans="1:10" x14ac:dyDescent="0.2">
      <c r="A1760" s="306">
        <v>1759</v>
      </c>
      <c r="B1760" s="294">
        <v>43420</v>
      </c>
      <c r="C1760" s="294">
        <v>43437</v>
      </c>
      <c r="D1760" s="295" t="s">
        <v>1092</v>
      </c>
      <c r="E1760" s="295" t="s">
        <v>392</v>
      </c>
      <c r="F1760" s="295" t="s">
        <v>393</v>
      </c>
      <c r="G1760" s="296" t="s">
        <v>3588</v>
      </c>
      <c r="H1760" s="296" t="s">
        <v>3589</v>
      </c>
      <c r="I1760" s="297">
        <v>34080</v>
      </c>
    </row>
    <row r="1761" spans="1:9" x14ac:dyDescent="0.2">
      <c r="A1761" s="306">
        <v>1760</v>
      </c>
      <c r="B1761" s="294">
        <v>43420</v>
      </c>
      <c r="C1761" s="294">
        <v>43439</v>
      </c>
      <c r="D1761" s="295" t="s">
        <v>1092</v>
      </c>
      <c r="E1761" s="295" t="s">
        <v>392</v>
      </c>
      <c r="F1761" s="295" t="s">
        <v>393</v>
      </c>
      <c r="G1761" s="296" t="s">
        <v>3590</v>
      </c>
      <c r="H1761" s="296" t="s">
        <v>3591</v>
      </c>
      <c r="I1761" s="297">
        <v>21000</v>
      </c>
    </row>
    <row r="1762" spans="1:9" x14ac:dyDescent="0.2">
      <c r="A1762" s="306">
        <v>1761</v>
      </c>
      <c r="B1762" s="294">
        <v>43423</v>
      </c>
      <c r="C1762" s="294">
        <v>43444</v>
      </c>
      <c r="D1762" s="295" t="s">
        <v>1092</v>
      </c>
      <c r="E1762" s="295" t="s">
        <v>392</v>
      </c>
      <c r="F1762" s="295" t="s">
        <v>71</v>
      </c>
      <c r="G1762" s="296" t="s">
        <v>3592</v>
      </c>
      <c r="H1762" s="296" t="s">
        <v>3593</v>
      </c>
      <c r="I1762" s="297">
        <v>17130.57</v>
      </c>
    </row>
    <row r="1763" spans="1:9" x14ac:dyDescent="0.2">
      <c r="A1763" s="306">
        <v>1762</v>
      </c>
      <c r="B1763" s="294">
        <v>43424</v>
      </c>
      <c r="C1763" s="294">
        <v>43444</v>
      </c>
      <c r="D1763" s="295" t="s">
        <v>1092</v>
      </c>
      <c r="E1763" s="295" t="s">
        <v>422</v>
      </c>
      <c r="F1763" s="295" t="s">
        <v>71</v>
      </c>
      <c r="G1763" s="296" t="s">
        <v>3594</v>
      </c>
      <c r="H1763" s="296" t="s">
        <v>3595</v>
      </c>
      <c r="I1763" s="297">
        <v>20701.45</v>
      </c>
    </row>
    <row r="1764" spans="1:9" x14ac:dyDescent="0.2">
      <c r="A1764" s="306">
        <v>1763</v>
      </c>
      <c r="B1764" s="294">
        <v>43425</v>
      </c>
      <c r="C1764" s="294">
        <v>43444</v>
      </c>
      <c r="D1764" s="295" t="s">
        <v>1092</v>
      </c>
      <c r="E1764" s="295" t="s">
        <v>392</v>
      </c>
      <c r="F1764" s="295" t="s">
        <v>393</v>
      </c>
      <c r="G1764" s="296" t="s">
        <v>3596</v>
      </c>
      <c r="H1764" s="296" t="s">
        <v>3597</v>
      </c>
      <c r="I1764" s="297">
        <v>9000</v>
      </c>
    </row>
    <row r="1765" spans="1:9" x14ac:dyDescent="0.2">
      <c r="A1765" s="306">
        <v>1764</v>
      </c>
      <c r="B1765" s="294">
        <v>43427</v>
      </c>
      <c r="C1765" s="294">
        <v>43444</v>
      </c>
      <c r="D1765" s="295" t="s">
        <v>1092</v>
      </c>
      <c r="E1765" s="295" t="s">
        <v>422</v>
      </c>
      <c r="F1765" s="295" t="s">
        <v>396</v>
      </c>
      <c r="G1765" s="296" t="s">
        <v>3598</v>
      </c>
      <c r="H1765" s="296" t="s">
        <v>3599</v>
      </c>
      <c r="I1765" s="297">
        <v>51946.67</v>
      </c>
    </row>
    <row r="1766" spans="1:9" x14ac:dyDescent="0.2">
      <c r="A1766" s="306">
        <v>1765</v>
      </c>
      <c r="B1766" s="294">
        <v>43427</v>
      </c>
      <c r="C1766" s="294">
        <v>43444</v>
      </c>
      <c r="D1766" s="295" t="s">
        <v>1092</v>
      </c>
      <c r="E1766" s="295" t="s">
        <v>422</v>
      </c>
      <c r="F1766" s="295" t="s">
        <v>396</v>
      </c>
      <c r="G1766" s="296" t="s">
        <v>3600</v>
      </c>
      <c r="H1766" s="296" t="s">
        <v>3601</v>
      </c>
      <c r="I1766" s="297">
        <v>41000</v>
      </c>
    </row>
    <row r="1767" spans="1:9" x14ac:dyDescent="0.2">
      <c r="A1767" s="306">
        <v>1766</v>
      </c>
      <c r="B1767" s="294">
        <v>43430</v>
      </c>
      <c r="C1767" s="294">
        <v>43446</v>
      </c>
      <c r="D1767" s="295" t="s">
        <v>1092</v>
      </c>
      <c r="E1767" s="295" t="s">
        <v>422</v>
      </c>
      <c r="F1767" s="295" t="s">
        <v>396</v>
      </c>
      <c r="G1767" s="296" t="s">
        <v>3602</v>
      </c>
      <c r="H1767" s="296" t="s">
        <v>3603</v>
      </c>
      <c r="I1767" s="297">
        <v>5340</v>
      </c>
    </row>
    <row r="1768" spans="1:9" x14ac:dyDescent="0.2">
      <c r="A1768" s="306">
        <v>1767</v>
      </c>
      <c r="B1768" s="294">
        <v>43430</v>
      </c>
      <c r="C1768" s="294">
        <v>43474</v>
      </c>
      <c r="D1768" s="295" t="s">
        <v>1092</v>
      </c>
      <c r="E1768" s="295" t="s">
        <v>392</v>
      </c>
      <c r="F1768" s="295" t="s">
        <v>71</v>
      </c>
      <c r="G1768" s="296" t="s">
        <v>3604</v>
      </c>
      <c r="H1768" s="296" t="s">
        <v>3605</v>
      </c>
      <c r="I1768" s="297">
        <v>4147.13</v>
      </c>
    </row>
    <row r="1769" spans="1:9" x14ac:dyDescent="0.2">
      <c r="A1769" s="306">
        <v>1768</v>
      </c>
      <c r="B1769" s="294">
        <v>43430</v>
      </c>
      <c r="C1769" s="294">
        <v>43446</v>
      </c>
      <c r="D1769" s="295" t="s">
        <v>1092</v>
      </c>
      <c r="E1769" s="295" t="s">
        <v>392</v>
      </c>
      <c r="F1769" s="295" t="s">
        <v>393</v>
      </c>
      <c r="G1769" s="296" t="s">
        <v>3459</v>
      </c>
      <c r="H1769" s="296" t="s">
        <v>3468</v>
      </c>
      <c r="I1769" s="297">
        <v>8200</v>
      </c>
    </row>
    <row r="1770" spans="1:9" x14ac:dyDescent="0.2">
      <c r="A1770" s="306">
        <v>1769</v>
      </c>
      <c r="B1770" s="294">
        <v>43430</v>
      </c>
      <c r="C1770" s="294">
        <v>43446</v>
      </c>
      <c r="D1770" s="295" t="s">
        <v>1092</v>
      </c>
      <c r="E1770" s="295" t="s">
        <v>392</v>
      </c>
      <c r="F1770" s="295" t="s">
        <v>393</v>
      </c>
      <c r="G1770" s="296" t="s">
        <v>3607</v>
      </c>
      <c r="H1770" s="296" t="s">
        <v>3608</v>
      </c>
      <c r="I1770" s="297">
        <v>28260</v>
      </c>
    </row>
    <row r="1771" spans="1:9" x14ac:dyDescent="0.2">
      <c r="A1771" s="306">
        <v>1770</v>
      </c>
      <c r="B1771" s="294">
        <v>43430</v>
      </c>
      <c r="C1771" s="294">
        <v>43446</v>
      </c>
      <c r="D1771" s="295" t="s">
        <v>1092</v>
      </c>
      <c r="E1771" s="295" t="s">
        <v>422</v>
      </c>
      <c r="F1771" s="295" t="s">
        <v>396</v>
      </c>
      <c r="G1771" s="296" t="s">
        <v>3609</v>
      </c>
      <c r="H1771" s="296" t="s">
        <v>3610</v>
      </c>
      <c r="I1771" s="297">
        <v>16800</v>
      </c>
    </row>
    <row r="1772" spans="1:9" x14ac:dyDescent="0.2">
      <c r="A1772" s="306">
        <v>1771</v>
      </c>
      <c r="B1772" s="294">
        <v>43432</v>
      </c>
      <c r="C1772" s="294">
        <v>43447</v>
      </c>
      <c r="D1772" s="295" t="s">
        <v>1092</v>
      </c>
      <c r="E1772" s="295" t="s">
        <v>422</v>
      </c>
      <c r="F1772" s="295" t="s">
        <v>396</v>
      </c>
      <c r="G1772" s="296" t="s">
        <v>3611</v>
      </c>
      <c r="H1772" s="296" t="s">
        <v>3612</v>
      </c>
      <c r="I1772" s="297">
        <v>12474</v>
      </c>
    </row>
    <row r="1773" spans="1:9" x14ac:dyDescent="0.2">
      <c r="A1773" s="306">
        <v>1772</v>
      </c>
      <c r="B1773" s="294">
        <v>43433</v>
      </c>
      <c r="C1773" s="294">
        <v>43451</v>
      </c>
      <c r="D1773" s="295" t="s">
        <v>1092</v>
      </c>
      <c r="E1773" s="295" t="s">
        <v>422</v>
      </c>
      <c r="F1773" s="295" t="s">
        <v>396</v>
      </c>
      <c r="G1773" s="296" t="s">
        <v>3613</v>
      </c>
      <c r="H1773" s="296" t="s">
        <v>3614</v>
      </c>
      <c r="I1773" s="297">
        <v>38546.660000000003</v>
      </c>
    </row>
    <row r="1774" spans="1:9" x14ac:dyDescent="0.2">
      <c r="A1774" s="306">
        <v>1773</v>
      </c>
      <c r="B1774" s="309">
        <v>43434</v>
      </c>
      <c r="C1774" s="310">
        <v>43451.541666666664</v>
      </c>
      <c r="D1774" s="311" t="s">
        <v>1092</v>
      </c>
      <c r="E1774" s="311" t="s">
        <v>392</v>
      </c>
      <c r="F1774" s="311" t="s">
        <v>1272</v>
      </c>
      <c r="G1774" s="312" t="s">
        <v>3615</v>
      </c>
      <c r="H1774" s="312" t="s">
        <v>3616</v>
      </c>
      <c r="I1774" s="313">
        <v>16000</v>
      </c>
    </row>
    <row r="1775" spans="1:9" ht="15" x14ac:dyDescent="0.25">
      <c r="A1775" s="306">
        <v>1774</v>
      </c>
      <c r="B1775" s="309">
        <v>43437</v>
      </c>
      <c r="C1775" s="310">
        <v>43451.541666666664</v>
      </c>
      <c r="D1775" s="311" t="s">
        <v>1092</v>
      </c>
      <c r="E1775" s="311" t="s">
        <v>392</v>
      </c>
      <c r="F1775" s="311" t="s">
        <v>1272</v>
      </c>
      <c r="G1775" s="314" t="s">
        <v>3617</v>
      </c>
      <c r="H1775" s="312" t="s">
        <v>3655</v>
      </c>
      <c r="I1775" s="175">
        <v>11928.25</v>
      </c>
    </row>
    <row r="1776" spans="1:9" ht="15" x14ac:dyDescent="0.25">
      <c r="A1776" s="306">
        <v>1775</v>
      </c>
      <c r="B1776" s="309">
        <v>43438</v>
      </c>
      <c r="C1776" s="310">
        <v>43455.541666666664</v>
      </c>
      <c r="D1776" s="311" t="s">
        <v>1092</v>
      </c>
      <c r="E1776" s="311" t="s">
        <v>392</v>
      </c>
      <c r="F1776" s="311" t="s">
        <v>2224</v>
      </c>
      <c r="G1776" s="314" t="s">
        <v>3618</v>
      </c>
      <c r="H1776" s="312" t="s">
        <v>3656</v>
      </c>
      <c r="I1776" s="175">
        <v>49731.41</v>
      </c>
    </row>
    <row r="1777" spans="1:9" ht="15" x14ac:dyDescent="0.25">
      <c r="A1777" s="306">
        <v>1776</v>
      </c>
      <c r="B1777" s="309">
        <v>43438</v>
      </c>
      <c r="C1777" s="310">
        <v>43455.541666666664</v>
      </c>
      <c r="D1777" s="311" t="s">
        <v>1092</v>
      </c>
      <c r="E1777" s="311" t="s">
        <v>392</v>
      </c>
      <c r="F1777" s="311" t="s">
        <v>2224</v>
      </c>
      <c r="G1777" s="314" t="s">
        <v>3619</v>
      </c>
      <c r="H1777" s="312" t="s">
        <v>3657</v>
      </c>
      <c r="I1777" s="175">
        <v>41024.79</v>
      </c>
    </row>
    <row r="1778" spans="1:9" ht="15" x14ac:dyDescent="0.25">
      <c r="A1778" s="306">
        <v>1777</v>
      </c>
      <c r="B1778" s="309">
        <v>43438</v>
      </c>
      <c r="C1778" s="310">
        <v>43455.541666666664</v>
      </c>
      <c r="D1778" s="311" t="s">
        <v>1092</v>
      </c>
      <c r="E1778" s="311" t="s">
        <v>392</v>
      </c>
      <c r="F1778" s="311" t="s">
        <v>2224</v>
      </c>
      <c r="G1778" s="314" t="s">
        <v>3620</v>
      </c>
      <c r="H1778" s="312" t="s">
        <v>3658</v>
      </c>
      <c r="I1778" s="175">
        <v>46735.53</v>
      </c>
    </row>
    <row r="1779" spans="1:9" ht="15" x14ac:dyDescent="0.25">
      <c r="A1779" s="306">
        <v>1778</v>
      </c>
      <c r="B1779" s="309">
        <v>43438</v>
      </c>
      <c r="C1779" s="310">
        <v>43455.541666666664</v>
      </c>
      <c r="D1779" s="311" t="s">
        <v>1092</v>
      </c>
      <c r="E1779" s="311" t="s">
        <v>392</v>
      </c>
      <c r="F1779" s="311" t="s">
        <v>2224</v>
      </c>
      <c r="G1779" s="314" t="s">
        <v>3621</v>
      </c>
      <c r="H1779" s="312" t="s">
        <v>3659</v>
      </c>
      <c r="I1779" s="175">
        <v>45851.24</v>
      </c>
    </row>
    <row r="1780" spans="1:9" ht="15" x14ac:dyDescent="0.25">
      <c r="A1780" s="306">
        <v>1779</v>
      </c>
      <c r="B1780" s="309">
        <v>43438</v>
      </c>
      <c r="C1780" s="310">
        <v>43455.541666666664</v>
      </c>
      <c r="D1780" s="311" t="s">
        <v>1092</v>
      </c>
      <c r="E1780" s="311" t="s">
        <v>392</v>
      </c>
      <c r="F1780" s="311" t="s">
        <v>2224</v>
      </c>
      <c r="G1780" s="314" t="s">
        <v>3622</v>
      </c>
      <c r="H1780" s="312" t="s">
        <v>3660</v>
      </c>
      <c r="I1780" s="175">
        <v>41586.769999999997</v>
      </c>
    </row>
    <row r="1781" spans="1:9" ht="15" x14ac:dyDescent="0.25">
      <c r="A1781" s="306">
        <v>1780</v>
      </c>
      <c r="B1781" s="309">
        <v>43438</v>
      </c>
      <c r="C1781" s="310">
        <v>43455.541666666664</v>
      </c>
      <c r="D1781" s="311" t="s">
        <v>1092</v>
      </c>
      <c r="E1781" s="311" t="s">
        <v>392</v>
      </c>
      <c r="F1781" s="311" t="s">
        <v>2224</v>
      </c>
      <c r="G1781" s="314" t="s">
        <v>3623</v>
      </c>
      <c r="H1781" s="312" t="s">
        <v>3661</v>
      </c>
      <c r="I1781" s="175">
        <v>43140.5</v>
      </c>
    </row>
    <row r="1782" spans="1:9" ht="15" x14ac:dyDescent="0.25">
      <c r="A1782" s="306">
        <v>1781</v>
      </c>
      <c r="B1782" s="309">
        <v>43438</v>
      </c>
      <c r="C1782" s="310">
        <v>43455.541666666664</v>
      </c>
      <c r="D1782" s="311" t="s">
        <v>1092</v>
      </c>
      <c r="E1782" s="311" t="s">
        <v>392</v>
      </c>
      <c r="F1782" s="311" t="s">
        <v>2224</v>
      </c>
      <c r="G1782" s="314" t="s">
        <v>3624</v>
      </c>
      <c r="H1782" s="312" t="s">
        <v>3662</v>
      </c>
      <c r="I1782" s="175">
        <v>58719.02</v>
      </c>
    </row>
    <row r="1783" spans="1:9" ht="15" x14ac:dyDescent="0.25">
      <c r="A1783" s="306">
        <v>1782</v>
      </c>
      <c r="B1783" s="309">
        <v>43438</v>
      </c>
      <c r="C1783" s="310">
        <v>43455.541666666664</v>
      </c>
      <c r="D1783" s="311" t="s">
        <v>1092</v>
      </c>
      <c r="E1783" s="311" t="s">
        <v>392</v>
      </c>
      <c r="F1783" s="311" t="s">
        <v>2224</v>
      </c>
      <c r="G1783" s="314" t="s">
        <v>3625</v>
      </c>
      <c r="H1783" s="312" t="s">
        <v>3663</v>
      </c>
      <c r="I1783" s="175">
        <v>35950.410000000003</v>
      </c>
    </row>
    <row r="1784" spans="1:9" ht="15" x14ac:dyDescent="0.25">
      <c r="A1784" s="306">
        <v>1783</v>
      </c>
      <c r="B1784" s="309">
        <v>43438</v>
      </c>
      <c r="C1784" s="310">
        <v>43455.541666666664</v>
      </c>
      <c r="D1784" s="311" t="s">
        <v>1092</v>
      </c>
      <c r="E1784" s="311" t="s">
        <v>392</v>
      </c>
      <c r="F1784" s="311" t="s">
        <v>2224</v>
      </c>
      <c r="G1784" s="314" t="s">
        <v>3626</v>
      </c>
      <c r="H1784" s="312" t="s">
        <v>3664</v>
      </c>
      <c r="I1784" s="175">
        <v>30165.29</v>
      </c>
    </row>
    <row r="1785" spans="1:9" ht="15" x14ac:dyDescent="0.25">
      <c r="A1785" s="306">
        <v>1784</v>
      </c>
      <c r="B1785" s="309">
        <v>43438</v>
      </c>
      <c r="C1785" s="310">
        <v>43455.541666666664</v>
      </c>
      <c r="D1785" s="311" t="s">
        <v>1092</v>
      </c>
      <c r="E1785" s="311" t="s">
        <v>392</v>
      </c>
      <c r="F1785" s="311" t="s">
        <v>2224</v>
      </c>
      <c r="G1785" s="314" t="s">
        <v>3627</v>
      </c>
      <c r="H1785" s="312" t="s">
        <v>3665</v>
      </c>
      <c r="I1785" s="175">
        <v>47933.88</v>
      </c>
    </row>
    <row r="1786" spans="1:9" ht="15" x14ac:dyDescent="0.25">
      <c r="A1786" s="306">
        <v>1785</v>
      </c>
      <c r="B1786" s="309">
        <v>43438</v>
      </c>
      <c r="C1786" s="310">
        <v>43455.541666666664</v>
      </c>
      <c r="D1786" s="311" t="s">
        <v>1092</v>
      </c>
      <c r="E1786" s="311" t="s">
        <v>392</v>
      </c>
      <c r="F1786" s="311" t="s">
        <v>2224</v>
      </c>
      <c r="G1786" s="314" t="s">
        <v>3628</v>
      </c>
      <c r="H1786" s="312" t="s">
        <v>3666</v>
      </c>
      <c r="I1786" s="175">
        <v>48264.47</v>
      </c>
    </row>
    <row r="1787" spans="1:9" ht="15" x14ac:dyDescent="0.25">
      <c r="A1787" s="306">
        <v>1786</v>
      </c>
      <c r="B1787" s="309">
        <v>43438</v>
      </c>
      <c r="C1787" s="310">
        <v>43455.541666666664</v>
      </c>
      <c r="D1787" s="311" t="s">
        <v>1092</v>
      </c>
      <c r="E1787" s="311" t="s">
        <v>392</v>
      </c>
      <c r="F1787" s="311" t="s">
        <v>2224</v>
      </c>
      <c r="G1787" s="314" t="s">
        <v>3629</v>
      </c>
      <c r="H1787" s="312" t="s">
        <v>3667</v>
      </c>
      <c r="I1787" s="175">
        <v>27112.6</v>
      </c>
    </row>
    <row r="1788" spans="1:9" ht="15" x14ac:dyDescent="0.25">
      <c r="A1788" s="306">
        <v>1787</v>
      </c>
      <c r="B1788" s="309">
        <v>43438</v>
      </c>
      <c r="C1788" s="310">
        <v>43455.541666666664</v>
      </c>
      <c r="D1788" s="311" t="s">
        <v>1092</v>
      </c>
      <c r="E1788" s="311" t="s">
        <v>392</v>
      </c>
      <c r="F1788" s="311" t="s">
        <v>2224</v>
      </c>
      <c r="G1788" s="314" t="s">
        <v>3630</v>
      </c>
      <c r="H1788" s="312" t="s">
        <v>3668</v>
      </c>
      <c r="I1788" s="175">
        <v>18760.13</v>
      </c>
    </row>
    <row r="1789" spans="1:9" ht="15" x14ac:dyDescent="0.25">
      <c r="A1789" s="306">
        <v>1788</v>
      </c>
      <c r="B1789" s="309">
        <v>43438</v>
      </c>
      <c r="C1789" s="310">
        <v>43455.541666666664</v>
      </c>
      <c r="D1789" s="311" t="s">
        <v>1092</v>
      </c>
      <c r="E1789" s="311" t="s">
        <v>392</v>
      </c>
      <c r="F1789" s="311" t="s">
        <v>2224</v>
      </c>
      <c r="G1789" s="314" t="s">
        <v>3631</v>
      </c>
      <c r="H1789" s="312" t="s">
        <v>3669</v>
      </c>
      <c r="I1789" s="175">
        <v>20153.2</v>
      </c>
    </row>
    <row r="1790" spans="1:9" ht="15" x14ac:dyDescent="0.25">
      <c r="A1790" s="306">
        <v>1789</v>
      </c>
      <c r="B1790" s="309">
        <v>43438</v>
      </c>
      <c r="C1790" s="310">
        <v>43455.541666666664</v>
      </c>
      <c r="D1790" s="311" t="s">
        <v>1092</v>
      </c>
      <c r="E1790" s="311" t="s">
        <v>392</v>
      </c>
      <c r="F1790" s="311" t="s">
        <v>2224</v>
      </c>
      <c r="G1790" s="314" t="s">
        <v>3632</v>
      </c>
      <c r="H1790" s="312" t="s">
        <v>3670</v>
      </c>
      <c r="I1790" s="175">
        <v>15681.82</v>
      </c>
    </row>
    <row r="1791" spans="1:9" ht="15" x14ac:dyDescent="0.25">
      <c r="A1791" s="306">
        <v>1790</v>
      </c>
      <c r="B1791" s="309">
        <v>43438</v>
      </c>
      <c r="C1791" s="310">
        <v>43455.541666666664</v>
      </c>
      <c r="D1791" s="311" t="s">
        <v>1092</v>
      </c>
      <c r="E1791" s="311" t="s">
        <v>392</v>
      </c>
      <c r="F1791" s="311" t="s">
        <v>2224</v>
      </c>
      <c r="G1791" s="314" t="s">
        <v>3633</v>
      </c>
      <c r="H1791" s="312" t="s">
        <v>3671</v>
      </c>
      <c r="I1791" s="175">
        <v>32355.38</v>
      </c>
    </row>
    <row r="1792" spans="1:9" ht="15" x14ac:dyDescent="0.25">
      <c r="A1792" s="306">
        <v>1791</v>
      </c>
      <c r="B1792" s="309">
        <v>43438</v>
      </c>
      <c r="C1792" s="310">
        <v>43455.541666666664</v>
      </c>
      <c r="D1792" s="311" t="s">
        <v>1092</v>
      </c>
      <c r="E1792" s="311" t="s">
        <v>392</v>
      </c>
      <c r="F1792" s="311" t="s">
        <v>2224</v>
      </c>
      <c r="G1792" s="314" t="s">
        <v>3634</v>
      </c>
      <c r="H1792" s="312" t="s">
        <v>3672</v>
      </c>
      <c r="I1792" s="175">
        <v>37537.69</v>
      </c>
    </row>
    <row r="1793" spans="1:9" ht="15" x14ac:dyDescent="0.25">
      <c r="A1793" s="306">
        <v>1792</v>
      </c>
      <c r="B1793" s="309">
        <v>43438</v>
      </c>
      <c r="C1793" s="310">
        <v>43455.541666666664</v>
      </c>
      <c r="D1793" s="311" t="s">
        <v>1092</v>
      </c>
      <c r="E1793" s="311" t="s">
        <v>392</v>
      </c>
      <c r="F1793" s="311" t="s">
        <v>2224</v>
      </c>
      <c r="G1793" s="314" t="s">
        <v>3635</v>
      </c>
      <c r="H1793" s="312" t="s">
        <v>3673</v>
      </c>
      <c r="I1793" s="175">
        <v>45537.19</v>
      </c>
    </row>
    <row r="1794" spans="1:9" ht="15" x14ac:dyDescent="0.25">
      <c r="A1794" s="306">
        <v>1793</v>
      </c>
      <c r="B1794" s="309">
        <v>43438</v>
      </c>
      <c r="C1794" s="310">
        <v>43455.541666666664</v>
      </c>
      <c r="D1794" s="311" t="s">
        <v>1092</v>
      </c>
      <c r="E1794" s="311" t="s">
        <v>392</v>
      </c>
      <c r="F1794" s="311" t="s">
        <v>2224</v>
      </c>
      <c r="G1794" s="314" t="s">
        <v>3636</v>
      </c>
      <c r="H1794" s="312" t="s">
        <v>3674</v>
      </c>
      <c r="I1794" s="175">
        <v>55123.97</v>
      </c>
    </row>
    <row r="1795" spans="1:9" ht="15" x14ac:dyDescent="0.25">
      <c r="A1795" s="306">
        <v>1794</v>
      </c>
      <c r="B1795" s="309">
        <v>43438</v>
      </c>
      <c r="C1795" s="310">
        <v>43455.541666666664</v>
      </c>
      <c r="D1795" s="311" t="s">
        <v>1092</v>
      </c>
      <c r="E1795" s="311" t="s">
        <v>392</v>
      </c>
      <c r="F1795" s="311" t="s">
        <v>2224</v>
      </c>
      <c r="G1795" s="314" t="s">
        <v>3637</v>
      </c>
      <c r="H1795" s="312" t="s">
        <v>3675</v>
      </c>
      <c r="I1795" s="175">
        <v>31989.16</v>
      </c>
    </row>
    <row r="1796" spans="1:9" ht="15" x14ac:dyDescent="0.25">
      <c r="A1796" s="306">
        <v>1795</v>
      </c>
      <c r="B1796" s="309">
        <v>43438</v>
      </c>
      <c r="C1796" s="310">
        <v>43455.541666666664</v>
      </c>
      <c r="D1796" s="311" t="s">
        <v>1092</v>
      </c>
      <c r="E1796" s="311" t="s">
        <v>392</v>
      </c>
      <c r="F1796" s="311" t="s">
        <v>2224</v>
      </c>
      <c r="G1796" s="314" t="s">
        <v>3638</v>
      </c>
      <c r="H1796" s="312" t="s">
        <v>3676</v>
      </c>
      <c r="I1796" s="175">
        <v>49132.23</v>
      </c>
    </row>
    <row r="1797" spans="1:9" ht="15" x14ac:dyDescent="0.25">
      <c r="A1797" s="306">
        <v>1796</v>
      </c>
      <c r="B1797" s="309">
        <v>43438</v>
      </c>
      <c r="C1797" s="310">
        <v>43455.510416666664</v>
      </c>
      <c r="D1797" s="311" t="s">
        <v>1092</v>
      </c>
      <c r="E1797" s="311" t="s">
        <v>392</v>
      </c>
      <c r="F1797" s="311" t="s">
        <v>2224</v>
      </c>
      <c r="G1797" s="314" t="s">
        <v>3639</v>
      </c>
      <c r="H1797" s="312" t="s">
        <v>3677</v>
      </c>
      <c r="I1797" s="175">
        <v>41305.79</v>
      </c>
    </row>
    <row r="1798" spans="1:9" ht="15" x14ac:dyDescent="0.25">
      <c r="A1798" s="306">
        <v>1797</v>
      </c>
      <c r="B1798" s="309">
        <v>43438</v>
      </c>
      <c r="C1798" s="310">
        <v>43455.461805555555</v>
      </c>
      <c r="D1798" s="311" t="s">
        <v>1092</v>
      </c>
      <c r="E1798" s="311" t="s">
        <v>392</v>
      </c>
      <c r="F1798" s="311" t="s">
        <v>2224</v>
      </c>
      <c r="G1798" s="314" t="s">
        <v>3640</v>
      </c>
      <c r="H1798" s="312" t="s">
        <v>3678</v>
      </c>
      <c r="I1798" s="175">
        <v>53925.62</v>
      </c>
    </row>
    <row r="1799" spans="1:9" ht="15" x14ac:dyDescent="0.25">
      <c r="A1799" s="306">
        <v>1798</v>
      </c>
      <c r="B1799" s="309">
        <v>43438</v>
      </c>
      <c r="C1799" s="310">
        <v>43455.541666666664</v>
      </c>
      <c r="D1799" s="311" t="s">
        <v>1092</v>
      </c>
      <c r="E1799" s="311" t="s">
        <v>392</v>
      </c>
      <c r="F1799" s="311" t="s">
        <v>2224</v>
      </c>
      <c r="G1799" s="314" t="s">
        <v>3641</v>
      </c>
      <c r="H1799" s="312" t="s">
        <v>3679</v>
      </c>
      <c r="I1799" s="175">
        <v>27382.23</v>
      </c>
    </row>
    <row r="1800" spans="1:9" ht="15" x14ac:dyDescent="0.25">
      <c r="A1800" s="306">
        <v>1799</v>
      </c>
      <c r="B1800" s="309">
        <v>43438</v>
      </c>
      <c r="C1800" s="310">
        <v>43455.541666666664</v>
      </c>
      <c r="D1800" s="311" t="s">
        <v>1092</v>
      </c>
      <c r="E1800" s="311" t="s">
        <v>392</v>
      </c>
      <c r="F1800" s="311" t="s">
        <v>2224</v>
      </c>
      <c r="G1800" s="314" t="s">
        <v>3642</v>
      </c>
      <c r="H1800" s="312" t="s">
        <v>3680</v>
      </c>
      <c r="I1800" s="175">
        <v>55723.14</v>
      </c>
    </row>
    <row r="1801" spans="1:9" ht="15" x14ac:dyDescent="0.25">
      <c r="A1801" s="306">
        <v>1800</v>
      </c>
      <c r="B1801" s="309">
        <v>43438</v>
      </c>
      <c r="C1801" s="310">
        <v>43455.541666666664</v>
      </c>
      <c r="D1801" s="311" t="s">
        <v>1092</v>
      </c>
      <c r="E1801" s="311" t="s">
        <v>392</v>
      </c>
      <c r="F1801" s="311" t="s">
        <v>2224</v>
      </c>
      <c r="G1801" s="314" t="s">
        <v>3643</v>
      </c>
      <c r="H1801" s="312" t="s">
        <v>3681</v>
      </c>
      <c r="I1801" s="175">
        <v>46480.89</v>
      </c>
    </row>
    <row r="1802" spans="1:9" ht="15" x14ac:dyDescent="0.25">
      <c r="A1802" s="306">
        <v>1801</v>
      </c>
      <c r="B1802" s="309">
        <v>43438</v>
      </c>
      <c r="C1802" s="310">
        <v>43455.541666666664</v>
      </c>
      <c r="D1802" s="311" t="s">
        <v>1092</v>
      </c>
      <c r="E1802" s="311" t="s">
        <v>392</v>
      </c>
      <c r="F1802" s="311" t="s">
        <v>2224</v>
      </c>
      <c r="G1802" s="314" t="s">
        <v>3644</v>
      </c>
      <c r="H1802" s="312" t="s">
        <v>3682</v>
      </c>
      <c r="I1802" s="175">
        <v>49471.08</v>
      </c>
    </row>
    <row r="1803" spans="1:9" ht="15" x14ac:dyDescent="0.25">
      <c r="A1803" s="306">
        <v>1802</v>
      </c>
      <c r="B1803" s="309">
        <v>43438</v>
      </c>
      <c r="C1803" s="310">
        <v>43455.541666666664</v>
      </c>
      <c r="D1803" s="311" t="s">
        <v>1092</v>
      </c>
      <c r="E1803" s="311" t="s">
        <v>392</v>
      </c>
      <c r="F1803" s="311" t="s">
        <v>2224</v>
      </c>
      <c r="G1803" s="314" t="s">
        <v>3645</v>
      </c>
      <c r="H1803" s="312" t="s">
        <v>3683</v>
      </c>
      <c r="I1803" s="175">
        <v>55504.14</v>
      </c>
    </row>
    <row r="1804" spans="1:9" ht="15" x14ac:dyDescent="0.25">
      <c r="A1804" s="306">
        <v>1803</v>
      </c>
      <c r="B1804" s="309">
        <v>43438</v>
      </c>
      <c r="C1804" s="310">
        <v>43455.541666666664</v>
      </c>
      <c r="D1804" s="311" t="s">
        <v>1092</v>
      </c>
      <c r="E1804" s="311" t="s">
        <v>392</v>
      </c>
      <c r="F1804" s="311" t="s">
        <v>2224</v>
      </c>
      <c r="G1804" s="314" t="s">
        <v>3646</v>
      </c>
      <c r="H1804" s="312" t="s">
        <v>3684</v>
      </c>
      <c r="I1804" s="175">
        <v>51884.3</v>
      </c>
    </row>
    <row r="1805" spans="1:9" ht="15" x14ac:dyDescent="0.25">
      <c r="A1805" s="306">
        <v>1804</v>
      </c>
      <c r="B1805" s="309">
        <v>43438</v>
      </c>
      <c r="C1805" s="310">
        <v>43455.541666666664</v>
      </c>
      <c r="D1805" s="311" t="s">
        <v>1092</v>
      </c>
      <c r="E1805" s="311" t="s">
        <v>392</v>
      </c>
      <c r="F1805" s="311" t="s">
        <v>2224</v>
      </c>
      <c r="G1805" s="314" t="s">
        <v>3647</v>
      </c>
      <c r="H1805" s="312" t="s">
        <v>3685</v>
      </c>
      <c r="I1805" s="175">
        <v>51528.92</v>
      </c>
    </row>
    <row r="1806" spans="1:9" ht="15" x14ac:dyDescent="0.25">
      <c r="A1806" s="306">
        <v>1805</v>
      </c>
      <c r="B1806" s="309">
        <v>43438</v>
      </c>
      <c r="C1806" s="310">
        <v>43453.541666666664</v>
      </c>
      <c r="D1806" s="311" t="s">
        <v>1092</v>
      </c>
      <c r="E1806" s="311" t="s">
        <v>422</v>
      </c>
      <c r="F1806" s="311" t="s">
        <v>396</v>
      </c>
      <c r="G1806" s="314" t="s">
        <v>3648</v>
      </c>
      <c r="H1806" s="312" t="s">
        <v>3686</v>
      </c>
      <c r="I1806" s="175">
        <v>162895.56</v>
      </c>
    </row>
    <row r="1807" spans="1:9" ht="15" x14ac:dyDescent="0.25">
      <c r="A1807" s="306">
        <v>1806</v>
      </c>
      <c r="B1807" s="309">
        <v>43439</v>
      </c>
      <c r="C1807" s="310">
        <v>43455.541666666664</v>
      </c>
      <c r="D1807" s="311" t="s">
        <v>1092</v>
      </c>
      <c r="E1807" s="311" t="s">
        <v>392</v>
      </c>
      <c r="F1807" s="311" t="s">
        <v>2224</v>
      </c>
      <c r="G1807" s="314" t="s">
        <v>3649</v>
      </c>
      <c r="H1807" s="312" t="s">
        <v>3687</v>
      </c>
      <c r="I1807" s="175">
        <v>40743.800000000003</v>
      </c>
    </row>
    <row r="1808" spans="1:9" ht="15" x14ac:dyDescent="0.25">
      <c r="A1808" s="306">
        <v>1807</v>
      </c>
      <c r="B1808" s="309">
        <v>43439</v>
      </c>
      <c r="C1808" s="310">
        <v>43455.541666666664</v>
      </c>
      <c r="D1808" s="311" t="s">
        <v>1092</v>
      </c>
      <c r="E1808" s="311" t="s">
        <v>392</v>
      </c>
      <c r="F1808" s="311" t="s">
        <v>2224</v>
      </c>
      <c r="G1808" s="314" t="s">
        <v>3650</v>
      </c>
      <c r="H1808" s="312" t="s">
        <v>3688</v>
      </c>
      <c r="I1808" s="175">
        <v>29958.68</v>
      </c>
    </row>
    <row r="1809" spans="1:10" ht="15" x14ac:dyDescent="0.25">
      <c r="A1809" s="306">
        <v>1808</v>
      </c>
      <c r="B1809" s="309">
        <v>43439</v>
      </c>
      <c r="C1809" s="310">
        <v>43455.541666666664</v>
      </c>
      <c r="D1809" s="311" t="s">
        <v>1092</v>
      </c>
      <c r="E1809" s="311" t="s">
        <v>392</v>
      </c>
      <c r="F1809" s="311" t="s">
        <v>2224</v>
      </c>
      <c r="G1809" s="314" t="s">
        <v>3651</v>
      </c>
      <c r="H1809" s="312" t="s">
        <v>3689</v>
      </c>
      <c r="I1809" s="175">
        <v>48595.040000000001</v>
      </c>
    </row>
    <row r="1810" spans="1:10" ht="15" x14ac:dyDescent="0.25">
      <c r="A1810" s="306">
        <v>1809</v>
      </c>
      <c r="B1810" s="309">
        <v>43439</v>
      </c>
      <c r="C1810" s="310">
        <v>43455.541666666664</v>
      </c>
      <c r="D1810" s="311" t="s">
        <v>1092</v>
      </c>
      <c r="E1810" s="311" t="s">
        <v>392</v>
      </c>
      <c r="F1810" s="311" t="s">
        <v>2224</v>
      </c>
      <c r="G1810" s="314" t="s">
        <v>3652</v>
      </c>
      <c r="H1810" s="312" t="s">
        <v>3690</v>
      </c>
      <c r="I1810" s="175">
        <v>16339.47</v>
      </c>
    </row>
    <row r="1811" spans="1:10" ht="15" x14ac:dyDescent="0.25">
      <c r="A1811" s="306">
        <v>1810</v>
      </c>
      <c r="B1811" s="309">
        <v>43439</v>
      </c>
      <c r="C1811" s="310">
        <v>43455.541666666664</v>
      </c>
      <c r="D1811" s="311" t="s">
        <v>1092</v>
      </c>
      <c r="E1811" s="311" t="s">
        <v>392</v>
      </c>
      <c r="F1811" s="311" t="s">
        <v>2224</v>
      </c>
      <c r="G1811" s="314" t="s">
        <v>3653</v>
      </c>
      <c r="H1811" s="312" t="s">
        <v>3691</v>
      </c>
      <c r="I1811" s="175">
        <v>37148.76</v>
      </c>
    </row>
    <row r="1812" spans="1:10" ht="15" x14ac:dyDescent="0.25">
      <c r="A1812" s="306">
        <v>1811</v>
      </c>
      <c r="B1812" s="315">
        <v>43439</v>
      </c>
      <c r="C1812" s="316">
        <v>43455.541666666664</v>
      </c>
      <c r="D1812" s="317" t="s">
        <v>1092</v>
      </c>
      <c r="E1812" s="317" t="s">
        <v>392</v>
      </c>
      <c r="F1812" s="317" t="s">
        <v>2224</v>
      </c>
      <c r="G1812" s="318" t="s">
        <v>3654</v>
      </c>
      <c r="H1812" s="319" t="s">
        <v>3692</v>
      </c>
      <c r="I1812" s="176">
        <v>49471.08</v>
      </c>
      <c r="J1812" s="178" t="s">
        <v>3710</v>
      </c>
    </row>
    <row r="1813" spans="1:10" x14ac:dyDescent="0.2">
      <c r="A1813" s="306">
        <v>1812</v>
      </c>
      <c r="B1813" s="320">
        <v>43445</v>
      </c>
      <c r="C1813" s="320">
        <v>43472</v>
      </c>
      <c r="D1813" s="311" t="s">
        <v>1092</v>
      </c>
      <c r="E1813" s="311" t="s">
        <v>392</v>
      </c>
      <c r="F1813" s="311" t="s">
        <v>1272</v>
      </c>
      <c r="G1813" s="312" t="s">
        <v>3693</v>
      </c>
      <c r="H1813" s="312" t="s">
        <v>3694</v>
      </c>
      <c r="I1813" s="313">
        <v>26000</v>
      </c>
    </row>
    <row r="1814" spans="1:10" x14ac:dyDescent="0.2">
      <c r="A1814" s="321">
        <v>1813</v>
      </c>
      <c r="B1814" s="320">
        <v>43446</v>
      </c>
      <c r="C1814" s="320">
        <v>43474</v>
      </c>
      <c r="D1814" s="311" t="s">
        <v>1092</v>
      </c>
      <c r="E1814" s="311" t="s">
        <v>392</v>
      </c>
      <c r="F1814" s="311" t="s">
        <v>71</v>
      </c>
      <c r="G1814" s="312" t="s">
        <v>3695</v>
      </c>
      <c r="H1814" s="312" t="s">
        <v>3696</v>
      </c>
      <c r="I1814" s="313">
        <v>5920.14</v>
      </c>
    </row>
    <row r="1815" spans="1:10" x14ac:dyDescent="0.2">
      <c r="A1815" s="321">
        <v>1814</v>
      </c>
      <c r="B1815" s="320">
        <v>43447</v>
      </c>
      <c r="C1815" s="320">
        <v>43472</v>
      </c>
      <c r="D1815" s="311" t="s">
        <v>1092</v>
      </c>
      <c r="E1815" s="311" t="s">
        <v>392</v>
      </c>
      <c r="F1815" s="311" t="s">
        <v>71</v>
      </c>
      <c r="G1815" s="312" t="s">
        <v>3697</v>
      </c>
      <c r="H1815" s="312" t="s">
        <v>3700</v>
      </c>
      <c r="I1815" s="313">
        <v>35192.71</v>
      </c>
    </row>
    <row r="1816" spans="1:10" x14ac:dyDescent="0.2">
      <c r="A1816" s="321">
        <v>1815</v>
      </c>
      <c r="B1816" s="320">
        <v>43447</v>
      </c>
      <c r="C1816" s="320">
        <v>43474</v>
      </c>
      <c r="D1816" s="311" t="s">
        <v>1092</v>
      </c>
      <c r="E1816" s="311" t="s">
        <v>392</v>
      </c>
      <c r="F1816" s="311" t="s">
        <v>1272</v>
      </c>
      <c r="G1816" s="312" t="s">
        <v>3698</v>
      </c>
      <c r="H1816" s="312" t="s">
        <v>3701</v>
      </c>
      <c r="I1816" s="313">
        <v>26334.400000000001</v>
      </c>
    </row>
    <row r="1817" spans="1:10" x14ac:dyDescent="0.2">
      <c r="A1817" s="321">
        <v>1816</v>
      </c>
      <c r="B1817" s="320">
        <v>43447</v>
      </c>
      <c r="C1817" s="320">
        <v>43474</v>
      </c>
      <c r="D1817" s="311" t="s">
        <v>1092</v>
      </c>
      <c r="E1817" s="311" t="s">
        <v>392</v>
      </c>
      <c r="F1817" s="311" t="s">
        <v>1272</v>
      </c>
      <c r="G1817" s="312" t="s">
        <v>3699</v>
      </c>
      <c r="H1817" s="312" t="s">
        <v>3702</v>
      </c>
      <c r="I1817" s="313">
        <v>4800</v>
      </c>
    </row>
    <row r="1818" spans="1:10" x14ac:dyDescent="0.2">
      <c r="A1818" s="321">
        <v>1817</v>
      </c>
      <c r="B1818" s="320">
        <v>43448</v>
      </c>
      <c r="C1818" s="320">
        <v>43474</v>
      </c>
      <c r="D1818" s="311" t="s">
        <v>1092</v>
      </c>
      <c r="E1818" s="311" t="s">
        <v>422</v>
      </c>
      <c r="F1818" s="311" t="s">
        <v>396</v>
      </c>
      <c r="G1818" s="312" t="s">
        <v>3703</v>
      </c>
      <c r="H1818" s="312" t="s">
        <v>3704</v>
      </c>
      <c r="I1818" s="313">
        <v>10800</v>
      </c>
    </row>
    <row r="1819" spans="1:10" x14ac:dyDescent="0.2">
      <c r="A1819" s="321">
        <v>1818</v>
      </c>
      <c r="B1819" s="320">
        <v>43451</v>
      </c>
      <c r="C1819" s="320">
        <v>43474</v>
      </c>
      <c r="D1819" s="311" t="s">
        <v>1092</v>
      </c>
      <c r="E1819" s="311" t="s">
        <v>392</v>
      </c>
      <c r="F1819" s="311" t="s">
        <v>1272</v>
      </c>
      <c r="G1819" s="312" t="s">
        <v>3706</v>
      </c>
      <c r="H1819" s="312" t="s">
        <v>3707</v>
      </c>
      <c r="I1819" s="313">
        <v>20286</v>
      </c>
    </row>
    <row r="1820" spans="1:10" x14ac:dyDescent="0.2">
      <c r="A1820" s="321">
        <v>1819</v>
      </c>
      <c r="B1820" s="320">
        <v>43454</v>
      </c>
      <c r="C1820" s="320">
        <v>43500</v>
      </c>
      <c r="D1820" s="311" t="s">
        <v>1092</v>
      </c>
      <c r="E1820" s="311" t="s">
        <v>422</v>
      </c>
      <c r="F1820" s="311" t="s">
        <v>396</v>
      </c>
      <c r="G1820" s="312" t="s">
        <v>3708</v>
      </c>
      <c r="H1820" s="312" t="s">
        <v>3709</v>
      </c>
      <c r="I1820" s="313">
        <v>706000</v>
      </c>
      <c r="J1820" s="178" t="s">
        <v>3722</v>
      </c>
    </row>
    <row r="1821" spans="1:10" x14ac:dyDescent="0.2">
      <c r="A1821" s="321">
        <v>1820</v>
      </c>
      <c r="B1821" s="320">
        <v>43458</v>
      </c>
      <c r="C1821" s="320">
        <v>43474</v>
      </c>
      <c r="D1821" s="311" t="s">
        <v>1092</v>
      </c>
      <c r="E1821" s="311" t="s">
        <v>392</v>
      </c>
      <c r="F1821" s="311" t="s">
        <v>1272</v>
      </c>
      <c r="G1821" s="312" t="s">
        <v>3711</v>
      </c>
      <c r="H1821" s="312" t="s">
        <v>3712</v>
      </c>
      <c r="I1821" s="313">
        <v>122500</v>
      </c>
    </row>
    <row r="1822" spans="1:10" x14ac:dyDescent="0.2">
      <c r="A1822" s="321">
        <v>1821</v>
      </c>
      <c r="B1822" s="320">
        <v>43458</v>
      </c>
      <c r="C1822" s="320">
        <v>43474</v>
      </c>
      <c r="D1822" s="311" t="s">
        <v>1092</v>
      </c>
      <c r="E1822" s="311" t="s">
        <v>392</v>
      </c>
      <c r="F1822" s="311" t="s">
        <v>71</v>
      </c>
      <c r="G1822" s="312" t="s">
        <v>3713</v>
      </c>
      <c r="H1822" s="312" t="s">
        <v>3714</v>
      </c>
      <c r="I1822" s="313">
        <v>46772.93</v>
      </c>
    </row>
    <row r="1823" spans="1:10" x14ac:dyDescent="0.2">
      <c r="A1823" s="321">
        <v>1822</v>
      </c>
      <c r="B1823" s="320">
        <v>43458</v>
      </c>
      <c r="C1823" s="320">
        <v>43474</v>
      </c>
      <c r="D1823" s="311" t="s">
        <v>1092</v>
      </c>
      <c r="E1823" s="311" t="s">
        <v>392</v>
      </c>
      <c r="F1823" s="311" t="s">
        <v>1272</v>
      </c>
      <c r="G1823" s="312" t="s">
        <v>3715</v>
      </c>
      <c r="H1823" s="312" t="s">
        <v>3716</v>
      </c>
      <c r="I1823" s="313">
        <v>87781</v>
      </c>
    </row>
    <row r="1824" spans="1:10" x14ac:dyDescent="0.2">
      <c r="A1824" s="321">
        <v>1823</v>
      </c>
      <c r="B1824" s="320">
        <v>43461</v>
      </c>
      <c r="C1824" s="320">
        <v>43479</v>
      </c>
      <c r="D1824" s="311" t="s">
        <v>1092</v>
      </c>
      <c r="E1824" s="311" t="s">
        <v>392</v>
      </c>
      <c r="F1824" s="311" t="s">
        <v>71</v>
      </c>
      <c r="G1824" s="312" t="s">
        <v>3717</v>
      </c>
      <c r="H1824" s="312" t="s">
        <v>3718</v>
      </c>
      <c r="I1824" s="313">
        <v>7662.21</v>
      </c>
    </row>
    <row r="1825" spans="1:9" x14ac:dyDescent="0.2">
      <c r="A1825" s="321">
        <v>1824</v>
      </c>
      <c r="B1825" s="320">
        <v>43461</v>
      </c>
      <c r="C1825" s="320">
        <v>43479</v>
      </c>
      <c r="D1825" s="311" t="s">
        <v>1092</v>
      </c>
      <c r="E1825" s="311" t="s">
        <v>422</v>
      </c>
      <c r="F1825" s="311" t="s">
        <v>701</v>
      </c>
      <c r="G1825" s="312" t="s">
        <v>3720</v>
      </c>
      <c r="H1825" s="312" t="s">
        <v>3721</v>
      </c>
      <c r="I1825" s="313">
        <v>100000</v>
      </c>
    </row>
    <row r="1826" spans="1:9" x14ac:dyDescent="0.2">
      <c r="A1826" s="321">
        <v>1825</v>
      </c>
      <c r="B1826" s="320">
        <v>43467</v>
      </c>
      <c r="C1826" s="320">
        <v>43483</v>
      </c>
      <c r="D1826" s="311" t="s">
        <v>1092</v>
      </c>
      <c r="E1826" s="311" t="s">
        <v>422</v>
      </c>
      <c r="F1826" s="311" t="s">
        <v>1640</v>
      </c>
      <c r="G1826" s="312" t="s">
        <v>3723</v>
      </c>
      <c r="H1826" s="312" t="s">
        <v>3724</v>
      </c>
      <c r="I1826" s="313">
        <v>144000</v>
      </c>
    </row>
    <row r="1827" spans="1:9" x14ac:dyDescent="0.2">
      <c r="A1827" s="321">
        <v>1826</v>
      </c>
      <c r="B1827" s="320">
        <v>43472</v>
      </c>
      <c r="C1827" s="320">
        <v>43488</v>
      </c>
      <c r="D1827" s="311" t="s">
        <v>1092</v>
      </c>
      <c r="E1827" s="311" t="s">
        <v>422</v>
      </c>
      <c r="F1827" s="311" t="s">
        <v>1640</v>
      </c>
      <c r="G1827" s="312" t="s">
        <v>3442</v>
      </c>
      <c r="H1827" s="312" t="s">
        <v>3728</v>
      </c>
      <c r="I1827" s="313">
        <v>12840</v>
      </c>
    </row>
    <row r="1828" spans="1:9" x14ac:dyDescent="0.2">
      <c r="A1828" s="321">
        <v>1827</v>
      </c>
      <c r="B1828" s="320">
        <v>43472</v>
      </c>
      <c r="C1828" s="320">
        <v>43488</v>
      </c>
      <c r="D1828" s="311" t="s">
        <v>1092</v>
      </c>
      <c r="E1828" s="311" t="s">
        <v>422</v>
      </c>
      <c r="F1828" s="311" t="s">
        <v>1640</v>
      </c>
      <c r="G1828" s="312" t="s">
        <v>3729</v>
      </c>
      <c r="H1828" s="312" t="s">
        <v>3730</v>
      </c>
      <c r="I1828" s="313">
        <v>17160</v>
      </c>
    </row>
    <row r="1829" spans="1:9" x14ac:dyDescent="0.2">
      <c r="A1829" s="321">
        <v>1828</v>
      </c>
      <c r="B1829" s="320">
        <v>43474</v>
      </c>
      <c r="C1829" s="320">
        <v>43489</v>
      </c>
      <c r="D1829" s="311" t="s">
        <v>1092</v>
      </c>
      <c r="E1829" s="311" t="s">
        <v>392</v>
      </c>
      <c r="F1829" s="311" t="s">
        <v>393</v>
      </c>
      <c r="G1829" s="312" t="s">
        <v>3731</v>
      </c>
      <c r="H1829" s="312" t="s">
        <v>3732</v>
      </c>
      <c r="I1829" s="313">
        <v>2910</v>
      </c>
    </row>
    <row r="1830" spans="1:9" x14ac:dyDescent="0.2">
      <c r="A1830" s="321">
        <v>1829</v>
      </c>
      <c r="B1830" s="320">
        <v>43474</v>
      </c>
      <c r="C1830" s="320">
        <v>43489</v>
      </c>
      <c r="D1830" s="311" t="s">
        <v>1092</v>
      </c>
      <c r="E1830" s="311" t="s">
        <v>392</v>
      </c>
      <c r="F1830" s="311" t="s">
        <v>396</v>
      </c>
      <c r="G1830" s="312" t="s">
        <v>3733</v>
      </c>
      <c r="H1830" s="312" t="s">
        <v>3734</v>
      </c>
      <c r="I1830" s="313">
        <v>9700</v>
      </c>
    </row>
    <row r="1831" spans="1:9" x14ac:dyDescent="0.2">
      <c r="A1831" s="321">
        <v>1830</v>
      </c>
      <c r="B1831" s="320">
        <v>43474</v>
      </c>
      <c r="C1831" s="320">
        <v>43493</v>
      </c>
      <c r="D1831" s="311" t="s">
        <v>1092</v>
      </c>
      <c r="E1831" s="311" t="s">
        <v>392</v>
      </c>
      <c r="F1831" s="311" t="s">
        <v>71</v>
      </c>
      <c r="G1831" s="312" t="s">
        <v>3735</v>
      </c>
      <c r="H1831" s="312" t="s">
        <v>3736</v>
      </c>
      <c r="I1831" s="313">
        <v>473.91</v>
      </c>
    </row>
    <row r="1832" spans="1:9" x14ac:dyDescent="0.2">
      <c r="A1832" s="321">
        <v>1831</v>
      </c>
      <c r="B1832" s="320">
        <v>43475</v>
      </c>
      <c r="C1832" s="320">
        <v>43523</v>
      </c>
      <c r="D1832" s="311" t="s">
        <v>1092</v>
      </c>
      <c r="E1832" s="311" t="s">
        <v>392</v>
      </c>
      <c r="F1832" s="311" t="s">
        <v>9</v>
      </c>
      <c r="G1832" s="312" t="s">
        <v>3737</v>
      </c>
      <c r="H1832" s="312" t="s">
        <v>3738</v>
      </c>
      <c r="I1832" s="313">
        <v>275573.95</v>
      </c>
    </row>
    <row r="1833" spans="1:9" x14ac:dyDescent="0.2">
      <c r="A1833" s="321">
        <v>1832</v>
      </c>
      <c r="B1833" s="320">
        <v>43476</v>
      </c>
      <c r="C1833" s="320">
        <v>43495</v>
      </c>
      <c r="D1833" s="311" t="s">
        <v>1092</v>
      </c>
      <c r="E1833" s="311" t="s">
        <v>392</v>
      </c>
      <c r="F1833" s="311" t="s">
        <v>9</v>
      </c>
      <c r="G1833" s="312" t="s">
        <v>3739</v>
      </c>
      <c r="H1833" s="312" t="s">
        <v>3741</v>
      </c>
      <c r="I1833" s="313">
        <v>112607</v>
      </c>
    </row>
    <row r="1834" spans="1:9" x14ac:dyDescent="0.2">
      <c r="A1834" s="321">
        <v>1833</v>
      </c>
      <c r="B1834" s="320">
        <v>43476</v>
      </c>
      <c r="C1834" s="320">
        <v>43493</v>
      </c>
      <c r="D1834" s="311" t="s">
        <v>1092</v>
      </c>
      <c r="E1834" s="311" t="s">
        <v>392</v>
      </c>
      <c r="F1834" s="311" t="s">
        <v>393</v>
      </c>
      <c r="G1834" s="312" t="s">
        <v>3740</v>
      </c>
      <c r="H1834" s="312" t="s">
        <v>3742</v>
      </c>
      <c r="I1834" s="313">
        <v>16000</v>
      </c>
    </row>
    <row r="1835" spans="1:9" x14ac:dyDescent="0.2">
      <c r="A1835" s="321">
        <v>1834</v>
      </c>
      <c r="B1835" s="320">
        <v>43479</v>
      </c>
      <c r="C1835" s="320">
        <v>43495</v>
      </c>
      <c r="D1835" s="311" t="s">
        <v>1092</v>
      </c>
      <c r="E1835" s="311" t="s">
        <v>422</v>
      </c>
      <c r="F1835" s="311" t="s">
        <v>701</v>
      </c>
      <c r="G1835" s="312" t="s">
        <v>3743</v>
      </c>
      <c r="H1835" s="312" t="s">
        <v>3744</v>
      </c>
      <c r="I1835" s="313">
        <v>114000</v>
      </c>
    </row>
    <row r="1836" spans="1:9" x14ac:dyDescent="0.2">
      <c r="A1836" s="321">
        <v>1835</v>
      </c>
      <c r="B1836" s="320">
        <v>43481</v>
      </c>
      <c r="C1836" s="320">
        <v>43495</v>
      </c>
      <c r="D1836" s="311" t="s">
        <v>1092</v>
      </c>
      <c r="E1836" s="311" t="s">
        <v>392</v>
      </c>
      <c r="F1836" s="311" t="s">
        <v>71</v>
      </c>
      <c r="G1836" s="312" t="s">
        <v>3745</v>
      </c>
      <c r="H1836" s="312" t="s">
        <v>3748</v>
      </c>
      <c r="I1836" s="313">
        <v>6007</v>
      </c>
    </row>
    <row r="1837" spans="1:9" x14ac:dyDescent="0.2">
      <c r="A1837" s="321">
        <v>1836</v>
      </c>
      <c r="B1837" s="320">
        <v>43481</v>
      </c>
      <c r="C1837" s="320">
        <v>43495</v>
      </c>
      <c r="D1837" s="311" t="s">
        <v>1092</v>
      </c>
      <c r="E1837" s="311" t="s">
        <v>392</v>
      </c>
      <c r="F1837" s="311" t="s">
        <v>393</v>
      </c>
      <c r="G1837" s="312" t="s">
        <v>3746</v>
      </c>
      <c r="H1837" s="312" t="s">
        <v>3749</v>
      </c>
      <c r="I1837" s="313">
        <v>12500</v>
      </c>
    </row>
    <row r="1838" spans="1:9" x14ac:dyDescent="0.2">
      <c r="A1838" s="321">
        <v>1837</v>
      </c>
      <c r="B1838" s="320">
        <v>43481</v>
      </c>
      <c r="C1838" s="320">
        <v>43495</v>
      </c>
      <c r="D1838" s="311" t="s">
        <v>1092</v>
      </c>
      <c r="E1838" s="311" t="s">
        <v>392</v>
      </c>
      <c r="F1838" s="311" t="s">
        <v>1276</v>
      </c>
      <c r="G1838" s="312" t="s">
        <v>3747</v>
      </c>
      <c r="H1838" s="312" t="s">
        <v>3750</v>
      </c>
      <c r="I1838" s="313">
        <v>11640</v>
      </c>
    </row>
    <row r="1839" spans="1:9" x14ac:dyDescent="0.2">
      <c r="A1839" s="321">
        <v>1838</v>
      </c>
      <c r="B1839" s="320">
        <v>43481</v>
      </c>
      <c r="C1839" s="320">
        <v>43500</v>
      </c>
      <c r="D1839" s="311" t="s">
        <v>1092</v>
      </c>
      <c r="E1839" s="311" t="s">
        <v>392</v>
      </c>
      <c r="F1839" s="311" t="s">
        <v>1276</v>
      </c>
      <c r="G1839" s="312" t="s">
        <v>3751</v>
      </c>
      <c r="H1839" s="312" t="s">
        <v>3752</v>
      </c>
      <c r="I1839" s="313">
        <v>97200</v>
      </c>
    </row>
    <row r="1840" spans="1:9" x14ac:dyDescent="0.2">
      <c r="A1840" s="321">
        <v>1839</v>
      </c>
      <c r="B1840" s="320">
        <v>43481</v>
      </c>
      <c r="C1840" s="320">
        <v>43500</v>
      </c>
      <c r="D1840" s="311" t="s">
        <v>1092</v>
      </c>
      <c r="E1840" s="311" t="s">
        <v>392</v>
      </c>
      <c r="F1840" s="311" t="s">
        <v>1276</v>
      </c>
      <c r="G1840" s="312" t="s">
        <v>3753</v>
      </c>
      <c r="H1840" s="312" t="s">
        <v>3754</v>
      </c>
      <c r="I1840" s="313">
        <v>25200</v>
      </c>
    </row>
    <row r="1841" spans="1:10" x14ac:dyDescent="0.2">
      <c r="A1841" s="321">
        <v>1840</v>
      </c>
      <c r="B1841" s="320">
        <v>43480</v>
      </c>
      <c r="C1841" s="320">
        <v>43500</v>
      </c>
      <c r="D1841" s="311" t="s">
        <v>1092</v>
      </c>
      <c r="E1841" s="311" t="s">
        <v>392</v>
      </c>
      <c r="F1841" s="311" t="s">
        <v>393</v>
      </c>
      <c r="G1841" s="312" t="s">
        <v>3755</v>
      </c>
      <c r="H1841" s="312" t="s">
        <v>3756</v>
      </c>
      <c r="I1841" s="313">
        <v>5100</v>
      </c>
    </row>
    <row r="1842" spans="1:10" x14ac:dyDescent="0.2">
      <c r="A1842" s="321">
        <v>1841</v>
      </c>
      <c r="B1842" s="322">
        <v>43483</v>
      </c>
      <c r="C1842" s="322">
        <v>43500</v>
      </c>
      <c r="D1842" s="317" t="s">
        <v>1092</v>
      </c>
      <c r="E1842" s="317" t="s">
        <v>392</v>
      </c>
      <c r="F1842" s="317" t="s">
        <v>393</v>
      </c>
      <c r="G1842" s="319" t="s">
        <v>3757</v>
      </c>
      <c r="H1842" s="319" t="s">
        <v>3758</v>
      </c>
      <c r="I1842" s="323">
        <v>14000</v>
      </c>
      <c r="J1842" s="178" t="s">
        <v>4022</v>
      </c>
    </row>
    <row r="1843" spans="1:10" x14ac:dyDescent="0.2">
      <c r="A1843" s="321">
        <v>1842</v>
      </c>
      <c r="B1843" s="320">
        <v>43483</v>
      </c>
      <c r="C1843" s="320">
        <v>43500</v>
      </c>
      <c r="D1843" s="311" t="s">
        <v>1092</v>
      </c>
      <c r="E1843" s="311" t="s">
        <v>422</v>
      </c>
      <c r="F1843" s="311" t="s">
        <v>396</v>
      </c>
      <c r="G1843" s="312" t="s">
        <v>3760</v>
      </c>
      <c r="H1843" s="312" t="s">
        <v>3533</v>
      </c>
      <c r="I1843" s="313">
        <v>23880</v>
      </c>
    </row>
    <row r="1844" spans="1:10" x14ac:dyDescent="0.2">
      <c r="A1844" s="321">
        <v>1843</v>
      </c>
      <c r="B1844" s="320">
        <v>43487</v>
      </c>
      <c r="C1844" s="320">
        <v>43502</v>
      </c>
      <c r="D1844" s="311" t="s">
        <v>1092</v>
      </c>
      <c r="E1844" s="311" t="s">
        <v>422</v>
      </c>
      <c r="F1844" s="311" t="s">
        <v>71</v>
      </c>
      <c r="G1844" s="312" t="s">
        <v>3761</v>
      </c>
      <c r="H1844" s="312" t="s">
        <v>3762</v>
      </c>
      <c r="I1844" s="313">
        <v>144420.17000000001</v>
      </c>
    </row>
    <row r="1845" spans="1:10" x14ac:dyDescent="0.2">
      <c r="A1845" s="321">
        <v>1844</v>
      </c>
      <c r="B1845" s="320">
        <v>43487</v>
      </c>
      <c r="C1845" s="320">
        <v>43507</v>
      </c>
      <c r="D1845" s="311" t="s">
        <v>1092</v>
      </c>
      <c r="E1845" s="311" t="s">
        <v>392</v>
      </c>
      <c r="F1845" s="311" t="s">
        <v>71</v>
      </c>
      <c r="G1845" s="312" t="s">
        <v>3763</v>
      </c>
      <c r="H1845" s="312" t="s">
        <v>3764</v>
      </c>
      <c r="I1845" s="313">
        <v>6462.61</v>
      </c>
    </row>
    <row r="1846" spans="1:10" x14ac:dyDescent="0.2">
      <c r="A1846" s="321">
        <v>1845</v>
      </c>
      <c r="B1846" s="320">
        <v>43487</v>
      </c>
      <c r="C1846" s="320">
        <v>43507</v>
      </c>
      <c r="D1846" s="311" t="s">
        <v>1092</v>
      </c>
      <c r="E1846" s="311" t="s">
        <v>422</v>
      </c>
      <c r="F1846" s="311" t="s">
        <v>701</v>
      </c>
      <c r="G1846" s="312" t="s">
        <v>3765</v>
      </c>
      <c r="H1846" s="312" t="s">
        <v>3766</v>
      </c>
      <c r="I1846" s="313">
        <v>40000</v>
      </c>
    </row>
    <row r="1847" spans="1:10" x14ac:dyDescent="0.2">
      <c r="A1847" s="321">
        <v>1846</v>
      </c>
      <c r="B1847" s="320">
        <v>43487</v>
      </c>
      <c r="C1847" s="320">
        <v>43502</v>
      </c>
      <c r="D1847" s="311" t="s">
        <v>1092</v>
      </c>
      <c r="E1847" s="311" t="s">
        <v>422</v>
      </c>
      <c r="F1847" s="311" t="s">
        <v>396</v>
      </c>
      <c r="G1847" s="312" t="s">
        <v>3767</v>
      </c>
      <c r="H1847" s="312" t="s">
        <v>3768</v>
      </c>
      <c r="I1847" s="313">
        <v>56496</v>
      </c>
    </row>
    <row r="1848" spans="1:10" x14ac:dyDescent="0.2">
      <c r="A1848" s="321">
        <v>1847</v>
      </c>
      <c r="B1848" s="320">
        <v>43488</v>
      </c>
      <c r="C1848" s="320">
        <v>43507</v>
      </c>
      <c r="D1848" s="311" t="s">
        <v>1092</v>
      </c>
      <c r="E1848" s="311" t="s">
        <v>422</v>
      </c>
      <c r="F1848" s="311" t="s">
        <v>71</v>
      </c>
      <c r="G1848" s="312" t="s">
        <v>3769</v>
      </c>
      <c r="H1848" s="312" t="s">
        <v>3772</v>
      </c>
      <c r="I1848" s="313">
        <v>8329.24</v>
      </c>
    </row>
    <row r="1849" spans="1:10" x14ac:dyDescent="0.2">
      <c r="A1849" s="321">
        <v>1848</v>
      </c>
      <c r="B1849" s="320">
        <v>43488</v>
      </c>
      <c r="C1849" s="320">
        <v>43507</v>
      </c>
      <c r="D1849" s="311" t="s">
        <v>1092</v>
      </c>
      <c r="E1849" s="311" t="s">
        <v>422</v>
      </c>
      <c r="F1849" s="311" t="s">
        <v>701</v>
      </c>
      <c r="G1849" s="312" t="s">
        <v>3770</v>
      </c>
      <c r="H1849" s="312" t="s">
        <v>3771</v>
      </c>
      <c r="I1849" s="313">
        <v>25000</v>
      </c>
    </row>
    <row r="1850" spans="1:10" x14ac:dyDescent="0.2">
      <c r="A1850" s="321">
        <v>1849</v>
      </c>
      <c r="B1850" s="320">
        <v>43489</v>
      </c>
      <c r="C1850" s="320">
        <v>43507</v>
      </c>
      <c r="D1850" s="311" t="s">
        <v>1092</v>
      </c>
      <c r="E1850" s="311" t="s">
        <v>422</v>
      </c>
      <c r="F1850" s="311" t="s">
        <v>396</v>
      </c>
      <c r="G1850" s="312" t="s">
        <v>3773</v>
      </c>
      <c r="H1850" s="312" t="s">
        <v>3774</v>
      </c>
      <c r="I1850" s="313">
        <v>8396.4</v>
      </c>
    </row>
    <row r="1851" spans="1:10" x14ac:dyDescent="0.2">
      <c r="A1851" s="321">
        <v>1850</v>
      </c>
      <c r="B1851" s="320">
        <v>43489</v>
      </c>
      <c r="C1851" s="320">
        <v>43507</v>
      </c>
      <c r="D1851" s="311" t="s">
        <v>1092</v>
      </c>
      <c r="E1851" s="311" t="s">
        <v>392</v>
      </c>
      <c r="F1851" s="311" t="s">
        <v>393</v>
      </c>
      <c r="G1851" s="312" t="s">
        <v>3555</v>
      </c>
      <c r="H1851" s="312" t="s">
        <v>3559</v>
      </c>
      <c r="I1851" s="313">
        <v>19000</v>
      </c>
    </row>
    <row r="1852" spans="1:10" x14ac:dyDescent="0.2">
      <c r="A1852" s="321">
        <v>1851</v>
      </c>
      <c r="B1852" s="320">
        <v>43489</v>
      </c>
      <c r="C1852" s="320">
        <v>43507</v>
      </c>
      <c r="D1852" s="311" t="s">
        <v>1092</v>
      </c>
      <c r="E1852" s="311" t="s">
        <v>392</v>
      </c>
      <c r="F1852" s="311" t="s">
        <v>393</v>
      </c>
      <c r="G1852" s="312" t="s">
        <v>3775</v>
      </c>
      <c r="H1852" s="312" t="s">
        <v>3776</v>
      </c>
      <c r="I1852" s="313">
        <v>36750</v>
      </c>
    </row>
    <row r="1853" spans="1:10" x14ac:dyDescent="0.2">
      <c r="A1853" s="321">
        <v>1852</v>
      </c>
      <c r="B1853" s="320">
        <v>43480</v>
      </c>
      <c r="C1853" s="320">
        <v>43523</v>
      </c>
      <c r="D1853" s="311" t="s">
        <v>1092</v>
      </c>
      <c r="E1853" s="311" t="s">
        <v>392</v>
      </c>
      <c r="F1853" s="311" t="s">
        <v>9</v>
      </c>
      <c r="G1853" s="312" t="s">
        <v>3777</v>
      </c>
      <c r="H1853" s="312" t="s">
        <v>3778</v>
      </c>
      <c r="I1853" s="313">
        <v>285990.17</v>
      </c>
    </row>
    <row r="1854" spans="1:10" x14ac:dyDescent="0.2">
      <c r="A1854" s="321">
        <v>1853</v>
      </c>
      <c r="B1854" s="320">
        <v>43490</v>
      </c>
      <c r="C1854" s="320">
        <v>43507</v>
      </c>
      <c r="D1854" s="311" t="s">
        <v>1092</v>
      </c>
      <c r="E1854" s="311" t="s">
        <v>392</v>
      </c>
      <c r="F1854" s="311" t="s">
        <v>71</v>
      </c>
      <c r="G1854" s="312" t="s">
        <v>3779</v>
      </c>
      <c r="H1854" s="312" t="s">
        <v>3780</v>
      </c>
      <c r="I1854" s="313">
        <v>5529.26</v>
      </c>
    </row>
    <row r="1855" spans="1:10" x14ac:dyDescent="0.2">
      <c r="A1855" s="321">
        <v>1854</v>
      </c>
      <c r="B1855" s="322">
        <v>43490</v>
      </c>
      <c r="C1855" s="322">
        <v>43507</v>
      </c>
      <c r="D1855" s="317" t="s">
        <v>1092</v>
      </c>
      <c r="E1855" s="317" t="s">
        <v>392</v>
      </c>
      <c r="F1855" s="317" t="s">
        <v>1257</v>
      </c>
      <c r="G1855" s="319" t="s">
        <v>3781</v>
      </c>
      <c r="H1855" s="319" t="s">
        <v>3782</v>
      </c>
      <c r="I1855" s="323">
        <v>12000</v>
      </c>
      <c r="J1855" s="178" t="s">
        <v>4046</v>
      </c>
    </row>
    <row r="1856" spans="1:10" x14ac:dyDescent="0.2">
      <c r="A1856" s="321">
        <v>1855</v>
      </c>
      <c r="B1856" s="320">
        <v>43494</v>
      </c>
      <c r="C1856" s="320">
        <v>43509</v>
      </c>
      <c r="D1856" s="311" t="s">
        <v>1092</v>
      </c>
      <c r="E1856" s="311" t="s">
        <v>422</v>
      </c>
      <c r="F1856" s="311" t="s">
        <v>396</v>
      </c>
      <c r="G1856" s="312" t="s">
        <v>3783</v>
      </c>
      <c r="H1856" s="312" t="s">
        <v>3784</v>
      </c>
      <c r="I1856" s="313">
        <v>81320</v>
      </c>
    </row>
    <row r="1857" spans="1:9" x14ac:dyDescent="0.2">
      <c r="A1857" s="321">
        <v>1856</v>
      </c>
      <c r="B1857" s="320">
        <v>43496</v>
      </c>
      <c r="C1857" s="320">
        <v>43514</v>
      </c>
      <c r="D1857" s="311" t="s">
        <v>1092</v>
      </c>
      <c r="E1857" s="311" t="s">
        <v>422</v>
      </c>
      <c r="F1857" s="311" t="s">
        <v>396</v>
      </c>
      <c r="G1857" s="312" t="s">
        <v>3785</v>
      </c>
      <c r="H1857" s="312" t="s">
        <v>3786</v>
      </c>
      <c r="I1857" s="313">
        <v>14520</v>
      </c>
    </row>
    <row r="1858" spans="1:9" x14ac:dyDescent="0.2">
      <c r="A1858" s="321">
        <v>1857</v>
      </c>
      <c r="B1858" s="320">
        <v>43496</v>
      </c>
      <c r="C1858" s="320">
        <v>43514</v>
      </c>
      <c r="D1858" s="311" t="s">
        <v>1092</v>
      </c>
      <c r="E1858" s="311" t="s">
        <v>422</v>
      </c>
      <c r="F1858" s="311" t="s">
        <v>71</v>
      </c>
      <c r="G1858" s="312" t="s">
        <v>3787</v>
      </c>
      <c r="H1858" s="312" t="s">
        <v>3788</v>
      </c>
      <c r="I1858" s="313">
        <v>13266.66</v>
      </c>
    </row>
    <row r="1859" spans="1:9" x14ac:dyDescent="0.2">
      <c r="A1859" s="321">
        <v>1858</v>
      </c>
      <c r="B1859" s="320">
        <v>43496</v>
      </c>
      <c r="C1859" s="320">
        <v>43514</v>
      </c>
      <c r="D1859" s="311" t="s">
        <v>1092</v>
      </c>
      <c r="E1859" s="311" t="s">
        <v>392</v>
      </c>
      <c r="F1859" s="311" t="s">
        <v>393</v>
      </c>
      <c r="G1859" s="312" t="s">
        <v>3789</v>
      </c>
      <c r="H1859" s="312" t="s">
        <v>3790</v>
      </c>
      <c r="I1859" s="313">
        <v>6300</v>
      </c>
    </row>
    <row r="1860" spans="1:9" x14ac:dyDescent="0.2">
      <c r="A1860" s="321">
        <v>1859</v>
      </c>
      <c r="B1860" s="320">
        <v>43497</v>
      </c>
      <c r="C1860" s="320">
        <v>43514</v>
      </c>
      <c r="D1860" s="311" t="s">
        <v>1092</v>
      </c>
      <c r="E1860" s="311" t="s">
        <v>422</v>
      </c>
      <c r="F1860" s="311" t="s">
        <v>71</v>
      </c>
      <c r="G1860" s="312" t="s">
        <v>3792</v>
      </c>
      <c r="H1860" s="312" t="s">
        <v>3793</v>
      </c>
      <c r="I1860" s="313">
        <v>5617.7</v>
      </c>
    </row>
    <row r="1861" spans="1:9" x14ac:dyDescent="0.2">
      <c r="A1861" s="321">
        <v>1860</v>
      </c>
      <c r="B1861" s="320">
        <v>43501</v>
      </c>
      <c r="C1861" s="320">
        <v>43535</v>
      </c>
      <c r="D1861" s="311" t="s">
        <v>1092</v>
      </c>
      <c r="E1861" s="311" t="s">
        <v>422</v>
      </c>
      <c r="F1861" s="311" t="s">
        <v>701</v>
      </c>
      <c r="G1861" s="312" t="s">
        <v>3794</v>
      </c>
      <c r="H1861" s="312" t="s">
        <v>3795</v>
      </c>
      <c r="I1861" s="313">
        <v>225075</v>
      </c>
    </row>
    <row r="1862" spans="1:9" x14ac:dyDescent="0.2">
      <c r="A1862" s="321">
        <v>1861</v>
      </c>
      <c r="B1862" s="320">
        <v>43502</v>
      </c>
      <c r="C1862" s="320">
        <v>43521</v>
      </c>
      <c r="D1862" s="311" t="s">
        <v>1092</v>
      </c>
      <c r="E1862" s="311" t="s">
        <v>422</v>
      </c>
      <c r="F1862" s="311" t="s">
        <v>396</v>
      </c>
      <c r="G1862" s="312" t="s">
        <v>3796</v>
      </c>
      <c r="H1862" s="312" t="s">
        <v>3797</v>
      </c>
      <c r="I1862" s="313">
        <v>49766.66</v>
      </c>
    </row>
    <row r="1863" spans="1:9" x14ac:dyDescent="0.2">
      <c r="A1863" s="321">
        <v>1862</v>
      </c>
      <c r="B1863" s="320">
        <v>43503</v>
      </c>
      <c r="C1863" s="320">
        <v>43521</v>
      </c>
      <c r="D1863" s="311" t="s">
        <v>1092</v>
      </c>
      <c r="E1863" s="311" t="s">
        <v>392</v>
      </c>
      <c r="F1863" s="311" t="s">
        <v>393</v>
      </c>
      <c r="G1863" s="312" t="s">
        <v>3798</v>
      </c>
      <c r="H1863" s="312" t="s">
        <v>3799</v>
      </c>
      <c r="I1863" s="313">
        <v>3750</v>
      </c>
    </row>
    <row r="1864" spans="1:9" x14ac:dyDescent="0.2">
      <c r="A1864" s="321">
        <v>1863</v>
      </c>
      <c r="B1864" s="320">
        <v>43504</v>
      </c>
      <c r="C1864" s="320">
        <v>43522</v>
      </c>
      <c r="D1864" s="311" t="s">
        <v>1092</v>
      </c>
      <c r="E1864" s="311" t="s">
        <v>422</v>
      </c>
      <c r="F1864" s="311" t="s">
        <v>396</v>
      </c>
      <c r="G1864" s="312" t="s">
        <v>3800</v>
      </c>
      <c r="H1864" s="312" t="s">
        <v>3801</v>
      </c>
      <c r="I1864" s="313">
        <v>33586.660000000003</v>
      </c>
    </row>
    <row r="1865" spans="1:9" x14ac:dyDescent="0.2">
      <c r="A1865" s="321">
        <v>1864</v>
      </c>
      <c r="B1865" s="320">
        <v>43504</v>
      </c>
      <c r="C1865" s="320">
        <v>43521</v>
      </c>
      <c r="D1865" s="312" t="s">
        <v>1092</v>
      </c>
      <c r="E1865" s="312" t="s">
        <v>422</v>
      </c>
      <c r="F1865" s="311" t="s">
        <v>396</v>
      </c>
      <c r="G1865" s="312" t="s">
        <v>3802</v>
      </c>
      <c r="H1865" s="312" t="s">
        <v>3803</v>
      </c>
      <c r="I1865" s="313">
        <v>56733.34</v>
      </c>
    </row>
    <row r="1866" spans="1:9" x14ac:dyDescent="0.2">
      <c r="A1866" s="321">
        <v>1865</v>
      </c>
      <c r="B1866" s="320">
        <v>43504</v>
      </c>
      <c r="C1866" s="320">
        <v>43521</v>
      </c>
      <c r="D1866" s="312" t="s">
        <v>1092</v>
      </c>
      <c r="E1866" s="312" t="s">
        <v>422</v>
      </c>
      <c r="F1866" s="311" t="s">
        <v>396</v>
      </c>
      <c r="G1866" s="312" t="s">
        <v>3805</v>
      </c>
      <c r="H1866" s="312" t="s">
        <v>3804</v>
      </c>
      <c r="I1866" s="313">
        <v>17019.599999999999</v>
      </c>
    </row>
    <row r="1867" spans="1:9" x14ac:dyDescent="0.2">
      <c r="A1867" s="321">
        <v>1866</v>
      </c>
      <c r="B1867" s="320">
        <v>43504</v>
      </c>
      <c r="C1867" s="320">
        <v>43521</v>
      </c>
      <c r="D1867" s="312" t="s">
        <v>1092</v>
      </c>
      <c r="E1867" s="312" t="s">
        <v>422</v>
      </c>
      <c r="F1867" s="311" t="s">
        <v>701</v>
      </c>
      <c r="G1867" s="312" t="s">
        <v>3806</v>
      </c>
      <c r="H1867" s="312" t="s">
        <v>3807</v>
      </c>
      <c r="I1867" s="313">
        <v>74050</v>
      </c>
    </row>
    <row r="1868" spans="1:9" x14ac:dyDescent="0.2">
      <c r="A1868" s="321">
        <v>1867</v>
      </c>
      <c r="B1868" s="320">
        <v>43504</v>
      </c>
      <c r="C1868" s="320">
        <v>43521</v>
      </c>
      <c r="D1868" s="312" t="s">
        <v>1092</v>
      </c>
      <c r="E1868" s="312" t="s">
        <v>422</v>
      </c>
      <c r="F1868" s="311" t="s">
        <v>71</v>
      </c>
      <c r="G1868" s="312" t="s">
        <v>3808</v>
      </c>
      <c r="H1868" s="312" t="s">
        <v>3809</v>
      </c>
      <c r="I1868" s="313">
        <v>8590.26</v>
      </c>
    </row>
    <row r="1869" spans="1:9" x14ac:dyDescent="0.2">
      <c r="A1869" s="321">
        <v>1868</v>
      </c>
      <c r="B1869" s="320">
        <v>43504</v>
      </c>
      <c r="C1869" s="320">
        <v>43523</v>
      </c>
      <c r="D1869" s="312" t="s">
        <v>1092</v>
      </c>
      <c r="E1869" s="312" t="s">
        <v>422</v>
      </c>
      <c r="F1869" s="311" t="s">
        <v>396</v>
      </c>
      <c r="G1869" s="312" t="s">
        <v>3810</v>
      </c>
      <c r="H1869" s="312" t="s">
        <v>3811</v>
      </c>
      <c r="I1869" s="313">
        <v>4356</v>
      </c>
    </row>
    <row r="1870" spans="1:9" x14ac:dyDescent="0.2">
      <c r="A1870" s="321">
        <v>1869</v>
      </c>
      <c r="B1870" s="320">
        <v>43507</v>
      </c>
      <c r="C1870" s="320">
        <v>43528</v>
      </c>
      <c r="D1870" s="312" t="s">
        <v>1092</v>
      </c>
      <c r="E1870" s="312" t="s">
        <v>422</v>
      </c>
      <c r="F1870" s="311" t="s">
        <v>701</v>
      </c>
      <c r="G1870" s="312" t="s">
        <v>3812</v>
      </c>
      <c r="H1870" s="312" t="s">
        <v>3813</v>
      </c>
      <c r="I1870" s="313">
        <v>75500</v>
      </c>
    </row>
    <row r="1871" spans="1:9" x14ac:dyDescent="0.2">
      <c r="A1871" s="321">
        <v>1870</v>
      </c>
      <c r="B1871" s="320">
        <v>43507</v>
      </c>
      <c r="C1871" s="320">
        <v>43523</v>
      </c>
      <c r="D1871" s="312" t="s">
        <v>1092</v>
      </c>
      <c r="E1871" s="312" t="s">
        <v>392</v>
      </c>
      <c r="F1871" s="311" t="s">
        <v>1272</v>
      </c>
      <c r="G1871" s="312" t="s">
        <v>3815</v>
      </c>
      <c r="H1871" s="312" t="s">
        <v>3816</v>
      </c>
      <c r="I1871" s="313">
        <v>21810</v>
      </c>
    </row>
    <row r="1872" spans="1:9" x14ac:dyDescent="0.2">
      <c r="A1872" s="321">
        <v>1871</v>
      </c>
      <c r="B1872" s="320">
        <v>43507</v>
      </c>
      <c r="C1872" s="320">
        <v>43535</v>
      </c>
      <c r="D1872" s="312" t="s">
        <v>1092</v>
      </c>
      <c r="E1872" s="312" t="s">
        <v>392</v>
      </c>
      <c r="F1872" s="311" t="s">
        <v>1272</v>
      </c>
      <c r="G1872" s="312" t="s">
        <v>3817</v>
      </c>
      <c r="H1872" s="312" t="s">
        <v>3818</v>
      </c>
      <c r="I1872" s="313">
        <v>7800</v>
      </c>
    </row>
    <row r="1873" spans="1:9" x14ac:dyDescent="0.2">
      <c r="A1873" s="321">
        <v>1872</v>
      </c>
      <c r="B1873" s="320">
        <v>43507</v>
      </c>
      <c r="C1873" s="320">
        <v>43523</v>
      </c>
      <c r="D1873" s="312" t="s">
        <v>1092</v>
      </c>
      <c r="E1873" s="312" t="s">
        <v>422</v>
      </c>
      <c r="F1873" s="311" t="s">
        <v>71</v>
      </c>
      <c r="G1873" s="312" t="s">
        <v>3819</v>
      </c>
      <c r="H1873" s="312" t="s">
        <v>3820</v>
      </c>
      <c r="I1873" s="313">
        <v>7906.89</v>
      </c>
    </row>
    <row r="1874" spans="1:9" x14ac:dyDescent="0.2">
      <c r="A1874" s="321">
        <v>1873</v>
      </c>
      <c r="B1874" s="320">
        <v>43508</v>
      </c>
      <c r="C1874" s="320">
        <v>43524</v>
      </c>
      <c r="D1874" s="312" t="s">
        <v>1092</v>
      </c>
      <c r="E1874" s="312" t="s">
        <v>392</v>
      </c>
      <c r="F1874" s="311" t="s">
        <v>2224</v>
      </c>
      <c r="G1874" s="312" t="s">
        <v>3821</v>
      </c>
      <c r="H1874" s="312" t="s">
        <v>3822</v>
      </c>
      <c r="I1874" s="313">
        <v>26883.11</v>
      </c>
    </row>
    <row r="1875" spans="1:9" x14ac:dyDescent="0.2">
      <c r="A1875" s="321">
        <v>1874</v>
      </c>
      <c r="B1875" s="320">
        <v>43508</v>
      </c>
      <c r="C1875" s="320">
        <v>43528</v>
      </c>
      <c r="D1875" s="312" t="s">
        <v>1092</v>
      </c>
      <c r="E1875" s="312" t="s">
        <v>392</v>
      </c>
      <c r="F1875" s="311" t="s">
        <v>2224</v>
      </c>
      <c r="G1875" s="312" t="s">
        <v>3823</v>
      </c>
      <c r="H1875" s="312" t="s">
        <v>3824</v>
      </c>
      <c r="I1875" s="313">
        <v>10846.74</v>
      </c>
    </row>
    <row r="1876" spans="1:9" x14ac:dyDescent="0.2">
      <c r="A1876" s="321">
        <v>1875</v>
      </c>
      <c r="B1876" s="320">
        <v>43508</v>
      </c>
      <c r="C1876" s="320">
        <v>43528</v>
      </c>
      <c r="D1876" s="312" t="s">
        <v>1092</v>
      </c>
      <c r="E1876" s="312" t="s">
        <v>422</v>
      </c>
      <c r="F1876" s="311" t="s">
        <v>701</v>
      </c>
      <c r="G1876" s="312" t="s">
        <v>3825</v>
      </c>
      <c r="H1876" s="312" t="s">
        <v>3826</v>
      </c>
      <c r="I1876" s="313">
        <v>33300</v>
      </c>
    </row>
    <row r="1877" spans="1:9" x14ac:dyDescent="0.2">
      <c r="A1877" s="321">
        <v>1876</v>
      </c>
      <c r="B1877" s="320">
        <v>43508</v>
      </c>
      <c r="C1877" s="320">
        <v>43528</v>
      </c>
      <c r="D1877" s="312" t="s">
        <v>1092</v>
      </c>
      <c r="E1877" s="312" t="s">
        <v>392</v>
      </c>
      <c r="F1877" s="311" t="s">
        <v>71</v>
      </c>
      <c r="G1877" s="312" t="s">
        <v>3827</v>
      </c>
      <c r="H1877" s="312" t="s">
        <v>3828</v>
      </c>
      <c r="I1877" s="313">
        <v>15758.59</v>
      </c>
    </row>
    <row r="1878" spans="1:9" x14ac:dyDescent="0.2">
      <c r="A1878" s="321">
        <v>1877</v>
      </c>
      <c r="B1878" s="320">
        <v>43508</v>
      </c>
      <c r="C1878" s="320">
        <v>43528</v>
      </c>
      <c r="D1878" s="312" t="s">
        <v>1092</v>
      </c>
      <c r="E1878" s="312" t="s">
        <v>392</v>
      </c>
      <c r="F1878" s="311" t="s">
        <v>1272</v>
      </c>
      <c r="G1878" s="312" t="s">
        <v>3830</v>
      </c>
      <c r="H1878" s="312" t="s">
        <v>3829</v>
      </c>
      <c r="I1878" s="313">
        <v>27050</v>
      </c>
    </row>
    <row r="1879" spans="1:9" x14ac:dyDescent="0.2">
      <c r="A1879" s="321">
        <v>1878</v>
      </c>
      <c r="B1879" s="320">
        <v>43508</v>
      </c>
      <c r="C1879" s="320">
        <v>43528</v>
      </c>
      <c r="D1879" s="312" t="s">
        <v>1092</v>
      </c>
      <c r="E1879" s="312" t="s">
        <v>422</v>
      </c>
      <c r="F1879" s="311" t="s">
        <v>396</v>
      </c>
      <c r="G1879" s="312" t="s">
        <v>3831</v>
      </c>
      <c r="H1879" s="312" t="s">
        <v>3832</v>
      </c>
      <c r="I1879" s="313">
        <v>14928</v>
      </c>
    </row>
    <row r="1880" spans="1:9" x14ac:dyDescent="0.2">
      <c r="A1880" s="321">
        <v>1879</v>
      </c>
      <c r="B1880" s="320">
        <v>43508</v>
      </c>
      <c r="C1880" s="320">
        <v>43528</v>
      </c>
      <c r="D1880" s="312" t="s">
        <v>1092</v>
      </c>
      <c r="E1880" s="312" t="s">
        <v>392</v>
      </c>
      <c r="F1880" s="311" t="s">
        <v>393</v>
      </c>
      <c r="G1880" s="324" t="s">
        <v>3833</v>
      </c>
      <c r="H1880" s="312" t="s">
        <v>3834</v>
      </c>
      <c r="I1880" s="313">
        <v>28644</v>
      </c>
    </row>
    <row r="1881" spans="1:9" x14ac:dyDescent="0.2">
      <c r="A1881" s="321">
        <v>1880</v>
      </c>
      <c r="B1881" s="320">
        <v>43508</v>
      </c>
      <c r="C1881" s="320">
        <v>43528</v>
      </c>
      <c r="D1881" s="312" t="s">
        <v>1092</v>
      </c>
      <c r="E1881" s="312" t="s">
        <v>422</v>
      </c>
      <c r="F1881" s="311" t="s">
        <v>701</v>
      </c>
      <c r="G1881" s="312" t="s">
        <v>3835</v>
      </c>
      <c r="H1881" s="312" t="s">
        <v>3836</v>
      </c>
      <c r="I1881" s="313">
        <v>14620</v>
      </c>
    </row>
    <row r="1882" spans="1:9" x14ac:dyDescent="0.2">
      <c r="A1882" s="321">
        <v>1881</v>
      </c>
      <c r="B1882" s="320">
        <v>43509</v>
      </c>
      <c r="C1882" s="320">
        <v>43528</v>
      </c>
      <c r="D1882" s="312" t="s">
        <v>1092</v>
      </c>
      <c r="E1882" s="312" t="s">
        <v>392</v>
      </c>
      <c r="F1882" s="311" t="s">
        <v>71</v>
      </c>
      <c r="G1882" s="312" t="s">
        <v>3837</v>
      </c>
      <c r="H1882" s="312" t="s">
        <v>3838</v>
      </c>
      <c r="I1882" s="313">
        <v>86934.18</v>
      </c>
    </row>
    <row r="1883" spans="1:9" x14ac:dyDescent="0.2">
      <c r="A1883" s="321">
        <v>1882</v>
      </c>
      <c r="B1883" s="320">
        <v>43509</v>
      </c>
      <c r="C1883" s="320">
        <v>43528</v>
      </c>
      <c r="D1883" s="312" t="s">
        <v>1092</v>
      </c>
      <c r="E1883" s="312" t="s">
        <v>392</v>
      </c>
      <c r="F1883" s="311" t="s">
        <v>2224</v>
      </c>
      <c r="G1883" s="312" t="s">
        <v>3839</v>
      </c>
      <c r="H1883" s="312" t="s">
        <v>3840</v>
      </c>
      <c r="I1883" s="313">
        <v>33603.89</v>
      </c>
    </row>
    <row r="1884" spans="1:9" x14ac:dyDescent="0.2">
      <c r="A1884" s="321">
        <v>1883</v>
      </c>
      <c r="B1884" s="320">
        <v>43509</v>
      </c>
      <c r="C1884" s="320">
        <v>43524</v>
      </c>
      <c r="D1884" s="312" t="s">
        <v>1092</v>
      </c>
      <c r="E1884" s="312" t="s">
        <v>422</v>
      </c>
      <c r="F1884" s="311" t="s">
        <v>701</v>
      </c>
      <c r="G1884" s="312" t="s">
        <v>3841</v>
      </c>
      <c r="H1884" s="312" t="s">
        <v>3842</v>
      </c>
      <c r="I1884" s="313">
        <v>35000</v>
      </c>
    </row>
    <row r="1885" spans="1:9" x14ac:dyDescent="0.2">
      <c r="A1885" s="321">
        <v>1884</v>
      </c>
      <c r="B1885" s="320">
        <v>43509</v>
      </c>
      <c r="C1885" s="320">
        <v>43542</v>
      </c>
      <c r="D1885" s="312" t="s">
        <v>1092</v>
      </c>
      <c r="E1885" s="312" t="s">
        <v>422</v>
      </c>
      <c r="F1885" s="311" t="s">
        <v>701</v>
      </c>
      <c r="G1885" s="312" t="s">
        <v>3843</v>
      </c>
      <c r="H1885" s="312" t="s">
        <v>3844</v>
      </c>
      <c r="I1885" s="313">
        <v>409100</v>
      </c>
    </row>
    <row r="1886" spans="1:9" x14ac:dyDescent="0.2">
      <c r="A1886" s="321">
        <v>1885</v>
      </c>
      <c r="B1886" s="320">
        <v>43509</v>
      </c>
      <c r="C1886" s="320">
        <v>43528</v>
      </c>
      <c r="D1886" s="312" t="s">
        <v>1092</v>
      </c>
      <c r="E1886" s="312" t="s">
        <v>422</v>
      </c>
      <c r="F1886" s="311" t="s">
        <v>701</v>
      </c>
      <c r="G1886" s="312" t="s">
        <v>3845</v>
      </c>
      <c r="H1886" s="312" t="s">
        <v>3846</v>
      </c>
      <c r="I1886" s="313">
        <v>113600</v>
      </c>
    </row>
    <row r="1887" spans="1:9" x14ac:dyDescent="0.2">
      <c r="A1887" s="321">
        <v>1886</v>
      </c>
      <c r="B1887" s="320">
        <v>43509</v>
      </c>
      <c r="C1887" s="320">
        <v>43528</v>
      </c>
      <c r="D1887" s="312" t="s">
        <v>1092</v>
      </c>
      <c r="E1887" s="312" t="s">
        <v>422</v>
      </c>
      <c r="F1887" s="311" t="s">
        <v>701</v>
      </c>
      <c r="G1887" s="312" t="s">
        <v>3847</v>
      </c>
      <c r="H1887" s="312" t="s">
        <v>3848</v>
      </c>
      <c r="I1887" s="313">
        <v>156000</v>
      </c>
    </row>
    <row r="1888" spans="1:9" x14ac:dyDescent="0.2">
      <c r="A1888" s="321">
        <v>1887</v>
      </c>
      <c r="B1888" s="320">
        <v>43509</v>
      </c>
      <c r="C1888" s="320">
        <v>43524</v>
      </c>
      <c r="D1888" s="312" t="s">
        <v>1092</v>
      </c>
      <c r="E1888" s="312" t="s">
        <v>392</v>
      </c>
      <c r="F1888" s="311" t="s">
        <v>1272</v>
      </c>
      <c r="G1888" s="312" t="s">
        <v>3849</v>
      </c>
      <c r="H1888" s="312" t="s">
        <v>3850</v>
      </c>
      <c r="I1888" s="313">
        <v>45400</v>
      </c>
    </row>
    <row r="1889" spans="1:10" x14ac:dyDescent="0.2">
      <c r="A1889" s="321">
        <v>1888</v>
      </c>
      <c r="B1889" s="320">
        <v>43509</v>
      </c>
      <c r="C1889" s="320">
        <v>43528</v>
      </c>
      <c r="D1889" s="312" t="s">
        <v>1092</v>
      </c>
      <c r="E1889" s="312" t="s">
        <v>392</v>
      </c>
      <c r="F1889" s="311" t="s">
        <v>2224</v>
      </c>
      <c r="G1889" s="312" t="s">
        <v>3851</v>
      </c>
      <c r="H1889" s="312" t="s">
        <v>3852</v>
      </c>
      <c r="I1889" s="313">
        <v>9151.94</v>
      </c>
    </row>
    <row r="1890" spans="1:10" x14ac:dyDescent="0.2">
      <c r="A1890" s="321">
        <v>1889</v>
      </c>
      <c r="B1890" s="320">
        <v>43509</v>
      </c>
      <c r="C1890" s="320">
        <v>43524</v>
      </c>
      <c r="D1890" s="312" t="s">
        <v>1092</v>
      </c>
      <c r="E1890" s="312" t="s">
        <v>392</v>
      </c>
      <c r="F1890" s="311" t="s">
        <v>71</v>
      </c>
      <c r="G1890" s="312" t="s">
        <v>3853</v>
      </c>
      <c r="H1890" s="312" t="s">
        <v>3854</v>
      </c>
      <c r="I1890" s="313">
        <v>23767.96</v>
      </c>
    </row>
    <row r="1891" spans="1:10" x14ac:dyDescent="0.2">
      <c r="A1891" s="321">
        <v>1890</v>
      </c>
      <c r="B1891" s="322">
        <v>43510</v>
      </c>
      <c r="C1891" s="322">
        <v>43535</v>
      </c>
      <c r="D1891" s="319" t="s">
        <v>1092</v>
      </c>
      <c r="E1891" s="319" t="s">
        <v>392</v>
      </c>
      <c r="F1891" s="317" t="s">
        <v>9</v>
      </c>
      <c r="G1891" s="319" t="s">
        <v>3855</v>
      </c>
      <c r="H1891" s="319" t="s">
        <v>3856</v>
      </c>
      <c r="I1891" s="323">
        <v>202788.09</v>
      </c>
      <c r="J1891" s="325" t="s">
        <v>4160</v>
      </c>
    </row>
    <row r="1892" spans="1:10" x14ac:dyDescent="0.2">
      <c r="A1892" s="321">
        <v>1891</v>
      </c>
      <c r="B1892" s="320">
        <v>43510</v>
      </c>
      <c r="C1892" s="320">
        <v>43528</v>
      </c>
      <c r="D1892" s="312" t="s">
        <v>1092</v>
      </c>
      <c r="E1892" s="312" t="s">
        <v>422</v>
      </c>
      <c r="F1892" s="311" t="s">
        <v>396</v>
      </c>
      <c r="G1892" s="312" t="s">
        <v>3857</v>
      </c>
      <c r="H1892" s="312" t="s">
        <v>3858</v>
      </c>
      <c r="I1892" s="313">
        <v>10896</v>
      </c>
    </row>
    <row r="1893" spans="1:10" x14ac:dyDescent="0.2">
      <c r="A1893" s="321">
        <v>1892</v>
      </c>
      <c r="B1893" s="320">
        <v>43510</v>
      </c>
      <c r="C1893" s="320">
        <v>43530</v>
      </c>
      <c r="D1893" s="312" t="s">
        <v>1092</v>
      </c>
      <c r="E1893" s="312" t="s">
        <v>422</v>
      </c>
      <c r="F1893" s="311" t="s">
        <v>701</v>
      </c>
      <c r="G1893" s="312" t="s">
        <v>3859</v>
      </c>
      <c r="H1893" s="312" t="s">
        <v>3860</v>
      </c>
      <c r="I1893" s="313">
        <v>56000</v>
      </c>
    </row>
    <row r="1894" spans="1:10" x14ac:dyDescent="0.2">
      <c r="A1894" s="321">
        <v>1893</v>
      </c>
      <c r="B1894" s="320">
        <v>43510</v>
      </c>
      <c r="C1894" s="320">
        <v>43528</v>
      </c>
      <c r="D1894" s="312" t="s">
        <v>1092</v>
      </c>
      <c r="E1894" s="312" t="s">
        <v>392</v>
      </c>
      <c r="F1894" s="311" t="s">
        <v>2224</v>
      </c>
      <c r="G1894" s="312" t="s">
        <v>3861</v>
      </c>
      <c r="H1894" s="312" t="s">
        <v>3862</v>
      </c>
      <c r="I1894" s="313">
        <v>32142.86</v>
      </c>
    </row>
    <row r="1895" spans="1:10" x14ac:dyDescent="0.2">
      <c r="A1895" s="321">
        <v>1894</v>
      </c>
      <c r="B1895" s="320">
        <v>43510</v>
      </c>
      <c r="C1895" s="320">
        <v>43528</v>
      </c>
      <c r="D1895" s="312" t="s">
        <v>1092</v>
      </c>
      <c r="E1895" s="312" t="s">
        <v>422</v>
      </c>
      <c r="F1895" s="311" t="s">
        <v>701</v>
      </c>
      <c r="G1895" s="312" t="s">
        <v>3863</v>
      </c>
      <c r="H1895" s="312" t="s">
        <v>3864</v>
      </c>
      <c r="I1895" s="313">
        <v>61900</v>
      </c>
    </row>
    <row r="1896" spans="1:10" x14ac:dyDescent="0.2">
      <c r="A1896" s="321">
        <v>1895</v>
      </c>
      <c r="B1896" s="320">
        <v>43510</v>
      </c>
      <c r="C1896" s="320">
        <v>43528</v>
      </c>
      <c r="D1896" s="312" t="s">
        <v>1092</v>
      </c>
      <c r="E1896" s="312" t="s">
        <v>422</v>
      </c>
      <c r="F1896" s="311" t="s">
        <v>701</v>
      </c>
      <c r="G1896" s="312" t="s">
        <v>3865</v>
      </c>
      <c r="H1896" s="312" t="s">
        <v>3866</v>
      </c>
      <c r="I1896" s="313">
        <v>156300</v>
      </c>
    </row>
    <row r="1897" spans="1:10" x14ac:dyDescent="0.2">
      <c r="A1897" s="321">
        <v>1896</v>
      </c>
      <c r="B1897" s="320">
        <v>43510</v>
      </c>
      <c r="C1897" s="320">
        <v>43530</v>
      </c>
      <c r="D1897" s="312" t="s">
        <v>1092</v>
      </c>
      <c r="E1897" s="312" t="s">
        <v>422</v>
      </c>
      <c r="F1897" s="311" t="s">
        <v>701</v>
      </c>
      <c r="G1897" s="312" t="s">
        <v>3867</v>
      </c>
      <c r="H1897" s="312" t="s">
        <v>3868</v>
      </c>
      <c r="I1897" s="313">
        <v>25500</v>
      </c>
    </row>
    <row r="1898" spans="1:10" x14ac:dyDescent="0.2">
      <c r="A1898" s="321">
        <v>1897</v>
      </c>
      <c r="B1898" s="320">
        <v>43510</v>
      </c>
      <c r="C1898" s="320">
        <v>43528</v>
      </c>
      <c r="D1898" s="312" t="s">
        <v>1092</v>
      </c>
      <c r="E1898" s="312" t="s">
        <v>392</v>
      </c>
      <c r="F1898" s="311" t="s">
        <v>2224</v>
      </c>
      <c r="G1898" s="312" t="s">
        <v>3869</v>
      </c>
      <c r="H1898" s="312" t="s">
        <v>3870</v>
      </c>
      <c r="I1898" s="313">
        <v>18597.05</v>
      </c>
    </row>
    <row r="1899" spans="1:10" x14ac:dyDescent="0.2">
      <c r="A1899" s="321">
        <v>1898</v>
      </c>
      <c r="B1899" s="320">
        <v>43510</v>
      </c>
      <c r="C1899" s="320">
        <v>43528</v>
      </c>
      <c r="D1899" s="312" t="s">
        <v>1092</v>
      </c>
      <c r="E1899" s="312" t="s">
        <v>392</v>
      </c>
      <c r="F1899" s="311" t="s">
        <v>2224</v>
      </c>
      <c r="G1899" s="312" t="s">
        <v>3871</v>
      </c>
      <c r="H1899" s="312" t="s">
        <v>3872</v>
      </c>
      <c r="I1899" s="313">
        <v>29958.68</v>
      </c>
    </row>
    <row r="1900" spans="1:10" x14ac:dyDescent="0.2">
      <c r="A1900" s="321">
        <v>1899</v>
      </c>
      <c r="B1900" s="320">
        <v>43510</v>
      </c>
      <c r="C1900" s="320">
        <v>43528</v>
      </c>
      <c r="D1900" s="312" t="s">
        <v>1092</v>
      </c>
      <c r="E1900" s="312" t="s">
        <v>392</v>
      </c>
      <c r="F1900" s="311" t="s">
        <v>1257</v>
      </c>
      <c r="G1900" s="312" t="s">
        <v>3873</v>
      </c>
      <c r="H1900" s="312" t="s">
        <v>3874</v>
      </c>
      <c r="I1900" s="313">
        <v>23030</v>
      </c>
    </row>
    <row r="1901" spans="1:10" x14ac:dyDescent="0.2">
      <c r="A1901" s="321">
        <v>1900</v>
      </c>
      <c r="B1901" s="320">
        <v>43510</v>
      </c>
      <c r="C1901" s="320">
        <v>43528</v>
      </c>
      <c r="D1901" s="312" t="s">
        <v>1092</v>
      </c>
      <c r="E1901" s="312" t="s">
        <v>392</v>
      </c>
      <c r="F1901" s="311" t="s">
        <v>71</v>
      </c>
      <c r="G1901" s="312" t="s">
        <v>3875</v>
      </c>
      <c r="H1901" s="312" t="s">
        <v>3876</v>
      </c>
      <c r="I1901" s="313">
        <v>11519.76</v>
      </c>
    </row>
    <row r="1902" spans="1:10" x14ac:dyDescent="0.2">
      <c r="A1902" s="321">
        <v>1901</v>
      </c>
      <c r="B1902" s="320">
        <v>43510</v>
      </c>
      <c r="C1902" s="320">
        <v>43528</v>
      </c>
      <c r="D1902" s="312" t="s">
        <v>1092</v>
      </c>
      <c r="E1902" s="312" t="s">
        <v>392</v>
      </c>
      <c r="F1902" s="311" t="s">
        <v>2224</v>
      </c>
      <c r="G1902" s="312" t="s">
        <v>3877</v>
      </c>
      <c r="H1902" s="312" t="s">
        <v>3878</v>
      </c>
      <c r="I1902" s="313">
        <v>16031.95</v>
      </c>
    </row>
    <row r="1903" spans="1:10" x14ac:dyDescent="0.2">
      <c r="A1903" s="321">
        <v>1902</v>
      </c>
      <c r="B1903" s="320">
        <v>43511</v>
      </c>
      <c r="C1903" s="320">
        <v>43528</v>
      </c>
      <c r="D1903" s="312" t="s">
        <v>1092</v>
      </c>
      <c r="E1903" s="312" t="s">
        <v>392</v>
      </c>
      <c r="F1903" s="311" t="s">
        <v>1257</v>
      </c>
      <c r="G1903" s="312" t="s">
        <v>3880</v>
      </c>
      <c r="H1903" s="312" t="s">
        <v>3881</v>
      </c>
      <c r="I1903" s="313">
        <v>8000</v>
      </c>
    </row>
    <row r="1904" spans="1:10" x14ac:dyDescent="0.2">
      <c r="A1904" s="321">
        <v>1903</v>
      </c>
      <c r="B1904" s="320">
        <v>43511</v>
      </c>
      <c r="C1904" s="320">
        <v>43530</v>
      </c>
      <c r="D1904" s="312" t="s">
        <v>1092</v>
      </c>
      <c r="E1904" s="312" t="s">
        <v>392</v>
      </c>
      <c r="F1904" s="311" t="s">
        <v>2224</v>
      </c>
      <c r="G1904" s="312" t="s">
        <v>3882</v>
      </c>
      <c r="H1904" s="312" t="s">
        <v>3883</v>
      </c>
      <c r="I1904" s="313">
        <v>6779.23</v>
      </c>
    </row>
    <row r="1905" spans="1:10" x14ac:dyDescent="0.2">
      <c r="A1905" s="321">
        <v>1904</v>
      </c>
      <c r="B1905" s="320">
        <v>43511</v>
      </c>
      <c r="C1905" s="320">
        <v>43528</v>
      </c>
      <c r="D1905" s="312" t="s">
        <v>1092</v>
      </c>
      <c r="E1905" s="312" t="s">
        <v>422</v>
      </c>
      <c r="F1905" s="311" t="s">
        <v>701</v>
      </c>
      <c r="G1905" s="312" t="s">
        <v>3884</v>
      </c>
      <c r="H1905" s="312" t="s">
        <v>3885</v>
      </c>
      <c r="I1905" s="313">
        <v>33780</v>
      </c>
    </row>
    <row r="1906" spans="1:10" x14ac:dyDescent="0.2">
      <c r="A1906" s="321">
        <v>1905</v>
      </c>
      <c r="B1906" s="320">
        <v>43511</v>
      </c>
      <c r="C1906" s="320">
        <v>43528</v>
      </c>
      <c r="D1906" s="312" t="s">
        <v>1092</v>
      </c>
      <c r="E1906" s="312" t="s">
        <v>422</v>
      </c>
      <c r="F1906" s="311" t="s">
        <v>701</v>
      </c>
      <c r="G1906" s="312" t="s">
        <v>3887</v>
      </c>
      <c r="H1906" s="312" t="s">
        <v>3886</v>
      </c>
      <c r="I1906" s="313">
        <v>33000</v>
      </c>
    </row>
    <row r="1907" spans="1:10" x14ac:dyDescent="0.2">
      <c r="A1907" s="321">
        <v>1906</v>
      </c>
      <c r="B1907" s="320">
        <v>43514</v>
      </c>
      <c r="C1907" s="320">
        <v>43542</v>
      </c>
      <c r="D1907" s="312" t="s">
        <v>1092</v>
      </c>
      <c r="E1907" s="312" t="s">
        <v>422</v>
      </c>
      <c r="F1907" s="311" t="s">
        <v>701</v>
      </c>
      <c r="G1907" s="312" t="s">
        <v>3888</v>
      </c>
      <c r="H1907" s="312" t="s">
        <v>3889</v>
      </c>
      <c r="I1907" s="313">
        <v>644780</v>
      </c>
    </row>
    <row r="1908" spans="1:10" x14ac:dyDescent="0.2">
      <c r="A1908" s="321">
        <v>1907</v>
      </c>
      <c r="B1908" s="320">
        <v>43521</v>
      </c>
      <c r="C1908" s="320">
        <v>43537</v>
      </c>
      <c r="D1908" s="312" t="s">
        <v>1092</v>
      </c>
      <c r="E1908" s="312" t="s">
        <v>422</v>
      </c>
      <c r="F1908" s="311" t="s">
        <v>396</v>
      </c>
      <c r="G1908" s="312" t="s">
        <v>3890</v>
      </c>
      <c r="H1908" s="312" t="s">
        <v>3891</v>
      </c>
      <c r="I1908" s="313">
        <v>36320</v>
      </c>
    </row>
    <row r="1909" spans="1:10" x14ac:dyDescent="0.2">
      <c r="A1909" s="321">
        <v>1908</v>
      </c>
      <c r="B1909" s="320">
        <v>43521</v>
      </c>
      <c r="C1909" s="320">
        <v>43537</v>
      </c>
      <c r="D1909" s="312" t="s">
        <v>1092</v>
      </c>
      <c r="E1909" s="312" t="s">
        <v>422</v>
      </c>
      <c r="F1909" s="311" t="s">
        <v>1285</v>
      </c>
      <c r="G1909" s="312" t="s">
        <v>3892</v>
      </c>
      <c r="H1909" s="312" t="s">
        <v>3893</v>
      </c>
      <c r="I1909" s="313">
        <v>106400</v>
      </c>
    </row>
    <row r="1910" spans="1:10" x14ac:dyDescent="0.2">
      <c r="A1910" s="321">
        <v>1909</v>
      </c>
      <c r="B1910" s="320">
        <v>43523</v>
      </c>
      <c r="C1910" s="320">
        <v>43542</v>
      </c>
      <c r="D1910" s="312" t="s">
        <v>1092</v>
      </c>
      <c r="E1910" s="312" t="s">
        <v>392</v>
      </c>
      <c r="F1910" s="311" t="s">
        <v>2224</v>
      </c>
      <c r="G1910" s="312" t="s">
        <v>3894</v>
      </c>
      <c r="H1910" s="312" t="s">
        <v>3895</v>
      </c>
      <c r="I1910" s="313">
        <v>14380.17</v>
      </c>
    </row>
    <row r="1911" spans="1:10" x14ac:dyDescent="0.2">
      <c r="A1911" s="321">
        <v>1910</v>
      </c>
      <c r="B1911" s="320">
        <v>43530</v>
      </c>
      <c r="C1911" s="320">
        <v>43549</v>
      </c>
      <c r="D1911" s="312" t="s">
        <v>1092</v>
      </c>
      <c r="E1911" s="312" t="s">
        <v>392</v>
      </c>
      <c r="F1911" s="311" t="s">
        <v>1272</v>
      </c>
      <c r="G1911" s="312" t="s">
        <v>3896</v>
      </c>
      <c r="H1911" s="312" t="s">
        <v>3897</v>
      </c>
      <c r="I1911" s="313">
        <v>141700</v>
      </c>
    </row>
    <row r="1912" spans="1:10" x14ac:dyDescent="0.2">
      <c r="A1912" s="321">
        <v>1911</v>
      </c>
      <c r="B1912" s="320">
        <v>43530</v>
      </c>
      <c r="C1912" s="320">
        <v>43549</v>
      </c>
      <c r="D1912" s="312" t="s">
        <v>1092</v>
      </c>
      <c r="E1912" s="312" t="s">
        <v>392</v>
      </c>
      <c r="F1912" s="311" t="s">
        <v>1272</v>
      </c>
      <c r="G1912" s="312" t="s">
        <v>3898</v>
      </c>
      <c r="H1912" s="312" t="s">
        <v>3899</v>
      </c>
      <c r="I1912" s="313">
        <v>42504</v>
      </c>
    </row>
    <row r="1913" spans="1:10" x14ac:dyDescent="0.2">
      <c r="A1913" s="321">
        <v>1912</v>
      </c>
      <c r="B1913" s="320">
        <v>43530</v>
      </c>
      <c r="C1913" s="320">
        <v>43556</v>
      </c>
      <c r="D1913" s="312" t="s">
        <v>1092</v>
      </c>
      <c r="E1913" s="312" t="s">
        <v>392</v>
      </c>
      <c r="F1913" s="311" t="s">
        <v>71</v>
      </c>
      <c r="G1913" s="312" t="s">
        <v>3900</v>
      </c>
      <c r="H1913" s="312" t="s">
        <v>3901</v>
      </c>
      <c r="I1913" s="313">
        <v>65011.16</v>
      </c>
      <c r="J1913" s="326" t="s">
        <v>3928</v>
      </c>
    </row>
    <row r="1914" spans="1:10" x14ac:dyDescent="0.2">
      <c r="A1914" s="321">
        <v>1913</v>
      </c>
      <c r="B1914" s="320">
        <v>43531</v>
      </c>
      <c r="C1914" s="320">
        <v>43563</v>
      </c>
      <c r="D1914" s="312" t="s">
        <v>1092</v>
      </c>
      <c r="E1914" s="312" t="s">
        <v>422</v>
      </c>
      <c r="F1914" s="311" t="s">
        <v>1640</v>
      </c>
      <c r="G1914" s="312" t="s">
        <v>3902</v>
      </c>
      <c r="H1914" s="312" t="s">
        <v>3903</v>
      </c>
      <c r="I1914" s="313">
        <v>266040</v>
      </c>
    </row>
    <row r="1915" spans="1:10" x14ac:dyDescent="0.2">
      <c r="A1915" s="321">
        <v>1914</v>
      </c>
      <c r="B1915" s="320">
        <v>43531</v>
      </c>
      <c r="C1915" s="320">
        <v>43549</v>
      </c>
      <c r="D1915" s="312" t="s">
        <v>1092</v>
      </c>
      <c r="E1915" s="312" t="s">
        <v>422</v>
      </c>
      <c r="F1915" s="311" t="s">
        <v>71</v>
      </c>
      <c r="G1915" s="312" t="s">
        <v>3904</v>
      </c>
      <c r="H1915" s="312" t="s">
        <v>3905</v>
      </c>
      <c r="I1915" s="313">
        <v>66786.61</v>
      </c>
    </row>
    <row r="1916" spans="1:10" x14ac:dyDescent="0.2">
      <c r="A1916" s="321">
        <v>1915</v>
      </c>
      <c r="B1916" s="320">
        <v>43531</v>
      </c>
      <c r="C1916" s="320">
        <v>43549</v>
      </c>
      <c r="D1916" s="312" t="s">
        <v>1092</v>
      </c>
      <c r="E1916" s="312" t="s">
        <v>422</v>
      </c>
      <c r="F1916" s="311" t="s">
        <v>396</v>
      </c>
      <c r="G1916" s="312" t="s">
        <v>3906</v>
      </c>
      <c r="H1916" s="312" t="s">
        <v>3907</v>
      </c>
      <c r="I1916" s="313">
        <v>48858</v>
      </c>
    </row>
    <row r="1917" spans="1:10" x14ac:dyDescent="0.2">
      <c r="A1917" s="321">
        <v>1916</v>
      </c>
      <c r="B1917" s="320">
        <v>43532</v>
      </c>
      <c r="C1917" s="320">
        <v>43549</v>
      </c>
      <c r="D1917" s="312" t="s">
        <v>1092</v>
      </c>
      <c r="E1917" s="312" t="s">
        <v>422</v>
      </c>
      <c r="F1917" s="311" t="s">
        <v>701</v>
      </c>
      <c r="G1917" s="312" t="s">
        <v>3908</v>
      </c>
      <c r="H1917" s="312" t="s">
        <v>3909</v>
      </c>
      <c r="I1917" s="313">
        <v>14390</v>
      </c>
    </row>
    <row r="1918" spans="1:10" x14ac:dyDescent="0.2">
      <c r="A1918" s="321">
        <v>1917</v>
      </c>
      <c r="B1918" s="320">
        <v>43536</v>
      </c>
      <c r="C1918" s="320">
        <v>43556</v>
      </c>
      <c r="D1918" s="312" t="s">
        <v>1092</v>
      </c>
      <c r="E1918" s="312" t="s">
        <v>392</v>
      </c>
      <c r="F1918" s="311" t="s">
        <v>71</v>
      </c>
      <c r="G1918" s="312" t="s">
        <v>3910</v>
      </c>
      <c r="H1918" s="312" t="s">
        <v>3911</v>
      </c>
      <c r="I1918" s="313">
        <v>1548.52</v>
      </c>
    </row>
    <row r="1919" spans="1:10" x14ac:dyDescent="0.2">
      <c r="A1919" s="321">
        <v>1918</v>
      </c>
      <c r="B1919" s="320">
        <v>43536</v>
      </c>
      <c r="C1919" s="320">
        <v>43556</v>
      </c>
      <c r="D1919" s="312" t="s">
        <v>1092</v>
      </c>
      <c r="E1919" s="312" t="s">
        <v>422</v>
      </c>
      <c r="F1919" s="311" t="s">
        <v>396</v>
      </c>
      <c r="G1919" s="312" t="s">
        <v>3912</v>
      </c>
      <c r="H1919" s="312" t="s">
        <v>3913</v>
      </c>
      <c r="I1919" s="313">
        <v>46933.33</v>
      </c>
    </row>
    <row r="1920" spans="1:10" x14ac:dyDescent="0.2">
      <c r="A1920" s="321">
        <v>1919</v>
      </c>
      <c r="B1920" s="320">
        <v>43536</v>
      </c>
      <c r="C1920" s="320">
        <v>43556</v>
      </c>
      <c r="D1920" s="312" t="s">
        <v>1092</v>
      </c>
      <c r="E1920" s="312" t="s">
        <v>392</v>
      </c>
      <c r="F1920" s="311" t="s">
        <v>2224</v>
      </c>
      <c r="G1920" s="312" t="s">
        <v>3914</v>
      </c>
      <c r="H1920" s="312" t="s">
        <v>3915</v>
      </c>
      <c r="I1920" s="313">
        <v>22894.04</v>
      </c>
    </row>
    <row r="1921" spans="1:9" x14ac:dyDescent="0.2">
      <c r="A1921" s="321">
        <v>1920</v>
      </c>
      <c r="B1921" s="320">
        <v>43536</v>
      </c>
      <c r="C1921" s="320">
        <v>43556</v>
      </c>
      <c r="D1921" s="312" t="s">
        <v>1092</v>
      </c>
      <c r="E1921" s="312" t="s">
        <v>422</v>
      </c>
      <c r="F1921" s="311" t="s">
        <v>701</v>
      </c>
      <c r="G1921" s="312" t="s">
        <v>3916</v>
      </c>
      <c r="H1921" s="312" t="s">
        <v>3917</v>
      </c>
      <c r="I1921" s="313">
        <v>39700</v>
      </c>
    </row>
    <row r="1922" spans="1:9" x14ac:dyDescent="0.2">
      <c r="A1922" s="321">
        <v>1921</v>
      </c>
      <c r="B1922" s="320">
        <v>43536</v>
      </c>
      <c r="C1922" s="320">
        <v>43556</v>
      </c>
      <c r="D1922" s="312" t="s">
        <v>1092</v>
      </c>
      <c r="E1922" s="312" t="s">
        <v>422</v>
      </c>
      <c r="F1922" s="311" t="s">
        <v>71</v>
      </c>
      <c r="G1922" s="312" t="s">
        <v>3918</v>
      </c>
      <c r="H1922" s="312" t="s">
        <v>3919</v>
      </c>
      <c r="I1922" s="313">
        <v>18527.95</v>
      </c>
    </row>
    <row r="1923" spans="1:9" x14ac:dyDescent="0.2">
      <c r="A1923" s="321">
        <v>1922</v>
      </c>
      <c r="B1923" s="320">
        <v>43536</v>
      </c>
      <c r="C1923" s="320">
        <v>43556</v>
      </c>
      <c r="D1923" s="312" t="s">
        <v>1092</v>
      </c>
      <c r="E1923" s="312" t="s">
        <v>392</v>
      </c>
      <c r="F1923" s="311" t="s">
        <v>71</v>
      </c>
      <c r="G1923" s="312" t="s">
        <v>3920</v>
      </c>
      <c r="H1923" s="312" t="s">
        <v>3921</v>
      </c>
      <c r="I1923" s="313">
        <v>1874.12</v>
      </c>
    </row>
    <row r="1924" spans="1:9" x14ac:dyDescent="0.2">
      <c r="A1924" s="321">
        <v>1923</v>
      </c>
      <c r="B1924" s="320">
        <v>43536</v>
      </c>
      <c r="C1924" s="320">
        <v>43556</v>
      </c>
      <c r="D1924" s="312" t="s">
        <v>1092</v>
      </c>
      <c r="E1924" s="312" t="s">
        <v>422</v>
      </c>
      <c r="F1924" s="311" t="s">
        <v>396</v>
      </c>
      <c r="G1924" s="312" t="s">
        <v>3922</v>
      </c>
      <c r="H1924" s="312" t="s">
        <v>3923</v>
      </c>
      <c r="I1924" s="313">
        <v>8635</v>
      </c>
    </row>
    <row r="1925" spans="1:9" x14ac:dyDescent="0.2">
      <c r="A1925" s="321">
        <v>1924</v>
      </c>
      <c r="B1925" s="320">
        <v>43536</v>
      </c>
      <c r="C1925" s="320">
        <v>43556</v>
      </c>
      <c r="D1925" s="312" t="s">
        <v>1092</v>
      </c>
      <c r="E1925" s="312" t="s">
        <v>422</v>
      </c>
      <c r="F1925" s="311" t="s">
        <v>396</v>
      </c>
      <c r="G1925" s="312" t="s">
        <v>3924</v>
      </c>
      <c r="H1925" s="312" t="s">
        <v>3925</v>
      </c>
      <c r="I1925" s="313">
        <v>12600</v>
      </c>
    </row>
    <row r="1926" spans="1:9" x14ac:dyDescent="0.2">
      <c r="A1926" s="321">
        <v>1925</v>
      </c>
      <c r="B1926" s="320">
        <v>43537</v>
      </c>
      <c r="C1926" s="320">
        <v>43556</v>
      </c>
      <c r="D1926" s="312" t="s">
        <v>1092</v>
      </c>
      <c r="E1926" s="312" t="s">
        <v>422</v>
      </c>
      <c r="F1926" s="311" t="s">
        <v>701</v>
      </c>
      <c r="G1926" s="312" t="s">
        <v>3926</v>
      </c>
      <c r="H1926" s="312" t="s">
        <v>3927</v>
      </c>
      <c r="I1926" s="313">
        <v>58500</v>
      </c>
    </row>
    <row r="1927" spans="1:9" x14ac:dyDescent="0.2">
      <c r="A1927" s="321">
        <v>1926</v>
      </c>
      <c r="B1927" s="320">
        <v>43539</v>
      </c>
      <c r="C1927" s="320">
        <v>43556</v>
      </c>
      <c r="D1927" s="312" t="s">
        <v>1092</v>
      </c>
      <c r="E1927" s="312" t="s">
        <v>422</v>
      </c>
      <c r="F1927" s="311" t="s">
        <v>701</v>
      </c>
      <c r="G1927" s="312" t="s">
        <v>3929</v>
      </c>
      <c r="H1927" s="312" t="s">
        <v>3930</v>
      </c>
      <c r="I1927" s="313">
        <v>115200</v>
      </c>
    </row>
    <row r="1928" spans="1:9" x14ac:dyDescent="0.2">
      <c r="A1928" s="321">
        <v>1927</v>
      </c>
      <c r="B1928" s="320">
        <v>43539</v>
      </c>
      <c r="C1928" s="320">
        <v>43558</v>
      </c>
      <c r="D1928" s="312" t="s">
        <v>1092</v>
      </c>
      <c r="E1928" s="312" t="s">
        <v>422</v>
      </c>
      <c r="F1928" s="311" t="s">
        <v>701</v>
      </c>
      <c r="G1928" s="312" t="s">
        <v>3931</v>
      </c>
      <c r="H1928" s="312" t="s">
        <v>3932</v>
      </c>
      <c r="I1928" s="313">
        <v>34000</v>
      </c>
    </row>
    <row r="1929" spans="1:9" x14ac:dyDescent="0.2">
      <c r="A1929" s="321">
        <v>1928</v>
      </c>
      <c r="B1929" s="320">
        <v>43546</v>
      </c>
      <c r="C1929" s="320">
        <v>43563</v>
      </c>
      <c r="D1929" s="312" t="s">
        <v>1092</v>
      </c>
      <c r="E1929" s="312" t="s">
        <v>392</v>
      </c>
      <c r="F1929" s="311" t="s">
        <v>1272</v>
      </c>
      <c r="G1929" s="312" t="s">
        <v>3933</v>
      </c>
      <c r="H1929" s="312" t="s">
        <v>3934</v>
      </c>
      <c r="I1929" s="313">
        <v>11490</v>
      </c>
    </row>
    <row r="1930" spans="1:9" x14ac:dyDescent="0.2">
      <c r="A1930" s="321">
        <v>1929</v>
      </c>
      <c r="B1930" s="320">
        <v>43546</v>
      </c>
      <c r="C1930" s="320">
        <v>43563</v>
      </c>
      <c r="D1930" s="312" t="s">
        <v>1092</v>
      </c>
      <c r="E1930" s="312" t="s">
        <v>392</v>
      </c>
      <c r="F1930" s="311" t="s">
        <v>1272</v>
      </c>
      <c r="G1930" s="312" t="s">
        <v>3935</v>
      </c>
      <c r="H1930" s="312" t="s">
        <v>3936</v>
      </c>
      <c r="I1930" s="313">
        <v>38300</v>
      </c>
    </row>
    <row r="1931" spans="1:9" x14ac:dyDescent="0.2">
      <c r="A1931" s="321">
        <v>1930</v>
      </c>
      <c r="B1931" s="320">
        <v>43546</v>
      </c>
      <c r="C1931" s="320">
        <v>43565</v>
      </c>
      <c r="D1931" s="312" t="s">
        <v>1092</v>
      </c>
      <c r="E1931" s="312" t="s">
        <v>392</v>
      </c>
      <c r="F1931" s="311" t="s">
        <v>71</v>
      </c>
      <c r="G1931" s="312" t="s">
        <v>3937</v>
      </c>
      <c r="H1931" s="312" t="s">
        <v>3938</v>
      </c>
      <c r="I1931" s="313">
        <v>19769.060000000001</v>
      </c>
    </row>
    <row r="1932" spans="1:9" x14ac:dyDescent="0.2">
      <c r="A1932" s="321">
        <v>1931</v>
      </c>
      <c r="B1932" s="320">
        <v>43551</v>
      </c>
      <c r="C1932" s="320">
        <v>43570</v>
      </c>
      <c r="D1932" s="312" t="s">
        <v>1092</v>
      </c>
      <c r="E1932" s="312" t="s">
        <v>422</v>
      </c>
      <c r="F1932" s="311" t="s">
        <v>1285</v>
      </c>
      <c r="G1932" s="312" t="s">
        <v>3939</v>
      </c>
      <c r="H1932" s="312" t="s">
        <v>3940</v>
      </c>
      <c r="I1932" s="313">
        <v>48000</v>
      </c>
    </row>
    <row r="1933" spans="1:9" x14ac:dyDescent="0.2">
      <c r="A1933" s="321">
        <v>1932</v>
      </c>
      <c r="B1933" s="320">
        <v>43551</v>
      </c>
      <c r="C1933" s="320">
        <v>43570</v>
      </c>
      <c r="D1933" s="312" t="s">
        <v>1092</v>
      </c>
      <c r="E1933" s="312" t="s">
        <v>392</v>
      </c>
      <c r="F1933" s="311" t="s">
        <v>393</v>
      </c>
      <c r="G1933" s="312" t="s">
        <v>3941</v>
      </c>
      <c r="H1933" s="312" t="s">
        <v>3942</v>
      </c>
      <c r="I1933" s="313">
        <v>37400</v>
      </c>
    </row>
    <row r="1934" spans="1:9" x14ac:dyDescent="0.2">
      <c r="A1934" s="321">
        <v>1933</v>
      </c>
      <c r="B1934" s="320">
        <v>43551</v>
      </c>
      <c r="C1934" s="320">
        <v>43570</v>
      </c>
      <c r="D1934" s="312" t="s">
        <v>1092</v>
      </c>
      <c r="E1934" s="312" t="s">
        <v>392</v>
      </c>
      <c r="F1934" s="311" t="s">
        <v>71</v>
      </c>
      <c r="G1934" s="312" t="s">
        <v>3943</v>
      </c>
      <c r="H1934" s="312" t="s">
        <v>3944</v>
      </c>
      <c r="I1934" s="313">
        <v>20564.990000000002</v>
      </c>
    </row>
    <row r="1935" spans="1:9" x14ac:dyDescent="0.2">
      <c r="A1935" s="321">
        <v>1934</v>
      </c>
      <c r="B1935" s="320">
        <v>43551</v>
      </c>
      <c r="C1935" s="320">
        <v>43572</v>
      </c>
      <c r="D1935" s="312" t="s">
        <v>1092</v>
      </c>
      <c r="E1935" s="312" t="s">
        <v>422</v>
      </c>
      <c r="F1935" s="311" t="s">
        <v>701</v>
      </c>
      <c r="G1935" s="312" t="s">
        <v>3945</v>
      </c>
      <c r="H1935" s="312" t="s">
        <v>3946</v>
      </c>
      <c r="I1935" s="313">
        <v>140720</v>
      </c>
    </row>
    <row r="1936" spans="1:9" x14ac:dyDescent="0.2">
      <c r="A1936" s="321">
        <v>1935</v>
      </c>
      <c r="B1936" s="320">
        <v>43551</v>
      </c>
      <c r="C1936" s="320">
        <v>43570</v>
      </c>
      <c r="D1936" s="312" t="s">
        <v>1092</v>
      </c>
      <c r="E1936" s="312" t="s">
        <v>392</v>
      </c>
      <c r="F1936" s="311" t="s">
        <v>393</v>
      </c>
      <c r="G1936" s="312" t="s">
        <v>3947</v>
      </c>
      <c r="H1936" s="312" t="s">
        <v>3948</v>
      </c>
      <c r="I1936" s="313">
        <v>31050</v>
      </c>
    </row>
    <row r="1937" spans="1:9" x14ac:dyDescent="0.2">
      <c r="A1937" s="321">
        <v>1936</v>
      </c>
      <c r="B1937" s="320">
        <v>43551</v>
      </c>
      <c r="C1937" s="320">
        <v>43572</v>
      </c>
      <c r="D1937" s="312" t="s">
        <v>1092</v>
      </c>
      <c r="E1937" s="312" t="s">
        <v>422</v>
      </c>
      <c r="F1937" s="311" t="s">
        <v>701</v>
      </c>
      <c r="G1937" s="312" t="s">
        <v>3949</v>
      </c>
      <c r="H1937" s="312" t="s">
        <v>3950</v>
      </c>
      <c r="I1937" s="313">
        <v>160000</v>
      </c>
    </row>
    <row r="1938" spans="1:9" x14ac:dyDescent="0.2">
      <c r="A1938" s="321">
        <v>1937</v>
      </c>
      <c r="B1938" s="320">
        <v>43551</v>
      </c>
      <c r="C1938" s="320">
        <v>43570</v>
      </c>
      <c r="D1938" s="312" t="s">
        <v>1092</v>
      </c>
      <c r="E1938" s="312" t="s">
        <v>392</v>
      </c>
      <c r="F1938" s="311" t="s">
        <v>701</v>
      </c>
      <c r="G1938" s="312" t="s">
        <v>3951</v>
      </c>
      <c r="H1938" s="312" t="s">
        <v>3952</v>
      </c>
      <c r="I1938" s="313">
        <v>99937.52</v>
      </c>
    </row>
    <row r="1939" spans="1:9" x14ac:dyDescent="0.2">
      <c r="A1939" s="321">
        <v>1938</v>
      </c>
      <c r="B1939" s="320">
        <v>43551</v>
      </c>
      <c r="C1939" s="320">
        <v>43570</v>
      </c>
      <c r="D1939" s="312" t="s">
        <v>1092</v>
      </c>
      <c r="E1939" s="312" t="s">
        <v>392</v>
      </c>
      <c r="F1939" s="311" t="s">
        <v>71</v>
      </c>
      <c r="G1939" s="312" t="s">
        <v>3953</v>
      </c>
      <c r="H1939" s="312" t="s">
        <v>3954</v>
      </c>
      <c r="I1939" s="313">
        <v>13815.4</v>
      </c>
    </row>
    <row r="1940" spans="1:9" x14ac:dyDescent="0.2">
      <c r="A1940" s="321">
        <v>1939</v>
      </c>
      <c r="B1940" s="320">
        <v>43551</v>
      </c>
      <c r="C1940" s="320">
        <v>43570</v>
      </c>
      <c r="D1940" s="312" t="s">
        <v>1092</v>
      </c>
      <c r="E1940" s="312" t="s">
        <v>392</v>
      </c>
      <c r="F1940" s="311" t="s">
        <v>393</v>
      </c>
      <c r="G1940" s="312" t="s">
        <v>3955</v>
      </c>
      <c r="H1940" s="312" t="s">
        <v>3956</v>
      </c>
      <c r="I1940" s="313">
        <v>20535</v>
      </c>
    </row>
    <row r="1941" spans="1:9" x14ac:dyDescent="0.2">
      <c r="A1941" s="321">
        <v>1940</v>
      </c>
      <c r="B1941" s="320">
        <v>43556</v>
      </c>
      <c r="C1941" s="320">
        <v>43584</v>
      </c>
      <c r="D1941" s="312" t="s">
        <v>1092</v>
      </c>
      <c r="E1941" s="312" t="s">
        <v>392</v>
      </c>
      <c r="F1941" s="311" t="s">
        <v>393</v>
      </c>
      <c r="G1941" s="312" t="s">
        <v>3957</v>
      </c>
      <c r="H1941" s="312" t="s">
        <v>3958</v>
      </c>
      <c r="I1941" s="313">
        <v>21660</v>
      </c>
    </row>
    <row r="1942" spans="1:9" x14ac:dyDescent="0.2">
      <c r="A1942" s="321">
        <v>1941</v>
      </c>
      <c r="B1942" s="320">
        <v>43556</v>
      </c>
      <c r="C1942" s="320">
        <v>43584</v>
      </c>
      <c r="D1942" s="312" t="s">
        <v>1092</v>
      </c>
      <c r="E1942" s="312" t="s">
        <v>392</v>
      </c>
      <c r="F1942" s="311" t="s">
        <v>71</v>
      </c>
      <c r="G1942" s="312" t="s">
        <v>3959</v>
      </c>
      <c r="H1942" s="312" t="s">
        <v>3960</v>
      </c>
      <c r="I1942" s="313">
        <v>33698.1</v>
      </c>
    </row>
    <row r="1943" spans="1:9" x14ac:dyDescent="0.2">
      <c r="A1943" s="321">
        <v>1942</v>
      </c>
      <c r="B1943" s="320">
        <v>43557</v>
      </c>
      <c r="C1943" s="320">
        <v>43572</v>
      </c>
      <c r="D1943" s="312" t="s">
        <v>1092</v>
      </c>
      <c r="E1943" s="312" t="s">
        <v>392</v>
      </c>
      <c r="F1943" s="311" t="s">
        <v>71</v>
      </c>
      <c r="G1943" s="312" t="s">
        <v>3961</v>
      </c>
      <c r="H1943" s="312" t="s">
        <v>3962</v>
      </c>
      <c r="I1943" s="313">
        <v>9854.23</v>
      </c>
    </row>
    <row r="1944" spans="1:9" x14ac:dyDescent="0.2">
      <c r="A1944" s="321">
        <v>1943</v>
      </c>
      <c r="B1944" s="320">
        <v>43557</v>
      </c>
      <c r="C1944" s="320">
        <v>43584</v>
      </c>
      <c r="D1944" s="312" t="s">
        <v>1092</v>
      </c>
      <c r="E1944" s="312" t="s">
        <v>392</v>
      </c>
      <c r="F1944" s="311" t="s">
        <v>393</v>
      </c>
      <c r="G1944" s="312" t="s">
        <v>3963</v>
      </c>
      <c r="H1944" s="312" t="s">
        <v>3964</v>
      </c>
      <c r="I1944" s="313">
        <v>72200</v>
      </c>
    </row>
    <row r="1945" spans="1:9" x14ac:dyDescent="0.2">
      <c r="A1945" s="321">
        <v>1944</v>
      </c>
      <c r="B1945" s="320">
        <v>43557</v>
      </c>
      <c r="C1945" s="320">
        <v>43572</v>
      </c>
      <c r="D1945" s="312" t="s">
        <v>1092</v>
      </c>
      <c r="E1945" s="312" t="s">
        <v>392</v>
      </c>
      <c r="F1945" s="311" t="s">
        <v>396</v>
      </c>
      <c r="G1945" s="312" t="s">
        <v>3965</v>
      </c>
      <c r="H1945" s="312" t="s">
        <v>3966</v>
      </c>
      <c r="I1945" s="313">
        <v>57013.33</v>
      </c>
    </row>
    <row r="1946" spans="1:9" x14ac:dyDescent="0.2">
      <c r="A1946" s="321">
        <v>1945</v>
      </c>
      <c r="B1946" s="320">
        <v>43557</v>
      </c>
      <c r="C1946" s="320">
        <v>43572</v>
      </c>
      <c r="D1946" s="312" t="s">
        <v>1092</v>
      </c>
      <c r="E1946" s="312" t="s">
        <v>392</v>
      </c>
      <c r="F1946" s="311" t="s">
        <v>393</v>
      </c>
      <c r="G1946" s="312" t="s">
        <v>3967</v>
      </c>
      <c r="H1946" s="312" t="s">
        <v>3968</v>
      </c>
      <c r="I1946" s="313">
        <v>11400</v>
      </c>
    </row>
    <row r="1947" spans="1:9" x14ac:dyDescent="0.2">
      <c r="A1947" s="321">
        <v>1946</v>
      </c>
      <c r="B1947" s="320">
        <v>43559</v>
      </c>
      <c r="C1947" s="320">
        <v>43584</v>
      </c>
      <c r="D1947" s="312" t="s">
        <v>1092</v>
      </c>
      <c r="E1947" s="312" t="s">
        <v>392</v>
      </c>
      <c r="F1947" s="311" t="s">
        <v>9</v>
      </c>
      <c r="G1947" s="312" t="s">
        <v>3969</v>
      </c>
      <c r="H1947" s="312" t="s">
        <v>3970</v>
      </c>
      <c r="I1947" s="313">
        <v>160860.51</v>
      </c>
    </row>
    <row r="1948" spans="1:9" x14ac:dyDescent="0.2">
      <c r="A1948" s="321">
        <v>1947</v>
      </c>
      <c r="B1948" s="320">
        <v>43559</v>
      </c>
      <c r="C1948" s="320">
        <v>43584</v>
      </c>
      <c r="D1948" s="312" t="s">
        <v>1092</v>
      </c>
      <c r="E1948" s="312" t="s">
        <v>392</v>
      </c>
      <c r="F1948" s="311" t="s">
        <v>9</v>
      </c>
      <c r="G1948" s="312" t="s">
        <v>3971</v>
      </c>
      <c r="H1948" s="312" t="s">
        <v>3972</v>
      </c>
      <c r="I1948" s="313">
        <v>175178.91</v>
      </c>
    </row>
    <row r="1949" spans="1:9" x14ac:dyDescent="0.2">
      <c r="A1949" s="321">
        <v>1948</v>
      </c>
      <c r="B1949" s="320">
        <v>43560</v>
      </c>
      <c r="C1949" s="320">
        <v>43579</v>
      </c>
      <c r="D1949" s="312" t="s">
        <v>1092</v>
      </c>
      <c r="E1949" s="312" t="s">
        <v>422</v>
      </c>
      <c r="F1949" s="311" t="s">
        <v>701</v>
      </c>
      <c r="G1949" s="312" t="s">
        <v>3973</v>
      </c>
      <c r="H1949" s="312" t="s">
        <v>3974</v>
      </c>
      <c r="I1949" s="313">
        <v>34500</v>
      </c>
    </row>
    <row r="1950" spans="1:9" x14ac:dyDescent="0.2">
      <c r="A1950" s="321">
        <v>1949</v>
      </c>
      <c r="B1950" s="320">
        <v>43564</v>
      </c>
      <c r="C1950" s="320">
        <v>43584</v>
      </c>
      <c r="D1950" s="312" t="s">
        <v>1092</v>
      </c>
      <c r="E1950" s="312" t="s">
        <v>422</v>
      </c>
      <c r="F1950" s="311" t="s">
        <v>396</v>
      </c>
      <c r="G1950" s="312" t="s">
        <v>3975</v>
      </c>
      <c r="H1950" s="312" t="s">
        <v>3976</v>
      </c>
      <c r="I1950" s="313">
        <v>4200</v>
      </c>
    </row>
    <row r="1951" spans="1:9" x14ac:dyDescent="0.2">
      <c r="A1951" s="321">
        <v>1950</v>
      </c>
      <c r="B1951" s="320">
        <v>43564</v>
      </c>
      <c r="C1951" s="320">
        <v>43579</v>
      </c>
      <c r="D1951" s="312" t="s">
        <v>1092</v>
      </c>
      <c r="E1951" s="312" t="s">
        <v>422</v>
      </c>
      <c r="F1951" s="311" t="s">
        <v>701</v>
      </c>
      <c r="G1951" s="312" t="s">
        <v>3977</v>
      </c>
      <c r="H1951" s="312" t="s">
        <v>3978</v>
      </c>
      <c r="I1951" s="313">
        <v>80000</v>
      </c>
    </row>
    <row r="1952" spans="1:9" x14ac:dyDescent="0.2">
      <c r="A1952" s="321">
        <v>1951</v>
      </c>
      <c r="B1952" s="320">
        <v>43564</v>
      </c>
      <c r="C1952" s="320">
        <v>43584</v>
      </c>
      <c r="D1952" s="312" t="s">
        <v>1092</v>
      </c>
      <c r="E1952" s="312" t="s">
        <v>422</v>
      </c>
      <c r="F1952" s="311" t="s">
        <v>71</v>
      </c>
      <c r="G1952" s="312" t="s">
        <v>3979</v>
      </c>
      <c r="H1952" s="312" t="s">
        <v>3980</v>
      </c>
      <c r="I1952" s="313">
        <v>1740.07</v>
      </c>
    </row>
    <row r="1953" spans="1:10" x14ac:dyDescent="0.2">
      <c r="A1953" s="321">
        <v>1952</v>
      </c>
      <c r="B1953" s="320">
        <v>43564</v>
      </c>
      <c r="C1953" s="320">
        <v>43584</v>
      </c>
      <c r="D1953" s="312" t="s">
        <v>1092</v>
      </c>
      <c r="E1953" s="312" t="s">
        <v>422</v>
      </c>
      <c r="F1953" s="311" t="s">
        <v>396</v>
      </c>
      <c r="G1953" s="312" t="s">
        <v>3981</v>
      </c>
      <c r="H1953" s="312" t="s">
        <v>3982</v>
      </c>
      <c r="I1953" s="313">
        <v>6693.34</v>
      </c>
    </row>
    <row r="1954" spans="1:10" x14ac:dyDescent="0.2">
      <c r="A1954" s="321">
        <v>1953</v>
      </c>
      <c r="B1954" s="320">
        <v>43565</v>
      </c>
      <c r="C1954" s="320">
        <v>43584</v>
      </c>
      <c r="D1954" s="312" t="s">
        <v>1092</v>
      </c>
      <c r="E1954" s="312" t="s">
        <v>392</v>
      </c>
      <c r="F1954" s="311" t="s">
        <v>393</v>
      </c>
      <c r="G1954" s="312" t="s">
        <v>3983</v>
      </c>
      <c r="H1954" s="312" t="s">
        <v>3984</v>
      </c>
      <c r="I1954" s="313">
        <v>18000</v>
      </c>
    </row>
    <row r="1955" spans="1:10" x14ac:dyDescent="0.2">
      <c r="A1955" s="321">
        <v>1954</v>
      </c>
      <c r="B1955" s="320">
        <v>43566</v>
      </c>
      <c r="C1955" s="320">
        <v>43591</v>
      </c>
      <c r="D1955" s="312" t="s">
        <v>1092</v>
      </c>
      <c r="E1955" s="312" t="s">
        <v>392</v>
      </c>
      <c r="F1955" s="311" t="s">
        <v>71</v>
      </c>
      <c r="G1955" s="312" t="s">
        <v>3985</v>
      </c>
      <c r="H1955" s="312" t="s">
        <v>3986</v>
      </c>
      <c r="I1955" s="313">
        <v>2892.11</v>
      </c>
    </row>
    <row r="1956" spans="1:10" x14ac:dyDescent="0.2">
      <c r="A1956" s="321">
        <v>1955</v>
      </c>
      <c r="B1956" s="320">
        <v>43567</v>
      </c>
      <c r="C1956" s="320">
        <v>43584</v>
      </c>
      <c r="D1956" s="312" t="s">
        <v>1092</v>
      </c>
      <c r="E1956" s="312" t="s">
        <v>392</v>
      </c>
      <c r="F1956" s="311" t="s">
        <v>393</v>
      </c>
      <c r="G1956" s="312" t="s">
        <v>3987</v>
      </c>
      <c r="H1956" s="312" t="s">
        <v>3988</v>
      </c>
      <c r="I1956" s="313">
        <v>52000</v>
      </c>
    </row>
    <row r="1957" spans="1:10" x14ac:dyDescent="0.2">
      <c r="A1957" s="321">
        <v>1956</v>
      </c>
      <c r="B1957" s="320">
        <v>43567</v>
      </c>
      <c r="C1957" s="320">
        <v>43584</v>
      </c>
      <c r="D1957" s="312" t="s">
        <v>1092</v>
      </c>
      <c r="E1957" s="312" t="s">
        <v>392</v>
      </c>
      <c r="F1957" s="311" t="s">
        <v>393</v>
      </c>
      <c r="G1957" s="312" t="s">
        <v>3989</v>
      </c>
      <c r="H1957" s="312" t="s">
        <v>3990</v>
      </c>
      <c r="I1957" s="313">
        <v>50654.400000000001</v>
      </c>
    </row>
    <row r="1958" spans="1:10" x14ac:dyDescent="0.2">
      <c r="A1958" s="321">
        <v>1957</v>
      </c>
      <c r="B1958" s="320">
        <v>43567</v>
      </c>
      <c r="C1958" s="320">
        <v>43584</v>
      </c>
      <c r="D1958" s="312" t="s">
        <v>1092</v>
      </c>
      <c r="E1958" s="312" t="s">
        <v>392</v>
      </c>
      <c r="F1958" s="311" t="s">
        <v>71</v>
      </c>
      <c r="G1958" s="312" t="s">
        <v>3991</v>
      </c>
      <c r="H1958" s="312" t="s">
        <v>3992</v>
      </c>
      <c r="I1958" s="313">
        <v>10026.719999999999</v>
      </c>
    </row>
    <row r="1959" spans="1:10" x14ac:dyDescent="0.2">
      <c r="A1959" s="321">
        <v>1958</v>
      </c>
      <c r="B1959" s="320">
        <v>43567</v>
      </c>
      <c r="C1959" s="320">
        <v>43598</v>
      </c>
      <c r="D1959" s="312" t="s">
        <v>1092</v>
      </c>
      <c r="E1959" s="312" t="s">
        <v>392</v>
      </c>
      <c r="F1959" s="311" t="s">
        <v>701</v>
      </c>
      <c r="G1959" s="312" t="s">
        <v>3993</v>
      </c>
      <c r="H1959" s="312" t="s">
        <v>3994</v>
      </c>
      <c r="I1959" s="313">
        <v>10971</v>
      </c>
      <c r="J1959" s="326" t="s">
        <v>4037</v>
      </c>
    </row>
    <row r="1960" spans="1:10" x14ac:dyDescent="0.2">
      <c r="A1960" s="321">
        <v>1959</v>
      </c>
      <c r="B1960" s="320">
        <v>43567</v>
      </c>
      <c r="C1960" s="320">
        <v>43584</v>
      </c>
      <c r="D1960" s="312" t="s">
        <v>1092</v>
      </c>
      <c r="E1960" s="312" t="s">
        <v>392</v>
      </c>
      <c r="F1960" s="311" t="s">
        <v>71</v>
      </c>
      <c r="G1960" s="312" t="s">
        <v>3995</v>
      </c>
      <c r="H1960" s="312" t="s">
        <v>3996</v>
      </c>
      <c r="I1960" s="313">
        <v>70513.61</v>
      </c>
    </row>
    <row r="1961" spans="1:10" x14ac:dyDescent="0.2">
      <c r="A1961" s="321">
        <v>1960</v>
      </c>
      <c r="B1961" s="320">
        <v>43567</v>
      </c>
      <c r="C1961" s="320">
        <v>43584</v>
      </c>
      <c r="D1961" s="312" t="s">
        <v>1092</v>
      </c>
      <c r="E1961" s="312" t="s">
        <v>392</v>
      </c>
      <c r="F1961" s="311" t="s">
        <v>71</v>
      </c>
      <c r="G1961" s="312" t="s">
        <v>3997</v>
      </c>
      <c r="H1961" s="312" t="s">
        <v>3998</v>
      </c>
      <c r="I1961" s="313">
        <v>20298.240000000002</v>
      </c>
    </row>
    <row r="1962" spans="1:10" x14ac:dyDescent="0.2">
      <c r="A1962" s="321">
        <v>1961</v>
      </c>
      <c r="B1962" s="320">
        <v>43567</v>
      </c>
      <c r="C1962" s="320">
        <v>43584</v>
      </c>
      <c r="D1962" s="312" t="s">
        <v>1092</v>
      </c>
      <c r="E1962" s="312" t="s">
        <v>392</v>
      </c>
      <c r="F1962" s="311" t="s">
        <v>393</v>
      </c>
      <c r="G1962" s="312" t="s">
        <v>3999</v>
      </c>
      <c r="H1962" s="312" t="s">
        <v>4000</v>
      </c>
      <c r="I1962" s="313">
        <v>15600</v>
      </c>
    </row>
    <row r="1963" spans="1:10" x14ac:dyDescent="0.2">
      <c r="A1963" s="321">
        <v>1962</v>
      </c>
      <c r="B1963" s="320">
        <v>43567</v>
      </c>
      <c r="C1963" s="320">
        <v>43591</v>
      </c>
      <c r="D1963" s="312" t="s">
        <v>1092</v>
      </c>
      <c r="E1963" s="312" t="s">
        <v>422</v>
      </c>
      <c r="F1963" s="311" t="s">
        <v>396</v>
      </c>
      <c r="G1963" s="312" t="s">
        <v>4001</v>
      </c>
      <c r="H1963" s="312" t="s">
        <v>4002</v>
      </c>
      <c r="I1963" s="313">
        <v>13557.34</v>
      </c>
    </row>
    <row r="1964" spans="1:10" x14ac:dyDescent="0.2">
      <c r="A1964" s="321">
        <v>1963</v>
      </c>
      <c r="B1964" s="320">
        <v>43570</v>
      </c>
      <c r="C1964" s="320">
        <v>43591</v>
      </c>
      <c r="D1964" s="312" t="s">
        <v>1092</v>
      </c>
      <c r="E1964" s="312" t="s">
        <v>422</v>
      </c>
      <c r="F1964" s="311" t="s">
        <v>71</v>
      </c>
      <c r="G1964" s="312" t="s">
        <v>4003</v>
      </c>
      <c r="H1964" s="312" t="s">
        <v>4004</v>
      </c>
      <c r="I1964" s="313">
        <v>2412.56</v>
      </c>
    </row>
    <row r="1965" spans="1:10" x14ac:dyDescent="0.2">
      <c r="A1965" s="321">
        <v>1964</v>
      </c>
      <c r="B1965" s="320">
        <v>43570</v>
      </c>
      <c r="C1965" s="320">
        <v>43591</v>
      </c>
      <c r="D1965" s="312" t="s">
        <v>1092</v>
      </c>
      <c r="E1965" s="312" t="s">
        <v>392</v>
      </c>
      <c r="F1965" s="311" t="s">
        <v>1272</v>
      </c>
      <c r="G1965" s="312" t="s">
        <v>4005</v>
      </c>
      <c r="H1965" s="312" t="s">
        <v>4006</v>
      </c>
      <c r="I1965" s="313">
        <v>2790</v>
      </c>
    </row>
    <row r="1966" spans="1:10" x14ac:dyDescent="0.2">
      <c r="A1966" s="321">
        <v>1965</v>
      </c>
      <c r="B1966" s="320">
        <v>43570</v>
      </c>
      <c r="C1966" s="320">
        <v>43591</v>
      </c>
      <c r="D1966" s="312" t="s">
        <v>1092</v>
      </c>
      <c r="E1966" s="312" t="s">
        <v>422</v>
      </c>
      <c r="F1966" s="311" t="s">
        <v>71</v>
      </c>
      <c r="G1966" s="312" t="s">
        <v>4007</v>
      </c>
      <c r="H1966" s="312" t="s">
        <v>4008</v>
      </c>
      <c r="I1966" s="313">
        <v>67632.81</v>
      </c>
    </row>
    <row r="1967" spans="1:10" x14ac:dyDescent="0.2">
      <c r="A1967" s="321">
        <v>1966</v>
      </c>
      <c r="B1967" s="320">
        <v>43570</v>
      </c>
      <c r="C1967" s="320">
        <v>43591</v>
      </c>
      <c r="D1967" s="312" t="s">
        <v>1092</v>
      </c>
      <c r="E1967" s="312" t="s">
        <v>422</v>
      </c>
      <c r="F1967" s="311" t="s">
        <v>396</v>
      </c>
      <c r="G1967" s="312" t="s">
        <v>4009</v>
      </c>
      <c r="H1967" s="312" t="s">
        <v>4010</v>
      </c>
      <c r="I1967" s="313">
        <v>48562.8</v>
      </c>
    </row>
    <row r="1968" spans="1:10" x14ac:dyDescent="0.2">
      <c r="A1968" s="321">
        <v>1967</v>
      </c>
      <c r="B1968" s="320">
        <v>43570</v>
      </c>
      <c r="C1968" s="320">
        <v>43605</v>
      </c>
      <c r="D1968" s="312" t="s">
        <v>1092</v>
      </c>
      <c r="E1968" s="312" t="s">
        <v>422</v>
      </c>
      <c r="F1968" s="311" t="s">
        <v>396</v>
      </c>
      <c r="G1968" s="312" t="s">
        <v>4011</v>
      </c>
      <c r="H1968" s="312" t="s">
        <v>4012</v>
      </c>
      <c r="I1968" s="313">
        <v>487833.34</v>
      </c>
    </row>
    <row r="1969" spans="1:9" x14ac:dyDescent="0.2">
      <c r="A1969" s="321">
        <v>1968</v>
      </c>
      <c r="B1969" s="320">
        <v>43570</v>
      </c>
      <c r="C1969" s="320">
        <v>43591</v>
      </c>
      <c r="D1969" s="312" t="s">
        <v>1092</v>
      </c>
      <c r="E1969" s="312" t="s">
        <v>392</v>
      </c>
      <c r="F1969" s="311" t="s">
        <v>71</v>
      </c>
      <c r="G1969" s="312" t="s">
        <v>4013</v>
      </c>
      <c r="H1969" s="312" t="s">
        <v>4014</v>
      </c>
      <c r="I1969" s="313">
        <v>3070.56</v>
      </c>
    </row>
    <row r="1970" spans="1:9" x14ac:dyDescent="0.2">
      <c r="A1970" s="321">
        <v>1969</v>
      </c>
      <c r="B1970" s="320">
        <v>43570</v>
      </c>
      <c r="C1970" s="320">
        <v>43591</v>
      </c>
      <c r="D1970" s="312" t="s">
        <v>1092</v>
      </c>
      <c r="E1970" s="312" t="s">
        <v>392</v>
      </c>
      <c r="F1970" s="311" t="s">
        <v>1272</v>
      </c>
      <c r="G1970" s="312" t="s">
        <v>4015</v>
      </c>
      <c r="H1970" s="312" t="s">
        <v>4016</v>
      </c>
      <c r="I1970" s="313">
        <v>9300</v>
      </c>
    </row>
    <row r="1971" spans="1:9" x14ac:dyDescent="0.2">
      <c r="A1971" s="321">
        <v>1970</v>
      </c>
      <c r="B1971" s="320">
        <v>43570</v>
      </c>
      <c r="C1971" s="320">
        <v>43591</v>
      </c>
      <c r="D1971" s="312" t="s">
        <v>1092</v>
      </c>
      <c r="E1971" s="312" t="s">
        <v>422</v>
      </c>
      <c r="F1971" s="311" t="s">
        <v>396</v>
      </c>
      <c r="G1971" s="312" t="s">
        <v>4017</v>
      </c>
      <c r="H1971" s="312" t="s">
        <v>4018</v>
      </c>
      <c r="I1971" s="313">
        <v>93600</v>
      </c>
    </row>
    <row r="1972" spans="1:9" x14ac:dyDescent="0.2">
      <c r="A1972" s="321">
        <v>1971</v>
      </c>
      <c r="B1972" s="320">
        <v>43571</v>
      </c>
      <c r="C1972" s="320">
        <v>43593</v>
      </c>
      <c r="D1972" s="312" t="s">
        <v>1092</v>
      </c>
      <c r="E1972" s="312" t="s">
        <v>392</v>
      </c>
      <c r="F1972" s="311" t="s">
        <v>71</v>
      </c>
      <c r="G1972" s="312" t="s">
        <v>4019</v>
      </c>
      <c r="H1972" s="312" t="s">
        <v>4020</v>
      </c>
      <c r="I1972" s="313">
        <v>3792.57</v>
      </c>
    </row>
    <row r="1973" spans="1:9" x14ac:dyDescent="0.2">
      <c r="A1973" s="321">
        <v>1972</v>
      </c>
      <c r="B1973" s="320">
        <v>43571</v>
      </c>
      <c r="C1973" s="320">
        <v>43593</v>
      </c>
      <c r="D1973" s="312" t="s">
        <v>1092</v>
      </c>
      <c r="E1973" s="312" t="s">
        <v>392</v>
      </c>
      <c r="F1973" s="311" t="s">
        <v>1272</v>
      </c>
      <c r="G1973" s="312" t="s">
        <v>4021</v>
      </c>
      <c r="H1973" s="312" t="s">
        <v>3758</v>
      </c>
      <c r="I1973" s="313">
        <v>14000</v>
      </c>
    </row>
    <row r="1974" spans="1:9" x14ac:dyDescent="0.2">
      <c r="A1974" s="321">
        <v>1973</v>
      </c>
      <c r="B1974" s="320">
        <v>43571</v>
      </c>
      <c r="C1974" s="320">
        <v>43591</v>
      </c>
      <c r="D1974" s="312" t="s">
        <v>1092</v>
      </c>
      <c r="E1974" s="312" t="s">
        <v>392</v>
      </c>
      <c r="F1974" s="311" t="s">
        <v>71</v>
      </c>
      <c r="G1974" s="312" t="s">
        <v>4023</v>
      </c>
      <c r="H1974" s="312" t="s">
        <v>4024</v>
      </c>
      <c r="I1974" s="313">
        <v>1999.19</v>
      </c>
    </row>
    <row r="1975" spans="1:9" x14ac:dyDescent="0.2">
      <c r="A1975" s="321">
        <v>1974</v>
      </c>
      <c r="B1975" s="320">
        <v>43572</v>
      </c>
      <c r="C1975" s="320">
        <v>43591</v>
      </c>
      <c r="D1975" s="312" t="s">
        <v>1092</v>
      </c>
      <c r="E1975" s="312" t="s">
        <v>422</v>
      </c>
      <c r="F1975" s="311" t="s">
        <v>71</v>
      </c>
      <c r="G1975" s="312" t="s">
        <v>4025</v>
      </c>
      <c r="H1975" s="312" t="s">
        <v>4026</v>
      </c>
      <c r="I1975" s="313">
        <v>2753.18</v>
      </c>
    </row>
    <row r="1976" spans="1:9" x14ac:dyDescent="0.2">
      <c r="A1976" s="321">
        <v>1975</v>
      </c>
      <c r="B1976" s="320">
        <v>43573</v>
      </c>
      <c r="C1976" s="320">
        <v>43591</v>
      </c>
      <c r="D1976" s="312" t="s">
        <v>1092</v>
      </c>
      <c r="E1976" s="312" t="s">
        <v>392</v>
      </c>
      <c r="F1976" s="311" t="s">
        <v>9</v>
      </c>
      <c r="G1976" s="312" t="s">
        <v>4027</v>
      </c>
      <c r="H1976" s="312" t="s">
        <v>4028</v>
      </c>
      <c r="I1976" s="313">
        <v>101228.74</v>
      </c>
    </row>
    <row r="1977" spans="1:9" x14ac:dyDescent="0.2">
      <c r="A1977" s="321">
        <v>1976</v>
      </c>
      <c r="B1977" s="320">
        <v>43579</v>
      </c>
      <c r="C1977" s="320">
        <v>43619</v>
      </c>
      <c r="D1977" s="312" t="s">
        <v>1092</v>
      </c>
      <c r="E1977" s="312" t="s">
        <v>422</v>
      </c>
      <c r="F1977" s="311" t="s">
        <v>701</v>
      </c>
      <c r="G1977" s="312" t="s">
        <v>4029</v>
      </c>
      <c r="H1977" s="312" t="s">
        <v>4030</v>
      </c>
      <c r="I1977" s="313">
        <v>370000</v>
      </c>
    </row>
    <row r="1978" spans="1:9" x14ac:dyDescent="0.2">
      <c r="A1978" s="321">
        <v>1977</v>
      </c>
      <c r="B1978" s="320">
        <v>43579</v>
      </c>
      <c r="C1978" s="320">
        <v>43598</v>
      </c>
      <c r="D1978" s="312" t="s">
        <v>1092</v>
      </c>
      <c r="E1978" s="312" t="s">
        <v>392</v>
      </c>
      <c r="F1978" s="311" t="s">
        <v>393</v>
      </c>
      <c r="G1978" s="312" t="s">
        <v>4031</v>
      </c>
      <c r="H1978" s="312" t="s">
        <v>4032</v>
      </c>
      <c r="I1978" s="313">
        <v>169604</v>
      </c>
    </row>
    <row r="1979" spans="1:9" x14ac:dyDescent="0.2">
      <c r="A1979" s="321">
        <v>1978</v>
      </c>
      <c r="B1979" s="320">
        <v>43579</v>
      </c>
      <c r="C1979" s="320">
        <v>43598</v>
      </c>
      <c r="D1979" s="312" t="s">
        <v>1092</v>
      </c>
      <c r="E1979" s="312" t="s">
        <v>392</v>
      </c>
      <c r="F1979" s="311" t="s">
        <v>71</v>
      </c>
      <c r="G1979" s="312" t="s">
        <v>4033</v>
      </c>
      <c r="H1979" s="312" t="s">
        <v>4034</v>
      </c>
      <c r="I1979" s="313">
        <v>52499.5</v>
      </c>
    </row>
    <row r="1980" spans="1:9" x14ac:dyDescent="0.2">
      <c r="A1980" s="321">
        <v>1979</v>
      </c>
      <c r="B1980" s="320">
        <v>43579</v>
      </c>
      <c r="C1980" s="320">
        <v>43598</v>
      </c>
      <c r="D1980" s="312" t="s">
        <v>1092</v>
      </c>
      <c r="E1980" s="312" t="s">
        <v>392</v>
      </c>
      <c r="F1980" s="311" t="s">
        <v>393</v>
      </c>
      <c r="G1980" s="312" t="s">
        <v>4036</v>
      </c>
      <c r="H1980" s="312" t="s">
        <v>4035</v>
      </c>
      <c r="I1980" s="313">
        <v>50881.2</v>
      </c>
    </row>
    <row r="1981" spans="1:9" x14ac:dyDescent="0.2">
      <c r="A1981" s="321">
        <v>1980</v>
      </c>
      <c r="B1981" s="320">
        <v>43581</v>
      </c>
      <c r="C1981" s="320">
        <v>43598</v>
      </c>
      <c r="D1981" s="312" t="s">
        <v>1092</v>
      </c>
      <c r="E1981" s="312" t="s">
        <v>422</v>
      </c>
      <c r="F1981" s="311" t="s">
        <v>1285</v>
      </c>
      <c r="G1981" s="312" t="s">
        <v>4038</v>
      </c>
      <c r="H1981" s="312" t="s">
        <v>4039</v>
      </c>
      <c r="I1981" s="313">
        <v>23500</v>
      </c>
    </row>
    <row r="1982" spans="1:9" x14ac:dyDescent="0.2">
      <c r="A1982" s="321">
        <v>1981</v>
      </c>
      <c r="B1982" s="320">
        <v>43581</v>
      </c>
      <c r="C1982" s="320">
        <v>43598</v>
      </c>
      <c r="D1982" s="312" t="s">
        <v>1092</v>
      </c>
      <c r="E1982" s="312" t="s">
        <v>422</v>
      </c>
      <c r="F1982" s="311" t="s">
        <v>1285</v>
      </c>
      <c r="G1982" s="312" t="s">
        <v>4040</v>
      </c>
      <c r="H1982" s="312" t="s">
        <v>4041</v>
      </c>
      <c r="I1982" s="313">
        <v>8350</v>
      </c>
    </row>
    <row r="1983" spans="1:9" x14ac:dyDescent="0.2">
      <c r="A1983" s="321">
        <v>1982</v>
      </c>
      <c r="B1983" s="320">
        <v>43581</v>
      </c>
      <c r="C1983" s="320">
        <v>43598</v>
      </c>
      <c r="D1983" s="312" t="s">
        <v>1092</v>
      </c>
      <c r="E1983" s="312" t="s">
        <v>422</v>
      </c>
      <c r="F1983" s="311" t="s">
        <v>1285</v>
      </c>
      <c r="G1983" s="312" t="s">
        <v>4042</v>
      </c>
      <c r="H1983" s="312" t="s">
        <v>4043</v>
      </c>
      <c r="I1983" s="313">
        <v>37750</v>
      </c>
    </row>
    <row r="1984" spans="1:9" x14ac:dyDescent="0.2">
      <c r="A1984" s="321">
        <v>1983</v>
      </c>
      <c r="B1984" s="320">
        <v>43581</v>
      </c>
      <c r="C1984" s="320">
        <v>43598</v>
      </c>
      <c r="D1984" s="312" t="s">
        <v>1092</v>
      </c>
      <c r="E1984" s="312" t="s">
        <v>392</v>
      </c>
      <c r="F1984" s="311" t="s">
        <v>9</v>
      </c>
      <c r="G1984" s="312" t="s">
        <v>4044</v>
      </c>
      <c r="H1984" s="312" t="s">
        <v>4045</v>
      </c>
      <c r="I1984" s="313">
        <v>147659.29999999999</v>
      </c>
    </row>
    <row r="1985" spans="1:10" x14ac:dyDescent="0.2">
      <c r="A1985" s="321">
        <v>1984</v>
      </c>
      <c r="B1985" s="320">
        <v>43585</v>
      </c>
      <c r="C1985" s="320">
        <v>43605</v>
      </c>
      <c r="D1985" s="312" t="s">
        <v>1092</v>
      </c>
      <c r="E1985" s="312" t="s">
        <v>392</v>
      </c>
      <c r="F1985" s="311" t="s">
        <v>9</v>
      </c>
      <c r="G1985" s="312" t="s">
        <v>4047</v>
      </c>
      <c r="H1985" s="312" t="s">
        <v>4054</v>
      </c>
      <c r="I1985" s="313">
        <v>56159.72</v>
      </c>
    </row>
    <row r="1986" spans="1:10" x14ac:dyDescent="0.2">
      <c r="A1986" s="321">
        <v>1985</v>
      </c>
      <c r="B1986" s="320">
        <v>43585</v>
      </c>
      <c r="C1986" s="320">
        <v>43605</v>
      </c>
      <c r="D1986" s="312" t="s">
        <v>1092</v>
      </c>
      <c r="E1986" s="312" t="s">
        <v>392</v>
      </c>
      <c r="F1986" s="311" t="s">
        <v>1272</v>
      </c>
      <c r="G1986" s="312" t="s">
        <v>4048</v>
      </c>
      <c r="H1986" s="312" t="s">
        <v>4055</v>
      </c>
      <c r="I1986" s="313">
        <v>12000</v>
      </c>
    </row>
    <row r="1987" spans="1:10" x14ac:dyDescent="0.2">
      <c r="A1987" s="321">
        <v>1986</v>
      </c>
      <c r="B1987" s="320">
        <v>43585</v>
      </c>
      <c r="C1987" s="320">
        <v>43600</v>
      </c>
      <c r="D1987" s="312" t="s">
        <v>1092</v>
      </c>
      <c r="E1987" s="312" t="s">
        <v>392</v>
      </c>
      <c r="F1987" s="311" t="s">
        <v>701</v>
      </c>
      <c r="G1987" s="312" t="s">
        <v>4049</v>
      </c>
      <c r="H1987" s="312" t="s">
        <v>4056</v>
      </c>
      <c r="I1987" s="313">
        <v>96000</v>
      </c>
    </row>
    <row r="1988" spans="1:10" x14ac:dyDescent="0.2">
      <c r="A1988" s="321">
        <v>1987</v>
      </c>
      <c r="B1988" s="320">
        <v>43585</v>
      </c>
      <c r="C1988" s="320">
        <v>43605</v>
      </c>
      <c r="D1988" s="312" t="s">
        <v>1092</v>
      </c>
      <c r="E1988" s="312" t="s">
        <v>422</v>
      </c>
      <c r="F1988" s="311" t="s">
        <v>701</v>
      </c>
      <c r="G1988" s="312" t="s">
        <v>4050</v>
      </c>
      <c r="H1988" s="312" t="s">
        <v>4057</v>
      </c>
      <c r="I1988" s="313">
        <v>179917.37</v>
      </c>
    </row>
    <row r="1989" spans="1:10" x14ac:dyDescent="0.2">
      <c r="A1989" s="321">
        <v>1988</v>
      </c>
      <c r="B1989" s="320">
        <v>43585</v>
      </c>
      <c r="C1989" s="320">
        <v>43605</v>
      </c>
      <c r="D1989" s="312" t="s">
        <v>1092</v>
      </c>
      <c r="E1989" s="312" t="s">
        <v>422</v>
      </c>
      <c r="F1989" s="311" t="s">
        <v>701</v>
      </c>
      <c r="G1989" s="312" t="s">
        <v>4051</v>
      </c>
      <c r="H1989" s="312" t="s">
        <v>4058</v>
      </c>
      <c r="I1989" s="313">
        <v>99951</v>
      </c>
    </row>
    <row r="1990" spans="1:10" x14ac:dyDescent="0.2">
      <c r="A1990" s="321">
        <v>1989</v>
      </c>
      <c r="B1990" s="320">
        <v>43585</v>
      </c>
      <c r="C1990" s="320">
        <v>43600</v>
      </c>
      <c r="D1990" s="312" t="s">
        <v>1092</v>
      </c>
      <c r="E1990" s="312" t="s">
        <v>422</v>
      </c>
      <c r="F1990" s="311" t="s">
        <v>701</v>
      </c>
      <c r="G1990" s="312" t="s">
        <v>4052</v>
      </c>
      <c r="H1990" s="312" t="s">
        <v>4059</v>
      </c>
      <c r="I1990" s="313">
        <v>55500</v>
      </c>
    </row>
    <row r="1991" spans="1:10" x14ac:dyDescent="0.2">
      <c r="A1991" s="321">
        <v>1990</v>
      </c>
      <c r="B1991" s="320">
        <v>43587</v>
      </c>
      <c r="C1991" s="320">
        <v>43612</v>
      </c>
      <c r="D1991" s="312" t="s">
        <v>1092</v>
      </c>
      <c r="E1991" s="312" t="s">
        <v>422</v>
      </c>
      <c r="F1991" s="311" t="s">
        <v>701</v>
      </c>
      <c r="G1991" s="312" t="s">
        <v>4053</v>
      </c>
      <c r="H1991" s="312" t="s">
        <v>4060</v>
      </c>
      <c r="I1991" s="313">
        <v>209490.48</v>
      </c>
      <c r="J1991" s="326" t="s">
        <v>4069</v>
      </c>
    </row>
    <row r="1992" spans="1:10" x14ac:dyDescent="0.2">
      <c r="A1992" s="321">
        <v>1991</v>
      </c>
      <c r="B1992" s="320">
        <v>43591</v>
      </c>
      <c r="C1992" s="320">
        <v>43607</v>
      </c>
      <c r="D1992" s="312" t="s">
        <v>1092</v>
      </c>
      <c r="E1992" s="312" t="s">
        <v>392</v>
      </c>
      <c r="F1992" s="311" t="s">
        <v>1272</v>
      </c>
      <c r="G1992" s="312" t="s">
        <v>4061</v>
      </c>
      <c r="H1992" s="312" t="s">
        <v>4062</v>
      </c>
      <c r="I1992" s="313">
        <v>3470</v>
      </c>
    </row>
    <row r="1993" spans="1:10" x14ac:dyDescent="0.2">
      <c r="A1993" s="321">
        <v>1992</v>
      </c>
      <c r="B1993" s="320">
        <v>43591</v>
      </c>
      <c r="C1993" s="320">
        <v>43607</v>
      </c>
      <c r="D1993" s="312" t="s">
        <v>1092</v>
      </c>
      <c r="E1993" s="312" t="s">
        <v>392</v>
      </c>
      <c r="F1993" s="311" t="s">
        <v>1272</v>
      </c>
      <c r="G1993" s="312" t="s">
        <v>4063</v>
      </c>
      <c r="H1993" s="312" t="s">
        <v>4064</v>
      </c>
      <c r="I1993" s="313">
        <v>2160</v>
      </c>
    </row>
    <row r="1994" spans="1:10" x14ac:dyDescent="0.2">
      <c r="A1994" s="321">
        <v>1993</v>
      </c>
      <c r="B1994" s="320">
        <v>43591</v>
      </c>
      <c r="C1994" s="320">
        <v>43607</v>
      </c>
      <c r="D1994" s="312" t="s">
        <v>1092</v>
      </c>
      <c r="E1994" s="312" t="s">
        <v>392</v>
      </c>
      <c r="F1994" s="311" t="s">
        <v>71</v>
      </c>
      <c r="G1994" s="312" t="s">
        <v>4065</v>
      </c>
      <c r="H1994" s="312" t="s">
        <v>4066</v>
      </c>
      <c r="I1994" s="313">
        <v>1965.84</v>
      </c>
    </row>
    <row r="1995" spans="1:10" x14ac:dyDescent="0.2">
      <c r="A1995" s="321">
        <v>1994</v>
      </c>
      <c r="B1995" s="320">
        <v>43592</v>
      </c>
      <c r="C1995" s="320">
        <v>43621</v>
      </c>
      <c r="D1995" s="312" t="s">
        <v>1092</v>
      </c>
      <c r="E1995" s="312" t="s">
        <v>422</v>
      </c>
      <c r="F1995" s="311" t="s">
        <v>71</v>
      </c>
      <c r="G1995" s="312" t="s">
        <v>4067</v>
      </c>
      <c r="H1995" s="312" t="s">
        <v>4068</v>
      </c>
      <c r="I1995" s="313">
        <v>4245.41</v>
      </c>
      <c r="J1995" s="326" t="s">
        <v>3722</v>
      </c>
    </row>
    <row r="1996" spans="1:10" x14ac:dyDescent="0.2">
      <c r="A1996" s="321">
        <v>1995</v>
      </c>
      <c r="B1996" s="320">
        <v>43598</v>
      </c>
      <c r="C1996" s="320">
        <v>43614</v>
      </c>
      <c r="D1996" s="312" t="s">
        <v>1092</v>
      </c>
      <c r="E1996" s="312" t="s">
        <v>422</v>
      </c>
      <c r="F1996" s="311" t="s">
        <v>701</v>
      </c>
      <c r="G1996" s="312" t="s">
        <v>4070</v>
      </c>
      <c r="H1996" s="312" t="s">
        <v>4071</v>
      </c>
      <c r="I1996" s="313">
        <v>27000</v>
      </c>
    </row>
    <row r="1997" spans="1:10" x14ac:dyDescent="0.2">
      <c r="A1997" s="321">
        <v>1996</v>
      </c>
      <c r="B1997" s="320">
        <v>43602</v>
      </c>
      <c r="C1997" s="320">
        <v>43619</v>
      </c>
      <c r="D1997" s="312" t="s">
        <v>1092</v>
      </c>
      <c r="E1997" s="312" t="s">
        <v>392</v>
      </c>
      <c r="F1997" s="311" t="s">
        <v>1272</v>
      </c>
      <c r="G1997" s="312" t="s">
        <v>4072</v>
      </c>
      <c r="H1997" s="312" t="s">
        <v>4073</v>
      </c>
      <c r="I1997" s="313">
        <v>37556.559999999998</v>
      </c>
    </row>
    <row r="1998" spans="1:10" x14ac:dyDescent="0.2">
      <c r="A1998" s="321">
        <v>1997</v>
      </c>
      <c r="B1998" s="320">
        <v>43602</v>
      </c>
      <c r="C1998" s="320">
        <v>43621</v>
      </c>
      <c r="D1998" s="312" t="s">
        <v>1092</v>
      </c>
      <c r="E1998" s="312" t="s">
        <v>392</v>
      </c>
      <c r="F1998" s="311" t="s">
        <v>71</v>
      </c>
      <c r="G1998" s="312" t="s">
        <v>4074</v>
      </c>
      <c r="H1998" s="312" t="s">
        <v>4075</v>
      </c>
      <c r="I1998" s="313">
        <v>1760</v>
      </c>
    </row>
    <row r="1999" spans="1:10" x14ac:dyDescent="0.2">
      <c r="A1999" s="321">
        <v>1998</v>
      </c>
      <c r="B1999" s="320">
        <v>43602</v>
      </c>
      <c r="C1999" s="320">
        <v>43619</v>
      </c>
      <c r="D1999" s="312" t="s">
        <v>1092</v>
      </c>
      <c r="E1999" s="312" t="s">
        <v>392</v>
      </c>
      <c r="F1999" s="311" t="s">
        <v>71</v>
      </c>
      <c r="G1999" s="312" t="s">
        <v>4076</v>
      </c>
      <c r="H1999" s="312" t="s">
        <v>4077</v>
      </c>
      <c r="I1999" s="313">
        <v>12594.55</v>
      </c>
    </row>
    <row r="2000" spans="1:10" x14ac:dyDescent="0.2">
      <c r="A2000" s="321">
        <v>1999</v>
      </c>
      <c r="B2000" s="320">
        <v>43602</v>
      </c>
      <c r="C2000" s="320">
        <v>43619</v>
      </c>
      <c r="D2000" s="312" t="s">
        <v>1092</v>
      </c>
      <c r="E2000" s="312" t="s">
        <v>392</v>
      </c>
      <c r="F2000" s="311" t="s">
        <v>1272</v>
      </c>
      <c r="G2000" s="312" t="s">
        <v>4078</v>
      </c>
      <c r="H2000" s="312" t="s">
        <v>4079</v>
      </c>
      <c r="I2000" s="313">
        <v>11266.97</v>
      </c>
    </row>
    <row r="2001" spans="1:9" x14ac:dyDescent="0.2">
      <c r="A2001" s="321">
        <v>2000</v>
      </c>
      <c r="B2001" s="320">
        <v>43602</v>
      </c>
      <c r="C2001" s="320">
        <v>43619</v>
      </c>
      <c r="D2001" s="312" t="s">
        <v>1092</v>
      </c>
      <c r="E2001" s="312" t="s">
        <v>422</v>
      </c>
      <c r="F2001" s="311" t="s">
        <v>701</v>
      </c>
      <c r="G2001" s="312" t="s">
        <v>4080</v>
      </c>
      <c r="H2001" s="312" t="s">
        <v>4081</v>
      </c>
      <c r="I2001" s="313">
        <v>37996.800000000003</v>
      </c>
    </row>
    <row r="2002" spans="1:9" x14ac:dyDescent="0.2">
      <c r="A2002" s="321">
        <v>2001</v>
      </c>
      <c r="B2002" s="320">
        <v>43606</v>
      </c>
      <c r="C2002" s="320">
        <v>43621</v>
      </c>
      <c r="D2002" s="312" t="s">
        <v>1092</v>
      </c>
      <c r="E2002" s="312" t="s">
        <v>422</v>
      </c>
      <c r="F2002" s="311" t="s">
        <v>396</v>
      </c>
      <c r="G2002" s="312" t="s">
        <v>4082</v>
      </c>
      <c r="H2002" s="312" t="s">
        <v>4083</v>
      </c>
      <c r="I2002" s="313">
        <v>20560</v>
      </c>
    </row>
    <row r="2003" spans="1:9" x14ac:dyDescent="0.2">
      <c r="A2003" s="321">
        <v>2002</v>
      </c>
      <c r="B2003" s="320">
        <v>43606</v>
      </c>
      <c r="C2003" s="320">
        <v>43621</v>
      </c>
      <c r="D2003" s="312" t="s">
        <v>1092</v>
      </c>
      <c r="E2003" s="312" t="s">
        <v>422</v>
      </c>
      <c r="F2003" s="311" t="s">
        <v>396</v>
      </c>
      <c r="G2003" s="312" t="s">
        <v>4084</v>
      </c>
      <c r="H2003" s="312" t="s">
        <v>4085</v>
      </c>
      <c r="I2003" s="313">
        <v>5760</v>
      </c>
    </row>
    <row r="2004" spans="1:9" x14ac:dyDescent="0.2">
      <c r="A2004" s="321">
        <v>2003</v>
      </c>
      <c r="B2004" s="320">
        <v>43606</v>
      </c>
      <c r="C2004" s="320">
        <v>43621</v>
      </c>
      <c r="D2004" s="312" t="s">
        <v>1092</v>
      </c>
      <c r="E2004" s="312" t="s">
        <v>422</v>
      </c>
      <c r="F2004" s="311" t="s">
        <v>71</v>
      </c>
      <c r="G2004" s="312" t="s">
        <v>4086</v>
      </c>
      <c r="H2004" s="312" t="s">
        <v>4087</v>
      </c>
      <c r="I2004" s="313">
        <v>6493.2</v>
      </c>
    </row>
    <row r="2005" spans="1:9" x14ac:dyDescent="0.2">
      <c r="A2005" s="321">
        <v>2004</v>
      </c>
      <c r="B2005" s="320">
        <v>43607</v>
      </c>
      <c r="C2005" s="320">
        <v>43628</v>
      </c>
      <c r="D2005" s="312" t="s">
        <v>1092</v>
      </c>
      <c r="E2005" s="312" t="s">
        <v>422</v>
      </c>
      <c r="F2005" s="311" t="s">
        <v>396</v>
      </c>
      <c r="G2005" s="312" t="s">
        <v>4088</v>
      </c>
      <c r="H2005" s="312" t="s">
        <v>4089</v>
      </c>
      <c r="I2005" s="313">
        <v>5400</v>
      </c>
    </row>
    <row r="2006" spans="1:9" x14ac:dyDescent="0.2">
      <c r="A2006" s="321">
        <v>2005</v>
      </c>
      <c r="B2006" s="320">
        <v>43607</v>
      </c>
      <c r="C2006" s="320">
        <v>43628</v>
      </c>
      <c r="D2006" s="312" t="s">
        <v>1092</v>
      </c>
      <c r="E2006" s="312" t="s">
        <v>422</v>
      </c>
      <c r="F2006" s="311" t="s">
        <v>71</v>
      </c>
      <c r="G2006" s="312" t="s">
        <v>4090</v>
      </c>
      <c r="H2006" s="312" t="s">
        <v>4091</v>
      </c>
      <c r="I2006" s="313">
        <v>6282.68</v>
      </c>
    </row>
    <row r="2007" spans="1:9" x14ac:dyDescent="0.2">
      <c r="A2007" s="321">
        <v>2006</v>
      </c>
      <c r="B2007" s="320">
        <v>43607</v>
      </c>
      <c r="C2007" s="320">
        <v>43628</v>
      </c>
      <c r="D2007" s="312" t="s">
        <v>1092</v>
      </c>
      <c r="E2007" s="312" t="s">
        <v>422</v>
      </c>
      <c r="F2007" s="311" t="s">
        <v>396</v>
      </c>
      <c r="G2007" s="312" t="s">
        <v>4092</v>
      </c>
      <c r="H2007" s="312" t="s">
        <v>4093</v>
      </c>
      <c r="I2007" s="313">
        <v>21160</v>
      </c>
    </row>
    <row r="2008" spans="1:9" x14ac:dyDescent="0.2">
      <c r="A2008" s="321">
        <v>2007</v>
      </c>
      <c r="B2008" s="320">
        <v>43607</v>
      </c>
      <c r="C2008" s="320">
        <v>43628</v>
      </c>
      <c r="D2008" s="312" t="s">
        <v>1092</v>
      </c>
      <c r="E2008" s="312" t="s">
        <v>422</v>
      </c>
      <c r="F2008" s="311" t="s">
        <v>396</v>
      </c>
      <c r="G2008" s="312" t="s">
        <v>4094</v>
      </c>
      <c r="H2008" s="312" t="s">
        <v>4095</v>
      </c>
      <c r="I2008" s="313">
        <v>66528</v>
      </c>
    </row>
    <row r="2009" spans="1:9" x14ac:dyDescent="0.2">
      <c r="A2009" s="321">
        <v>2008</v>
      </c>
      <c r="B2009" s="320">
        <v>43607</v>
      </c>
      <c r="C2009" s="320">
        <v>43628</v>
      </c>
      <c r="D2009" s="312" t="s">
        <v>1092</v>
      </c>
      <c r="E2009" s="312" t="s">
        <v>422</v>
      </c>
      <c r="F2009" s="311" t="s">
        <v>396</v>
      </c>
      <c r="G2009" s="312" t="s">
        <v>4096</v>
      </c>
      <c r="H2009" s="312" t="s">
        <v>4097</v>
      </c>
      <c r="I2009" s="313">
        <v>89547.6</v>
      </c>
    </row>
    <row r="2010" spans="1:9" x14ac:dyDescent="0.2">
      <c r="A2010" s="321">
        <v>2009</v>
      </c>
      <c r="B2010" s="320">
        <v>43607</v>
      </c>
      <c r="C2010" s="320">
        <v>43642</v>
      </c>
      <c r="D2010" s="312" t="s">
        <v>1092</v>
      </c>
      <c r="E2010" s="312" t="s">
        <v>422</v>
      </c>
      <c r="F2010" s="311" t="s">
        <v>396</v>
      </c>
      <c r="G2010" s="312" t="s">
        <v>4098</v>
      </c>
      <c r="H2010" s="312" t="s">
        <v>4099</v>
      </c>
      <c r="I2010" s="313">
        <v>354000</v>
      </c>
    </row>
    <row r="2011" spans="1:9" x14ac:dyDescent="0.2">
      <c r="A2011" s="321">
        <v>2010</v>
      </c>
      <c r="B2011" s="320">
        <v>43607</v>
      </c>
      <c r="C2011" s="320">
        <v>43628</v>
      </c>
      <c r="D2011" s="312" t="s">
        <v>1092</v>
      </c>
      <c r="E2011" s="312" t="s">
        <v>422</v>
      </c>
      <c r="F2011" s="311" t="s">
        <v>71</v>
      </c>
      <c r="G2011" s="312" t="s">
        <v>4100</v>
      </c>
      <c r="H2011" s="312" t="s">
        <v>4101</v>
      </c>
      <c r="I2011" s="313">
        <v>149296.20000000001</v>
      </c>
    </row>
    <row r="2012" spans="1:9" x14ac:dyDescent="0.2">
      <c r="A2012" s="321">
        <v>2011</v>
      </c>
      <c r="B2012" s="320">
        <v>43607</v>
      </c>
      <c r="C2012" s="320">
        <v>43642</v>
      </c>
      <c r="D2012" s="312" t="s">
        <v>1092</v>
      </c>
      <c r="E2012" s="312" t="s">
        <v>422</v>
      </c>
      <c r="F2012" s="311" t="s">
        <v>701</v>
      </c>
      <c r="G2012" s="312" t="s">
        <v>4102</v>
      </c>
      <c r="H2012" s="312" t="s">
        <v>4103</v>
      </c>
      <c r="I2012" s="313">
        <v>274000</v>
      </c>
    </row>
    <row r="2013" spans="1:9" x14ac:dyDescent="0.2">
      <c r="A2013" s="321">
        <v>2012</v>
      </c>
      <c r="B2013" s="320">
        <v>43608</v>
      </c>
      <c r="C2013" s="320">
        <v>43628</v>
      </c>
      <c r="D2013" s="312" t="s">
        <v>1092</v>
      </c>
      <c r="E2013" s="312" t="s">
        <v>422</v>
      </c>
      <c r="F2013" s="311" t="s">
        <v>396</v>
      </c>
      <c r="G2013" s="312" t="s">
        <v>4104</v>
      </c>
      <c r="H2013" s="312" t="s">
        <v>4105</v>
      </c>
      <c r="I2013" s="313">
        <v>10360</v>
      </c>
    </row>
    <row r="2014" spans="1:9" x14ac:dyDescent="0.2">
      <c r="A2014" s="321">
        <v>2013</v>
      </c>
      <c r="B2014" s="320">
        <v>43608</v>
      </c>
      <c r="C2014" s="320">
        <v>43628</v>
      </c>
      <c r="D2014" s="312" t="s">
        <v>1092</v>
      </c>
      <c r="E2014" s="312" t="s">
        <v>422</v>
      </c>
      <c r="F2014" s="311" t="s">
        <v>71</v>
      </c>
      <c r="G2014" s="312" t="s">
        <v>4106</v>
      </c>
      <c r="H2014" s="312" t="s">
        <v>4107</v>
      </c>
      <c r="I2014" s="313">
        <v>4123.95</v>
      </c>
    </row>
    <row r="2015" spans="1:9" x14ac:dyDescent="0.2">
      <c r="A2015" s="321">
        <v>2014</v>
      </c>
      <c r="B2015" s="320">
        <v>43608</v>
      </c>
      <c r="C2015" s="320">
        <v>43628</v>
      </c>
      <c r="D2015" s="312" t="s">
        <v>1092</v>
      </c>
      <c r="E2015" s="312" t="s">
        <v>422</v>
      </c>
      <c r="F2015" s="311" t="s">
        <v>396</v>
      </c>
      <c r="G2015" s="312" t="s">
        <v>4108</v>
      </c>
      <c r="H2015" s="312" t="s">
        <v>4109</v>
      </c>
      <c r="I2015" s="313">
        <v>2880</v>
      </c>
    </row>
    <row r="2016" spans="1:9" x14ac:dyDescent="0.2">
      <c r="A2016" s="321">
        <v>2015</v>
      </c>
      <c r="B2016" s="320">
        <v>43613</v>
      </c>
      <c r="C2016" s="320">
        <v>43647</v>
      </c>
      <c r="D2016" s="312" t="s">
        <v>1092</v>
      </c>
      <c r="E2016" s="312" t="s">
        <v>422</v>
      </c>
      <c r="F2016" s="311" t="s">
        <v>1285</v>
      </c>
      <c r="G2016" s="312" t="s">
        <v>4110</v>
      </c>
      <c r="H2016" s="312" t="s">
        <v>4111</v>
      </c>
      <c r="I2016" s="313">
        <v>349000</v>
      </c>
    </row>
    <row r="2017" spans="1:10" x14ac:dyDescent="0.2">
      <c r="A2017" s="321">
        <v>2016</v>
      </c>
      <c r="B2017" s="320">
        <v>43616</v>
      </c>
      <c r="C2017" s="320">
        <v>43647</v>
      </c>
      <c r="D2017" s="312" t="s">
        <v>1092</v>
      </c>
      <c r="E2017" s="312" t="s">
        <v>422</v>
      </c>
      <c r="F2017" s="311" t="s">
        <v>396</v>
      </c>
      <c r="G2017" s="312" t="s">
        <v>4112</v>
      </c>
      <c r="H2017" s="312" t="s">
        <v>4113</v>
      </c>
      <c r="I2017" s="313">
        <v>15312</v>
      </c>
      <c r="J2017" s="326" t="s">
        <v>4069</v>
      </c>
    </row>
    <row r="2018" spans="1:10" x14ac:dyDescent="0.2">
      <c r="A2018" s="321">
        <v>2017</v>
      </c>
      <c r="B2018" s="320">
        <v>43616</v>
      </c>
      <c r="C2018" s="320">
        <v>43633</v>
      </c>
      <c r="D2018" s="312" t="s">
        <v>1092</v>
      </c>
      <c r="E2018" s="312" t="s">
        <v>422</v>
      </c>
      <c r="F2018" s="311" t="s">
        <v>71</v>
      </c>
      <c r="G2018" s="312" t="s">
        <v>4114</v>
      </c>
      <c r="H2018" s="312" t="s">
        <v>4115</v>
      </c>
      <c r="I2018" s="313">
        <v>3111.22</v>
      </c>
    </row>
    <row r="2019" spans="1:10" x14ac:dyDescent="0.2">
      <c r="A2019" s="321">
        <v>2018</v>
      </c>
      <c r="B2019" s="320">
        <v>43616</v>
      </c>
      <c r="C2019" s="320">
        <v>43633</v>
      </c>
      <c r="D2019" s="312" t="s">
        <v>1092</v>
      </c>
      <c r="E2019" s="312" t="s">
        <v>422</v>
      </c>
      <c r="F2019" s="311" t="s">
        <v>396</v>
      </c>
      <c r="G2019" s="312" t="s">
        <v>4116</v>
      </c>
      <c r="H2019" s="312" t="s">
        <v>4117</v>
      </c>
      <c r="I2019" s="313">
        <v>3780</v>
      </c>
    </row>
    <row r="2020" spans="1:10" x14ac:dyDescent="0.2">
      <c r="A2020" s="321">
        <v>2019</v>
      </c>
      <c r="B2020" s="320">
        <v>43620</v>
      </c>
      <c r="C2020" s="320">
        <v>43635</v>
      </c>
      <c r="D2020" s="312" t="s">
        <v>1092</v>
      </c>
      <c r="E2020" s="312" t="s">
        <v>422</v>
      </c>
      <c r="F2020" s="311" t="s">
        <v>396</v>
      </c>
      <c r="G2020" s="312" t="s">
        <v>4118</v>
      </c>
      <c r="H2020" s="312" t="s">
        <v>4119</v>
      </c>
      <c r="I2020" s="313">
        <v>3720</v>
      </c>
    </row>
    <row r="2021" spans="1:10" x14ac:dyDescent="0.2">
      <c r="A2021" s="321">
        <v>2020</v>
      </c>
      <c r="B2021" s="320">
        <v>43620</v>
      </c>
      <c r="C2021" s="320">
        <v>43635</v>
      </c>
      <c r="D2021" s="312" t="s">
        <v>1092</v>
      </c>
      <c r="E2021" s="312" t="s">
        <v>422</v>
      </c>
      <c r="F2021" s="311" t="s">
        <v>396</v>
      </c>
      <c r="G2021" s="312" t="s">
        <v>4120</v>
      </c>
      <c r="H2021" s="312" t="s">
        <v>4121</v>
      </c>
      <c r="I2021" s="313">
        <v>13413.34</v>
      </c>
    </row>
    <row r="2022" spans="1:10" x14ac:dyDescent="0.2">
      <c r="A2022" s="321">
        <v>2021</v>
      </c>
      <c r="B2022" s="320">
        <v>43620</v>
      </c>
      <c r="C2022" s="320">
        <v>43635</v>
      </c>
      <c r="D2022" s="312" t="s">
        <v>1092</v>
      </c>
      <c r="E2022" s="312" t="s">
        <v>422</v>
      </c>
      <c r="F2022" s="311" t="s">
        <v>71</v>
      </c>
      <c r="G2022" s="312" t="s">
        <v>4122</v>
      </c>
      <c r="H2022" s="312" t="s">
        <v>4123</v>
      </c>
      <c r="I2022" s="313">
        <v>3531.4</v>
      </c>
    </row>
    <row r="2023" spans="1:10" x14ac:dyDescent="0.2">
      <c r="A2023" s="321">
        <v>2022</v>
      </c>
      <c r="B2023" s="320">
        <v>43621</v>
      </c>
      <c r="C2023" s="320">
        <v>43642</v>
      </c>
      <c r="D2023" s="312" t="s">
        <v>1092</v>
      </c>
      <c r="E2023" s="312" t="s">
        <v>392</v>
      </c>
      <c r="F2023" s="311" t="s">
        <v>71</v>
      </c>
      <c r="G2023" s="312" t="s">
        <v>4124</v>
      </c>
      <c r="H2023" s="312" t="s">
        <v>4125</v>
      </c>
      <c r="I2023" s="313">
        <v>9391.0400000000009</v>
      </c>
    </row>
    <row r="2024" spans="1:10" x14ac:dyDescent="0.2">
      <c r="A2024" s="321">
        <v>2023</v>
      </c>
      <c r="B2024" s="320">
        <v>43621</v>
      </c>
      <c r="C2024" s="320">
        <v>43642</v>
      </c>
      <c r="D2024" s="312" t="s">
        <v>1092</v>
      </c>
      <c r="E2024" s="312" t="s">
        <v>392</v>
      </c>
      <c r="F2024" s="311" t="s">
        <v>1272</v>
      </c>
      <c r="G2024" s="312" t="s">
        <v>4126</v>
      </c>
      <c r="H2024" s="312" t="s">
        <v>4127</v>
      </c>
      <c r="I2024" s="313">
        <v>24400</v>
      </c>
    </row>
    <row r="2025" spans="1:10" x14ac:dyDescent="0.2">
      <c r="A2025" s="321">
        <v>2024</v>
      </c>
      <c r="B2025" s="320">
        <v>43621</v>
      </c>
      <c r="C2025" s="320">
        <v>43642</v>
      </c>
      <c r="D2025" s="312" t="s">
        <v>1092</v>
      </c>
      <c r="E2025" s="312" t="s">
        <v>392</v>
      </c>
      <c r="F2025" s="311" t="s">
        <v>1272</v>
      </c>
      <c r="G2025" s="312" t="s">
        <v>4128</v>
      </c>
      <c r="H2025" s="312" t="s">
        <v>4129</v>
      </c>
      <c r="I2025" s="313">
        <v>17600</v>
      </c>
    </row>
    <row r="2026" spans="1:10" x14ac:dyDescent="0.2">
      <c r="A2026" s="321">
        <v>2025</v>
      </c>
      <c r="B2026" s="320">
        <v>43621</v>
      </c>
      <c r="C2026" s="320">
        <v>43642</v>
      </c>
      <c r="D2026" s="312" t="s">
        <v>1092</v>
      </c>
      <c r="E2026" s="312" t="s">
        <v>392</v>
      </c>
      <c r="F2026" s="311" t="s">
        <v>396</v>
      </c>
      <c r="G2026" s="312" t="s">
        <v>4130</v>
      </c>
      <c r="H2026" s="312" t="s">
        <v>4131</v>
      </c>
      <c r="I2026" s="313">
        <v>11776.86</v>
      </c>
    </row>
    <row r="2027" spans="1:10" x14ac:dyDescent="0.2">
      <c r="A2027" s="321">
        <v>2026</v>
      </c>
      <c r="B2027" s="320">
        <v>43621</v>
      </c>
      <c r="C2027" s="320">
        <v>43642</v>
      </c>
      <c r="D2027" s="312" t="s">
        <v>1092</v>
      </c>
      <c r="E2027" s="312" t="s">
        <v>392</v>
      </c>
      <c r="F2027" s="311" t="s">
        <v>71</v>
      </c>
      <c r="G2027" s="312" t="s">
        <v>4132</v>
      </c>
      <c r="H2027" s="312" t="s">
        <v>4133</v>
      </c>
      <c r="I2027" s="313">
        <v>6289.62</v>
      </c>
    </row>
    <row r="2028" spans="1:10" x14ac:dyDescent="0.2">
      <c r="A2028" s="321">
        <v>2027</v>
      </c>
      <c r="B2028" s="320">
        <v>43621</v>
      </c>
      <c r="C2028" s="320">
        <v>43642</v>
      </c>
      <c r="D2028" s="312" t="s">
        <v>1092</v>
      </c>
      <c r="E2028" s="312" t="s">
        <v>392</v>
      </c>
      <c r="F2028" s="311" t="s">
        <v>1272</v>
      </c>
      <c r="G2028" s="312" t="s">
        <v>4134</v>
      </c>
      <c r="H2028" s="312" t="s">
        <v>4135</v>
      </c>
      <c r="I2028" s="313">
        <v>7320</v>
      </c>
    </row>
    <row r="2029" spans="1:10" x14ac:dyDescent="0.2">
      <c r="A2029" s="321">
        <v>2028</v>
      </c>
      <c r="B2029" s="320">
        <v>43621</v>
      </c>
      <c r="C2029" s="320">
        <v>43642</v>
      </c>
      <c r="D2029" s="312" t="s">
        <v>1092</v>
      </c>
      <c r="E2029" s="312" t="s">
        <v>392</v>
      </c>
      <c r="F2029" s="311" t="s">
        <v>1272</v>
      </c>
      <c r="G2029" s="312" t="s">
        <v>4136</v>
      </c>
      <c r="H2029" s="312" t="s">
        <v>4137</v>
      </c>
      <c r="I2029" s="313">
        <v>5280</v>
      </c>
    </row>
    <row r="2030" spans="1:10" x14ac:dyDescent="0.2">
      <c r="A2030" s="321">
        <v>2029</v>
      </c>
      <c r="B2030" s="320">
        <v>43622</v>
      </c>
      <c r="C2030" s="320">
        <v>43649</v>
      </c>
      <c r="D2030" s="312" t="s">
        <v>1092</v>
      </c>
      <c r="E2030" s="312" t="s">
        <v>422</v>
      </c>
      <c r="F2030" s="311" t="s">
        <v>71</v>
      </c>
      <c r="G2030" s="312" t="s">
        <v>4138</v>
      </c>
      <c r="H2030" s="312" t="s">
        <v>4139</v>
      </c>
      <c r="I2030" s="313">
        <v>2800</v>
      </c>
    </row>
    <row r="2031" spans="1:10" x14ac:dyDescent="0.2">
      <c r="A2031" s="321">
        <v>2030</v>
      </c>
      <c r="B2031" s="320">
        <v>43622</v>
      </c>
      <c r="C2031" s="320">
        <v>43647</v>
      </c>
      <c r="D2031" s="312" t="s">
        <v>1092</v>
      </c>
      <c r="E2031" s="312" t="s">
        <v>422</v>
      </c>
      <c r="F2031" s="311" t="s">
        <v>396</v>
      </c>
      <c r="G2031" s="312" t="s">
        <v>4140</v>
      </c>
      <c r="H2031" s="312" t="s">
        <v>4141</v>
      </c>
      <c r="I2031" s="313">
        <v>38984</v>
      </c>
    </row>
    <row r="2032" spans="1:10" x14ac:dyDescent="0.2">
      <c r="A2032" s="321">
        <v>2031</v>
      </c>
      <c r="B2032" s="320">
        <v>43622</v>
      </c>
      <c r="C2032" s="320">
        <v>43649</v>
      </c>
      <c r="D2032" s="312" t="s">
        <v>1092</v>
      </c>
      <c r="E2032" s="312" t="s">
        <v>422</v>
      </c>
      <c r="F2032" s="311" t="s">
        <v>396</v>
      </c>
      <c r="G2032" s="312" t="s">
        <v>4142</v>
      </c>
      <c r="H2032" s="312" t="s">
        <v>4143</v>
      </c>
      <c r="I2032" s="313">
        <v>10920</v>
      </c>
    </row>
    <row r="2033" spans="1:10" x14ac:dyDescent="0.2">
      <c r="A2033" s="321">
        <v>2032</v>
      </c>
      <c r="B2033" s="320">
        <v>43627</v>
      </c>
      <c r="C2033" s="320">
        <v>43642</v>
      </c>
      <c r="D2033" s="312" t="s">
        <v>1092</v>
      </c>
      <c r="E2033" s="312" t="s">
        <v>422</v>
      </c>
      <c r="F2033" s="311" t="s">
        <v>396</v>
      </c>
      <c r="G2033" s="312" t="s">
        <v>4144</v>
      </c>
      <c r="H2033" s="312" t="s">
        <v>4145</v>
      </c>
      <c r="I2033" s="313">
        <v>154800</v>
      </c>
    </row>
    <row r="2034" spans="1:10" x14ac:dyDescent="0.2">
      <c r="A2034" s="321">
        <v>2033</v>
      </c>
      <c r="B2034" s="320">
        <v>43627</v>
      </c>
      <c r="C2034" s="320">
        <v>43642</v>
      </c>
      <c r="D2034" s="312" t="s">
        <v>1092</v>
      </c>
      <c r="E2034" s="312" t="s">
        <v>422</v>
      </c>
      <c r="F2034" s="311" t="s">
        <v>396</v>
      </c>
      <c r="G2034" s="312" t="s">
        <v>4146</v>
      </c>
      <c r="H2034" s="312" t="s">
        <v>4147</v>
      </c>
      <c r="I2034" s="313">
        <v>30960</v>
      </c>
    </row>
    <row r="2035" spans="1:10" x14ac:dyDescent="0.2">
      <c r="A2035" s="321">
        <v>2034</v>
      </c>
      <c r="B2035" s="320">
        <v>43627</v>
      </c>
      <c r="C2035" s="320">
        <v>43642</v>
      </c>
      <c r="D2035" s="312" t="s">
        <v>1092</v>
      </c>
      <c r="E2035" s="312" t="s">
        <v>422</v>
      </c>
      <c r="F2035" s="311" t="s">
        <v>71</v>
      </c>
      <c r="G2035" s="312" t="s">
        <v>4148</v>
      </c>
      <c r="H2035" s="312" t="s">
        <v>4149</v>
      </c>
      <c r="I2035" s="313">
        <v>28451.79</v>
      </c>
    </row>
    <row r="2036" spans="1:10" x14ac:dyDescent="0.2">
      <c r="A2036" s="321">
        <v>2035</v>
      </c>
      <c r="B2036" s="320">
        <v>43628</v>
      </c>
      <c r="C2036" s="320">
        <v>43647</v>
      </c>
      <c r="D2036" s="312" t="s">
        <v>1092</v>
      </c>
      <c r="E2036" s="312" t="s">
        <v>422</v>
      </c>
      <c r="F2036" s="311" t="s">
        <v>396</v>
      </c>
      <c r="G2036" s="312" t="s">
        <v>4150</v>
      </c>
      <c r="H2036" s="312" t="s">
        <v>4151</v>
      </c>
      <c r="I2036" s="313">
        <v>11880</v>
      </c>
    </row>
    <row r="2037" spans="1:10" x14ac:dyDescent="0.2">
      <c r="A2037" s="321">
        <v>2036</v>
      </c>
      <c r="B2037" s="320">
        <v>43628</v>
      </c>
      <c r="C2037" s="320">
        <v>43647</v>
      </c>
      <c r="D2037" s="312" t="s">
        <v>1092</v>
      </c>
      <c r="E2037" s="312" t="s">
        <v>422</v>
      </c>
      <c r="F2037" s="311" t="s">
        <v>71</v>
      </c>
      <c r="G2037" s="312" t="s">
        <v>4152</v>
      </c>
      <c r="H2037" s="312" t="s">
        <v>4153</v>
      </c>
      <c r="I2037" s="313">
        <v>4249.3900000000003</v>
      </c>
    </row>
    <row r="2038" spans="1:10" x14ac:dyDescent="0.2">
      <c r="A2038" s="321">
        <v>2037</v>
      </c>
      <c r="B2038" s="320">
        <v>43628</v>
      </c>
      <c r="C2038" s="320">
        <v>43647</v>
      </c>
      <c r="D2038" s="312" t="s">
        <v>1092</v>
      </c>
      <c r="E2038" s="312" t="s">
        <v>422</v>
      </c>
      <c r="F2038" s="311" t="s">
        <v>396</v>
      </c>
      <c r="G2038" s="312" t="s">
        <v>4154</v>
      </c>
      <c r="H2038" s="312" t="s">
        <v>4155</v>
      </c>
      <c r="I2038" s="313">
        <v>24358.400000000001</v>
      </c>
    </row>
    <row r="2039" spans="1:10" x14ac:dyDescent="0.2">
      <c r="A2039" s="321">
        <v>2038</v>
      </c>
      <c r="B2039" s="320">
        <v>43628</v>
      </c>
      <c r="C2039" s="320">
        <v>43647</v>
      </c>
      <c r="D2039" s="312" t="s">
        <v>1092</v>
      </c>
      <c r="E2039" s="312" t="s">
        <v>422</v>
      </c>
      <c r="F2039" s="311" t="s">
        <v>396</v>
      </c>
      <c r="G2039" s="312" t="s">
        <v>4156</v>
      </c>
      <c r="H2039" s="312" t="s">
        <v>4157</v>
      </c>
      <c r="I2039" s="313">
        <v>3240</v>
      </c>
    </row>
    <row r="2040" spans="1:10" x14ac:dyDescent="0.2">
      <c r="A2040" s="321">
        <v>2039</v>
      </c>
      <c r="B2040" s="320">
        <v>43628</v>
      </c>
      <c r="C2040" s="320">
        <v>43647</v>
      </c>
      <c r="D2040" s="312" t="s">
        <v>1092</v>
      </c>
      <c r="E2040" s="312" t="s">
        <v>422</v>
      </c>
      <c r="F2040" s="311" t="s">
        <v>71</v>
      </c>
      <c r="G2040" s="312" t="s">
        <v>4158</v>
      </c>
      <c r="H2040" s="312" t="s">
        <v>4159</v>
      </c>
      <c r="I2040" s="313">
        <v>4467.6099999999997</v>
      </c>
    </row>
    <row r="2041" spans="1:10" x14ac:dyDescent="0.2">
      <c r="A2041" s="321">
        <v>2040</v>
      </c>
      <c r="B2041" s="320">
        <v>43629</v>
      </c>
      <c r="C2041" s="320">
        <v>43647</v>
      </c>
      <c r="D2041" s="312" t="s">
        <v>1092</v>
      </c>
      <c r="E2041" s="312" t="s">
        <v>392</v>
      </c>
      <c r="F2041" s="311" t="s">
        <v>9</v>
      </c>
      <c r="G2041" s="312" t="s">
        <v>3855</v>
      </c>
      <c r="H2041" s="312" t="s">
        <v>3856</v>
      </c>
      <c r="I2041" s="313">
        <v>202788.09</v>
      </c>
    </row>
    <row r="2042" spans="1:10" x14ac:dyDescent="0.2">
      <c r="A2042" s="321">
        <v>2041</v>
      </c>
      <c r="B2042" s="320">
        <v>43629</v>
      </c>
      <c r="C2042" s="320">
        <v>43647</v>
      </c>
      <c r="D2042" s="312" t="s">
        <v>1092</v>
      </c>
      <c r="E2042" s="312" t="s">
        <v>422</v>
      </c>
      <c r="F2042" s="311" t="s">
        <v>396</v>
      </c>
      <c r="G2042" s="312" t="s">
        <v>4161</v>
      </c>
      <c r="H2042" s="312" t="s">
        <v>4162</v>
      </c>
      <c r="I2042" s="313">
        <v>4800</v>
      </c>
    </row>
    <row r="2043" spans="1:10" x14ac:dyDescent="0.2">
      <c r="A2043" s="321">
        <v>2042</v>
      </c>
      <c r="B2043" s="320">
        <v>43630</v>
      </c>
      <c r="C2043" s="320">
        <v>43647</v>
      </c>
      <c r="D2043" s="312" t="s">
        <v>1092</v>
      </c>
      <c r="E2043" s="312" t="s">
        <v>392</v>
      </c>
      <c r="F2043" s="311" t="s">
        <v>71</v>
      </c>
      <c r="G2043" s="312" t="s">
        <v>4163</v>
      </c>
      <c r="H2043" s="312" t="s">
        <v>4164</v>
      </c>
      <c r="I2043" s="313">
        <v>9588.2999999999993</v>
      </c>
    </row>
    <row r="2044" spans="1:10" x14ac:dyDescent="0.2">
      <c r="A2044" s="321">
        <v>2043</v>
      </c>
      <c r="B2044" s="320">
        <v>43633</v>
      </c>
      <c r="C2044" s="320">
        <v>43712</v>
      </c>
      <c r="D2044" s="312" t="s">
        <v>1092</v>
      </c>
      <c r="E2044" s="312" t="s">
        <v>392</v>
      </c>
      <c r="F2044" s="311" t="s">
        <v>9</v>
      </c>
      <c r="G2044" s="312" t="s">
        <v>4165</v>
      </c>
      <c r="H2044" s="312" t="s">
        <v>4166</v>
      </c>
      <c r="I2044" s="313">
        <v>464696</v>
      </c>
      <c r="J2044" s="326" t="s">
        <v>4069</v>
      </c>
    </row>
    <row r="2045" spans="1:10" x14ac:dyDescent="0.2">
      <c r="A2045" s="321">
        <v>2044</v>
      </c>
      <c r="B2045" s="320">
        <v>43635</v>
      </c>
      <c r="C2045" s="320">
        <v>43651</v>
      </c>
      <c r="D2045" s="312" t="s">
        <v>1092</v>
      </c>
      <c r="E2045" s="312" t="s">
        <v>422</v>
      </c>
      <c r="F2045" s="311" t="s">
        <v>396</v>
      </c>
      <c r="G2045" s="312" t="s">
        <v>4167</v>
      </c>
      <c r="H2045" s="312" t="s">
        <v>4168</v>
      </c>
      <c r="I2045" s="313">
        <v>127982.2</v>
      </c>
    </row>
    <row r="2046" spans="1:10" x14ac:dyDescent="0.2">
      <c r="A2046" s="321">
        <v>2045</v>
      </c>
      <c r="B2046" s="320">
        <v>43635</v>
      </c>
      <c r="C2046" s="320">
        <v>43654</v>
      </c>
      <c r="D2046" s="312" t="s">
        <v>1092</v>
      </c>
      <c r="E2046" s="312" t="s">
        <v>422</v>
      </c>
      <c r="F2046" s="311" t="s">
        <v>396</v>
      </c>
      <c r="G2046" s="312" t="s">
        <v>4169</v>
      </c>
      <c r="H2046" s="312" t="s">
        <v>4170</v>
      </c>
      <c r="I2046" s="313">
        <v>63000</v>
      </c>
    </row>
    <row r="2047" spans="1:10" x14ac:dyDescent="0.2">
      <c r="A2047" s="321">
        <v>2046</v>
      </c>
      <c r="B2047" s="320">
        <v>43636</v>
      </c>
      <c r="C2047" s="320">
        <v>43654</v>
      </c>
      <c r="D2047" s="312" t="s">
        <v>1092</v>
      </c>
      <c r="E2047" s="312" t="s">
        <v>422</v>
      </c>
      <c r="F2047" s="311" t="s">
        <v>701</v>
      </c>
      <c r="G2047" s="312" t="s">
        <v>4171</v>
      </c>
      <c r="H2047" s="312" t="s">
        <v>4172</v>
      </c>
      <c r="I2047" s="313">
        <v>110800</v>
      </c>
    </row>
    <row r="2048" spans="1:10" x14ac:dyDescent="0.2">
      <c r="A2048" s="321">
        <v>2047</v>
      </c>
      <c r="B2048" s="320">
        <v>43637</v>
      </c>
      <c r="C2048" s="320">
        <v>43654</v>
      </c>
      <c r="D2048" s="312" t="s">
        <v>1092</v>
      </c>
      <c r="E2048" s="312" t="s">
        <v>392</v>
      </c>
      <c r="F2048" s="311" t="s">
        <v>71</v>
      </c>
      <c r="G2048" s="312" t="s">
        <v>4173</v>
      </c>
      <c r="H2048" s="312" t="s">
        <v>4174</v>
      </c>
      <c r="I2048" s="313">
        <v>5819.86</v>
      </c>
    </row>
    <row r="2049" spans="1:10" x14ac:dyDescent="0.2">
      <c r="A2049" s="321">
        <v>2048</v>
      </c>
      <c r="B2049" s="320">
        <v>43637</v>
      </c>
      <c r="C2049" s="320">
        <v>43663</v>
      </c>
      <c r="D2049" s="312" t="s">
        <v>1092</v>
      </c>
      <c r="E2049" s="312" t="s">
        <v>422</v>
      </c>
      <c r="F2049" s="311" t="s">
        <v>701</v>
      </c>
      <c r="G2049" s="312" t="s">
        <v>4175</v>
      </c>
      <c r="H2049" s="312" t="s">
        <v>4176</v>
      </c>
      <c r="I2049" s="313">
        <v>76800</v>
      </c>
      <c r="J2049" s="326" t="s">
        <v>4069</v>
      </c>
    </row>
    <row r="2050" spans="1:10" x14ac:dyDescent="0.2">
      <c r="A2050" s="321">
        <v>2049</v>
      </c>
      <c r="B2050" s="320">
        <v>43648</v>
      </c>
      <c r="C2050" s="320">
        <v>43663</v>
      </c>
      <c r="D2050" s="312" t="s">
        <v>1092</v>
      </c>
      <c r="E2050" s="312" t="s">
        <v>422</v>
      </c>
      <c r="F2050" s="311" t="s">
        <v>701</v>
      </c>
      <c r="G2050" s="312" t="s">
        <v>4177</v>
      </c>
      <c r="H2050" s="312" t="s">
        <v>4178</v>
      </c>
      <c r="I2050" s="313">
        <v>13738.65</v>
      </c>
    </row>
    <row r="2051" spans="1:10" x14ac:dyDescent="0.2">
      <c r="A2051" s="321">
        <v>2050</v>
      </c>
      <c r="B2051" s="320">
        <v>43647</v>
      </c>
      <c r="C2051" s="320">
        <v>43663</v>
      </c>
      <c r="D2051" s="312" t="s">
        <v>1092</v>
      </c>
      <c r="E2051" s="312" t="s">
        <v>422</v>
      </c>
      <c r="F2051" s="311" t="s">
        <v>701</v>
      </c>
      <c r="G2051" s="312" t="s">
        <v>4179</v>
      </c>
      <c r="H2051" s="312" t="s">
        <v>4180</v>
      </c>
      <c r="I2051" s="313">
        <v>33329.69</v>
      </c>
    </row>
    <row r="2052" spans="1:10" x14ac:dyDescent="0.2">
      <c r="A2052" s="321">
        <v>2051</v>
      </c>
      <c r="B2052" s="320">
        <v>43654</v>
      </c>
      <c r="C2052" s="320">
        <v>43710</v>
      </c>
      <c r="D2052" s="312" t="s">
        <v>1092</v>
      </c>
      <c r="E2052" s="312" t="s">
        <v>392</v>
      </c>
      <c r="F2052" s="311" t="s">
        <v>9</v>
      </c>
      <c r="G2052" s="312" t="s">
        <v>4181</v>
      </c>
      <c r="H2052" s="312" t="s">
        <v>4182</v>
      </c>
      <c r="I2052" s="313">
        <v>62181.8</v>
      </c>
    </row>
    <row r="2053" spans="1:10" x14ac:dyDescent="0.2">
      <c r="A2053" s="321">
        <v>2052</v>
      </c>
      <c r="B2053" s="320">
        <v>43657</v>
      </c>
      <c r="C2053" s="320">
        <v>43710</v>
      </c>
      <c r="D2053" s="312" t="s">
        <v>1092</v>
      </c>
      <c r="E2053" s="312" t="s">
        <v>422</v>
      </c>
      <c r="F2053" s="311" t="s">
        <v>396</v>
      </c>
      <c r="G2053" s="312" t="s">
        <v>4183</v>
      </c>
      <c r="H2053" s="312" t="s">
        <v>4186</v>
      </c>
      <c r="I2053" s="313">
        <v>195840</v>
      </c>
    </row>
    <row r="2054" spans="1:10" x14ac:dyDescent="0.2">
      <c r="A2054" s="321">
        <v>2053</v>
      </c>
      <c r="B2054" s="320">
        <v>43657</v>
      </c>
      <c r="C2054" s="320">
        <v>43712</v>
      </c>
      <c r="D2054" s="312" t="s">
        <v>1092</v>
      </c>
      <c r="E2054" s="312" t="s">
        <v>422</v>
      </c>
      <c r="F2054" s="311" t="s">
        <v>396</v>
      </c>
      <c r="G2054" s="312" t="s">
        <v>4184</v>
      </c>
      <c r="H2054" s="312" t="s">
        <v>4187</v>
      </c>
      <c r="I2054" s="313">
        <v>39000</v>
      </c>
    </row>
    <row r="2055" spans="1:10" x14ac:dyDescent="0.2">
      <c r="A2055" s="321">
        <v>2054</v>
      </c>
      <c r="B2055" s="320">
        <v>43657</v>
      </c>
      <c r="C2055" s="320">
        <v>43712</v>
      </c>
      <c r="D2055" s="312" t="s">
        <v>1092</v>
      </c>
      <c r="E2055" s="312" t="s">
        <v>422</v>
      </c>
      <c r="F2055" s="311" t="s">
        <v>71</v>
      </c>
      <c r="G2055" s="312" t="s">
        <v>4185</v>
      </c>
      <c r="H2055" s="312" t="s">
        <v>4188</v>
      </c>
      <c r="I2055" s="313">
        <v>26074.41</v>
      </c>
    </row>
    <row r="2056" spans="1:10" x14ac:dyDescent="0.2">
      <c r="A2056" s="321">
        <v>2055</v>
      </c>
      <c r="B2056" s="320">
        <v>43662</v>
      </c>
      <c r="C2056" s="320">
        <v>43710</v>
      </c>
      <c r="D2056" s="312" t="s">
        <v>1092</v>
      </c>
      <c r="E2056" s="312" t="s">
        <v>422</v>
      </c>
      <c r="F2056" s="311" t="s">
        <v>701</v>
      </c>
      <c r="G2056" s="312" t="s">
        <v>4189</v>
      </c>
      <c r="H2056" s="312" t="s">
        <v>4190</v>
      </c>
      <c r="I2056" s="313">
        <v>19000</v>
      </c>
    </row>
    <row r="2057" spans="1:10" x14ac:dyDescent="0.2">
      <c r="A2057" s="321">
        <v>2056</v>
      </c>
      <c r="B2057" s="320">
        <v>43662</v>
      </c>
      <c r="C2057" s="320">
        <v>43710</v>
      </c>
      <c r="D2057" s="312" t="s">
        <v>1092</v>
      </c>
      <c r="E2057" s="312" t="s">
        <v>392</v>
      </c>
      <c r="F2057" s="311" t="s">
        <v>2224</v>
      </c>
      <c r="G2057" s="312" t="s">
        <v>4191</v>
      </c>
      <c r="H2057" s="312" t="s">
        <v>4192</v>
      </c>
      <c r="I2057" s="313">
        <v>21212.12</v>
      </c>
    </row>
    <row r="2058" spans="1:10" x14ac:dyDescent="0.2">
      <c r="A2058" s="321">
        <v>2057</v>
      </c>
      <c r="B2058" s="320">
        <v>43663</v>
      </c>
      <c r="C2058" s="320">
        <v>43717</v>
      </c>
      <c r="D2058" s="312" t="s">
        <v>1092</v>
      </c>
      <c r="E2058" s="312" t="s">
        <v>392</v>
      </c>
      <c r="F2058" s="311" t="s">
        <v>71</v>
      </c>
      <c r="G2058" s="312" t="s">
        <v>4193</v>
      </c>
      <c r="H2058" s="312" t="s">
        <v>4194</v>
      </c>
      <c r="I2058" s="313">
        <v>87792.41</v>
      </c>
    </row>
    <row r="2059" spans="1:10" x14ac:dyDescent="0.2">
      <c r="A2059" s="321">
        <v>2058</v>
      </c>
      <c r="B2059" s="320">
        <v>43663</v>
      </c>
      <c r="C2059" s="320">
        <v>43717</v>
      </c>
      <c r="D2059" s="312" t="s">
        <v>1092</v>
      </c>
      <c r="E2059" s="312" t="s">
        <v>392</v>
      </c>
      <c r="F2059" s="311" t="s">
        <v>393</v>
      </c>
      <c r="G2059" s="312" t="s">
        <v>4195</v>
      </c>
      <c r="H2059" s="312" t="s">
        <v>4196</v>
      </c>
      <c r="I2059" s="313">
        <v>186000</v>
      </c>
    </row>
    <row r="2060" spans="1:10" x14ac:dyDescent="0.2">
      <c r="A2060" s="321">
        <v>2059</v>
      </c>
      <c r="B2060" s="320">
        <v>43663</v>
      </c>
      <c r="C2060" s="320">
        <v>43717</v>
      </c>
      <c r="D2060" s="312" t="s">
        <v>1092</v>
      </c>
      <c r="E2060" s="312" t="s">
        <v>392</v>
      </c>
      <c r="F2060" s="311" t="s">
        <v>393</v>
      </c>
      <c r="G2060" s="312" t="s">
        <v>4197</v>
      </c>
      <c r="H2060" s="312" t="s">
        <v>4198</v>
      </c>
      <c r="I2060" s="313">
        <v>55800</v>
      </c>
    </row>
    <row r="2061" spans="1:10" x14ac:dyDescent="0.2">
      <c r="A2061" s="321">
        <v>2060</v>
      </c>
      <c r="B2061" s="320">
        <v>43664</v>
      </c>
      <c r="C2061" s="320">
        <v>43710</v>
      </c>
      <c r="D2061" s="312" t="s">
        <v>1092</v>
      </c>
      <c r="E2061" s="312" t="s">
        <v>422</v>
      </c>
      <c r="F2061" s="311" t="s">
        <v>701</v>
      </c>
      <c r="G2061" s="312" t="s">
        <v>4199</v>
      </c>
      <c r="H2061" s="312" t="s">
        <v>3771</v>
      </c>
      <c r="I2061" s="313">
        <v>25000</v>
      </c>
    </row>
    <row r="2062" spans="1:10" x14ac:dyDescent="0.2">
      <c r="A2062" s="321">
        <v>2061</v>
      </c>
      <c r="B2062" s="320">
        <v>43664</v>
      </c>
      <c r="C2062" s="320">
        <v>43712</v>
      </c>
      <c r="D2062" s="312" t="s">
        <v>1092</v>
      </c>
      <c r="E2062" s="312" t="s">
        <v>422</v>
      </c>
      <c r="F2062" s="311" t="s">
        <v>701</v>
      </c>
      <c r="G2062" s="312" t="s">
        <v>4200</v>
      </c>
      <c r="H2062" s="312" t="s">
        <v>4201</v>
      </c>
      <c r="I2062" s="313">
        <v>55000</v>
      </c>
    </row>
    <row r="2063" spans="1:10" x14ac:dyDescent="0.2">
      <c r="A2063" s="321">
        <v>2062</v>
      </c>
      <c r="B2063" s="320">
        <v>43664</v>
      </c>
      <c r="C2063" s="320">
        <v>43717</v>
      </c>
      <c r="D2063" s="312" t="s">
        <v>1092</v>
      </c>
      <c r="E2063" s="312" t="s">
        <v>4202</v>
      </c>
      <c r="F2063" s="311" t="s">
        <v>701</v>
      </c>
      <c r="G2063" s="312" t="s">
        <v>4203</v>
      </c>
      <c r="H2063" s="312" t="s">
        <v>4204</v>
      </c>
      <c r="I2063" s="313">
        <v>206200</v>
      </c>
    </row>
    <row r="2064" spans="1:10" x14ac:dyDescent="0.2">
      <c r="A2064" s="321">
        <v>2063</v>
      </c>
      <c r="B2064" s="320">
        <v>43665</v>
      </c>
      <c r="C2064" s="320">
        <v>43733</v>
      </c>
      <c r="D2064" s="312" t="s">
        <v>1092</v>
      </c>
      <c r="E2064" s="312" t="s">
        <v>392</v>
      </c>
      <c r="F2064" s="311" t="s">
        <v>9</v>
      </c>
      <c r="G2064" s="312" t="s">
        <v>4205</v>
      </c>
      <c r="H2064" s="312" t="s">
        <v>4206</v>
      </c>
      <c r="I2064" s="313">
        <v>1170701</v>
      </c>
    </row>
    <row r="2065" spans="1:10" x14ac:dyDescent="0.2">
      <c r="A2065" s="321">
        <v>2064</v>
      </c>
      <c r="B2065" s="322">
        <v>43665</v>
      </c>
      <c r="C2065" s="322">
        <v>43712</v>
      </c>
      <c r="D2065" s="319" t="s">
        <v>1092</v>
      </c>
      <c r="E2065" s="319" t="s">
        <v>422</v>
      </c>
      <c r="F2065" s="317" t="s">
        <v>1285</v>
      </c>
      <c r="G2065" s="319" t="s">
        <v>4207</v>
      </c>
      <c r="H2065" s="319" t="s">
        <v>4208</v>
      </c>
      <c r="I2065" s="323">
        <v>32500</v>
      </c>
      <c r="J2065" s="328" t="s">
        <v>4307</v>
      </c>
    </row>
    <row r="2066" spans="1:10" x14ac:dyDescent="0.2">
      <c r="A2066" s="321">
        <v>2065</v>
      </c>
      <c r="B2066" s="320">
        <v>43668</v>
      </c>
      <c r="C2066" s="320">
        <v>43717</v>
      </c>
      <c r="D2066" s="312" t="s">
        <v>1092</v>
      </c>
      <c r="E2066" s="312" t="s">
        <v>422</v>
      </c>
      <c r="F2066" s="311" t="s">
        <v>396</v>
      </c>
      <c r="G2066" s="312" t="s">
        <v>4209</v>
      </c>
      <c r="H2066" s="312" t="s">
        <v>4210</v>
      </c>
      <c r="I2066" s="313">
        <v>110466.67</v>
      </c>
    </row>
    <row r="2067" spans="1:10" x14ac:dyDescent="0.2">
      <c r="A2067" s="321">
        <v>2066</v>
      </c>
      <c r="B2067" s="320">
        <v>43668</v>
      </c>
      <c r="C2067" s="320">
        <v>43724</v>
      </c>
      <c r="D2067" s="312" t="s">
        <v>1092</v>
      </c>
      <c r="E2067" s="312" t="s">
        <v>422</v>
      </c>
      <c r="F2067" s="311" t="s">
        <v>396</v>
      </c>
      <c r="G2067" s="312" t="s">
        <v>4211</v>
      </c>
      <c r="H2067" s="312" t="s">
        <v>4212</v>
      </c>
      <c r="I2067" s="313">
        <v>27000</v>
      </c>
    </row>
    <row r="2068" spans="1:10" x14ac:dyDescent="0.2">
      <c r="A2068" s="321">
        <v>2067</v>
      </c>
      <c r="B2068" s="320">
        <v>43668</v>
      </c>
      <c r="C2068" s="320">
        <v>43717</v>
      </c>
      <c r="D2068" s="312" t="s">
        <v>1092</v>
      </c>
      <c r="E2068" s="312" t="s">
        <v>422</v>
      </c>
      <c r="F2068" s="311" t="s">
        <v>71</v>
      </c>
      <c r="G2068" s="312" t="s">
        <v>4213</v>
      </c>
      <c r="H2068" s="312" t="s">
        <v>4214</v>
      </c>
      <c r="I2068" s="313">
        <v>69341.679999999993</v>
      </c>
    </row>
    <row r="2069" spans="1:10" x14ac:dyDescent="0.2">
      <c r="A2069" s="321">
        <v>2068</v>
      </c>
      <c r="B2069" s="320">
        <v>43669</v>
      </c>
      <c r="C2069" s="320">
        <v>43712</v>
      </c>
      <c r="D2069" s="312" t="s">
        <v>1092</v>
      </c>
      <c r="E2069" s="312" t="s">
        <v>422</v>
      </c>
      <c r="F2069" s="311" t="s">
        <v>701</v>
      </c>
      <c r="G2069" s="312" t="s">
        <v>4215</v>
      </c>
      <c r="H2069" s="312" t="s">
        <v>4216</v>
      </c>
      <c r="I2069" s="313">
        <v>22000</v>
      </c>
    </row>
    <row r="2070" spans="1:10" x14ac:dyDescent="0.2">
      <c r="A2070" s="321">
        <v>2069</v>
      </c>
      <c r="B2070" s="322">
        <v>43670</v>
      </c>
      <c r="C2070" s="322">
        <v>43712</v>
      </c>
      <c r="D2070" s="319" t="s">
        <v>1092</v>
      </c>
      <c r="E2070" s="319" t="s">
        <v>392</v>
      </c>
      <c r="F2070" s="319" t="s">
        <v>9</v>
      </c>
      <c r="G2070" s="319" t="s">
        <v>4217</v>
      </c>
      <c r="H2070" s="319" t="s">
        <v>4218</v>
      </c>
      <c r="I2070" s="323">
        <v>149481.82</v>
      </c>
      <c r="J2070" s="328" t="s">
        <v>4398</v>
      </c>
    </row>
    <row r="2071" spans="1:10" x14ac:dyDescent="0.2">
      <c r="A2071" s="321">
        <v>2070</v>
      </c>
      <c r="B2071" s="320">
        <v>43671</v>
      </c>
      <c r="C2071" s="320">
        <v>43724</v>
      </c>
      <c r="D2071" s="312" t="s">
        <v>1092</v>
      </c>
      <c r="E2071" s="312" t="s">
        <v>392</v>
      </c>
      <c r="F2071" s="312" t="s">
        <v>9</v>
      </c>
      <c r="G2071" s="312" t="s">
        <v>4219</v>
      </c>
      <c r="H2071" s="312" t="s">
        <v>4220</v>
      </c>
      <c r="I2071" s="313">
        <v>85300.6</v>
      </c>
    </row>
    <row r="2072" spans="1:10" x14ac:dyDescent="0.2">
      <c r="A2072" s="321">
        <v>2071</v>
      </c>
      <c r="B2072" s="320">
        <v>43671</v>
      </c>
      <c r="C2072" s="320">
        <v>43745</v>
      </c>
      <c r="D2072" s="312" t="s">
        <v>1092</v>
      </c>
      <c r="E2072" s="312" t="s">
        <v>422</v>
      </c>
      <c r="F2072" s="312" t="s">
        <v>701</v>
      </c>
      <c r="G2072" s="312" t="s">
        <v>4221</v>
      </c>
      <c r="H2072" s="312" t="s">
        <v>4222</v>
      </c>
      <c r="I2072" s="313">
        <v>3554397</v>
      </c>
      <c r="J2072" s="178" t="s">
        <v>4069</v>
      </c>
    </row>
    <row r="2073" spans="1:10" x14ac:dyDescent="0.2">
      <c r="A2073" s="321">
        <v>2072</v>
      </c>
      <c r="B2073" s="320">
        <v>43671</v>
      </c>
      <c r="C2073" s="320">
        <v>43712</v>
      </c>
      <c r="D2073" s="312" t="s">
        <v>1092</v>
      </c>
      <c r="E2073" s="312" t="s">
        <v>422</v>
      </c>
      <c r="F2073" s="312" t="s">
        <v>701</v>
      </c>
      <c r="G2073" s="312" t="s">
        <v>4223</v>
      </c>
      <c r="H2073" s="312" t="s">
        <v>4224</v>
      </c>
      <c r="I2073" s="313">
        <v>25500</v>
      </c>
    </row>
    <row r="2074" spans="1:10" x14ac:dyDescent="0.2">
      <c r="A2074" s="321">
        <v>2073</v>
      </c>
      <c r="B2074" s="320">
        <v>43671</v>
      </c>
      <c r="C2074" s="320">
        <v>43712</v>
      </c>
      <c r="D2074" s="312" t="s">
        <v>1092</v>
      </c>
      <c r="E2074" s="312" t="s">
        <v>422</v>
      </c>
      <c r="F2074" s="312" t="s">
        <v>701</v>
      </c>
      <c r="G2074" s="312" t="s">
        <v>4225</v>
      </c>
      <c r="H2074" s="312" t="s">
        <v>4226</v>
      </c>
      <c r="I2074" s="313">
        <v>82800</v>
      </c>
    </row>
    <row r="2075" spans="1:10" x14ac:dyDescent="0.2">
      <c r="A2075" s="321">
        <v>2074</v>
      </c>
      <c r="B2075" s="320">
        <v>43671</v>
      </c>
      <c r="C2075" s="320">
        <v>43712</v>
      </c>
      <c r="D2075" s="312" t="s">
        <v>1092</v>
      </c>
      <c r="E2075" s="312" t="s">
        <v>422</v>
      </c>
      <c r="F2075" s="312" t="s">
        <v>701</v>
      </c>
      <c r="G2075" s="312" t="s">
        <v>4227</v>
      </c>
      <c r="H2075" s="312" t="s">
        <v>4228</v>
      </c>
      <c r="I2075" s="313">
        <v>71500</v>
      </c>
    </row>
    <row r="2076" spans="1:10" x14ac:dyDescent="0.2">
      <c r="A2076" s="321">
        <v>2075</v>
      </c>
      <c r="B2076" s="320">
        <v>43671</v>
      </c>
      <c r="C2076" s="320">
        <v>43712</v>
      </c>
      <c r="D2076" s="312" t="s">
        <v>1092</v>
      </c>
      <c r="E2076" s="312" t="s">
        <v>422</v>
      </c>
      <c r="F2076" s="312" t="s">
        <v>701</v>
      </c>
      <c r="G2076" s="312" t="s">
        <v>4229</v>
      </c>
      <c r="H2076" s="312" t="s">
        <v>4230</v>
      </c>
      <c r="I2076" s="313">
        <v>63920</v>
      </c>
    </row>
    <row r="2077" spans="1:10" x14ac:dyDescent="0.2">
      <c r="A2077" s="321">
        <v>2076</v>
      </c>
      <c r="B2077" s="320">
        <v>43672</v>
      </c>
      <c r="C2077" s="320">
        <v>43717</v>
      </c>
      <c r="D2077" s="312" t="s">
        <v>1092</v>
      </c>
      <c r="E2077" s="312" t="s">
        <v>392</v>
      </c>
      <c r="F2077" s="312" t="s">
        <v>393</v>
      </c>
      <c r="G2077" s="312" t="s">
        <v>4231</v>
      </c>
      <c r="H2077" s="312" t="s">
        <v>4232</v>
      </c>
      <c r="I2077" s="313">
        <v>28200</v>
      </c>
    </row>
    <row r="2078" spans="1:10" x14ac:dyDescent="0.2">
      <c r="A2078" s="321">
        <v>2077</v>
      </c>
      <c r="B2078" s="322">
        <v>43672</v>
      </c>
      <c r="C2078" s="322">
        <v>43724</v>
      </c>
      <c r="D2078" s="319" t="s">
        <v>1092</v>
      </c>
      <c r="E2078" s="319" t="s">
        <v>422</v>
      </c>
      <c r="F2078" s="319" t="s">
        <v>396</v>
      </c>
      <c r="G2078" s="319" t="s">
        <v>4233</v>
      </c>
      <c r="H2078" s="319" t="s">
        <v>4234</v>
      </c>
      <c r="I2078" s="323">
        <v>3410</v>
      </c>
      <c r="J2078" s="328" t="s">
        <v>4302</v>
      </c>
    </row>
    <row r="2079" spans="1:10" x14ac:dyDescent="0.2">
      <c r="A2079" s="321">
        <v>2078</v>
      </c>
      <c r="B2079" s="320">
        <v>43672</v>
      </c>
      <c r="C2079" s="320">
        <v>43724</v>
      </c>
      <c r="D2079" s="312" t="s">
        <v>1092</v>
      </c>
      <c r="E2079" s="312" t="s">
        <v>422</v>
      </c>
      <c r="F2079" s="312" t="s">
        <v>71</v>
      </c>
      <c r="G2079" s="312" t="s">
        <v>4235</v>
      </c>
      <c r="H2079" s="312" t="s">
        <v>4236</v>
      </c>
      <c r="I2079" s="313">
        <v>1151.7</v>
      </c>
    </row>
    <row r="2080" spans="1:10" x14ac:dyDescent="0.2">
      <c r="A2080" s="321">
        <v>2079</v>
      </c>
      <c r="B2080" s="322">
        <v>43672</v>
      </c>
      <c r="C2080" s="322">
        <v>43717</v>
      </c>
      <c r="D2080" s="319" t="s">
        <v>1092</v>
      </c>
      <c r="E2080" s="319" t="s">
        <v>392</v>
      </c>
      <c r="F2080" s="319" t="s">
        <v>71</v>
      </c>
      <c r="G2080" s="319" t="s">
        <v>4237</v>
      </c>
      <c r="H2080" s="319" t="s">
        <v>4238</v>
      </c>
      <c r="I2080" s="323">
        <v>59258.02</v>
      </c>
      <c r="J2080" s="328" t="s">
        <v>4286</v>
      </c>
    </row>
    <row r="2081" spans="1:9" x14ac:dyDescent="0.2">
      <c r="A2081" s="321">
        <v>2080</v>
      </c>
      <c r="B2081" s="320">
        <v>43672</v>
      </c>
      <c r="C2081" s="320">
        <v>43717</v>
      </c>
      <c r="D2081" s="312" t="s">
        <v>1092</v>
      </c>
      <c r="E2081" s="312" t="s">
        <v>392</v>
      </c>
      <c r="F2081" s="312" t="s">
        <v>1272</v>
      </c>
      <c r="G2081" s="312" t="s">
        <v>4239</v>
      </c>
      <c r="H2081" s="312" t="s">
        <v>4240</v>
      </c>
      <c r="I2081" s="313">
        <v>94000</v>
      </c>
    </row>
    <row r="2082" spans="1:9" x14ac:dyDescent="0.2">
      <c r="A2082" s="321">
        <v>2081</v>
      </c>
      <c r="B2082" s="320">
        <v>43677</v>
      </c>
      <c r="C2082" s="320">
        <v>43724</v>
      </c>
      <c r="D2082" s="312" t="s">
        <v>1092</v>
      </c>
      <c r="E2082" s="312" t="s">
        <v>392</v>
      </c>
      <c r="F2082" s="312" t="s">
        <v>9</v>
      </c>
      <c r="G2082" s="312" t="s">
        <v>4241</v>
      </c>
      <c r="H2082" s="312" t="s">
        <v>4242</v>
      </c>
      <c r="I2082" s="313">
        <v>1700484.26</v>
      </c>
    </row>
    <row r="2083" spans="1:9" x14ac:dyDescent="0.2">
      <c r="A2083" s="321">
        <v>2082</v>
      </c>
      <c r="B2083" s="320">
        <v>43678</v>
      </c>
      <c r="C2083" s="320">
        <v>43710</v>
      </c>
      <c r="D2083" s="312" t="s">
        <v>1092</v>
      </c>
      <c r="E2083" s="312" t="s">
        <v>4244</v>
      </c>
      <c r="F2083" s="312" t="s">
        <v>396</v>
      </c>
      <c r="G2083" s="312" t="s">
        <v>4245</v>
      </c>
      <c r="H2083" s="312" t="s">
        <v>4243</v>
      </c>
      <c r="I2083" s="313">
        <v>41041.199999999997</v>
      </c>
    </row>
    <row r="2084" spans="1:9" x14ac:dyDescent="0.2">
      <c r="A2084" s="321">
        <v>2083</v>
      </c>
      <c r="B2084" s="320">
        <v>43678</v>
      </c>
      <c r="C2084" s="320">
        <v>43710</v>
      </c>
      <c r="D2084" s="312" t="s">
        <v>1092</v>
      </c>
      <c r="E2084" s="312" t="s">
        <v>4244</v>
      </c>
      <c r="F2084" s="312" t="s">
        <v>1272</v>
      </c>
      <c r="G2084" s="312" t="s">
        <v>4246</v>
      </c>
      <c r="H2084" s="312" t="s">
        <v>4247</v>
      </c>
      <c r="I2084" s="313">
        <v>11716.8</v>
      </c>
    </row>
    <row r="2085" spans="1:9" x14ac:dyDescent="0.2">
      <c r="A2085" s="321">
        <v>2084</v>
      </c>
      <c r="B2085" s="320">
        <v>43678</v>
      </c>
      <c r="C2085" s="320">
        <v>43710</v>
      </c>
      <c r="D2085" s="312" t="s">
        <v>1092</v>
      </c>
      <c r="E2085" s="312" t="s">
        <v>4244</v>
      </c>
      <c r="F2085" s="312" t="s">
        <v>71</v>
      </c>
      <c r="G2085" s="312" t="s">
        <v>4248</v>
      </c>
      <c r="H2085" s="312" t="s">
        <v>4249</v>
      </c>
      <c r="I2085" s="313">
        <v>20891.03</v>
      </c>
    </row>
    <row r="2086" spans="1:9" x14ac:dyDescent="0.2">
      <c r="A2086" s="321">
        <v>2085</v>
      </c>
      <c r="B2086" s="320">
        <v>43678</v>
      </c>
      <c r="C2086" s="320">
        <v>43710</v>
      </c>
      <c r="D2086" s="312" t="s">
        <v>1092</v>
      </c>
      <c r="E2086" s="312" t="s">
        <v>4244</v>
      </c>
      <c r="F2086" s="312" t="s">
        <v>1272</v>
      </c>
      <c r="G2086" s="312" t="s">
        <v>4250</v>
      </c>
      <c r="H2086" s="312" t="s">
        <v>4251</v>
      </c>
      <c r="I2086" s="313">
        <v>39059.24</v>
      </c>
    </row>
    <row r="2087" spans="1:9" x14ac:dyDescent="0.2">
      <c r="A2087" s="321">
        <v>2086</v>
      </c>
      <c r="B2087" s="320">
        <v>43682</v>
      </c>
      <c r="C2087" s="320">
        <v>43724</v>
      </c>
      <c r="D2087" s="312" t="s">
        <v>1092</v>
      </c>
      <c r="E2087" s="312" t="s">
        <v>422</v>
      </c>
      <c r="F2087" s="312" t="s">
        <v>71</v>
      </c>
      <c r="G2087" s="312" t="s">
        <v>4252</v>
      </c>
      <c r="H2087" s="312" t="s">
        <v>4253</v>
      </c>
      <c r="I2087" s="313">
        <v>40189.31</v>
      </c>
    </row>
    <row r="2088" spans="1:9" x14ac:dyDescent="0.2">
      <c r="A2088" s="321">
        <v>2087</v>
      </c>
      <c r="B2088" s="320">
        <v>43682</v>
      </c>
      <c r="C2088" s="320">
        <v>43724</v>
      </c>
      <c r="D2088" s="312" t="s">
        <v>1092</v>
      </c>
      <c r="E2088" s="312" t="s">
        <v>422</v>
      </c>
      <c r="F2088" s="312" t="s">
        <v>396</v>
      </c>
      <c r="G2088" s="312" t="s">
        <v>4254</v>
      </c>
      <c r="H2088" s="312" t="s">
        <v>4255</v>
      </c>
      <c r="I2088" s="313">
        <v>26040</v>
      </c>
    </row>
    <row r="2089" spans="1:9" x14ac:dyDescent="0.2">
      <c r="A2089" s="321">
        <v>2088</v>
      </c>
      <c r="B2089" s="320">
        <v>43682</v>
      </c>
      <c r="C2089" s="320">
        <v>43724</v>
      </c>
      <c r="D2089" s="312" t="s">
        <v>1092</v>
      </c>
      <c r="E2089" s="312" t="s">
        <v>422</v>
      </c>
      <c r="F2089" s="312" t="s">
        <v>396</v>
      </c>
      <c r="G2089" s="312" t="s">
        <v>4256</v>
      </c>
      <c r="H2089" s="312" t="s">
        <v>4257</v>
      </c>
      <c r="I2089" s="313">
        <v>113306.66</v>
      </c>
    </row>
    <row r="2090" spans="1:9" x14ac:dyDescent="0.2">
      <c r="A2090" s="321">
        <v>2089</v>
      </c>
      <c r="B2090" s="320">
        <v>43685</v>
      </c>
      <c r="C2090" s="320">
        <v>43717</v>
      </c>
      <c r="D2090" s="312" t="s">
        <v>1092</v>
      </c>
      <c r="E2090" s="312" t="s">
        <v>422</v>
      </c>
      <c r="F2090" s="312" t="s">
        <v>701</v>
      </c>
      <c r="G2090" s="312" t="s">
        <v>4258</v>
      </c>
      <c r="H2090" s="312" t="s">
        <v>4259</v>
      </c>
      <c r="I2090" s="313">
        <v>40000</v>
      </c>
    </row>
    <row r="2091" spans="1:9" x14ac:dyDescent="0.2">
      <c r="A2091" s="321">
        <v>2090</v>
      </c>
      <c r="B2091" s="320">
        <v>43685</v>
      </c>
      <c r="C2091" s="320">
        <v>43717</v>
      </c>
      <c r="D2091" s="312" t="s">
        <v>1092</v>
      </c>
      <c r="E2091" s="312" t="s">
        <v>422</v>
      </c>
      <c r="F2091" s="312" t="s">
        <v>701</v>
      </c>
      <c r="G2091" s="312" t="s">
        <v>4260</v>
      </c>
      <c r="H2091" s="312" t="s">
        <v>4261</v>
      </c>
      <c r="I2091" s="313">
        <v>14950</v>
      </c>
    </row>
    <row r="2092" spans="1:9" x14ac:dyDescent="0.2">
      <c r="A2092" s="321">
        <v>2091</v>
      </c>
      <c r="B2092" s="320">
        <v>43686</v>
      </c>
      <c r="C2092" s="320">
        <v>43731</v>
      </c>
      <c r="D2092" s="312" t="s">
        <v>1092</v>
      </c>
      <c r="E2092" s="312" t="s">
        <v>422</v>
      </c>
      <c r="F2092" s="312" t="s">
        <v>701</v>
      </c>
      <c r="G2092" s="312" t="s">
        <v>4262</v>
      </c>
      <c r="H2092" s="312" t="s">
        <v>4263</v>
      </c>
      <c r="I2092" s="313">
        <v>41754.239999999998</v>
      </c>
    </row>
    <row r="2093" spans="1:9" x14ac:dyDescent="0.2">
      <c r="A2093" s="321">
        <v>2092</v>
      </c>
      <c r="B2093" s="320">
        <v>43707</v>
      </c>
      <c r="C2093" s="320">
        <v>43727</v>
      </c>
      <c r="D2093" s="312" t="s">
        <v>1092</v>
      </c>
      <c r="E2093" s="312" t="s">
        <v>422</v>
      </c>
      <c r="F2093" s="312" t="s">
        <v>701</v>
      </c>
      <c r="G2093" s="312" t="s">
        <v>4264</v>
      </c>
      <c r="H2093" s="312" t="s">
        <v>4265</v>
      </c>
      <c r="I2093" s="313">
        <v>72700</v>
      </c>
    </row>
    <row r="2094" spans="1:9" x14ac:dyDescent="0.2">
      <c r="A2094" s="321">
        <v>2093</v>
      </c>
      <c r="B2094" s="320">
        <v>43707</v>
      </c>
      <c r="C2094" s="320">
        <v>43727</v>
      </c>
      <c r="D2094" s="312" t="s">
        <v>1092</v>
      </c>
      <c r="E2094" s="312" t="s">
        <v>422</v>
      </c>
      <c r="F2094" s="312" t="s">
        <v>701</v>
      </c>
      <c r="G2094" s="312" t="s">
        <v>4266</v>
      </c>
      <c r="H2094" s="312" t="s">
        <v>4267</v>
      </c>
      <c r="I2094" s="313">
        <v>48100</v>
      </c>
    </row>
    <row r="2095" spans="1:9" x14ac:dyDescent="0.2">
      <c r="A2095" s="321">
        <v>2094</v>
      </c>
      <c r="B2095" s="320">
        <v>43712</v>
      </c>
      <c r="C2095" s="320">
        <v>43734</v>
      </c>
      <c r="D2095" s="312" t="s">
        <v>1092</v>
      </c>
      <c r="E2095" s="312" t="s">
        <v>422</v>
      </c>
      <c r="F2095" s="312" t="s">
        <v>701</v>
      </c>
      <c r="G2095" s="312" t="s">
        <v>4268</v>
      </c>
      <c r="H2095" s="312" t="s">
        <v>4269</v>
      </c>
      <c r="I2095" s="313">
        <v>29760</v>
      </c>
    </row>
    <row r="2096" spans="1:9" x14ac:dyDescent="0.2">
      <c r="A2096" s="321">
        <v>2095</v>
      </c>
      <c r="B2096" s="320">
        <v>43711</v>
      </c>
      <c r="C2096" s="320">
        <v>43733</v>
      </c>
      <c r="D2096" s="312" t="s">
        <v>1092</v>
      </c>
      <c r="E2096" s="312" t="s">
        <v>392</v>
      </c>
      <c r="F2096" s="312" t="s">
        <v>396</v>
      </c>
      <c r="G2096" s="312" t="s">
        <v>4270</v>
      </c>
      <c r="H2096" s="312" t="s">
        <v>4271</v>
      </c>
      <c r="I2096" s="313">
        <v>147659.29999999999</v>
      </c>
    </row>
    <row r="2097" spans="1:9" x14ac:dyDescent="0.2">
      <c r="A2097" s="321">
        <v>2096</v>
      </c>
      <c r="B2097" s="320">
        <v>43714</v>
      </c>
      <c r="C2097" s="320">
        <v>43731</v>
      </c>
      <c r="D2097" s="312" t="s">
        <v>1092</v>
      </c>
      <c r="E2097" s="312" t="s">
        <v>422</v>
      </c>
      <c r="F2097" s="312" t="s">
        <v>701</v>
      </c>
      <c r="G2097" s="312" t="s">
        <v>4272</v>
      </c>
      <c r="H2097" s="312" t="s">
        <v>4275</v>
      </c>
      <c r="I2097" s="313">
        <v>38900</v>
      </c>
    </row>
    <row r="2098" spans="1:9" x14ac:dyDescent="0.2">
      <c r="A2098" s="321">
        <v>2097</v>
      </c>
      <c r="B2098" s="320">
        <v>43714</v>
      </c>
      <c r="C2098" s="320">
        <v>43733</v>
      </c>
      <c r="D2098" s="312" t="s">
        <v>1092</v>
      </c>
      <c r="E2098" s="312" t="s">
        <v>392</v>
      </c>
      <c r="F2098" s="312" t="s">
        <v>9</v>
      </c>
      <c r="G2098" s="312" t="s">
        <v>4273</v>
      </c>
      <c r="H2098" s="312" t="s">
        <v>4276</v>
      </c>
      <c r="I2098" s="313">
        <v>160860.51</v>
      </c>
    </row>
    <row r="2099" spans="1:9" x14ac:dyDescent="0.2">
      <c r="A2099" s="321">
        <v>2098</v>
      </c>
      <c r="B2099" s="320">
        <v>43714</v>
      </c>
      <c r="C2099" s="320">
        <v>43733</v>
      </c>
      <c r="D2099" s="312" t="s">
        <v>1092</v>
      </c>
      <c r="E2099" s="312" t="s">
        <v>392</v>
      </c>
      <c r="F2099" s="312" t="s">
        <v>9</v>
      </c>
      <c r="G2099" s="312" t="s">
        <v>4274</v>
      </c>
      <c r="H2099" s="312" t="s">
        <v>4277</v>
      </c>
      <c r="I2099" s="313">
        <v>175178.91</v>
      </c>
    </row>
    <row r="2100" spans="1:9" x14ac:dyDescent="0.2">
      <c r="A2100" s="321">
        <v>2099</v>
      </c>
      <c r="B2100" s="320">
        <v>43726</v>
      </c>
      <c r="C2100" s="320">
        <v>43745</v>
      </c>
      <c r="D2100" s="312" t="s">
        <v>1092</v>
      </c>
      <c r="E2100" s="312" t="s">
        <v>422</v>
      </c>
      <c r="F2100" s="312" t="s">
        <v>701</v>
      </c>
      <c r="G2100" s="312" t="s">
        <v>4278</v>
      </c>
      <c r="H2100" s="312" t="s">
        <v>4279</v>
      </c>
      <c r="I2100" s="313">
        <v>170000</v>
      </c>
    </row>
    <row r="2101" spans="1:9" x14ac:dyDescent="0.2">
      <c r="A2101" s="321">
        <v>2100</v>
      </c>
      <c r="B2101" s="320">
        <v>43727</v>
      </c>
      <c r="C2101" s="320">
        <v>43745</v>
      </c>
      <c r="D2101" s="312" t="s">
        <v>1092</v>
      </c>
      <c r="E2101" s="312" t="s">
        <v>392</v>
      </c>
      <c r="F2101" s="312" t="s">
        <v>1272</v>
      </c>
      <c r="G2101" s="312" t="s">
        <v>4280</v>
      </c>
      <c r="H2101" s="312" t="s">
        <v>4281</v>
      </c>
      <c r="I2101" s="313">
        <v>16000</v>
      </c>
    </row>
    <row r="2102" spans="1:9" x14ac:dyDescent="0.2">
      <c r="A2102" s="321">
        <v>2101</v>
      </c>
      <c r="B2102" s="320">
        <v>43727</v>
      </c>
      <c r="C2102" s="320">
        <v>43745</v>
      </c>
      <c r="D2102" s="312" t="s">
        <v>1092</v>
      </c>
      <c r="E2102" s="312" t="s">
        <v>392</v>
      </c>
      <c r="F2102" s="312" t="s">
        <v>71</v>
      </c>
      <c r="G2102" s="312" t="s">
        <v>4282</v>
      </c>
      <c r="H2102" s="312" t="s">
        <v>4283</v>
      </c>
      <c r="I2102" s="313">
        <v>5899.89</v>
      </c>
    </row>
    <row r="2103" spans="1:9" x14ac:dyDescent="0.2">
      <c r="A2103" s="321">
        <v>2102</v>
      </c>
      <c r="B2103" s="320">
        <v>43727</v>
      </c>
      <c r="C2103" s="320">
        <v>43745</v>
      </c>
      <c r="D2103" s="312" t="s">
        <v>1092</v>
      </c>
      <c r="E2103" s="312" t="s">
        <v>392</v>
      </c>
      <c r="F2103" s="312" t="s">
        <v>1272</v>
      </c>
      <c r="G2103" s="312" t="s">
        <v>4284</v>
      </c>
      <c r="H2103" s="312" t="s">
        <v>4285</v>
      </c>
      <c r="I2103" s="313">
        <v>4800</v>
      </c>
    </row>
    <row r="2104" spans="1:9" x14ac:dyDescent="0.2">
      <c r="A2104" s="321">
        <v>2103</v>
      </c>
      <c r="B2104" s="320">
        <v>43728</v>
      </c>
      <c r="C2104" s="320">
        <v>43747</v>
      </c>
      <c r="D2104" s="312" t="s">
        <v>1092</v>
      </c>
      <c r="E2104" s="312" t="s">
        <v>392</v>
      </c>
      <c r="F2104" s="312" t="s">
        <v>71</v>
      </c>
      <c r="G2104" s="312" t="s">
        <v>4287</v>
      </c>
      <c r="H2104" s="312" t="s">
        <v>4238</v>
      </c>
      <c r="I2104" s="313">
        <v>28114.97</v>
      </c>
    </row>
    <row r="2105" spans="1:9" x14ac:dyDescent="0.2">
      <c r="A2105" s="321">
        <v>2104</v>
      </c>
      <c r="B2105" s="320">
        <v>43738</v>
      </c>
      <c r="C2105" s="320">
        <v>43759</v>
      </c>
      <c r="D2105" s="312" t="s">
        <v>1092</v>
      </c>
      <c r="E2105" s="312" t="s">
        <v>392</v>
      </c>
      <c r="F2105" s="312" t="s">
        <v>1272</v>
      </c>
      <c r="G2105" s="312" t="s">
        <v>4288</v>
      </c>
      <c r="H2105" s="312" t="s">
        <v>4289</v>
      </c>
      <c r="I2105" s="313">
        <v>55614.22</v>
      </c>
    </row>
    <row r="2106" spans="1:9" x14ac:dyDescent="0.2">
      <c r="A2106" s="321">
        <v>2105</v>
      </c>
      <c r="B2106" s="320">
        <v>43738</v>
      </c>
      <c r="C2106" s="320">
        <v>43759</v>
      </c>
      <c r="D2106" s="312" t="s">
        <v>1092</v>
      </c>
      <c r="E2106" s="312" t="s">
        <v>392</v>
      </c>
      <c r="F2106" s="312" t="s">
        <v>1272</v>
      </c>
      <c r="G2106" s="312" t="s">
        <v>4290</v>
      </c>
      <c r="H2106" s="312" t="s">
        <v>4291</v>
      </c>
      <c r="I2106" s="313">
        <v>16684.8</v>
      </c>
    </row>
    <row r="2107" spans="1:9" x14ac:dyDescent="0.2">
      <c r="A2107" s="321">
        <v>2106</v>
      </c>
      <c r="B2107" s="320">
        <v>43738</v>
      </c>
      <c r="C2107" s="320">
        <v>43759</v>
      </c>
      <c r="D2107" s="312" t="s">
        <v>1092</v>
      </c>
      <c r="E2107" s="312" t="s">
        <v>392</v>
      </c>
      <c r="F2107" s="312" t="s">
        <v>1272</v>
      </c>
      <c r="G2107" s="312" t="s">
        <v>4292</v>
      </c>
      <c r="H2107" s="312" t="s">
        <v>4293</v>
      </c>
      <c r="I2107" s="313">
        <v>90048.53</v>
      </c>
    </row>
    <row r="2108" spans="1:9" x14ac:dyDescent="0.2">
      <c r="A2108" s="321">
        <v>2107</v>
      </c>
      <c r="B2108" s="320">
        <v>43738</v>
      </c>
      <c r="C2108" s="320">
        <v>43759</v>
      </c>
      <c r="D2108" s="312" t="s">
        <v>1092</v>
      </c>
      <c r="E2108" s="329" t="s">
        <v>392</v>
      </c>
      <c r="F2108" s="312" t="s">
        <v>1272</v>
      </c>
      <c r="G2108" s="312" t="s">
        <v>4294</v>
      </c>
      <c r="H2108" s="312" t="s">
        <v>4295</v>
      </c>
      <c r="I2108" s="313">
        <v>27014.400000000001</v>
      </c>
    </row>
    <row r="2109" spans="1:9" x14ac:dyDescent="0.2">
      <c r="A2109" s="321">
        <v>2108</v>
      </c>
      <c r="B2109" s="320">
        <v>43738</v>
      </c>
      <c r="C2109" s="320">
        <v>43759</v>
      </c>
      <c r="D2109" s="312" t="s">
        <v>1092</v>
      </c>
      <c r="E2109" s="312" t="s">
        <v>392</v>
      </c>
      <c r="F2109" s="312" t="s">
        <v>71</v>
      </c>
      <c r="G2109" s="312" t="s">
        <v>4296</v>
      </c>
      <c r="H2109" s="312" t="s">
        <v>4297</v>
      </c>
      <c r="I2109" s="313">
        <v>39134.18</v>
      </c>
    </row>
    <row r="2110" spans="1:9" x14ac:dyDescent="0.2">
      <c r="A2110" s="321">
        <v>2109</v>
      </c>
      <c r="B2110" s="320">
        <v>43738</v>
      </c>
      <c r="C2110" s="320">
        <v>43759</v>
      </c>
      <c r="D2110" s="312" t="s">
        <v>1092</v>
      </c>
      <c r="E2110" s="312" t="s">
        <v>392</v>
      </c>
      <c r="F2110" s="312" t="s">
        <v>71</v>
      </c>
      <c r="G2110" s="312" t="s">
        <v>4298</v>
      </c>
      <c r="H2110" s="312" t="s">
        <v>4299</v>
      </c>
      <c r="I2110" s="313">
        <v>26806.29</v>
      </c>
    </row>
    <row r="2111" spans="1:9" x14ac:dyDescent="0.2">
      <c r="A2111" s="321">
        <v>2110</v>
      </c>
      <c r="B2111" s="320">
        <v>43739</v>
      </c>
      <c r="C2111" s="320">
        <v>43759</v>
      </c>
      <c r="D2111" s="312" t="s">
        <v>1092</v>
      </c>
      <c r="E2111" s="312" t="s">
        <v>422</v>
      </c>
      <c r="F2111" s="312" t="s">
        <v>701</v>
      </c>
      <c r="G2111" s="312" t="s">
        <v>4300</v>
      </c>
      <c r="H2111" s="312" t="s">
        <v>4301</v>
      </c>
      <c r="I2111" s="313">
        <v>78900</v>
      </c>
    </row>
    <row r="2112" spans="1:9" x14ac:dyDescent="0.2">
      <c r="A2112" s="321">
        <v>2111</v>
      </c>
      <c r="B2112" s="320">
        <v>43739</v>
      </c>
      <c r="C2112" s="320">
        <v>43759</v>
      </c>
      <c r="D2112" s="312" t="s">
        <v>1092</v>
      </c>
      <c r="E2112" s="312" t="s">
        <v>422</v>
      </c>
      <c r="F2112" s="312" t="s">
        <v>396</v>
      </c>
      <c r="G2112" s="330" t="s">
        <v>4233</v>
      </c>
      <c r="H2112" s="330" t="s">
        <v>4234</v>
      </c>
      <c r="I2112" s="313">
        <v>4092</v>
      </c>
    </row>
    <row r="2113" spans="1:9" x14ac:dyDescent="0.2">
      <c r="A2113" s="321">
        <v>2112</v>
      </c>
      <c r="B2113" s="320">
        <v>43746</v>
      </c>
      <c r="C2113" s="320">
        <v>43766</v>
      </c>
      <c r="D2113" s="312" t="s">
        <v>1092</v>
      </c>
      <c r="E2113" s="312" t="s">
        <v>422</v>
      </c>
      <c r="F2113" s="312" t="s">
        <v>701</v>
      </c>
      <c r="G2113" s="312" t="s">
        <v>4303</v>
      </c>
      <c r="H2113" s="312" t="s">
        <v>4304</v>
      </c>
      <c r="I2113" s="313">
        <v>25500</v>
      </c>
    </row>
    <row r="2114" spans="1:9" x14ac:dyDescent="0.2">
      <c r="A2114" s="321">
        <v>2113</v>
      </c>
      <c r="B2114" s="320">
        <v>43749</v>
      </c>
      <c r="C2114" s="320">
        <v>43766</v>
      </c>
      <c r="D2114" s="312" t="s">
        <v>1092</v>
      </c>
      <c r="E2114" s="312" t="s">
        <v>392</v>
      </c>
      <c r="F2114" s="312" t="s">
        <v>71</v>
      </c>
      <c r="G2114" s="312" t="s">
        <v>4305</v>
      </c>
      <c r="H2114" s="312" t="s">
        <v>4306</v>
      </c>
      <c r="I2114" s="313">
        <v>9034.8700000000008</v>
      </c>
    </row>
    <row r="2115" spans="1:9" x14ac:dyDescent="0.2">
      <c r="A2115" s="321">
        <v>2114</v>
      </c>
      <c r="B2115" s="320">
        <v>43754</v>
      </c>
      <c r="C2115" s="320">
        <v>43773</v>
      </c>
      <c r="D2115" s="312" t="s">
        <v>1092</v>
      </c>
      <c r="E2115" s="312" t="s">
        <v>422</v>
      </c>
      <c r="F2115" s="312" t="s">
        <v>701</v>
      </c>
      <c r="G2115" s="312" t="s">
        <v>4207</v>
      </c>
      <c r="H2115" s="312" t="s">
        <v>4208</v>
      </c>
      <c r="I2115" s="313">
        <v>32500</v>
      </c>
    </row>
    <row r="2116" spans="1:9" x14ac:dyDescent="0.2">
      <c r="A2116" s="321">
        <v>2115</v>
      </c>
      <c r="B2116" s="320">
        <v>43755</v>
      </c>
      <c r="C2116" s="320">
        <v>43776</v>
      </c>
      <c r="D2116" s="312" t="s">
        <v>1092</v>
      </c>
      <c r="E2116" s="312" t="s">
        <v>422</v>
      </c>
      <c r="F2116" s="312" t="s">
        <v>701</v>
      </c>
      <c r="G2116" s="312" t="s">
        <v>4308</v>
      </c>
      <c r="H2116" s="312" t="s">
        <v>4309</v>
      </c>
      <c r="I2116" s="313">
        <v>140500</v>
      </c>
    </row>
    <row r="2117" spans="1:9" x14ac:dyDescent="0.2">
      <c r="A2117" s="321">
        <v>2116</v>
      </c>
      <c r="B2117" s="320">
        <v>43760</v>
      </c>
      <c r="C2117" s="320">
        <v>43775</v>
      </c>
      <c r="D2117" s="312" t="s">
        <v>1092</v>
      </c>
      <c r="E2117" s="312" t="s">
        <v>422</v>
      </c>
      <c r="F2117" s="312" t="s">
        <v>701</v>
      </c>
      <c r="G2117" s="324" t="s">
        <v>4310</v>
      </c>
      <c r="H2117" s="312" t="s">
        <v>4311</v>
      </c>
      <c r="I2117" s="313">
        <v>45000</v>
      </c>
    </row>
    <row r="2118" spans="1:9" x14ac:dyDescent="0.2">
      <c r="A2118" s="321">
        <v>2117</v>
      </c>
      <c r="B2118" s="320">
        <v>43763</v>
      </c>
      <c r="C2118" s="320">
        <v>43780</v>
      </c>
      <c r="D2118" s="312" t="s">
        <v>1092</v>
      </c>
      <c r="E2118" s="312" t="s">
        <v>422</v>
      </c>
      <c r="F2118" s="312" t="s">
        <v>396</v>
      </c>
      <c r="G2118" s="312" t="s">
        <v>4312</v>
      </c>
      <c r="H2118" s="312" t="s">
        <v>4313</v>
      </c>
      <c r="I2118" s="313">
        <v>4500</v>
      </c>
    </row>
    <row r="2119" spans="1:9" x14ac:dyDescent="0.2">
      <c r="A2119" s="321">
        <v>2118</v>
      </c>
      <c r="B2119" s="320">
        <v>43763</v>
      </c>
      <c r="C2119" s="320">
        <v>43780</v>
      </c>
      <c r="D2119" s="312" t="s">
        <v>1092</v>
      </c>
      <c r="E2119" s="312" t="s">
        <v>422</v>
      </c>
      <c r="F2119" s="312" t="s">
        <v>396</v>
      </c>
      <c r="G2119" s="312" t="s">
        <v>4314</v>
      </c>
      <c r="H2119" s="312" t="s">
        <v>4315</v>
      </c>
      <c r="I2119" s="313">
        <v>10316.66</v>
      </c>
    </row>
    <row r="2120" spans="1:9" x14ac:dyDescent="0.2">
      <c r="A2120" s="321">
        <v>2119</v>
      </c>
      <c r="B2120" s="320">
        <v>43763</v>
      </c>
      <c r="C2120" s="320">
        <v>43780</v>
      </c>
      <c r="D2120" s="312" t="s">
        <v>1092</v>
      </c>
      <c r="E2120" s="312" t="s">
        <v>422</v>
      </c>
      <c r="F2120" s="312" t="s">
        <v>71</v>
      </c>
      <c r="G2120" s="312" t="s">
        <v>4316</v>
      </c>
      <c r="H2120" s="312" t="s">
        <v>4317</v>
      </c>
      <c r="I2120" s="313">
        <v>4235.78</v>
      </c>
    </row>
    <row r="2121" spans="1:9" x14ac:dyDescent="0.2">
      <c r="A2121" s="321">
        <v>2120</v>
      </c>
      <c r="B2121" s="320">
        <v>43767</v>
      </c>
      <c r="C2121" s="320">
        <v>43787</v>
      </c>
      <c r="D2121" s="312" t="s">
        <v>1092</v>
      </c>
      <c r="E2121" s="312" t="s">
        <v>422</v>
      </c>
      <c r="F2121" s="312" t="s">
        <v>701</v>
      </c>
      <c r="G2121" s="312" t="s">
        <v>4318</v>
      </c>
      <c r="H2121" s="312" t="s">
        <v>4319</v>
      </c>
      <c r="I2121" s="313">
        <v>14500</v>
      </c>
    </row>
    <row r="2122" spans="1:9" x14ac:dyDescent="0.2">
      <c r="A2122" s="321">
        <v>2121</v>
      </c>
      <c r="B2122" s="320">
        <v>43768</v>
      </c>
      <c r="C2122" s="320">
        <v>43787</v>
      </c>
      <c r="D2122" s="312" t="s">
        <v>1092</v>
      </c>
      <c r="E2122" s="312" t="s">
        <v>392</v>
      </c>
      <c r="F2122" s="312" t="s">
        <v>1272</v>
      </c>
      <c r="G2122" s="312" t="s">
        <v>4320</v>
      </c>
      <c r="H2122" s="312" t="s">
        <v>4321</v>
      </c>
      <c r="I2122" s="313">
        <v>55614.22</v>
      </c>
    </row>
    <row r="2123" spans="1:9" x14ac:dyDescent="0.2">
      <c r="A2123" s="321">
        <v>2122</v>
      </c>
      <c r="B2123" s="320">
        <v>43768</v>
      </c>
      <c r="C2123" s="320">
        <v>43787</v>
      </c>
      <c r="D2123" s="312" t="s">
        <v>1092</v>
      </c>
      <c r="E2123" s="312" t="s">
        <v>392</v>
      </c>
      <c r="F2123" s="312" t="s">
        <v>71</v>
      </c>
      <c r="G2123" s="312" t="s">
        <v>4322</v>
      </c>
      <c r="H2123" s="312" t="s">
        <v>4323</v>
      </c>
      <c r="I2123" s="313">
        <v>18871.59</v>
      </c>
    </row>
    <row r="2124" spans="1:9" x14ac:dyDescent="0.2">
      <c r="A2124" s="321">
        <v>2123</v>
      </c>
      <c r="B2124" s="320">
        <v>43768</v>
      </c>
      <c r="C2124" s="320">
        <v>43787</v>
      </c>
      <c r="D2124" s="312" t="s">
        <v>1092</v>
      </c>
      <c r="E2124" s="312" t="s">
        <v>392</v>
      </c>
      <c r="F2124" s="312" t="s">
        <v>1272</v>
      </c>
      <c r="G2124" s="312" t="s">
        <v>4324</v>
      </c>
      <c r="H2124" s="312" t="s">
        <v>4325</v>
      </c>
      <c r="I2124" s="313">
        <v>6800</v>
      </c>
    </row>
    <row r="2125" spans="1:9" x14ac:dyDescent="0.2">
      <c r="A2125" s="321">
        <v>2124</v>
      </c>
      <c r="B2125" s="320">
        <v>43768</v>
      </c>
      <c r="C2125" s="320">
        <v>43787</v>
      </c>
      <c r="D2125" s="312" t="s">
        <v>1092</v>
      </c>
      <c r="E2125" s="312" t="s">
        <v>392</v>
      </c>
      <c r="F2125" s="312" t="s">
        <v>1272</v>
      </c>
      <c r="G2125" s="312" t="s">
        <v>4326</v>
      </c>
      <c r="H2125" s="312" t="s">
        <v>4327</v>
      </c>
      <c r="I2125" s="313">
        <v>16684.8</v>
      </c>
    </row>
    <row r="2126" spans="1:9" x14ac:dyDescent="0.2">
      <c r="A2126" s="321">
        <v>2125</v>
      </c>
      <c r="B2126" s="320">
        <v>43768</v>
      </c>
      <c r="C2126" s="320">
        <v>43787</v>
      </c>
      <c r="D2126" s="312" t="s">
        <v>1092</v>
      </c>
      <c r="E2126" s="312" t="s">
        <v>392</v>
      </c>
      <c r="F2126" s="312" t="s">
        <v>71</v>
      </c>
      <c r="G2126" s="312" t="s">
        <v>4328</v>
      </c>
      <c r="H2126" s="312" t="s">
        <v>4329</v>
      </c>
      <c r="I2126" s="313">
        <v>1492.98</v>
      </c>
    </row>
    <row r="2127" spans="1:9" x14ac:dyDescent="0.2">
      <c r="A2127" s="321">
        <v>2126</v>
      </c>
      <c r="B2127" s="320">
        <v>43768</v>
      </c>
      <c r="C2127" s="320">
        <v>43787</v>
      </c>
      <c r="D2127" s="312" t="s">
        <v>1092</v>
      </c>
      <c r="E2127" s="312" t="s">
        <v>392</v>
      </c>
      <c r="F2127" s="312" t="s">
        <v>1272</v>
      </c>
      <c r="G2127" s="312" t="s">
        <v>4330</v>
      </c>
      <c r="H2127" s="312" t="s">
        <v>4331</v>
      </c>
      <c r="I2127" s="313">
        <v>2100</v>
      </c>
    </row>
    <row r="2128" spans="1:9" x14ac:dyDescent="0.2">
      <c r="A2128" s="321">
        <v>2127</v>
      </c>
      <c r="B2128" s="320">
        <v>43769</v>
      </c>
      <c r="C2128" s="320">
        <v>43787</v>
      </c>
      <c r="D2128" s="312" t="s">
        <v>1092</v>
      </c>
      <c r="E2128" s="312" t="s">
        <v>422</v>
      </c>
      <c r="F2128" s="312" t="s">
        <v>701</v>
      </c>
      <c r="G2128" s="312" t="s">
        <v>4332</v>
      </c>
      <c r="H2128" s="312" t="s">
        <v>4333</v>
      </c>
      <c r="I2128" s="313">
        <v>58000</v>
      </c>
    </row>
    <row r="2129" spans="1:9" x14ac:dyDescent="0.2">
      <c r="A2129" s="321">
        <v>2128</v>
      </c>
      <c r="B2129" s="320">
        <v>43769</v>
      </c>
      <c r="C2129" s="320">
        <v>43787</v>
      </c>
      <c r="D2129" s="312" t="s">
        <v>1092</v>
      </c>
      <c r="E2129" s="312" t="s">
        <v>422</v>
      </c>
      <c r="F2129" s="312" t="s">
        <v>396</v>
      </c>
      <c r="G2129" s="312" t="s">
        <v>4334</v>
      </c>
      <c r="H2129" s="312" t="s">
        <v>4335</v>
      </c>
      <c r="I2129" s="313">
        <v>193200</v>
      </c>
    </row>
    <row r="2130" spans="1:9" x14ac:dyDescent="0.2">
      <c r="A2130" s="321">
        <v>2129</v>
      </c>
      <c r="B2130" s="320">
        <v>43769</v>
      </c>
      <c r="C2130" s="320">
        <v>43787</v>
      </c>
      <c r="D2130" s="312" t="s">
        <v>1092</v>
      </c>
      <c r="E2130" s="312" t="s">
        <v>422</v>
      </c>
      <c r="F2130" s="312" t="s">
        <v>71</v>
      </c>
      <c r="G2130" s="312" t="s">
        <v>4336</v>
      </c>
      <c r="H2130" s="312" t="s">
        <v>4337</v>
      </c>
      <c r="I2130" s="313">
        <v>37126.07</v>
      </c>
    </row>
    <row r="2131" spans="1:9" x14ac:dyDescent="0.2">
      <c r="A2131" s="321">
        <v>2130</v>
      </c>
      <c r="B2131" s="320">
        <v>43769</v>
      </c>
      <c r="C2131" s="320">
        <v>43787</v>
      </c>
      <c r="D2131" s="312" t="s">
        <v>1092</v>
      </c>
      <c r="E2131" s="312" t="s">
        <v>422</v>
      </c>
      <c r="F2131" s="312" t="s">
        <v>396</v>
      </c>
      <c r="G2131" s="312" t="s">
        <v>4338</v>
      </c>
      <c r="H2131" s="312" t="s">
        <v>4339</v>
      </c>
      <c r="I2131" s="313">
        <v>38400</v>
      </c>
    </row>
    <row r="2132" spans="1:9" x14ac:dyDescent="0.2">
      <c r="A2132" s="321">
        <v>2131</v>
      </c>
      <c r="B2132" s="320">
        <v>43773</v>
      </c>
      <c r="C2132" s="320">
        <v>43789</v>
      </c>
      <c r="D2132" s="312" t="s">
        <v>1092</v>
      </c>
      <c r="E2132" s="312" t="s">
        <v>422</v>
      </c>
      <c r="F2132" s="312" t="s">
        <v>396</v>
      </c>
      <c r="G2132" s="312" t="s">
        <v>4340</v>
      </c>
      <c r="H2132" s="312" t="s">
        <v>4341</v>
      </c>
      <c r="I2132" s="313">
        <v>87600</v>
      </c>
    </row>
    <row r="2133" spans="1:9" x14ac:dyDescent="0.2">
      <c r="A2133" s="321">
        <v>2132</v>
      </c>
      <c r="B2133" s="320">
        <v>43773</v>
      </c>
      <c r="C2133" s="320">
        <v>43789</v>
      </c>
      <c r="D2133" s="312" t="s">
        <v>1092</v>
      </c>
      <c r="E2133" s="312" t="s">
        <v>422</v>
      </c>
      <c r="F2133" s="312" t="s">
        <v>71</v>
      </c>
      <c r="G2133" s="312" t="s">
        <v>4342</v>
      </c>
      <c r="H2133" s="312" t="s">
        <v>4343</v>
      </c>
      <c r="I2133" s="313">
        <v>71999.63</v>
      </c>
    </row>
    <row r="2134" spans="1:9" x14ac:dyDescent="0.2">
      <c r="A2134" s="321">
        <v>2133</v>
      </c>
      <c r="B2134" s="320">
        <v>43773</v>
      </c>
      <c r="C2134" s="320">
        <v>43789</v>
      </c>
      <c r="D2134" s="312" t="s">
        <v>1092</v>
      </c>
      <c r="E2134" s="312" t="s">
        <v>422</v>
      </c>
      <c r="F2134" s="312" t="s">
        <v>396</v>
      </c>
      <c r="G2134" s="312" t="s">
        <v>4344</v>
      </c>
      <c r="H2134" s="312" t="s">
        <v>4345</v>
      </c>
      <c r="I2134" s="313">
        <v>84084</v>
      </c>
    </row>
    <row r="2135" spans="1:9" x14ac:dyDescent="0.2">
      <c r="A2135" s="321">
        <v>2134</v>
      </c>
      <c r="B2135" s="320">
        <v>43773</v>
      </c>
      <c r="C2135" s="320">
        <v>43803</v>
      </c>
      <c r="D2135" s="312" t="s">
        <v>1092</v>
      </c>
      <c r="E2135" s="312" t="s">
        <v>422</v>
      </c>
      <c r="F2135" s="312" t="s">
        <v>396</v>
      </c>
      <c r="G2135" s="312" t="s">
        <v>4346</v>
      </c>
      <c r="H2135" s="312" t="s">
        <v>4347</v>
      </c>
      <c r="I2135" s="313">
        <v>728080</v>
      </c>
    </row>
    <row r="2136" spans="1:9" x14ac:dyDescent="0.2">
      <c r="A2136" s="321">
        <v>2135</v>
      </c>
      <c r="B2136" s="320">
        <v>43777</v>
      </c>
      <c r="C2136" s="320">
        <v>43794</v>
      </c>
      <c r="D2136" s="312" t="s">
        <v>1092</v>
      </c>
      <c r="E2136" s="312" t="s">
        <v>392</v>
      </c>
      <c r="F2136" s="312" t="s">
        <v>393</v>
      </c>
      <c r="G2136" s="312" t="s">
        <v>4348</v>
      </c>
      <c r="H2136" s="312" t="s">
        <v>4349</v>
      </c>
      <c r="I2136" s="313">
        <v>62684.69</v>
      </c>
    </row>
    <row r="2137" spans="1:9" x14ac:dyDescent="0.2">
      <c r="A2137" s="321">
        <v>2136</v>
      </c>
      <c r="B2137" s="320">
        <v>43777</v>
      </c>
      <c r="C2137" s="320">
        <v>43794</v>
      </c>
      <c r="D2137" s="312" t="s">
        <v>1092</v>
      </c>
      <c r="E2137" s="312" t="s">
        <v>392</v>
      </c>
      <c r="F2137" s="312" t="s">
        <v>393</v>
      </c>
      <c r="G2137" s="312" t="s">
        <v>4350</v>
      </c>
      <c r="H2137" s="312" t="s">
        <v>4351</v>
      </c>
      <c r="I2137" s="313">
        <v>58267.77</v>
      </c>
    </row>
    <row r="2138" spans="1:9" x14ac:dyDescent="0.2">
      <c r="A2138" s="321">
        <v>2137</v>
      </c>
      <c r="B2138" s="320">
        <v>43781</v>
      </c>
      <c r="C2138" s="320">
        <v>43796</v>
      </c>
      <c r="D2138" s="312" t="s">
        <v>1092</v>
      </c>
      <c r="E2138" s="312" t="s">
        <v>392</v>
      </c>
      <c r="F2138" s="312" t="s">
        <v>393</v>
      </c>
      <c r="G2138" s="312" t="s">
        <v>4352</v>
      </c>
      <c r="H2138" s="312" t="s">
        <v>4353</v>
      </c>
      <c r="I2138" s="313">
        <v>26250</v>
      </c>
    </row>
    <row r="2139" spans="1:9" x14ac:dyDescent="0.2">
      <c r="A2139" s="321">
        <v>2138</v>
      </c>
      <c r="B2139" s="320">
        <v>43781</v>
      </c>
      <c r="C2139" s="320">
        <v>43796</v>
      </c>
      <c r="D2139" s="312" t="s">
        <v>1092</v>
      </c>
      <c r="E2139" s="312" t="s">
        <v>392</v>
      </c>
      <c r="F2139" s="312" t="s">
        <v>71</v>
      </c>
      <c r="G2139" s="312" t="s">
        <v>4354</v>
      </c>
      <c r="H2139" s="312" t="s">
        <v>4355</v>
      </c>
      <c r="I2139" s="313">
        <v>15534.39</v>
      </c>
    </row>
    <row r="2140" spans="1:9" x14ac:dyDescent="0.2">
      <c r="A2140" s="321">
        <v>2139</v>
      </c>
      <c r="B2140" s="320">
        <v>43781</v>
      </c>
      <c r="C2140" s="320">
        <v>43796</v>
      </c>
      <c r="D2140" s="312" t="s">
        <v>1092</v>
      </c>
      <c r="E2140" s="312" t="s">
        <v>392</v>
      </c>
      <c r="F2140" s="312" t="s">
        <v>393</v>
      </c>
      <c r="G2140" s="312" t="s">
        <v>4356</v>
      </c>
      <c r="H2140" s="312" t="s">
        <v>4357</v>
      </c>
      <c r="I2140" s="313">
        <v>7440</v>
      </c>
    </row>
    <row r="2141" spans="1:9" x14ac:dyDescent="0.2">
      <c r="A2141" s="321">
        <v>2140</v>
      </c>
      <c r="B2141" s="320">
        <v>43784</v>
      </c>
      <c r="C2141" s="320">
        <v>43801</v>
      </c>
      <c r="D2141" s="312" t="s">
        <v>1092</v>
      </c>
      <c r="E2141" s="312" t="s">
        <v>392</v>
      </c>
      <c r="F2141" s="312" t="s">
        <v>71</v>
      </c>
      <c r="G2141" s="312" t="s">
        <v>4358</v>
      </c>
      <c r="H2141" s="312" t="s">
        <v>4359</v>
      </c>
      <c r="I2141" s="313">
        <v>1936.91</v>
      </c>
    </row>
    <row r="2142" spans="1:9" x14ac:dyDescent="0.2">
      <c r="A2142" s="321">
        <v>2141</v>
      </c>
      <c r="B2142" s="320">
        <v>43784</v>
      </c>
      <c r="C2142" s="320">
        <v>43801</v>
      </c>
      <c r="D2142" s="312" t="s">
        <v>1092</v>
      </c>
      <c r="E2142" s="312" t="s">
        <v>392</v>
      </c>
      <c r="F2142" s="312" t="s">
        <v>2224</v>
      </c>
      <c r="G2142" s="312" t="s">
        <v>4360</v>
      </c>
      <c r="H2142" s="312" t="s">
        <v>4361</v>
      </c>
      <c r="I2142" s="313">
        <v>27952.92</v>
      </c>
    </row>
    <row r="2143" spans="1:9" x14ac:dyDescent="0.2">
      <c r="A2143" s="321">
        <v>2142</v>
      </c>
      <c r="B2143" s="320">
        <v>43788</v>
      </c>
      <c r="C2143" s="320">
        <v>43803</v>
      </c>
      <c r="D2143" s="312" t="s">
        <v>1092</v>
      </c>
      <c r="E2143" s="312" t="s">
        <v>392</v>
      </c>
      <c r="F2143" s="312" t="s">
        <v>2224</v>
      </c>
      <c r="G2143" s="312" t="s">
        <v>4362</v>
      </c>
      <c r="H2143" s="312" t="s">
        <v>4363</v>
      </c>
      <c r="I2143" s="313">
        <v>10785.12</v>
      </c>
    </row>
    <row r="2144" spans="1:9" x14ac:dyDescent="0.2">
      <c r="A2144" s="321">
        <v>2143</v>
      </c>
      <c r="B2144" s="320">
        <v>43788</v>
      </c>
      <c r="C2144" s="320">
        <v>43803</v>
      </c>
      <c r="D2144" s="312" t="s">
        <v>1092</v>
      </c>
      <c r="E2144" s="312" t="s">
        <v>392</v>
      </c>
      <c r="F2144" s="312" t="s">
        <v>2224</v>
      </c>
      <c r="G2144" s="312" t="s">
        <v>4364</v>
      </c>
      <c r="H2144" s="312" t="s">
        <v>4365</v>
      </c>
      <c r="I2144" s="313">
        <v>45537.2</v>
      </c>
    </row>
    <row r="2145" spans="1:9" x14ac:dyDescent="0.2">
      <c r="A2145" s="321">
        <v>2144</v>
      </c>
      <c r="B2145" s="320">
        <v>43788</v>
      </c>
      <c r="C2145" s="320">
        <v>43803</v>
      </c>
      <c r="D2145" s="312" t="s">
        <v>1092</v>
      </c>
      <c r="E2145" s="312" t="s">
        <v>392</v>
      </c>
      <c r="F2145" s="312" t="s">
        <v>2224</v>
      </c>
      <c r="G2145" s="312" t="s">
        <v>4366</v>
      </c>
      <c r="H2145" s="312" t="s">
        <v>4367</v>
      </c>
      <c r="I2145" s="313">
        <v>59557.85</v>
      </c>
    </row>
    <row r="2146" spans="1:9" x14ac:dyDescent="0.2">
      <c r="A2146" s="321">
        <v>2145</v>
      </c>
      <c r="B2146" s="320">
        <v>43788</v>
      </c>
      <c r="C2146" s="320">
        <v>43803</v>
      </c>
      <c r="D2146" s="312" t="s">
        <v>1092</v>
      </c>
      <c r="E2146" s="312" t="s">
        <v>392</v>
      </c>
      <c r="F2146" s="312" t="s">
        <v>2224</v>
      </c>
      <c r="G2146" s="312" t="s">
        <v>4368</v>
      </c>
      <c r="H2146" s="312" t="s">
        <v>4369</v>
      </c>
      <c r="I2146" s="313">
        <v>47095.040000000001</v>
      </c>
    </row>
    <row r="2147" spans="1:9" x14ac:dyDescent="0.2">
      <c r="A2147" s="321">
        <v>2146</v>
      </c>
      <c r="B2147" s="320">
        <v>43788</v>
      </c>
      <c r="C2147" s="320">
        <v>43803</v>
      </c>
      <c r="D2147" s="312" t="s">
        <v>1092</v>
      </c>
      <c r="E2147" s="312" t="s">
        <v>392</v>
      </c>
      <c r="F2147" s="312" t="s">
        <v>2224</v>
      </c>
      <c r="G2147" s="312" t="s">
        <v>4370</v>
      </c>
      <c r="H2147" s="312" t="s">
        <v>4371</v>
      </c>
      <c r="I2147" s="313">
        <v>31152.69</v>
      </c>
    </row>
    <row r="2148" spans="1:9" x14ac:dyDescent="0.2">
      <c r="A2148" s="321">
        <v>2147</v>
      </c>
      <c r="B2148" s="320">
        <v>43788</v>
      </c>
      <c r="C2148" s="320">
        <v>43803</v>
      </c>
      <c r="D2148" s="312" t="s">
        <v>1092</v>
      </c>
      <c r="E2148" s="312" t="s">
        <v>392</v>
      </c>
      <c r="F2148" s="312" t="s">
        <v>2224</v>
      </c>
      <c r="G2148" s="312" t="s">
        <v>4372</v>
      </c>
      <c r="H2148" s="312" t="s">
        <v>4373</v>
      </c>
      <c r="I2148" s="313">
        <v>58719.02</v>
      </c>
    </row>
    <row r="2149" spans="1:9" x14ac:dyDescent="0.2">
      <c r="A2149" s="321">
        <v>2148</v>
      </c>
      <c r="B2149" s="320">
        <v>43788</v>
      </c>
      <c r="C2149" s="320">
        <v>43803</v>
      </c>
      <c r="D2149" s="312" t="s">
        <v>1092</v>
      </c>
      <c r="E2149" s="312" t="s">
        <v>392</v>
      </c>
      <c r="F2149" s="312" t="s">
        <v>2224</v>
      </c>
      <c r="G2149" s="312" t="s">
        <v>4374</v>
      </c>
      <c r="H2149" s="312" t="s">
        <v>4375</v>
      </c>
      <c r="I2149" s="313">
        <v>59917.35</v>
      </c>
    </row>
    <row r="2150" spans="1:9" x14ac:dyDescent="0.2">
      <c r="A2150" s="321">
        <v>2149</v>
      </c>
      <c r="B2150" s="320">
        <v>43788</v>
      </c>
      <c r="C2150" s="320">
        <v>43803</v>
      </c>
      <c r="D2150" s="312" t="s">
        <v>1092</v>
      </c>
      <c r="E2150" s="312" t="s">
        <v>392</v>
      </c>
      <c r="F2150" s="312" t="s">
        <v>2224</v>
      </c>
      <c r="G2150" s="312" t="s">
        <v>4376</v>
      </c>
      <c r="H2150" s="312" t="s">
        <v>4377</v>
      </c>
      <c r="I2150" s="313">
        <v>23966.94</v>
      </c>
    </row>
    <row r="2151" spans="1:9" x14ac:dyDescent="0.2">
      <c r="A2151" s="321">
        <v>2150</v>
      </c>
      <c r="B2151" s="320">
        <v>43788</v>
      </c>
      <c r="C2151" s="320">
        <v>43803</v>
      </c>
      <c r="D2151" s="312" t="s">
        <v>1092</v>
      </c>
      <c r="E2151" s="312" t="s">
        <v>392</v>
      </c>
      <c r="F2151" s="312" t="s">
        <v>2224</v>
      </c>
      <c r="G2151" s="312" t="s">
        <v>4378</v>
      </c>
      <c r="H2151" s="312" t="s">
        <v>4379</v>
      </c>
      <c r="I2151" s="313">
        <v>43080.58</v>
      </c>
    </row>
    <row r="2152" spans="1:9" x14ac:dyDescent="0.2">
      <c r="A2152" s="321">
        <v>2151</v>
      </c>
      <c r="B2152" s="320">
        <v>43788</v>
      </c>
      <c r="C2152" s="320">
        <v>43803</v>
      </c>
      <c r="D2152" s="312" t="s">
        <v>1092</v>
      </c>
      <c r="E2152" s="312" t="s">
        <v>392</v>
      </c>
      <c r="F2152" s="312" t="s">
        <v>2224</v>
      </c>
      <c r="G2152" s="312" t="s">
        <v>4380</v>
      </c>
      <c r="H2152" s="312" t="s">
        <v>4381</v>
      </c>
      <c r="I2152" s="313">
        <v>43140.5</v>
      </c>
    </row>
    <row r="2153" spans="1:9" x14ac:dyDescent="0.2">
      <c r="A2153" s="321">
        <v>2152</v>
      </c>
      <c r="B2153" s="320">
        <v>43788</v>
      </c>
      <c r="C2153" s="320">
        <v>43803</v>
      </c>
      <c r="D2153" s="312" t="s">
        <v>1092</v>
      </c>
      <c r="E2153" s="312" t="s">
        <v>392</v>
      </c>
      <c r="F2153" s="312" t="s">
        <v>2224</v>
      </c>
      <c r="G2153" s="312" t="s">
        <v>4382</v>
      </c>
      <c r="H2153" s="312" t="s">
        <v>4383</v>
      </c>
      <c r="I2153" s="313">
        <v>55123.97</v>
      </c>
    </row>
    <row r="2154" spans="1:9" x14ac:dyDescent="0.2">
      <c r="A2154" s="321">
        <v>2153</v>
      </c>
      <c r="B2154" s="320">
        <v>43788</v>
      </c>
      <c r="C2154" s="320">
        <v>43803</v>
      </c>
      <c r="D2154" s="312" t="s">
        <v>1092</v>
      </c>
      <c r="E2154" s="312" t="s">
        <v>392</v>
      </c>
      <c r="F2154" s="312" t="s">
        <v>2224</v>
      </c>
      <c r="G2154" s="312" t="s">
        <v>4384</v>
      </c>
      <c r="H2154" s="312" t="s">
        <v>4385</v>
      </c>
      <c r="I2154" s="313">
        <v>59677.68</v>
      </c>
    </row>
    <row r="2155" spans="1:9" x14ac:dyDescent="0.2">
      <c r="A2155" s="321">
        <v>2154</v>
      </c>
      <c r="B2155" s="320">
        <v>43788</v>
      </c>
      <c r="C2155" s="320">
        <v>43803</v>
      </c>
      <c r="D2155" s="312" t="s">
        <v>1092</v>
      </c>
      <c r="E2155" s="312" t="s">
        <v>392</v>
      </c>
      <c r="F2155" s="312" t="s">
        <v>2224</v>
      </c>
      <c r="G2155" s="312" t="s">
        <v>4386</v>
      </c>
      <c r="H2155" s="312" t="s">
        <v>4387</v>
      </c>
      <c r="I2155" s="313">
        <v>26643.29</v>
      </c>
    </row>
    <row r="2156" spans="1:9" x14ac:dyDescent="0.2">
      <c r="A2156" s="321">
        <v>2155</v>
      </c>
      <c r="B2156" s="320">
        <v>43788</v>
      </c>
      <c r="C2156" s="320">
        <v>43803</v>
      </c>
      <c r="D2156" s="312" t="s">
        <v>1092</v>
      </c>
      <c r="E2156" s="312" t="s">
        <v>392</v>
      </c>
      <c r="F2156" s="312" t="s">
        <v>2224</v>
      </c>
      <c r="G2156" s="312" t="s">
        <v>4388</v>
      </c>
      <c r="H2156" s="312" t="s">
        <v>4389</v>
      </c>
      <c r="I2156" s="313">
        <v>41702.480000000003</v>
      </c>
    </row>
    <row r="2157" spans="1:9" x14ac:dyDescent="0.2">
      <c r="A2157" s="321">
        <v>2156</v>
      </c>
      <c r="B2157" s="320">
        <v>43788</v>
      </c>
      <c r="C2157" s="320">
        <v>43803</v>
      </c>
      <c r="D2157" s="312" t="s">
        <v>1092</v>
      </c>
      <c r="E2157" s="312" t="s">
        <v>392</v>
      </c>
      <c r="F2157" s="312" t="s">
        <v>2224</v>
      </c>
      <c r="G2157" s="312" t="s">
        <v>4390</v>
      </c>
      <c r="H2157" s="312" t="s">
        <v>4391</v>
      </c>
      <c r="I2157" s="313">
        <v>27561.98</v>
      </c>
    </row>
    <row r="2158" spans="1:9" x14ac:dyDescent="0.2">
      <c r="A2158" s="321">
        <v>2157</v>
      </c>
      <c r="B2158" s="320">
        <v>43788</v>
      </c>
      <c r="C2158" s="320">
        <v>43803</v>
      </c>
      <c r="D2158" s="312" t="s">
        <v>1092</v>
      </c>
      <c r="E2158" s="312" t="s">
        <v>392</v>
      </c>
      <c r="F2158" s="312" t="s">
        <v>71</v>
      </c>
      <c r="G2158" s="312" t="s">
        <v>4392</v>
      </c>
      <c r="H2158" s="312" t="s">
        <v>4393</v>
      </c>
      <c r="I2158" s="313">
        <v>1014.15</v>
      </c>
    </row>
    <row r="2159" spans="1:9" x14ac:dyDescent="0.2">
      <c r="A2159" s="321">
        <v>2158</v>
      </c>
      <c r="B2159" s="320">
        <v>43788</v>
      </c>
      <c r="C2159" s="320">
        <v>43803</v>
      </c>
      <c r="D2159" s="312" t="s">
        <v>1092</v>
      </c>
      <c r="E2159" s="312" t="s">
        <v>392</v>
      </c>
      <c r="F2159" s="312" t="s">
        <v>2224</v>
      </c>
      <c r="G2159" s="312" t="s">
        <v>4394</v>
      </c>
      <c r="H2159" s="312" t="s">
        <v>4395</v>
      </c>
      <c r="I2159" s="313">
        <v>28760.33</v>
      </c>
    </row>
    <row r="2160" spans="1:9" x14ac:dyDescent="0.2">
      <c r="A2160" s="321">
        <v>2159</v>
      </c>
      <c r="B2160" s="320">
        <v>43789</v>
      </c>
      <c r="C2160" s="320">
        <v>43808</v>
      </c>
      <c r="D2160" s="312" t="s">
        <v>1092</v>
      </c>
      <c r="E2160" s="312" t="s">
        <v>392</v>
      </c>
      <c r="F2160" s="312" t="s">
        <v>71</v>
      </c>
      <c r="G2160" s="312" t="s">
        <v>4396</v>
      </c>
      <c r="H2160" s="312" t="s">
        <v>4397</v>
      </c>
      <c r="I2160" s="313">
        <v>5481.46</v>
      </c>
    </row>
    <row r="2161" spans="1:9" x14ac:dyDescent="0.2">
      <c r="A2161" s="321">
        <v>2160</v>
      </c>
      <c r="B2161" s="320">
        <v>43797</v>
      </c>
      <c r="C2161" s="320">
        <v>43815</v>
      </c>
      <c r="D2161" s="312" t="s">
        <v>1092</v>
      </c>
      <c r="E2161" s="312" t="s">
        <v>392</v>
      </c>
      <c r="F2161" s="312" t="s">
        <v>393</v>
      </c>
      <c r="G2161" s="312" t="s">
        <v>4399</v>
      </c>
      <c r="H2161" s="312" t="s">
        <v>4400</v>
      </c>
      <c r="I2161" s="313">
        <v>71639.64</v>
      </c>
    </row>
    <row r="2162" spans="1:9" x14ac:dyDescent="0.2">
      <c r="A2162" s="321">
        <v>2161</v>
      </c>
      <c r="B2162" s="320">
        <v>43797</v>
      </c>
      <c r="C2162" s="320">
        <v>43815</v>
      </c>
      <c r="D2162" s="312" t="s">
        <v>1092</v>
      </c>
      <c r="E2162" s="312" t="s">
        <v>392</v>
      </c>
      <c r="F2162" s="312" t="s">
        <v>71</v>
      </c>
      <c r="G2162" s="312" t="s">
        <v>4401</v>
      </c>
      <c r="H2162" s="312" t="s">
        <v>4402</v>
      </c>
      <c r="I2162" s="313">
        <v>21055.89</v>
      </c>
    </row>
    <row r="2163" spans="1:9" x14ac:dyDescent="0.2">
      <c r="A2163" s="321">
        <v>2162</v>
      </c>
      <c r="B2163" s="320">
        <v>43797</v>
      </c>
      <c r="C2163" s="320">
        <v>43815</v>
      </c>
      <c r="D2163" s="312" t="s">
        <v>1092</v>
      </c>
      <c r="E2163" s="312" t="s">
        <v>392</v>
      </c>
      <c r="F2163" s="312" t="s">
        <v>2224</v>
      </c>
      <c r="G2163" s="312" t="s">
        <v>4403</v>
      </c>
      <c r="H2163" s="312" t="s">
        <v>4404</v>
      </c>
      <c r="I2163" s="313">
        <v>41230.300000000003</v>
      </c>
    </row>
    <row r="2164" spans="1:9" x14ac:dyDescent="0.2">
      <c r="A2164" s="321">
        <v>2163</v>
      </c>
      <c r="B2164" s="320">
        <v>43797</v>
      </c>
      <c r="C2164" s="320">
        <v>43815</v>
      </c>
      <c r="D2164" s="312" t="s">
        <v>1092</v>
      </c>
      <c r="E2164" s="312" t="s">
        <v>392</v>
      </c>
      <c r="F2164" s="312" t="s">
        <v>393</v>
      </c>
      <c r="G2164" s="312" t="s">
        <v>4405</v>
      </c>
      <c r="H2164" s="312" t="s">
        <v>4406</v>
      </c>
      <c r="I2164" s="313">
        <v>21490.799999999999</v>
      </c>
    </row>
    <row r="2165" spans="1:9" x14ac:dyDescent="0.2">
      <c r="A2165" s="321">
        <v>2164</v>
      </c>
      <c r="B2165" s="320">
        <v>43797</v>
      </c>
      <c r="C2165" s="320">
        <v>43826</v>
      </c>
      <c r="D2165" s="312" t="s">
        <v>1092</v>
      </c>
      <c r="E2165" s="312" t="s">
        <v>422</v>
      </c>
      <c r="F2165" s="312" t="s">
        <v>701</v>
      </c>
      <c r="G2165" s="312" t="s">
        <v>4407</v>
      </c>
      <c r="H2165" s="312" t="s">
        <v>4408</v>
      </c>
      <c r="I2165" s="313">
        <v>936405</v>
      </c>
    </row>
    <row r="2166" spans="1:9" x14ac:dyDescent="0.2">
      <c r="A2166" s="321">
        <v>2165</v>
      </c>
      <c r="B2166" s="320">
        <v>43798</v>
      </c>
      <c r="C2166" s="320">
        <v>43815</v>
      </c>
      <c r="D2166" s="312" t="s">
        <v>1092</v>
      </c>
      <c r="E2166" s="312" t="s">
        <v>392</v>
      </c>
      <c r="F2166" s="312" t="s">
        <v>701</v>
      </c>
      <c r="G2166" s="312" t="s">
        <v>4409</v>
      </c>
      <c r="H2166" s="312" t="s">
        <v>4416</v>
      </c>
      <c r="I2166" s="313">
        <v>62157.34</v>
      </c>
    </row>
    <row r="2167" spans="1:9" x14ac:dyDescent="0.2">
      <c r="A2167" s="321">
        <v>2166</v>
      </c>
      <c r="B2167" s="320">
        <v>43798</v>
      </c>
      <c r="C2167" s="320">
        <v>43815</v>
      </c>
      <c r="D2167" s="312" t="s">
        <v>1092</v>
      </c>
      <c r="E2167" s="312" t="s">
        <v>422</v>
      </c>
      <c r="F2167" s="312" t="s">
        <v>701</v>
      </c>
      <c r="G2167" s="312" t="s">
        <v>4410</v>
      </c>
      <c r="H2167" s="312" t="s">
        <v>4418</v>
      </c>
      <c r="I2167" s="313">
        <v>20500</v>
      </c>
    </row>
    <row r="2168" spans="1:9" x14ac:dyDescent="0.2">
      <c r="A2168" s="321">
        <v>2167</v>
      </c>
      <c r="B2168" s="320">
        <v>43801</v>
      </c>
      <c r="C2168" s="320">
        <v>43838</v>
      </c>
      <c r="D2168" s="312" t="s">
        <v>1092</v>
      </c>
      <c r="E2168" s="312" t="s">
        <v>392</v>
      </c>
      <c r="F2168" s="312" t="s">
        <v>393</v>
      </c>
      <c r="G2168" s="312" t="s">
        <v>4411</v>
      </c>
      <c r="H2168" s="312" t="s">
        <v>4417</v>
      </c>
      <c r="I2168" s="313">
        <v>24177.599999999999</v>
      </c>
    </row>
    <row r="2169" spans="1:9" x14ac:dyDescent="0.2">
      <c r="A2169" s="321">
        <v>2168</v>
      </c>
      <c r="B2169" s="320">
        <v>43801</v>
      </c>
      <c r="C2169" s="320">
        <v>43838</v>
      </c>
      <c r="D2169" s="312" t="s">
        <v>1092</v>
      </c>
      <c r="E2169" s="312" t="s">
        <v>392</v>
      </c>
      <c r="F2169" s="312" t="s">
        <v>393</v>
      </c>
      <c r="G2169" s="312" t="s">
        <v>4412</v>
      </c>
      <c r="H2169" s="312" t="s">
        <v>4419</v>
      </c>
      <c r="I2169" s="313">
        <v>80594.600000000006</v>
      </c>
    </row>
    <row r="2170" spans="1:9" x14ac:dyDescent="0.2">
      <c r="A2170" s="321">
        <v>2169</v>
      </c>
      <c r="B2170" s="320">
        <v>43801</v>
      </c>
      <c r="C2170" s="320">
        <v>43817</v>
      </c>
      <c r="D2170" s="312" t="s">
        <v>1092</v>
      </c>
      <c r="E2170" s="312" t="s">
        <v>392</v>
      </c>
      <c r="F2170" s="312" t="s">
        <v>71</v>
      </c>
      <c r="G2170" s="312" t="s">
        <v>4413</v>
      </c>
      <c r="H2170" s="312" t="s">
        <v>4420</v>
      </c>
      <c r="I2170" s="313">
        <v>20877.689999999999</v>
      </c>
    </row>
    <row r="2171" spans="1:9" x14ac:dyDescent="0.2">
      <c r="A2171" s="321">
        <v>2170</v>
      </c>
      <c r="B2171" s="320">
        <v>43801</v>
      </c>
      <c r="C2171" s="320">
        <v>43817</v>
      </c>
      <c r="D2171" s="312" t="s">
        <v>1092</v>
      </c>
      <c r="E2171" s="312" t="s">
        <v>392</v>
      </c>
      <c r="F2171" s="312" t="s">
        <v>393</v>
      </c>
      <c r="G2171" s="312" t="s">
        <v>4414</v>
      </c>
      <c r="H2171" s="312" t="s">
        <v>4421</v>
      </c>
      <c r="I2171" s="313">
        <v>21490.799999999999</v>
      </c>
    </row>
    <row r="2172" spans="1:9" x14ac:dyDescent="0.2">
      <c r="A2172" s="321">
        <v>2171</v>
      </c>
      <c r="B2172" s="320">
        <v>43801</v>
      </c>
      <c r="C2172" s="320">
        <v>43838</v>
      </c>
      <c r="D2172" s="312" t="s">
        <v>1092</v>
      </c>
      <c r="E2172" s="312" t="s">
        <v>392</v>
      </c>
      <c r="F2172" s="312" t="s">
        <v>71</v>
      </c>
      <c r="G2172" s="312" t="s">
        <v>4415</v>
      </c>
      <c r="H2172" s="312" t="s">
        <v>4422</v>
      </c>
      <c r="I2172" s="313">
        <v>39181.339999999997</v>
      </c>
    </row>
    <row r="2173" spans="1:9" ht="14.25" customHeight="1" x14ac:dyDescent="0.2">
      <c r="A2173" s="333">
        <v>2172</v>
      </c>
      <c r="B2173" s="334">
        <v>43803</v>
      </c>
      <c r="C2173" s="334">
        <v>43819</v>
      </c>
      <c r="D2173" s="335" t="s">
        <v>1092</v>
      </c>
      <c r="E2173" s="335" t="s">
        <v>392</v>
      </c>
      <c r="F2173" s="335" t="s">
        <v>2224</v>
      </c>
      <c r="G2173" s="336" t="s">
        <v>4423</v>
      </c>
      <c r="H2173" s="337" t="s">
        <v>4445</v>
      </c>
      <c r="I2173" s="338">
        <v>38347.11</v>
      </c>
    </row>
    <row r="2174" spans="1:9" ht="14.25" customHeight="1" x14ac:dyDescent="0.2">
      <c r="A2174" s="333">
        <v>2173</v>
      </c>
      <c r="B2174" s="334">
        <v>43803</v>
      </c>
      <c r="C2174" s="334">
        <v>43819</v>
      </c>
      <c r="D2174" s="335" t="s">
        <v>1092</v>
      </c>
      <c r="E2174" s="335" t="s">
        <v>392</v>
      </c>
      <c r="F2174" s="335" t="s">
        <v>2224</v>
      </c>
      <c r="G2174" s="336" t="s">
        <v>4424</v>
      </c>
      <c r="H2174" s="337" t="s">
        <v>4446</v>
      </c>
      <c r="I2174" s="338">
        <v>29958.68</v>
      </c>
    </row>
    <row r="2175" spans="1:9" ht="14.25" customHeight="1" x14ac:dyDescent="0.2">
      <c r="A2175" s="333">
        <v>2174</v>
      </c>
      <c r="B2175" s="334">
        <v>43803</v>
      </c>
      <c r="C2175" s="334">
        <v>43819</v>
      </c>
      <c r="D2175" s="335" t="s">
        <v>1092</v>
      </c>
      <c r="E2175" s="335" t="s">
        <v>392</v>
      </c>
      <c r="F2175" s="335" t="s">
        <v>2224</v>
      </c>
      <c r="G2175" s="336" t="s">
        <v>4425</v>
      </c>
      <c r="H2175" s="337" t="s">
        <v>4447</v>
      </c>
      <c r="I2175" s="338">
        <v>58838.85</v>
      </c>
    </row>
    <row r="2176" spans="1:9" ht="14.25" customHeight="1" x14ac:dyDescent="0.2">
      <c r="A2176" s="333">
        <v>2175</v>
      </c>
      <c r="B2176" s="334">
        <v>43803</v>
      </c>
      <c r="C2176" s="334">
        <v>43819</v>
      </c>
      <c r="D2176" s="335" t="s">
        <v>1092</v>
      </c>
      <c r="E2176" s="335" t="s">
        <v>392</v>
      </c>
      <c r="F2176" s="335" t="s">
        <v>2224</v>
      </c>
      <c r="G2176" s="336" t="s">
        <v>4426</v>
      </c>
      <c r="H2176" s="337" t="s">
        <v>4448</v>
      </c>
      <c r="I2176" s="338">
        <v>37148.76</v>
      </c>
    </row>
    <row r="2177" spans="1:9" ht="14.25" customHeight="1" x14ac:dyDescent="0.2">
      <c r="A2177" s="333">
        <v>2176</v>
      </c>
      <c r="B2177" s="334">
        <v>43803</v>
      </c>
      <c r="C2177" s="334">
        <v>43819</v>
      </c>
      <c r="D2177" s="335" t="s">
        <v>1092</v>
      </c>
      <c r="E2177" s="335" t="s">
        <v>392</v>
      </c>
      <c r="F2177" s="335" t="s">
        <v>2224</v>
      </c>
      <c r="G2177" s="336" t="s">
        <v>4427</v>
      </c>
      <c r="H2177" s="337" t="s">
        <v>4449</v>
      </c>
      <c r="I2177" s="338">
        <v>56322.32</v>
      </c>
    </row>
    <row r="2178" spans="1:9" ht="14.25" customHeight="1" x14ac:dyDescent="0.2">
      <c r="A2178" s="333">
        <v>2177</v>
      </c>
      <c r="B2178" s="334">
        <v>43803</v>
      </c>
      <c r="C2178" s="334">
        <v>43819</v>
      </c>
      <c r="D2178" s="335" t="s">
        <v>1092</v>
      </c>
      <c r="E2178" s="335" t="s">
        <v>392</v>
      </c>
      <c r="F2178" s="335" t="s">
        <v>2224</v>
      </c>
      <c r="G2178" s="336" t="s">
        <v>4428</v>
      </c>
      <c r="H2178" s="337" t="s">
        <v>4450</v>
      </c>
      <c r="I2178" s="338">
        <v>45657.03</v>
      </c>
    </row>
    <row r="2179" spans="1:9" ht="14.25" customHeight="1" x14ac:dyDescent="0.2">
      <c r="A2179" s="333">
        <v>2178</v>
      </c>
      <c r="B2179" s="334">
        <v>43803</v>
      </c>
      <c r="C2179" s="334">
        <v>43819</v>
      </c>
      <c r="D2179" s="335" t="s">
        <v>1092</v>
      </c>
      <c r="E2179" s="335" t="s">
        <v>392</v>
      </c>
      <c r="F2179" s="335" t="s">
        <v>2224</v>
      </c>
      <c r="G2179" s="336" t="s">
        <v>4429</v>
      </c>
      <c r="H2179" s="337" t="s">
        <v>4451</v>
      </c>
      <c r="I2179" s="338">
        <v>58958.68</v>
      </c>
    </row>
    <row r="2180" spans="1:9" ht="14.25" customHeight="1" x14ac:dyDescent="0.2">
      <c r="A2180" s="333">
        <v>2179</v>
      </c>
      <c r="B2180" s="334">
        <v>43803</v>
      </c>
      <c r="C2180" s="334">
        <v>43819</v>
      </c>
      <c r="D2180" s="335" t="s">
        <v>1092</v>
      </c>
      <c r="E2180" s="335" t="s">
        <v>392</v>
      </c>
      <c r="F2180" s="335" t="s">
        <v>2224</v>
      </c>
      <c r="G2180" s="336" t="s">
        <v>4430</v>
      </c>
      <c r="H2180" s="337" t="s">
        <v>4452</v>
      </c>
      <c r="I2180" s="338">
        <v>37747.94</v>
      </c>
    </row>
    <row r="2181" spans="1:9" ht="14.25" customHeight="1" x14ac:dyDescent="0.2">
      <c r="A2181" s="333">
        <v>2180</v>
      </c>
      <c r="B2181" s="334">
        <v>43803</v>
      </c>
      <c r="C2181" s="334">
        <v>43819</v>
      </c>
      <c r="D2181" s="335" t="s">
        <v>1092</v>
      </c>
      <c r="E2181" s="335" t="s">
        <v>392</v>
      </c>
      <c r="F2181" s="335" t="s">
        <v>2224</v>
      </c>
      <c r="G2181" s="336" t="s">
        <v>4431</v>
      </c>
      <c r="H2181" s="337" t="s">
        <v>4453</v>
      </c>
      <c r="I2181" s="338">
        <v>47933.88</v>
      </c>
    </row>
    <row r="2182" spans="1:9" ht="14.25" customHeight="1" x14ac:dyDescent="0.2">
      <c r="A2182" s="333">
        <v>2181</v>
      </c>
      <c r="B2182" s="334">
        <v>43803</v>
      </c>
      <c r="C2182" s="334">
        <v>43819</v>
      </c>
      <c r="D2182" s="335" t="s">
        <v>1092</v>
      </c>
      <c r="E2182" s="335" t="s">
        <v>392</v>
      </c>
      <c r="F2182" s="335" t="s">
        <v>2224</v>
      </c>
      <c r="G2182" s="336" t="s">
        <v>4432</v>
      </c>
      <c r="H2182" s="337" t="s">
        <v>4454</v>
      </c>
      <c r="I2182" s="338">
        <v>19772.73</v>
      </c>
    </row>
    <row r="2183" spans="1:9" ht="14.25" customHeight="1" x14ac:dyDescent="0.2">
      <c r="A2183" s="333">
        <v>2182</v>
      </c>
      <c r="B2183" s="334">
        <v>43803</v>
      </c>
      <c r="C2183" s="334">
        <v>43819</v>
      </c>
      <c r="D2183" s="335" t="s">
        <v>1092</v>
      </c>
      <c r="E2183" s="335" t="s">
        <v>392</v>
      </c>
      <c r="F2183" s="335" t="s">
        <v>2224</v>
      </c>
      <c r="G2183" s="336" t="s">
        <v>4433</v>
      </c>
      <c r="H2183" s="337" t="s">
        <v>4455</v>
      </c>
      <c r="I2183" s="338">
        <v>36549.589999999997</v>
      </c>
    </row>
    <row r="2184" spans="1:9" ht="14.25" customHeight="1" x14ac:dyDescent="0.2">
      <c r="A2184" s="333">
        <v>2183</v>
      </c>
      <c r="B2184" s="334">
        <v>43803</v>
      </c>
      <c r="C2184" s="334">
        <v>43819</v>
      </c>
      <c r="D2184" s="335" t="s">
        <v>1092</v>
      </c>
      <c r="E2184" s="335" t="s">
        <v>392</v>
      </c>
      <c r="F2184" s="335" t="s">
        <v>2224</v>
      </c>
      <c r="G2184" s="336" t="s">
        <v>4434</v>
      </c>
      <c r="H2184" s="337" t="s">
        <v>4456</v>
      </c>
      <c r="I2184" s="338">
        <v>41942.15</v>
      </c>
    </row>
    <row r="2185" spans="1:9" ht="14.25" customHeight="1" x14ac:dyDescent="0.2">
      <c r="A2185" s="333">
        <v>2184</v>
      </c>
      <c r="B2185" s="334">
        <v>43803</v>
      </c>
      <c r="C2185" s="334">
        <v>43819</v>
      </c>
      <c r="D2185" s="335" t="s">
        <v>1092</v>
      </c>
      <c r="E2185" s="335" t="s">
        <v>392</v>
      </c>
      <c r="F2185" s="335" t="s">
        <v>2224</v>
      </c>
      <c r="G2185" s="336" t="s">
        <v>4435</v>
      </c>
      <c r="H2185" s="337" t="s">
        <v>4457</v>
      </c>
      <c r="I2185" s="338">
        <v>57520.66</v>
      </c>
    </row>
    <row r="2186" spans="1:9" ht="14.25" customHeight="1" x14ac:dyDescent="0.2">
      <c r="A2186" s="333">
        <v>2185</v>
      </c>
      <c r="B2186" s="334">
        <v>43803</v>
      </c>
      <c r="C2186" s="334">
        <v>43819</v>
      </c>
      <c r="D2186" s="335" t="s">
        <v>1092</v>
      </c>
      <c r="E2186" s="335" t="s">
        <v>392</v>
      </c>
      <c r="F2186" s="335" t="s">
        <v>2224</v>
      </c>
      <c r="G2186" s="336" t="s">
        <v>4436</v>
      </c>
      <c r="H2186" s="337" t="s">
        <v>4458</v>
      </c>
      <c r="I2186" s="338">
        <v>30078.52</v>
      </c>
    </row>
    <row r="2187" spans="1:9" ht="14.25" customHeight="1" x14ac:dyDescent="0.2">
      <c r="A2187" s="333">
        <v>2186</v>
      </c>
      <c r="B2187" s="334">
        <v>43803</v>
      </c>
      <c r="C2187" s="334">
        <v>43819</v>
      </c>
      <c r="D2187" s="335" t="s">
        <v>1092</v>
      </c>
      <c r="E2187" s="335" t="s">
        <v>392</v>
      </c>
      <c r="F2187" s="335" t="s">
        <v>2224</v>
      </c>
      <c r="G2187" s="336" t="s">
        <v>4437</v>
      </c>
      <c r="H2187" s="337" t="s">
        <v>4459</v>
      </c>
      <c r="I2187" s="338">
        <v>33553.71</v>
      </c>
    </row>
    <row r="2188" spans="1:9" ht="14.25" customHeight="1" x14ac:dyDescent="0.2">
      <c r="A2188" s="333">
        <v>2187</v>
      </c>
      <c r="B2188" s="334">
        <v>43803</v>
      </c>
      <c r="C2188" s="334">
        <v>43819</v>
      </c>
      <c r="D2188" s="335" t="s">
        <v>1092</v>
      </c>
      <c r="E2188" s="335" t="s">
        <v>392</v>
      </c>
      <c r="F2188" s="335" t="s">
        <v>2224</v>
      </c>
      <c r="G2188" s="336" t="s">
        <v>4438</v>
      </c>
      <c r="H2188" s="337" t="s">
        <v>4460</v>
      </c>
      <c r="I2188" s="338">
        <v>52727.27</v>
      </c>
    </row>
    <row r="2189" spans="1:9" ht="14.25" customHeight="1" x14ac:dyDescent="0.2">
      <c r="A2189" s="333">
        <v>2188</v>
      </c>
      <c r="B2189" s="334">
        <v>43803</v>
      </c>
      <c r="C2189" s="334">
        <v>43819</v>
      </c>
      <c r="D2189" s="335" t="s">
        <v>1092</v>
      </c>
      <c r="E2189" s="335" t="s">
        <v>392</v>
      </c>
      <c r="F2189" s="335" t="s">
        <v>2224</v>
      </c>
      <c r="G2189" s="336" t="s">
        <v>4439</v>
      </c>
      <c r="H2189" s="337" t="s">
        <v>4461</v>
      </c>
      <c r="I2189" s="338">
        <v>19173.55</v>
      </c>
    </row>
    <row r="2190" spans="1:9" ht="14.25" customHeight="1" x14ac:dyDescent="0.2">
      <c r="A2190" s="333">
        <v>2189</v>
      </c>
      <c r="B2190" s="334">
        <v>43803</v>
      </c>
      <c r="C2190" s="334">
        <v>43819</v>
      </c>
      <c r="D2190" s="335" t="s">
        <v>1092</v>
      </c>
      <c r="E2190" s="335" t="s">
        <v>392</v>
      </c>
      <c r="F2190" s="335" t="s">
        <v>2224</v>
      </c>
      <c r="G2190" s="336" t="s">
        <v>4440</v>
      </c>
      <c r="H2190" s="337" t="s">
        <v>4462</v>
      </c>
      <c r="I2190" s="338">
        <v>46735.53</v>
      </c>
    </row>
    <row r="2191" spans="1:9" ht="14.25" customHeight="1" x14ac:dyDescent="0.2">
      <c r="A2191" s="333">
        <v>2190</v>
      </c>
      <c r="B2191" s="334">
        <v>43803</v>
      </c>
      <c r="C2191" s="334">
        <v>43819</v>
      </c>
      <c r="D2191" s="335" t="s">
        <v>1092</v>
      </c>
      <c r="E2191" s="339" t="s">
        <v>392</v>
      </c>
      <c r="F2191" s="335" t="s">
        <v>2224</v>
      </c>
      <c r="G2191" s="336" t="s">
        <v>4441</v>
      </c>
      <c r="H2191" s="337" t="s">
        <v>4463</v>
      </c>
      <c r="I2191" s="338">
        <v>53286.559999999998</v>
      </c>
    </row>
    <row r="2192" spans="1:9" ht="14.25" customHeight="1" x14ac:dyDescent="0.2">
      <c r="A2192" s="333">
        <v>2191</v>
      </c>
      <c r="B2192" s="334">
        <v>43803</v>
      </c>
      <c r="C2192" s="334">
        <v>43819</v>
      </c>
      <c r="D2192" s="335" t="s">
        <v>1092</v>
      </c>
      <c r="E2192" s="335" t="s">
        <v>392</v>
      </c>
      <c r="F2192" s="335" t="s">
        <v>2224</v>
      </c>
      <c r="G2192" s="336" t="s">
        <v>4442</v>
      </c>
      <c r="H2192" s="337" t="s">
        <v>4464</v>
      </c>
      <c r="I2192" s="338">
        <v>49132.23</v>
      </c>
    </row>
    <row r="2193" spans="1:9" ht="14.25" customHeight="1" x14ac:dyDescent="0.2">
      <c r="A2193" s="333">
        <v>2192</v>
      </c>
      <c r="B2193" s="334">
        <v>43803</v>
      </c>
      <c r="C2193" s="334">
        <v>43819</v>
      </c>
      <c r="D2193" s="335" t="s">
        <v>1092</v>
      </c>
      <c r="E2193" s="335" t="s">
        <v>392</v>
      </c>
      <c r="F2193" s="335" t="s">
        <v>2224</v>
      </c>
      <c r="G2193" s="336" t="s">
        <v>4443</v>
      </c>
      <c r="H2193" s="337" t="s">
        <v>4465</v>
      </c>
      <c r="I2193" s="338">
        <v>23367.77</v>
      </c>
    </row>
    <row r="2194" spans="1:9" ht="14.25" customHeight="1" x14ac:dyDescent="0.2">
      <c r="A2194" s="333">
        <v>2193</v>
      </c>
      <c r="B2194" s="334">
        <v>43803</v>
      </c>
      <c r="C2194" s="334">
        <v>43838</v>
      </c>
      <c r="D2194" s="335" t="s">
        <v>1092</v>
      </c>
      <c r="E2194" s="335" t="s">
        <v>392</v>
      </c>
      <c r="F2194" s="335" t="s">
        <v>9</v>
      </c>
      <c r="G2194" s="336" t="s">
        <v>4444</v>
      </c>
      <c r="H2194" s="337" t="s">
        <v>4466</v>
      </c>
      <c r="I2194" s="338">
        <v>174765.6</v>
      </c>
    </row>
    <row r="2195" spans="1:9" x14ac:dyDescent="0.2">
      <c r="A2195" s="333">
        <v>2194</v>
      </c>
      <c r="B2195" s="334">
        <v>43811</v>
      </c>
      <c r="C2195" s="334">
        <v>43838</v>
      </c>
      <c r="D2195" s="335" t="s">
        <v>1092</v>
      </c>
      <c r="E2195" s="335" t="s">
        <v>392</v>
      </c>
      <c r="F2195" s="335" t="s">
        <v>701</v>
      </c>
      <c r="G2195" s="335" t="s">
        <v>4467</v>
      </c>
      <c r="H2195" s="335" t="s">
        <v>4468</v>
      </c>
      <c r="I2195" s="341">
        <v>50400</v>
      </c>
    </row>
    <row r="2196" spans="1:9" x14ac:dyDescent="0.2">
      <c r="A2196" s="333">
        <v>2195</v>
      </c>
      <c r="B2196" s="334">
        <v>43812</v>
      </c>
      <c r="C2196" s="334">
        <v>43843</v>
      </c>
      <c r="D2196" s="335" t="s">
        <v>1092</v>
      </c>
      <c r="E2196" s="335" t="s">
        <v>392</v>
      </c>
      <c r="F2196" s="335" t="s">
        <v>4469</v>
      </c>
      <c r="G2196" s="335" t="s">
        <v>4470</v>
      </c>
      <c r="H2196" s="335" t="s">
        <v>4471</v>
      </c>
      <c r="I2196" s="341">
        <v>42982.8</v>
      </c>
    </row>
    <row r="2197" spans="1:9" x14ac:dyDescent="0.2">
      <c r="A2197" s="333">
        <v>2196</v>
      </c>
      <c r="B2197" s="334">
        <v>43812</v>
      </c>
      <c r="C2197" s="334">
        <v>43843</v>
      </c>
      <c r="D2197" s="335" t="s">
        <v>1092</v>
      </c>
      <c r="E2197" s="335" t="s">
        <v>392</v>
      </c>
      <c r="F2197" s="335" t="s">
        <v>71</v>
      </c>
      <c r="G2197" s="335" t="s">
        <v>4472</v>
      </c>
      <c r="H2197" s="335" t="s">
        <v>4473</v>
      </c>
      <c r="I2197" s="341">
        <v>59710.6</v>
      </c>
    </row>
    <row r="2198" spans="1:9" x14ac:dyDescent="0.2">
      <c r="A2198" s="333">
        <v>2197</v>
      </c>
      <c r="B2198" s="334">
        <v>43812</v>
      </c>
      <c r="C2198" s="334">
        <v>43843</v>
      </c>
      <c r="D2198" s="335" t="s">
        <v>1092</v>
      </c>
      <c r="E2198" s="335" t="s">
        <v>392</v>
      </c>
      <c r="F2198" s="335" t="s">
        <v>1272</v>
      </c>
      <c r="G2198" s="335" t="s">
        <v>4474</v>
      </c>
      <c r="H2198" s="335" t="s">
        <v>4475</v>
      </c>
      <c r="I2198" s="341">
        <v>143279.29</v>
      </c>
    </row>
    <row r="2199" spans="1:9" x14ac:dyDescent="0.2">
      <c r="A2199" s="333">
        <v>2198</v>
      </c>
      <c r="B2199" s="334">
        <v>43815</v>
      </c>
      <c r="C2199" s="334">
        <v>43845</v>
      </c>
      <c r="D2199" s="335" t="s">
        <v>1092</v>
      </c>
      <c r="E2199" s="335" t="s">
        <v>392</v>
      </c>
      <c r="F2199" s="335" t="s">
        <v>71</v>
      </c>
      <c r="G2199" s="335" t="s">
        <v>4476</v>
      </c>
      <c r="H2199" s="335" t="s">
        <v>4477</v>
      </c>
      <c r="I2199" s="341">
        <v>54892.160000000003</v>
      </c>
    </row>
    <row r="2200" spans="1:9" x14ac:dyDescent="0.2">
      <c r="A2200" s="333">
        <v>2199</v>
      </c>
      <c r="B2200" s="334">
        <v>43815</v>
      </c>
      <c r="C2200" s="334">
        <v>43845</v>
      </c>
      <c r="D2200" s="335" t="s">
        <v>1092</v>
      </c>
      <c r="E2200" s="335" t="s">
        <v>392</v>
      </c>
      <c r="F2200" s="335" t="s">
        <v>1272</v>
      </c>
      <c r="G2200" s="335" t="s">
        <v>4478</v>
      </c>
      <c r="H2200" s="335" t="s">
        <v>4479</v>
      </c>
      <c r="I2200" s="341">
        <v>120432.89</v>
      </c>
    </row>
    <row r="2201" spans="1:9" x14ac:dyDescent="0.2">
      <c r="A2201" s="333">
        <v>2200</v>
      </c>
      <c r="B2201" s="334">
        <v>43818</v>
      </c>
      <c r="C2201" s="334">
        <v>43845</v>
      </c>
      <c r="D2201" s="335" t="s">
        <v>1092</v>
      </c>
      <c r="E2201" s="335" t="s">
        <v>392</v>
      </c>
      <c r="F2201" s="335" t="s">
        <v>71</v>
      </c>
      <c r="G2201" s="335" t="s">
        <v>4480</v>
      </c>
      <c r="H2201" s="335" t="s">
        <v>4481</v>
      </c>
      <c r="I2201" s="341">
        <v>4530.13</v>
      </c>
    </row>
    <row r="2202" spans="1:9" x14ac:dyDescent="0.2">
      <c r="A2202" s="333">
        <v>2201</v>
      </c>
      <c r="B2202" s="334">
        <v>43818</v>
      </c>
      <c r="C2202" s="334">
        <v>43838</v>
      </c>
      <c r="D2202" s="335" t="s">
        <v>1092</v>
      </c>
      <c r="E2202" s="335" t="s">
        <v>392</v>
      </c>
      <c r="F2202" s="335" t="s">
        <v>71</v>
      </c>
      <c r="G2202" s="335" t="s">
        <v>4482</v>
      </c>
      <c r="H2202" s="335" t="s">
        <v>4483</v>
      </c>
      <c r="I2202" s="341">
        <v>1759.19</v>
      </c>
    </row>
    <row r="2203" spans="1:9" x14ac:dyDescent="0.2">
      <c r="A2203" s="333">
        <v>2202</v>
      </c>
      <c r="B2203" s="334">
        <v>43818</v>
      </c>
      <c r="C2203" s="334">
        <v>43838</v>
      </c>
      <c r="D2203" s="335" t="s">
        <v>1092</v>
      </c>
      <c r="E2203" s="335" t="s">
        <v>392</v>
      </c>
      <c r="F2203" s="335" t="s">
        <v>71</v>
      </c>
      <c r="G2203" s="335" t="s">
        <v>4484</v>
      </c>
      <c r="H2203" s="335" t="s">
        <v>4485</v>
      </c>
      <c r="I2203" s="341">
        <v>3252.01</v>
      </c>
    </row>
    <row r="2204" spans="1:9" x14ac:dyDescent="0.2">
      <c r="A2204" s="333">
        <v>2203</v>
      </c>
      <c r="B2204" s="334">
        <v>43819</v>
      </c>
      <c r="C2204" s="334">
        <v>43850</v>
      </c>
      <c r="D2204" s="335" t="s">
        <v>1092</v>
      </c>
      <c r="E2204" s="335" t="s">
        <v>422</v>
      </c>
      <c r="F2204" s="335" t="s">
        <v>71</v>
      </c>
      <c r="G2204" s="335" t="s">
        <v>4486</v>
      </c>
      <c r="H2204" s="335" t="s">
        <v>4488</v>
      </c>
      <c r="I2204" s="341">
        <v>252768.95</v>
      </c>
    </row>
    <row r="2205" spans="1:9" x14ac:dyDescent="0.2">
      <c r="A2205" s="333">
        <v>2204</v>
      </c>
      <c r="B2205" s="334">
        <v>43819</v>
      </c>
      <c r="C2205" s="334">
        <v>43850</v>
      </c>
      <c r="D2205" s="335" t="s">
        <v>1092</v>
      </c>
      <c r="E2205" s="335" t="s">
        <v>422</v>
      </c>
      <c r="F2205" s="335" t="s">
        <v>396</v>
      </c>
      <c r="G2205" s="335" t="s">
        <v>4487</v>
      </c>
      <c r="H2205" s="335" t="s">
        <v>4489</v>
      </c>
      <c r="I2205" s="341">
        <v>1394666.66</v>
      </c>
    </row>
    <row r="2206" spans="1:9" x14ac:dyDescent="0.2">
      <c r="A2206" s="333">
        <v>2205</v>
      </c>
      <c r="B2206" s="334">
        <v>43819</v>
      </c>
      <c r="C2206" s="334">
        <v>43838</v>
      </c>
      <c r="D2206" s="335" t="s">
        <v>1092</v>
      </c>
      <c r="E2206" s="335" t="s">
        <v>422</v>
      </c>
      <c r="F2206" s="335" t="s">
        <v>701</v>
      </c>
      <c r="G2206" s="335" t="s">
        <v>4490</v>
      </c>
      <c r="H2206" s="335" t="s">
        <v>4491</v>
      </c>
      <c r="I2206" s="341">
        <v>31621.439999999999</v>
      </c>
    </row>
    <row r="2207" spans="1:9" x14ac:dyDescent="0.2">
      <c r="A2207" s="333">
        <v>2206</v>
      </c>
      <c r="B2207" s="334">
        <v>43819</v>
      </c>
      <c r="C2207" s="334">
        <v>43838</v>
      </c>
      <c r="D2207" s="335" t="s">
        <v>1092</v>
      </c>
      <c r="E2207" s="335" t="s">
        <v>422</v>
      </c>
      <c r="F2207" s="335" t="s">
        <v>701</v>
      </c>
      <c r="G2207" s="335" t="s">
        <v>4492</v>
      </c>
      <c r="H2207" s="335" t="s">
        <v>4493</v>
      </c>
      <c r="I2207" s="341">
        <v>26389.599999999999</v>
      </c>
    </row>
    <row r="2208" spans="1:9" x14ac:dyDescent="0.2">
      <c r="A2208" s="333">
        <v>2207</v>
      </c>
      <c r="B2208" s="334">
        <v>43819</v>
      </c>
      <c r="C2208" s="334">
        <v>43838</v>
      </c>
      <c r="D2208" s="335" t="s">
        <v>1092</v>
      </c>
      <c r="E2208" s="335" t="s">
        <v>422</v>
      </c>
      <c r="F2208" s="335" t="s">
        <v>701</v>
      </c>
      <c r="G2208" s="335" t="s">
        <v>4494</v>
      </c>
      <c r="H2208" s="335" t="s">
        <v>4495</v>
      </c>
      <c r="I2208" s="341">
        <v>21118.95</v>
      </c>
    </row>
    <row r="2209" spans="1:9" x14ac:dyDescent="0.2">
      <c r="A2209" s="333">
        <v>2208</v>
      </c>
      <c r="B2209" s="334">
        <v>43819</v>
      </c>
      <c r="C2209" s="334">
        <v>43838</v>
      </c>
      <c r="D2209" s="335" t="s">
        <v>1092</v>
      </c>
      <c r="E2209" s="335" t="s">
        <v>422</v>
      </c>
      <c r="F2209" s="335" t="s">
        <v>396</v>
      </c>
      <c r="G2209" s="335" t="s">
        <v>4496</v>
      </c>
      <c r="H2209" s="335" t="s">
        <v>4497</v>
      </c>
      <c r="I2209" s="341">
        <v>42787.86</v>
      </c>
    </row>
    <row r="2210" spans="1:9" x14ac:dyDescent="0.2">
      <c r="A2210" s="333">
        <v>2209</v>
      </c>
      <c r="B2210" s="334">
        <v>43819</v>
      </c>
      <c r="C2210" s="334">
        <v>43843</v>
      </c>
      <c r="D2210" s="335" t="s">
        <v>1092</v>
      </c>
      <c r="E2210" s="335" t="s">
        <v>422</v>
      </c>
      <c r="F2210" s="335" t="s">
        <v>396</v>
      </c>
      <c r="G2210" s="335" t="s">
        <v>4498</v>
      </c>
      <c r="H2210" s="335" t="s">
        <v>4499</v>
      </c>
      <c r="I2210" s="341">
        <v>132792</v>
      </c>
    </row>
    <row r="2211" spans="1:9" x14ac:dyDescent="0.2">
      <c r="A2211" s="333">
        <v>2210</v>
      </c>
      <c r="B2211" s="334">
        <v>43819</v>
      </c>
      <c r="C2211" s="334">
        <v>43838</v>
      </c>
      <c r="D2211" s="335" t="s">
        <v>1092</v>
      </c>
      <c r="E2211" s="335" t="s">
        <v>422</v>
      </c>
      <c r="F2211" s="335" t="s">
        <v>396</v>
      </c>
      <c r="G2211" s="335" t="s">
        <v>4500</v>
      </c>
      <c r="H2211" s="335" t="s">
        <v>4501</v>
      </c>
      <c r="I2211" s="341">
        <v>23697.9</v>
      </c>
    </row>
    <row r="2212" spans="1:9" x14ac:dyDescent="0.2">
      <c r="A2212" s="333">
        <v>2211</v>
      </c>
      <c r="B2212" s="334">
        <v>43819</v>
      </c>
      <c r="C2212" s="334">
        <v>43843</v>
      </c>
      <c r="D2212" s="335" t="s">
        <v>1092</v>
      </c>
      <c r="E2212" s="335" t="s">
        <v>422</v>
      </c>
      <c r="F2212" s="335" t="s">
        <v>396</v>
      </c>
      <c r="G2212" s="335" t="s">
        <v>4502</v>
      </c>
      <c r="H2212" s="335" t="s">
        <v>4503</v>
      </c>
      <c r="I2212" s="341">
        <v>203520</v>
      </c>
    </row>
    <row r="2213" spans="1:9" x14ac:dyDescent="0.2">
      <c r="A2213" s="333">
        <v>2212</v>
      </c>
      <c r="B2213" s="334">
        <v>43822</v>
      </c>
      <c r="C2213" s="334">
        <v>43843</v>
      </c>
      <c r="D2213" s="335" t="s">
        <v>1092</v>
      </c>
      <c r="E2213" s="335" t="s">
        <v>422</v>
      </c>
      <c r="F2213" s="335" t="s">
        <v>71</v>
      </c>
      <c r="G2213" s="335" t="s">
        <v>4504</v>
      </c>
      <c r="H2213" s="335" t="s">
        <v>4505</v>
      </c>
      <c r="I2213" s="341">
        <v>208084.02</v>
      </c>
    </row>
    <row r="2214" spans="1:9" x14ac:dyDescent="0.2">
      <c r="A2214" s="333">
        <v>2213</v>
      </c>
      <c r="B2214" s="334">
        <v>43822</v>
      </c>
      <c r="C2214" s="334">
        <v>43838</v>
      </c>
      <c r="D2214" s="335" t="s">
        <v>1092</v>
      </c>
      <c r="E2214" s="335" t="s">
        <v>422</v>
      </c>
      <c r="F2214" s="335" t="s">
        <v>396</v>
      </c>
      <c r="G2214" s="335" t="s">
        <v>4506</v>
      </c>
      <c r="H2214" s="335" t="s">
        <v>4507</v>
      </c>
      <c r="I2214" s="341">
        <v>107448</v>
      </c>
    </row>
    <row r="2215" spans="1:9" x14ac:dyDescent="0.2">
      <c r="A2215" s="333">
        <v>2214</v>
      </c>
      <c r="B2215" s="334">
        <v>43822</v>
      </c>
      <c r="C2215" s="334">
        <v>43838</v>
      </c>
      <c r="D2215" s="335" t="s">
        <v>1092</v>
      </c>
      <c r="E2215" s="335" t="s">
        <v>422</v>
      </c>
      <c r="F2215" s="335" t="s">
        <v>396</v>
      </c>
      <c r="G2215" s="335" t="s">
        <v>4508</v>
      </c>
      <c r="H2215" s="335" t="s">
        <v>4509</v>
      </c>
      <c r="I2215" s="341">
        <v>126000</v>
      </c>
    </row>
    <row r="2216" spans="1:9" x14ac:dyDescent="0.2">
      <c r="A2216" s="333">
        <v>2215</v>
      </c>
      <c r="B2216" s="334">
        <v>43822</v>
      </c>
      <c r="C2216" s="334">
        <v>43850</v>
      </c>
      <c r="D2216" s="335" t="s">
        <v>1092</v>
      </c>
      <c r="E2216" s="335" t="s">
        <v>422</v>
      </c>
      <c r="F2216" s="335" t="s">
        <v>396</v>
      </c>
      <c r="G2216" s="335" t="s">
        <v>4510</v>
      </c>
      <c r="H2216" s="335" t="s">
        <v>4511</v>
      </c>
      <c r="I2216" s="341">
        <v>739200</v>
      </c>
    </row>
    <row r="2217" spans="1:9" x14ac:dyDescent="0.2">
      <c r="A2217" s="333">
        <v>2216</v>
      </c>
      <c r="B2217" s="334">
        <v>43823</v>
      </c>
      <c r="C2217" s="334">
        <v>43845</v>
      </c>
      <c r="D2217" s="335" t="s">
        <v>1092</v>
      </c>
      <c r="E2217" s="335" t="s">
        <v>392</v>
      </c>
      <c r="F2217" s="335" t="s">
        <v>71</v>
      </c>
      <c r="G2217" s="335" t="s">
        <v>4512</v>
      </c>
      <c r="H2217" s="335" t="s">
        <v>4513</v>
      </c>
      <c r="I2217" s="341">
        <v>3196.55</v>
      </c>
    </row>
    <row r="2218" spans="1:9" x14ac:dyDescent="0.2">
      <c r="A2218" s="333">
        <v>2217</v>
      </c>
      <c r="B2218" s="334">
        <v>43823</v>
      </c>
      <c r="C2218" s="334">
        <v>43838</v>
      </c>
      <c r="D2218" s="335" t="s">
        <v>1092</v>
      </c>
      <c r="E2218" s="335" t="s">
        <v>422</v>
      </c>
      <c r="F2218" s="335" t="s">
        <v>396</v>
      </c>
      <c r="G2218" s="335" t="s">
        <v>4514</v>
      </c>
      <c r="H2218" s="335" t="s">
        <v>3364</v>
      </c>
      <c r="I2218" s="341">
        <v>45000</v>
      </c>
    </row>
    <row r="2219" spans="1:9" x14ac:dyDescent="0.2">
      <c r="A2219" s="333">
        <v>2218</v>
      </c>
      <c r="B2219" s="334">
        <v>43823</v>
      </c>
      <c r="C2219" s="334">
        <v>43850</v>
      </c>
      <c r="D2219" s="335" t="s">
        <v>1092</v>
      </c>
      <c r="E2219" s="335" t="s">
        <v>392</v>
      </c>
      <c r="F2219" s="335" t="s">
        <v>71</v>
      </c>
      <c r="G2219" s="335" t="s">
        <v>4515</v>
      </c>
      <c r="H2219" s="335" t="s">
        <v>4516</v>
      </c>
      <c r="I2219" s="341">
        <v>140000</v>
      </c>
    </row>
    <row r="2220" spans="1:9" x14ac:dyDescent="0.2">
      <c r="A2220" s="333">
        <v>2219</v>
      </c>
      <c r="B2220" s="334">
        <v>43833</v>
      </c>
      <c r="C2220" s="334">
        <v>43850</v>
      </c>
      <c r="D2220" s="335" t="s">
        <v>1092</v>
      </c>
      <c r="E2220" s="335" t="s">
        <v>392</v>
      </c>
      <c r="F2220" s="335" t="s">
        <v>2224</v>
      </c>
      <c r="G2220" s="335" t="s">
        <v>4518</v>
      </c>
      <c r="H2220" s="335" t="s">
        <v>4519</v>
      </c>
      <c r="I2220" s="341">
        <v>38960.6</v>
      </c>
    </row>
    <row r="2221" spans="1:9" x14ac:dyDescent="0.2">
      <c r="A2221" s="333">
        <v>2220</v>
      </c>
      <c r="B2221" s="334">
        <v>43838</v>
      </c>
      <c r="C2221" s="334">
        <v>43857</v>
      </c>
      <c r="D2221" s="335" t="s">
        <v>1092</v>
      </c>
      <c r="E2221" s="335" t="s">
        <v>392</v>
      </c>
      <c r="F2221" s="335" t="s">
        <v>9</v>
      </c>
      <c r="G2221" s="335" t="s">
        <v>4520</v>
      </c>
      <c r="H2221" s="335" t="s">
        <v>4521</v>
      </c>
      <c r="I2221" s="341">
        <v>64816.45</v>
      </c>
    </row>
    <row r="2222" spans="1:9" x14ac:dyDescent="0.2">
      <c r="A2222" s="333">
        <v>2221</v>
      </c>
      <c r="B2222" s="334">
        <v>43850</v>
      </c>
      <c r="C2222" s="334">
        <v>43866</v>
      </c>
      <c r="D2222" s="335" t="s">
        <v>1092</v>
      </c>
      <c r="E2222" s="335" t="s">
        <v>392</v>
      </c>
      <c r="F2222" s="335" t="s">
        <v>71</v>
      </c>
      <c r="G2222" s="335" t="s">
        <v>4522</v>
      </c>
      <c r="H2222" s="335" t="s">
        <v>4523</v>
      </c>
      <c r="I2222" s="341">
        <v>1528.27</v>
      </c>
    </row>
    <row r="2223" spans="1:9" x14ac:dyDescent="0.2">
      <c r="A2223" s="333">
        <v>2222</v>
      </c>
      <c r="B2223" s="334">
        <v>43850</v>
      </c>
      <c r="C2223" s="334">
        <v>43866</v>
      </c>
      <c r="D2223" s="335" t="s">
        <v>1092</v>
      </c>
      <c r="E2223" s="335" t="s">
        <v>422</v>
      </c>
      <c r="F2223" s="335" t="s">
        <v>396</v>
      </c>
      <c r="G2223" s="335" t="s">
        <v>4524</v>
      </c>
      <c r="H2223" s="335" t="s">
        <v>4525</v>
      </c>
      <c r="I2223" s="341">
        <v>48356</v>
      </c>
    </row>
    <row r="2224" spans="1:9" x14ac:dyDescent="0.2">
      <c r="A2224" s="333">
        <v>2223</v>
      </c>
      <c r="B2224" s="334">
        <v>43850</v>
      </c>
      <c r="C2224" s="334">
        <v>43866</v>
      </c>
      <c r="D2224" s="335" t="s">
        <v>1092</v>
      </c>
      <c r="E2224" s="335" t="s">
        <v>422</v>
      </c>
      <c r="F2224" s="335" t="s">
        <v>71</v>
      </c>
      <c r="G2224" s="340" t="s">
        <v>4526</v>
      </c>
      <c r="H2224" s="335" t="s">
        <v>4527</v>
      </c>
      <c r="I2224" s="341">
        <v>95414.83</v>
      </c>
    </row>
    <row r="2225" spans="1:10" x14ac:dyDescent="0.2">
      <c r="A2225" s="333">
        <v>2224</v>
      </c>
      <c r="B2225" s="334">
        <v>43850</v>
      </c>
      <c r="C2225" s="334">
        <v>43866</v>
      </c>
      <c r="D2225" s="335" t="s">
        <v>1092</v>
      </c>
      <c r="E2225" s="335" t="s">
        <v>422</v>
      </c>
      <c r="F2225" s="335" t="s">
        <v>396</v>
      </c>
      <c r="G2225" s="335" t="s">
        <v>4528</v>
      </c>
      <c r="H2225" s="335" t="s">
        <v>4529</v>
      </c>
      <c r="I2225" s="341">
        <v>58200</v>
      </c>
    </row>
    <row r="2226" spans="1:10" x14ac:dyDescent="0.2">
      <c r="A2226" s="333">
        <v>2225</v>
      </c>
      <c r="B2226" s="334">
        <v>43850</v>
      </c>
      <c r="C2226" s="334">
        <v>43866</v>
      </c>
      <c r="D2226" s="335" t="s">
        <v>1092</v>
      </c>
      <c r="E2226" s="335" t="s">
        <v>392</v>
      </c>
      <c r="F2226" s="335" t="s">
        <v>71</v>
      </c>
      <c r="G2226" s="335" t="s">
        <v>4530</v>
      </c>
      <c r="H2226" s="335" t="s">
        <v>4531</v>
      </c>
      <c r="I2226" s="341">
        <v>995.32</v>
      </c>
    </row>
    <row r="2227" spans="1:10" x14ac:dyDescent="0.2">
      <c r="A2227" s="333">
        <v>2226</v>
      </c>
      <c r="B2227" s="334">
        <v>43852</v>
      </c>
      <c r="C2227" s="334">
        <v>43880</v>
      </c>
      <c r="D2227" s="335" t="s">
        <v>1092</v>
      </c>
      <c r="E2227" s="335" t="s">
        <v>422</v>
      </c>
      <c r="F2227" s="335" t="s">
        <v>396</v>
      </c>
      <c r="G2227" s="335" t="s">
        <v>4532</v>
      </c>
      <c r="H2227" s="335" t="s">
        <v>4533</v>
      </c>
      <c r="I2227" s="341">
        <v>365026.67</v>
      </c>
    </row>
    <row r="2228" spans="1:10" x14ac:dyDescent="0.2">
      <c r="A2228" s="333">
        <v>2227</v>
      </c>
      <c r="B2228" s="334">
        <v>43853</v>
      </c>
      <c r="C2228" s="334">
        <v>43871</v>
      </c>
      <c r="D2228" s="335" t="s">
        <v>1092</v>
      </c>
      <c r="E2228" s="335" t="s">
        <v>422</v>
      </c>
      <c r="F2228" s="335" t="s">
        <v>71</v>
      </c>
      <c r="G2228" s="335" t="s">
        <v>4534</v>
      </c>
      <c r="H2228" s="335" t="s">
        <v>4535</v>
      </c>
      <c r="I2228" s="341">
        <v>1960.04</v>
      </c>
    </row>
    <row r="2229" spans="1:10" x14ac:dyDescent="0.2">
      <c r="A2229" s="333">
        <v>2228</v>
      </c>
      <c r="B2229" s="334">
        <v>43853</v>
      </c>
      <c r="C2229" s="334">
        <v>43871</v>
      </c>
      <c r="D2229" s="335" t="s">
        <v>1092</v>
      </c>
      <c r="E2229" s="335" t="s">
        <v>422</v>
      </c>
      <c r="F2229" s="335" t="s">
        <v>396</v>
      </c>
      <c r="G2229" s="335" t="s">
        <v>4536</v>
      </c>
      <c r="H2229" s="335" t="s">
        <v>4537</v>
      </c>
      <c r="I2229" s="341">
        <v>6406.67</v>
      </c>
    </row>
    <row r="2230" spans="1:10" x14ac:dyDescent="0.2">
      <c r="A2230" s="333">
        <v>2229</v>
      </c>
      <c r="B2230" s="334">
        <v>43853</v>
      </c>
      <c r="C2230" s="334">
        <v>43871</v>
      </c>
      <c r="D2230" s="335" t="s">
        <v>1092</v>
      </c>
      <c r="E2230" s="335" t="s">
        <v>392</v>
      </c>
      <c r="F2230" s="335" t="s">
        <v>701</v>
      </c>
      <c r="G2230" s="335" t="s">
        <v>4538</v>
      </c>
      <c r="H2230" s="342" t="s">
        <v>4539</v>
      </c>
      <c r="I2230" s="341">
        <v>99937.52</v>
      </c>
    </row>
    <row r="2231" spans="1:10" x14ac:dyDescent="0.2">
      <c r="A2231" s="333">
        <v>2230</v>
      </c>
      <c r="B2231" s="334">
        <v>43854</v>
      </c>
      <c r="C2231" s="334">
        <v>43871</v>
      </c>
      <c r="D2231" s="335" t="s">
        <v>1092</v>
      </c>
      <c r="E2231" s="335" t="s">
        <v>422</v>
      </c>
      <c r="F2231" s="335" t="s">
        <v>396</v>
      </c>
      <c r="G2231" s="335" t="s">
        <v>4540</v>
      </c>
      <c r="H2231" s="335" t="s">
        <v>4541</v>
      </c>
      <c r="I2231" s="341">
        <v>45306.67</v>
      </c>
    </row>
    <row r="2232" spans="1:10" x14ac:dyDescent="0.2">
      <c r="A2232" s="333">
        <v>2231</v>
      </c>
      <c r="B2232" s="334">
        <v>43854</v>
      </c>
      <c r="C2232" s="334">
        <v>43871</v>
      </c>
      <c r="D2232" s="335" t="s">
        <v>1092</v>
      </c>
      <c r="E2232" s="335" t="s">
        <v>422</v>
      </c>
      <c r="F2232" s="335" t="s">
        <v>396</v>
      </c>
      <c r="G2232" s="335" t="s">
        <v>4542</v>
      </c>
      <c r="H2232" s="335" t="s">
        <v>4543</v>
      </c>
      <c r="I2232" s="341">
        <v>10248</v>
      </c>
    </row>
    <row r="2233" spans="1:10" x14ac:dyDescent="0.2">
      <c r="A2233" s="333">
        <v>2232</v>
      </c>
      <c r="B2233" s="334">
        <v>43854</v>
      </c>
      <c r="C2233" s="334">
        <v>43871</v>
      </c>
      <c r="D2233" s="335" t="s">
        <v>1092</v>
      </c>
      <c r="E2233" s="335" t="s">
        <v>422</v>
      </c>
      <c r="F2233" s="335" t="s">
        <v>71</v>
      </c>
      <c r="G2233" s="335" t="s">
        <v>4544</v>
      </c>
      <c r="H2233" s="335" t="s">
        <v>4545</v>
      </c>
      <c r="I2233" s="341">
        <v>14688.33</v>
      </c>
    </row>
    <row r="2234" spans="1:10" x14ac:dyDescent="0.2">
      <c r="A2234" s="333">
        <v>2233</v>
      </c>
      <c r="B2234" s="334">
        <v>43854</v>
      </c>
      <c r="C2234" s="334">
        <v>43878</v>
      </c>
      <c r="D2234" s="335" t="s">
        <v>1092</v>
      </c>
      <c r="E2234" s="335" t="s">
        <v>392</v>
      </c>
      <c r="F2234" s="335" t="s">
        <v>9</v>
      </c>
      <c r="G2234" s="335" t="s">
        <v>4546</v>
      </c>
      <c r="H2234" s="335" t="s">
        <v>4547</v>
      </c>
      <c r="I2234" s="341">
        <v>114302.05</v>
      </c>
    </row>
    <row r="2235" spans="1:10" x14ac:dyDescent="0.2">
      <c r="A2235" s="343">
        <v>2234</v>
      </c>
      <c r="B2235" s="344">
        <v>43854</v>
      </c>
      <c r="C2235" s="344">
        <v>43873</v>
      </c>
      <c r="D2235" s="345" t="s">
        <v>1092</v>
      </c>
      <c r="E2235" s="345" t="s">
        <v>392</v>
      </c>
      <c r="F2235" s="345" t="s">
        <v>9</v>
      </c>
      <c r="G2235" s="345" t="s">
        <v>4548</v>
      </c>
      <c r="H2235" s="345" t="s">
        <v>4549</v>
      </c>
      <c r="I2235" s="346">
        <v>54895.97</v>
      </c>
      <c r="J2235" s="178" t="s">
        <v>4938</v>
      </c>
    </row>
    <row r="2236" spans="1:10" x14ac:dyDescent="0.2">
      <c r="A2236" s="333">
        <v>2235</v>
      </c>
      <c r="B2236" s="334">
        <v>43858</v>
      </c>
      <c r="C2236" s="334">
        <v>43878</v>
      </c>
      <c r="D2236" s="335" t="s">
        <v>1092</v>
      </c>
      <c r="E2236" s="335" t="s">
        <v>392</v>
      </c>
      <c r="F2236" s="335" t="s">
        <v>393</v>
      </c>
      <c r="G2236" s="335" t="s">
        <v>4550</v>
      </c>
      <c r="H2236" s="335" t="s">
        <v>4551</v>
      </c>
      <c r="I2236" s="341">
        <v>7900</v>
      </c>
    </row>
    <row r="2237" spans="1:10" x14ac:dyDescent="0.2">
      <c r="A2237" s="333">
        <v>2236</v>
      </c>
      <c r="B2237" s="334">
        <v>43858</v>
      </c>
      <c r="C2237" s="334">
        <v>43878</v>
      </c>
      <c r="D2237" s="335" t="s">
        <v>1092</v>
      </c>
      <c r="E2237" s="335" t="s">
        <v>392</v>
      </c>
      <c r="F2237" s="335" t="s">
        <v>71</v>
      </c>
      <c r="G2237" s="335" t="s">
        <v>4552</v>
      </c>
      <c r="H2237" s="335" t="s">
        <v>4553</v>
      </c>
      <c r="I2237" s="341">
        <v>1358.72</v>
      </c>
    </row>
    <row r="2238" spans="1:10" x14ac:dyDescent="0.2">
      <c r="A2238" s="333">
        <v>2237</v>
      </c>
      <c r="B2238" s="334">
        <v>43858</v>
      </c>
      <c r="C2238" s="334">
        <v>43878</v>
      </c>
      <c r="D2238" s="335" t="s">
        <v>1092</v>
      </c>
      <c r="E2238" s="335" t="s">
        <v>422</v>
      </c>
      <c r="F2238" s="335" t="s">
        <v>701</v>
      </c>
      <c r="G2238" s="335" t="s">
        <v>4554</v>
      </c>
      <c r="H2238" s="335" t="s">
        <v>4555</v>
      </c>
      <c r="I2238" s="341">
        <v>31500</v>
      </c>
    </row>
    <row r="2239" spans="1:10" x14ac:dyDescent="0.2">
      <c r="A2239" s="333">
        <v>2238</v>
      </c>
      <c r="B2239" s="334">
        <v>43858</v>
      </c>
      <c r="C2239" s="334">
        <v>43873</v>
      </c>
      <c r="D2239" s="335" t="s">
        <v>1092</v>
      </c>
      <c r="E2239" s="335" t="s">
        <v>392</v>
      </c>
      <c r="F2239" s="335" t="s">
        <v>71</v>
      </c>
      <c r="G2239" s="335" t="s">
        <v>4556</v>
      </c>
      <c r="H2239" s="335" t="s">
        <v>4557</v>
      </c>
      <c r="I2239" s="341">
        <v>2708.21</v>
      </c>
    </row>
    <row r="2240" spans="1:10" x14ac:dyDescent="0.2">
      <c r="A2240" s="333">
        <v>2239</v>
      </c>
      <c r="B2240" s="334">
        <v>43858</v>
      </c>
      <c r="C2240" s="334">
        <v>43873</v>
      </c>
      <c r="D2240" s="335" t="s">
        <v>1092</v>
      </c>
      <c r="E2240" s="335" t="s">
        <v>392</v>
      </c>
      <c r="F2240" s="335" t="s">
        <v>701</v>
      </c>
      <c r="G2240" s="335" t="s">
        <v>4558</v>
      </c>
      <c r="H2240" s="335" t="s">
        <v>4559</v>
      </c>
      <c r="I2240" s="341">
        <v>58500</v>
      </c>
    </row>
    <row r="2241" spans="1:9" x14ac:dyDescent="0.2">
      <c r="A2241" s="333">
        <v>2240</v>
      </c>
      <c r="B2241" s="334">
        <v>43858</v>
      </c>
      <c r="C2241" s="334">
        <v>43878</v>
      </c>
      <c r="D2241" s="335" t="s">
        <v>1092</v>
      </c>
      <c r="E2241" s="335" t="s">
        <v>392</v>
      </c>
      <c r="F2241" s="335" t="s">
        <v>393</v>
      </c>
      <c r="G2241" s="335" t="s">
        <v>4560</v>
      </c>
      <c r="H2241" s="335" t="s">
        <v>4561</v>
      </c>
      <c r="I2241" s="341">
        <v>2160</v>
      </c>
    </row>
    <row r="2242" spans="1:9" x14ac:dyDescent="0.2">
      <c r="A2242" s="333">
        <v>2241</v>
      </c>
      <c r="B2242" s="334">
        <v>43858</v>
      </c>
      <c r="C2242" s="334">
        <v>43878</v>
      </c>
      <c r="D2242" s="335" t="s">
        <v>1092</v>
      </c>
      <c r="E2242" s="335" t="s">
        <v>422</v>
      </c>
      <c r="F2242" s="335" t="s">
        <v>396</v>
      </c>
      <c r="G2242" s="335" t="s">
        <v>4562</v>
      </c>
      <c r="H2242" s="335" t="s">
        <v>4563</v>
      </c>
      <c r="I2242" s="341">
        <v>25400.880000000001</v>
      </c>
    </row>
    <row r="2243" spans="1:9" x14ac:dyDescent="0.2">
      <c r="A2243" s="333">
        <v>2242</v>
      </c>
      <c r="B2243" s="334">
        <v>43860</v>
      </c>
      <c r="C2243" s="334">
        <v>43878</v>
      </c>
      <c r="D2243" s="335" t="s">
        <v>1092</v>
      </c>
      <c r="E2243" s="335" t="s">
        <v>392</v>
      </c>
      <c r="F2243" s="335" t="s">
        <v>71</v>
      </c>
      <c r="G2243" s="335" t="s">
        <v>4564</v>
      </c>
      <c r="H2243" s="335" t="s">
        <v>4565</v>
      </c>
      <c r="I2243" s="341">
        <v>1706.35</v>
      </c>
    </row>
    <row r="2244" spans="1:9" x14ac:dyDescent="0.2">
      <c r="A2244" s="333">
        <v>2243</v>
      </c>
      <c r="B2244" s="334">
        <v>43860</v>
      </c>
      <c r="C2244" s="334">
        <v>43880</v>
      </c>
      <c r="D2244" s="335" t="s">
        <v>1092</v>
      </c>
      <c r="E2244" s="335" t="s">
        <v>392</v>
      </c>
      <c r="F2244" s="335" t="s">
        <v>396</v>
      </c>
      <c r="G2244" s="335" t="s">
        <v>4566</v>
      </c>
      <c r="H2244" s="335" t="s">
        <v>4567</v>
      </c>
      <c r="I2244" s="341">
        <v>14393.94</v>
      </c>
    </row>
    <row r="2245" spans="1:9" x14ac:dyDescent="0.2">
      <c r="A2245" s="333">
        <v>2244</v>
      </c>
      <c r="B2245" s="334">
        <v>43861</v>
      </c>
      <c r="C2245" s="334">
        <v>43878</v>
      </c>
      <c r="D2245" s="335" t="s">
        <v>1092</v>
      </c>
      <c r="E2245" s="335" t="s">
        <v>392</v>
      </c>
      <c r="F2245" s="335" t="s">
        <v>71</v>
      </c>
      <c r="G2245" s="335" t="s">
        <v>4568</v>
      </c>
      <c r="H2245" s="335" t="s">
        <v>4569</v>
      </c>
      <c r="I2245" s="341">
        <v>1346.7</v>
      </c>
    </row>
    <row r="2246" spans="1:9" x14ac:dyDescent="0.2">
      <c r="A2246" s="333">
        <v>2245</v>
      </c>
      <c r="B2246" s="334">
        <v>43864</v>
      </c>
      <c r="C2246" s="334">
        <v>43880</v>
      </c>
      <c r="D2246" s="335" t="s">
        <v>1092</v>
      </c>
      <c r="E2246" s="335" t="s">
        <v>422</v>
      </c>
      <c r="F2246" s="335" t="s">
        <v>396</v>
      </c>
      <c r="G2246" s="335" t="s">
        <v>4570</v>
      </c>
      <c r="H2246" s="335" t="s">
        <v>4571</v>
      </c>
      <c r="I2246" s="341">
        <v>28320</v>
      </c>
    </row>
    <row r="2247" spans="1:9" x14ac:dyDescent="0.2">
      <c r="A2247" s="333">
        <v>2246</v>
      </c>
      <c r="B2247" s="334">
        <v>43864</v>
      </c>
      <c r="C2247" s="334">
        <v>43880</v>
      </c>
      <c r="D2247" s="335" t="s">
        <v>1092</v>
      </c>
      <c r="E2247" s="335" t="s">
        <v>422</v>
      </c>
      <c r="F2247" s="335" t="s">
        <v>396</v>
      </c>
      <c r="G2247" s="335" t="s">
        <v>4572</v>
      </c>
      <c r="H2247" s="335" t="s">
        <v>4573</v>
      </c>
      <c r="I2247" s="341">
        <v>6600</v>
      </c>
    </row>
    <row r="2248" spans="1:9" x14ac:dyDescent="0.2">
      <c r="A2248" s="333">
        <v>2247</v>
      </c>
      <c r="B2248" s="334">
        <v>43865</v>
      </c>
      <c r="C2248" s="334">
        <v>43880</v>
      </c>
      <c r="D2248" s="335" t="s">
        <v>1092</v>
      </c>
      <c r="E2248" s="335" t="s">
        <v>392</v>
      </c>
      <c r="F2248" s="335" t="s">
        <v>71</v>
      </c>
      <c r="G2248" s="335" t="s">
        <v>4574</v>
      </c>
      <c r="H2248" s="335" t="s">
        <v>4575</v>
      </c>
      <c r="I2248" s="341">
        <v>2876.28</v>
      </c>
    </row>
    <row r="2249" spans="1:9" x14ac:dyDescent="0.2">
      <c r="A2249" s="333">
        <v>2248</v>
      </c>
      <c r="B2249" s="334">
        <v>43865</v>
      </c>
      <c r="C2249" s="334">
        <v>43885</v>
      </c>
      <c r="D2249" s="335" t="s">
        <v>1092</v>
      </c>
      <c r="E2249" s="335" t="s">
        <v>422</v>
      </c>
      <c r="F2249" s="335" t="s">
        <v>701</v>
      </c>
      <c r="G2249" s="335" t="s">
        <v>4576</v>
      </c>
      <c r="H2249" s="335" t="s">
        <v>4577</v>
      </c>
      <c r="I2249" s="341">
        <v>29500</v>
      </c>
    </row>
    <row r="2250" spans="1:9" x14ac:dyDescent="0.2">
      <c r="A2250" s="333">
        <v>2249</v>
      </c>
      <c r="B2250" s="334">
        <v>43865</v>
      </c>
      <c r="C2250" s="334">
        <v>43894</v>
      </c>
      <c r="D2250" s="335" t="s">
        <v>1092</v>
      </c>
      <c r="E2250" s="335" t="s">
        <v>422</v>
      </c>
      <c r="F2250" s="335" t="s">
        <v>701</v>
      </c>
      <c r="G2250" s="335" t="s">
        <v>4578</v>
      </c>
      <c r="H2250" s="335" t="s">
        <v>4579</v>
      </c>
      <c r="I2250" s="341">
        <v>217178</v>
      </c>
    </row>
    <row r="2251" spans="1:9" x14ac:dyDescent="0.2">
      <c r="A2251" s="333">
        <v>2250</v>
      </c>
      <c r="B2251" s="334">
        <v>43865</v>
      </c>
      <c r="C2251" s="334">
        <v>43885</v>
      </c>
      <c r="D2251" s="335" t="s">
        <v>1092</v>
      </c>
      <c r="E2251" s="335" t="s">
        <v>422</v>
      </c>
      <c r="F2251" s="335" t="s">
        <v>701</v>
      </c>
      <c r="G2251" s="335" t="s">
        <v>4580</v>
      </c>
      <c r="H2251" s="335" t="s">
        <v>4581</v>
      </c>
      <c r="I2251" s="341">
        <v>24500</v>
      </c>
    </row>
    <row r="2252" spans="1:9" x14ac:dyDescent="0.2">
      <c r="A2252" s="333">
        <v>2251</v>
      </c>
      <c r="B2252" s="334">
        <v>43865</v>
      </c>
      <c r="C2252" s="334">
        <v>43894</v>
      </c>
      <c r="D2252" s="335" t="s">
        <v>1092</v>
      </c>
      <c r="E2252" s="335" t="s">
        <v>392</v>
      </c>
      <c r="F2252" s="335" t="s">
        <v>2224</v>
      </c>
      <c r="G2252" s="335" t="s">
        <v>4582</v>
      </c>
      <c r="H2252" s="335" t="s">
        <v>4583</v>
      </c>
      <c r="I2252" s="341">
        <v>900000</v>
      </c>
    </row>
    <row r="2253" spans="1:9" x14ac:dyDescent="0.2">
      <c r="A2253" s="333">
        <v>2252</v>
      </c>
      <c r="B2253" s="334">
        <v>43866</v>
      </c>
      <c r="C2253" s="334">
        <v>43885</v>
      </c>
      <c r="D2253" s="335" t="s">
        <v>1092</v>
      </c>
      <c r="E2253" s="335" t="s">
        <v>392</v>
      </c>
      <c r="F2253" s="335" t="s">
        <v>393</v>
      </c>
      <c r="G2253" s="335" t="s">
        <v>4584</v>
      </c>
      <c r="H2253" s="335" t="s">
        <v>4585</v>
      </c>
      <c r="I2253" s="341">
        <v>27014.400000000001</v>
      </c>
    </row>
    <row r="2254" spans="1:9" x14ac:dyDescent="0.2">
      <c r="A2254" s="333">
        <v>2253</v>
      </c>
      <c r="B2254" s="334">
        <v>43866</v>
      </c>
      <c r="C2254" s="334">
        <v>43885</v>
      </c>
      <c r="D2254" s="335" t="s">
        <v>1092</v>
      </c>
      <c r="E2254" s="335" t="s">
        <v>392</v>
      </c>
      <c r="F2254" s="335" t="s">
        <v>393</v>
      </c>
      <c r="G2254" s="335" t="s">
        <v>4586</v>
      </c>
      <c r="H2254" s="335" t="s">
        <v>4587</v>
      </c>
      <c r="I2254" s="341">
        <v>90048.53</v>
      </c>
    </row>
    <row r="2255" spans="1:9" x14ac:dyDescent="0.2">
      <c r="A2255" s="333">
        <v>2254</v>
      </c>
      <c r="B2255" s="334">
        <v>43866</v>
      </c>
      <c r="C2255" s="334">
        <v>43885</v>
      </c>
      <c r="D2255" s="335" t="s">
        <v>1092</v>
      </c>
      <c r="E2255" s="335" t="s">
        <v>422</v>
      </c>
      <c r="F2255" s="335" t="s">
        <v>396</v>
      </c>
      <c r="G2255" s="335" t="s">
        <v>4588</v>
      </c>
      <c r="H2255" s="335" t="s">
        <v>4589</v>
      </c>
      <c r="I2255" s="341">
        <v>16280</v>
      </c>
    </row>
    <row r="2256" spans="1:9" x14ac:dyDescent="0.2">
      <c r="A2256" s="333">
        <v>2255</v>
      </c>
      <c r="B2256" s="334">
        <v>43866</v>
      </c>
      <c r="C2256" s="334">
        <v>43885</v>
      </c>
      <c r="D2256" s="335" t="s">
        <v>1092</v>
      </c>
      <c r="E2256" s="335" t="s">
        <v>422</v>
      </c>
      <c r="F2256" s="335" t="s">
        <v>701</v>
      </c>
      <c r="G2256" s="335" t="s">
        <v>4590</v>
      </c>
      <c r="H2256" s="335" t="s">
        <v>4591</v>
      </c>
      <c r="I2256" s="341">
        <v>22600</v>
      </c>
    </row>
    <row r="2257" spans="1:10" x14ac:dyDescent="0.2">
      <c r="A2257" s="333">
        <v>2256</v>
      </c>
      <c r="B2257" s="334">
        <v>43866</v>
      </c>
      <c r="C2257" s="334">
        <v>43885</v>
      </c>
      <c r="D2257" s="335" t="s">
        <v>1092</v>
      </c>
      <c r="E2257" s="335" t="s">
        <v>422</v>
      </c>
      <c r="F2257" s="335" t="s">
        <v>396</v>
      </c>
      <c r="G2257" s="335" t="s">
        <v>4592</v>
      </c>
      <c r="H2257" s="335" t="s">
        <v>4593</v>
      </c>
      <c r="I2257" s="341">
        <v>4884</v>
      </c>
    </row>
    <row r="2258" spans="1:10" x14ac:dyDescent="0.2">
      <c r="A2258" s="333">
        <v>2257</v>
      </c>
      <c r="B2258" s="334">
        <v>43866</v>
      </c>
      <c r="C2258" s="334">
        <v>43885</v>
      </c>
      <c r="D2258" s="335" t="s">
        <v>1092</v>
      </c>
      <c r="E2258" s="335" t="s">
        <v>392</v>
      </c>
      <c r="F2258" s="335" t="s">
        <v>71</v>
      </c>
      <c r="G2258" s="335" t="s">
        <v>4594</v>
      </c>
      <c r="H2258" s="335" t="s">
        <v>4595</v>
      </c>
      <c r="I2258" s="341">
        <v>50898.28</v>
      </c>
    </row>
    <row r="2259" spans="1:10" x14ac:dyDescent="0.2">
      <c r="A2259" s="333">
        <v>2258</v>
      </c>
      <c r="B2259" s="334">
        <v>43866</v>
      </c>
      <c r="C2259" s="334">
        <v>43887</v>
      </c>
      <c r="D2259" s="335" t="s">
        <v>1092</v>
      </c>
      <c r="E2259" s="335" t="s">
        <v>392</v>
      </c>
      <c r="F2259" s="335" t="s">
        <v>71</v>
      </c>
      <c r="G2259" s="335" t="s">
        <v>4596</v>
      </c>
      <c r="H2259" s="335" t="s">
        <v>4597</v>
      </c>
      <c r="I2259" s="341">
        <v>89360.38</v>
      </c>
    </row>
    <row r="2260" spans="1:10" x14ac:dyDescent="0.2">
      <c r="A2260" s="333">
        <v>2259</v>
      </c>
      <c r="B2260" s="334">
        <v>43866</v>
      </c>
      <c r="C2260" s="334">
        <v>43885</v>
      </c>
      <c r="D2260" s="335" t="s">
        <v>1092</v>
      </c>
      <c r="E2260" s="335" t="s">
        <v>422</v>
      </c>
      <c r="F2260" s="335" t="s">
        <v>71</v>
      </c>
      <c r="G2260" s="335" t="s">
        <v>4598</v>
      </c>
      <c r="H2260" s="335" t="s">
        <v>4599</v>
      </c>
      <c r="I2260" s="341">
        <v>2116.98</v>
      </c>
    </row>
    <row r="2261" spans="1:10" x14ac:dyDescent="0.2">
      <c r="A2261" s="333">
        <v>2260</v>
      </c>
      <c r="B2261" s="334">
        <v>43868</v>
      </c>
      <c r="C2261" s="334">
        <v>43885</v>
      </c>
      <c r="D2261" s="335" t="s">
        <v>1092</v>
      </c>
      <c r="E2261" s="335" t="s">
        <v>422</v>
      </c>
      <c r="F2261" s="335" t="s">
        <v>701</v>
      </c>
      <c r="G2261" s="335" t="s">
        <v>4600</v>
      </c>
      <c r="H2261" s="335" t="s">
        <v>4601</v>
      </c>
      <c r="I2261" s="341">
        <v>36900</v>
      </c>
    </row>
    <row r="2262" spans="1:10" x14ac:dyDescent="0.2">
      <c r="A2262" s="333">
        <v>2261</v>
      </c>
      <c r="B2262" s="334">
        <v>43868</v>
      </c>
      <c r="C2262" s="334">
        <v>43885</v>
      </c>
      <c r="D2262" s="335" t="s">
        <v>1092</v>
      </c>
      <c r="E2262" s="335" t="s">
        <v>422</v>
      </c>
      <c r="F2262" s="335" t="s">
        <v>701</v>
      </c>
      <c r="G2262" s="335" t="s">
        <v>4602</v>
      </c>
      <c r="H2262" s="335" t="s">
        <v>4603</v>
      </c>
      <c r="I2262" s="341">
        <v>55200</v>
      </c>
    </row>
    <row r="2263" spans="1:10" x14ac:dyDescent="0.2">
      <c r="A2263" s="333">
        <v>2262</v>
      </c>
      <c r="B2263" s="334">
        <v>43871</v>
      </c>
      <c r="C2263" s="334">
        <v>43887</v>
      </c>
      <c r="D2263" s="335" t="s">
        <v>1092</v>
      </c>
      <c r="E2263" s="335" t="s">
        <v>392</v>
      </c>
      <c r="F2263" s="335" t="s">
        <v>2224</v>
      </c>
      <c r="G2263" s="335" t="s">
        <v>4604</v>
      </c>
      <c r="H2263" s="335" t="s">
        <v>4605</v>
      </c>
      <c r="I2263" s="341">
        <v>54513.65</v>
      </c>
    </row>
    <row r="2264" spans="1:10" x14ac:dyDescent="0.2">
      <c r="A2264" s="333">
        <v>2263</v>
      </c>
      <c r="B2264" s="334">
        <v>43871</v>
      </c>
      <c r="C2264" s="334">
        <v>43887</v>
      </c>
      <c r="D2264" s="335" t="s">
        <v>1092</v>
      </c>
      <c r="E2264" s="335" t="s">
        <v>422</v>
      </c>
      <c r="F2264" s="335" t="s">
        <v>71</v>
      </c>
      <c r="G2264" s="335" t="s">
        <v>4606</v>
      </c>
      <c r="H2264" s="335" t="s">
        <v>4607</v>
      </c>
      <c r="I2264" s="341">
        <v>16504.91</v>
      </c>
    </row>
    <row r="2265" spans="1:10" x14ac:dyDescent="0.2">
      <c r="A2265" s="333">
        <v>2264</v>
      </c>
      <c r="B2265" s="334">
        <v>43871</v>
      </c>
      <c r="C2265" s="334">
        <v>43887</v>
      </c>
      <c r="D2265" s="335" t="s">
        <v>1092</v>
      </c>
      <c r="E2265" s="335" t="s">
        <v>422</v>
      </c>
      <c r="F2265" s="335" t="s">
        <v>396</v>
      </c>
      <c r="G2265" s="335" t="s">
        <v>4608</v>
      </c>
      <c r="H2265" s="335" t="s">
        <v>4609</v>
      </c>
      <c r="I2265" s="341">
        <v>3840</v>
      </c>
    </row>
    <row r="2266" spans="1:10" x14ac:dyDescent="0.2">
      <c r="A2266" s="333">
        <v>2265</v>
      </c>
      <c r="B2266" s="334">
        <v>43871</v>
      </c>
      <c r="C2266" s="334">
        <v>43887</v>
      </c>
      <c r="D2266" s="335" t="s">
        <v>1092</v>
      </c>
      <c r="E2266" s="335" t="s">
        <v>422</v>
      </c>
      <c r="F2266" s="335" t="s">
        <v>396</v>
      </c>
      <c r="G2266" s="335" t="s">
        <v>4610</v>
      </c>
      <c r="H2266" s="335" t="s">
        <v>4611</v>
      </c>
      <c r="I2266" s="341">
        <v>8640</v>
      </c>
    </row>
    <row r="2267" spans="1:10" x14ac:dyDescent="0.2">
      <c r="A2267" s="333">
        <v>2266</v>
      </c>
      <c r="B2267" s="334">
        <v>43871</v>
      </c>
      <c r="C2267" s="334">
        <v>43901</v>
      </c>
      <c r="D2267" s="335" t="s">
        <v>1092</v>
      </c>
      <c r="E2267" s="335" t="s">
        <v>422</v>
      </c>
      <c r="F2267" s="335" t="s">
        <v>701</v>
      </c>
      <c r="G2267" s="335" t="s">
        <v>4612</v>
      </c>
      <c r="H2267" s="335" t="s">
        <v>4613</v>
      </c>
      <c r="I2267" s="341">
        <v>186500</v>
      </c>
      <c r="J2267" s="178" t="s">
        <v>4664</v>
      </c>
    </row>
    <row r="2268" spans="1:10" x14ac:dyDescent="0.2">
      <c r="A2268" s="333">
        <v>2267</v>
      </c>
      <c r="B2268" s="334">
        <v>43871</v>
      </c>
      <c r="C2268" s="334">
        <v>43887</v>
      </c>
      <c r="D2268" s="335" t="s">
        <v>1092</v>
      </c>
      <c r="E2268" s="335" t="s">
        <v>422</v>
      </c>
      <c r="F2268" s="335" t="s">
        <v>396</v>
      </c>
      <c r="G2268" s="335" t="s">
        <v>4614</v>
      </c>
      <c r="H2268" s="335" t="s">
        <v>4615</v>
      </c>
      <c r="I2268" s="341">
        <v>49933.33</v>
      </c>
    </row>
    <row r="2269" spans="1:10" x14ac:dyDescent="0.2">
      <c r="A2269" s="333">
        <v>2268</v>
      </c>
      <c r="B2269" s="334">
        <v>43871</v>
      </c>
      <c r="C2269" s="334">
        <v>43887</v>
      </c>
      <c r="D2269" s="335" t="s">
        <v>1092</v>
      </c>
      <c r="E2269" s="335" t="s">
        <v>422</v>
      </c>
      <c r="F2269" s="335" t="s">
        <v>701</v>
      </c>
      <c r="G2269" s="335" t="s">
        <v>4616</v>
      </c>
      <c r="H2269" s="335" t="s">
        <v>4617</v>
      </c>
      <c r="I2269" s="341">
        <v>45100</v>
      </c>
    </row>
    <row r="2270" spans="1:10" x14ac:dyDescent="0.2">
      <c r="A2270" s="333">
        <v>2269</v>
      </c>
      <c r="B2270" s="334">
        <v>43872</v>
      </c>
      <c r="C2270" s="334">
        <v>43892</v>
      </c>
      <c r="D2270" s="335" t="s">
        <v>1092</v>
      </c>
      <c r="E2270" s="335" t="s">
        <v>422</v>
      </c>
      <c r="F2270" s="335" t="s">
        <v>396</v>
      </c>
      <c r="G2270" s="335" t="s">
        <v>4618</v>
      </c>
      <c r="H2270" s="335" t="s">
        <v>4621</v>
      </c>
      <c r="I2270" s="341">
        <v>43066.67</v>
      </c>
    </row>
    <row r="2271" spans="1:10" x14ac:dyDescent="0.2">
      <c r="A2271" s="333">
        <v>2270</v>
      </c>
      <c r="B2271" s="334">
        <v>43872</v>
      </c>
      <c r="C2271" s="334">
        <v>43892</v>
      </c>
      <c r="D2271" s="335" t="s">
        <v>1092</v>
      </c>
      <c r="E2271" s="335" t="s">
        <v>422</v>
      </c>
      <c r="F2271" s="335" t="s">
        <v>396</v>
      </c>
      <c r="G2271" s="335" t="s">
        <v>4619</v>
      </c>
      <c r="H2271" s="335" t="s">
        <v>4622</v>
      </c>
      <c r="I2271" s="341">
        <v>9000</v>
      </c>
    </row>
    <row r="2272" spans="1:10" x14ac:dyDescent="0.2">
      <c r="A2272" s="333">
        <v>2271</v>
      </c>
      <c r="B2272" s="334">
        <v>43872</v>
      </c>
      <c r="C2272" s="334">
        <v>43892</v>
      </c>
      <c r="D2272" s="335" t="s">
        <v>1092</v>
      </c>
      <c r="E2272" s="335" t="s">
        <v>422</v>
      </c>
      <c r="F2272" s="335" t="s">
        <v>71</v>
      </c>
      <c r="G2272" s="335" t="s">
        <v>4620</v>
      </c>
      <c r="H2272" s="335" t="s">
        <v>4623</v>
      </c>
      <c r="I2272" s="341">
        <v>12525.08</v>
      </c>
    </row>
    <row r="2273" spans="1:10" x14ac:dyDescent="0.2">
      <c r="A2273" s="333">
        <v>2272</v>
      </c>
      <c r="B2273" s="334">
        <v>43874</v>
      </c>
      <c r="C2273" s="334">
        <v>43892</v>
      </c>
      <c r="D2273" s="335" t="s">
        <v>1092</v>
      </c>
      <c r="E2273" s="335" t="s">
        <v>422</v>
      </c>
      <c r="F2273" s="335" t="s">
        <v>71</v>
      </c>
      <c r="G2273" s="335" t="s">
        <v>4624</v>
      </c>
      <c r="H2273" s="335" t="s">
        <v>4625</v>
      </c>
      <c r="I2273" s="341">
        <v>31831.46</v>
      </c>
    </row>
    <row r="2274" spans="1:10" x14ac:dyDescent="0.2">
      <c r="A2274" s="333">
        <v>2273</v>
      </c>
      <c r="B2274" s="334">
        <v>43874</v>
      </c>
      <c r="C2274" s="334">
        <v>43892</v>
      </c>
      <c r="D2274" s="335" t="s">
        <v>1092</v>
      </c>
      <c r="E2274" s="335" t="s">
        <v>422</v>
      </c>
      <c r="F2274" s="335" t="s">
        <v>396</v>
      </c>
      <c r="G2274" s="335" t="s">
        <v>4626</v>
      </c>
      <c r="H2274" s="335" t="s">
        <v>4627</v>
      </c>
      <c r="I2274" s="341">
        <v>25908</v>
      </c>
    </row>
    <row r="2275" spans="1:10" x14ac:dyDescent="0.2">
      <c r="A2275" s="333">
        <v>2274</v>
      </c>
      <c r="B2275" s="334">
        <v>43875</v>
      </c>
      <c r="C2275" s="334">
        <v>43892</v>
      </c>
      <c r="D2275" s="335" t="s">
        <v>1092</v>
      </c>
      <c r="E2275" s="335" t="s">
        <v>422</v>
      </c>
      <c r="F2275" s="335" t="s">
        <v>396</v>
      </c>
      <c r="G2275" s="335" t="s">
        <v>4628</v>
      </c>
      <c r="H2275" s="335" t="s">
        <v>4629</v>
      </c>
      <c r="I2275" s="341">
        <v>17424</v>
      </c>
    </row>
    <row r="2276" spans="1:10" x14ac:dyDescent="0.2">
      <c r="A2276" s="333">
        <v>2275</v>
      </c>
      <c r="B2276" s="334">
        <v>43875</v>
      </c>
      <c r="C2276" s="334">
        <v>43892</v>
      </c>
      <c r="D2276" s="335" t="s">
        <v>1092</v>
      </c>
      <c r="E2276" s="335" t="s">
        <v>422</v>
      </c>
      <c r="F2276" s="335" t="s">
        <v>396</v>
      </c>
      <c r="G2276" s="335" t="s">
        <v>4630</v>
      </c>
      <c r="H2276" s="335" t="s">
        <v>4631</v>
      </c>
      <c r="I2276" s="341">
        <v>133520</v>
      </c>
    </row>
    <row r="2277" spans="1:10" x14ac:dyDescent="0.2">
      <c r="A2277" s="333">
        <v>2276</v>
      </c>
      <c r="B2277" s="334">
        <v>43879</v>
      </c>
      <c r="C2277" s="334">
        <v>43899</v>
      </c>
      <c r="D2277" s="335" t="s">
        <v>1092</v>
      </c>
      <c r="E2277" s="335" t="s">
        <v>392</v>
      </c>
      <c r="F2277" s="335" t="s">
        <v>1272</v>
      </c>
      <c r="G2277" s="335" t="s">
        <v>4632</v>
      </c>
      <c r="H2277" s="335" t="s">
        <v>4633</v>
      </c>
      <c r="I2277" s="341">
        <v>6240</v>
      </c>
    </row>
    <row r="2278" spans="1:10" x14ac:dyDescent="0.2">
      <c r="A2278" s="333">
        <v>2277</v>
      </c>
      <c r="B2278" s="334">
        <v>43879</v>
      </c>
      <c r="C2278" s="334">
        <v>43899</v>
      </c>
      <c r="D2278" s="335" t="s">
        <v>1092</v>
      </c>
      <c r="E2278" s="335" t="s">
        <v>422</v>
      </c>
      <c r="F2278" s="335" t="s">
        <v>701</v>
      </c>
      <c r="G2278" s="335" t="s">
        <v>4634</v>
      </c>
      <c r="H2278" s="335" t="s">
        <v>4635</v>
      </c>
      <c r="I2278" s="341">
        <v>57252</v>
      </c>
    </row>
    <row r="2279" spans="1:10" x14ac:dyDescent="0.2">
      <c r="A2279" s="333">
        <v>2278</v>
      </c>
      <c r="B2279" s="334">
        <v>43879</v>
      </c>
      <c r="C2279" s="334">
        <v>43899</v>
      </c>
      <c r="D2279" s="335" t="s">
        <v>1092</v>
      </c>
      <c r="E2279" s="335" t="s">
        <v>392</v>
      </c>
      <c r="F2279" s="335" t="s">
        <v>1272</v>
      </c>
      <c r="G2279" s="335" t="s">
        <v>4636</v>
      </c>
      <c r="H2279" s="335" t="s">
        <v>4637</v>
      </c>
      <c r="I2279" s="341">
        <v>22770</v>
      </c>
    </row>
    <row r="2280" spans="1:10" x14ac:dyDescent="0.2">
      <c r="A2280" s="333">
        <v>2279</v>
      </c>
      <c r="B2280" s="334">
        <v>43879</v>
      </c>
      <c r="C2280" s="334">
        <v>43899</v>
      </c>
      <c r="D2280" s="335" t="s">
        <v>1092</v>
      </c>
      <c r="E2280" s="335" t="s">
        <v>422</v>
      </c>
      <c r="F2280" s="335" t="s">
        <v>701</v>
      </c>
      <c r="G2280" s="335" t="s">
        <v>4638</v>
      </c>
      <c r="H2280" s="335" t="s">
        <v>4639</v>
      </c>
      <c r="I2280" s="341">
        <v>28800</v>
      </c>
    </row>
    <row r="2281" spans="1:10" x14ac:dyDescent="0.2">
      <c r="A2281" s="333">
        <v>2280</v>
      </c>
      <c r="B2281" s="334">
        <v>43879</v>
      </c>
      <c r="C2281" s="334">
        <v>43899</v>
      </c>
      <c r="D2281" s="335" t="s">
        <v>1092</v>
      </c>
      <c r="E2281" s="335" t="s">
        <v>392</v>
      </c>
      <c r="F2281" s="335" t="s">
        <v>71</v>
      </c>
      <c r="G2281" s="335" t="s">
        <v>4640</v>
      </c>
      <c r="H2281" s="335" t="s">
        <v>4641</v>
      </c>
      <c r="I2281" s="341">
        <v>8400</v>
      </c>
    </row>
    <row r="2282" spans="1:10" x14ac:dyDescent="0.2">
      <c r="A2282" s="333">
        <v>2281</v>
      </c>
      <c r="B2282" s="334">
        <v>43879</v>
      </c>
      <c r="C2282" s="334">
        <v>43894</v>
      </c>
      <c r="D2282" s="335" t="s">
        <v>1092</v>
      </c>
      <c r="E2282" s="335" t="s">
        <v>422</v>
      </c>
      <c r="F2282" s="335" t="s">
        <v>701</v>
      </c>
      <c r="G2282" s="335" t="s">
        <v>4642</v>
      </c>
      <c r="H2282" s="335" t="s">
        <v>4643</v>
      </c>
      <c r="I2282" s="341">
        <v>45500</v>
      </c>
    </row>
    <row r="2283" spans="1:10" x14ac:dyDescent="0.2">
      <c r="A2283" s="333">
        <v>2282</v>
      </c>
      <c r="B2283" s="334">
        <v>43880</v>
      </c>
      <c r="C2283" s="334">
        <v>43899</v>
      </c>
      <c r="D2283" s="335" t="s">
        <v>1092</v>
      </c>
      <c r="E2283" s="335" t="s">
        <v>422</v>
      </c>
      <c r="F2283" s="335" t="s">
        <v>396</v>
      </c>
      <c r="G2283" s="335" t="s">
        <v>4644</v>
      </c>
      <c r="H2283" s="335" t="s">
        <v>4645</v>
      </c>
      <c r="I2283" s="341">
        <v>113000</v>
      </c>
    </row>
    <row r="2284" spans="1:10" x14ac:dyDescent="0.2">
      <c r="A2284" s="333">
        <v>2283</v>
      </c>
      <c r="B2284" s="334">
        <v>43880</v>
      </c>
      <c r="C2284" s="334">
        <v>43899</v>
      </c>
      <c r="D2284" s="335" t="s">
        <v>1092</v>
      </c>
      <c r="E2284" s="335" t="s">
        <v>422</v>
      </c>
      <c r="F2284" s="335" t="s">
        <v>396</v>
      </c>
      <c r="G2284" s="335" t="s">
        <v>4646</v>
      </c>
      <c r="H2284" s="335" t="s">
        <v>4647</v>
      </c>
      <c r="I2284" s="341">
        <v>23880</v>
      </c>
    </row>
    <row r="2285" spans="1:10" x14ac:dyDescent="0.2">
      <c r="A2285" s="333">
        <v>2284</v>
      </c>
      <c r="B2285" s="334">
        <v>43880</v>
      </c>
      <c r="C2285" s="334">
        <v>43899</v>
      </c>
      <c r="D2285" s="335" t="s">
        <v>1092</v>
      </c>
      <c r="E2285" s="335" t="s">
        <v>422</v>
      </c>
      <c r="F2285" s="335" t="s">
        <v>71</v>
      </c>
      <c r="G2285" s="335" t="s">
        <v>4648</v>
      </c>
      <c r="H2285" s="335" t="s">
        <v>4649</v>
      </c>
      <c r="I2285" s="341">
        <v>45857.94</v>
      </c>
    </row>
    <row r="2286" spans="1:10" x14ac:dyDescent="0.2">
      <c r="A2286" s="343">
        <v>2285</v>
      </c>
      <c r="B2286" s="344">
        <v>43880</v>
      </c>
      <c r="C2286" s="344">
        <v>43899</v>
      </c>
      <c r="D2286" s="345" t="s">
        <v>1092</v>
      </c>
      <c r="E2286" s="345" t="s">
        <v>392</v>
      </c>
      <c r="F2286" s="345" t="s">
        <v>71</v>
      </c>
      <c r="G2286" s="345" t="s">
        <v>4650</v>
      </c>
      <c r="H2286" s="345" t="s">
        <v>4651</v>
      </c>
      <c r="I2286" s="346">
        <v>7275</v>
      </c>
      <c r="J2286" s="178" t="s">
        <v>5446</v>
      </c>
    </row>
    <row r="2287" spans="1:10" x14ac:dyDescent="0.2">
      <c r="A2287" s="333">
        <v>2286</v>
      </c>
      <c r="B2287" s="334">
        <v>43881</v>
      </c>
      <c r="C2287" s="334">
        <v>43899</v>
      </c>
      <c r="D2287" s="335" t="s">
        <v>1092</v>
      </c>
      <c r="E2287" s="335" t="s">
        <v>422</v>
      </c>
      <c r="F2287" s="335" t="s">
        <v>1285</v>
      </c>
      <c r="G2287" s="335" t="s">
        <v>4652</v>
      </c>
      <c r="H2287" s="335" t="s">
        <v>4653</v>
      </c>
      <c r="I2287" s="341">
        <v>47000</v>
      </c>
    </row>
    <row r="2288" spans="1:10" x14ac:dyDescent="0.2">
      <c r="A2288" s="333">
        <v>2287</v>
      </c>
      <c r="B2288" s="334">
        <v>43882</v>
      </c>
      <c r="C2288" s="334">
        <v>43899</v>
      </c>
      <c r="D2288" s="335" t="s">
        <v>1092</v>
      </c>
      <c r="E2288" s="335" t="s">
        <v>422</v>
      </c>
      <c r="F2288" s="335" t="s">
        <v>1285</v>
      </c>
      <c r="G2288" s="335" t="s">
        <v>4654</v>
      </c>
      <c r="H2288" s="335" t="s">
        <v>4655</v>
      </c>
      <c r="I2288" s="341">
        <v>58100</v>
      </c>
    </row>
    <row r="2289" spans="1:9" x14ac:dyDescent="0.2">
      <c r="A2289" s="333">
        <v>2288</v>
      </c>
      <c r="B2289" s="334">
        <v>43885</v>
      </c>
      <c r="C2289" s="334">
        <v>43901</v>
      </c>
      <c r="D2289" s="335" t="s">
        <v>1092</v>
      </c>
      <c r="E2289" s="335" t="s">
        <v>422</v>
      </c>
      <c r="F2289" s="335" t="s">
        <v>71</v>
      </c>
      <c r="G2289" s="335" t="s">
        <v>4656</v>
      </c>
      <c r="H2289" s="335" t="s">
        <v>4659</v>
      </c>
      <c r="I2289" s="341">
        <v>8531.44</v>
      </c>
    </row>
    <row r="2290" spans="1:9" x14ac:dyDescent="0.2">
      <c r="A2290" s="333">
        <v>2289</v>
      </c>
      <c r="B2290" s="334">
        <v>43885</v>
      </c>
      <c r="C2290" s="334">
        <v>43901</v>
      </c>
      <c r="D2290" s="335" t="s">
        <v>1092</v>
      </c>
      <c r="E2290" s="335" t="s">
        <v>422</v>
      </c>
      <c r="F2290" s="335" t="s">
        <v>396</v>
      </c>
      <c r="G2290" s="335" t="s">
        <v>4657</v>
      </c>
      <c r="H2290" s="335" t="s">
        <v>4660</v>
      </c>
      <c r="I2290" s="341">
        <v>6600</v>
      </c>
    </row>
    <row r="2291" spans="1:9" x14ac:dyDescent="0.2">
      <c r="A2291" s="333">
        <v>2290</v>
      </c>
      <c r="B2291" s="334">
        <v>43885</v>
      </c>
      <c r="C2291" s="334">
        <v>43901</v>
      </c>
      <c r="D2291" s="335" t="s">
        <v>1092</v>
      </c>
      <c r="E2291" s="335" t="s">
        <v>422</v>
      </c>
      <c r="F2291" s="335" t="s">
        <v>396</v>
      </c>
      <c r="G2291" s="335" t="s">
        <v>4658</v>
      </c>
      <c r="H2291" s="335" t="s">
        <v>4661</v>
      </c>
      <c r="I2291" s="341">
        <v>33674.65</v>
      </c>
    </row>
    <row r="2292" spans="1:9" x14ac:dyDescent="0.2">
      <c r="A2292" s="333">
        <v>2291</v>
      </c>
      <c r="B2292" s="334">
        <v>43886</v>
      </c>
      <c r="C2292" s="334">
        <v>43901</v>
      </c>
      <c r="D2292" s="335" t="s">
        <v>1092</v>
      </c>
      <c r="E2292" s="335" t="s">
        <v>422</v>
      </c>
      <c r="F2292" s="335" t="s">
        <v>701</v>
      </c>
      <c r="G2292" s="335" t="s">
        <v>4662</v>
      </c>
      <c r="H2292" s="335" t="s">
        <v>4663</v>
      </c>
      <c r="I2292" s="341">
        <v>14500</v>
      </c>
    </row>
    <row r="2293" spans="1:9" x14ac:dyDescent="0.2">
      <c r="A2293" s="333">
        <v>2292</v>
      </c>
      <c r="B2293" s="334">
        <v>43887</v>
      </c>
      <c r="C2293" s="334">
        <v>43927</v>
      </c>
      <c r="D2293" s="335" t="s">
        <v>1092</v>
      </c>
      <c r="E2293" s="335" t="s">
        <v>422</v>
      </c>
      <c r="F2293" s="335" t="s">
        <v>701</v>
      </c>
      <c r="G2293" s="335" t="s">
        <v>4665</v>
      </c>
      <c r="H2293" s="335" t="s">
        <v>4666</v>
      </c>
      <c r="I2293" s="341">
        <v>866224</v>
      </c>
    </row>
    <row r="2294" spans="1:9" x14ac:dyDescent="0.2">
      <c r="A2294" s="333">
        <v>2293</v>
      </c>
      <c r="B2294" s="334">
        <v>43887</v>
      </c>
      <c r="C2294" s="334">
        <v>43906</v>
      </c>
      <c r="D2294" s="335" t="s">
        <v>1092</v>
      </c>
      <c r="E2294" s="335" t="s">
        <v>422</v>
      </c>
      <c r="F2294" s="335" t="s">
        <v>701</v>
      </c>
      <c r="G2294" s="335" t="s">
        <v>4667</v>
      </c>
      <c r="H2294" s="335" t="s">
        <v>4668</v>
      </c>
      <c r="I2294" s="341">
        <v>47000</v>
      </c>
    </row>
    <row r="2295" spans="1:9" x14ac:dyDescent="0.2">
      <c r="A2295" s="333">
        <v>2294</v>
      </c>
      <c r="B2295" s="334">
        <v>43887</v>
      </c>
      <c r="C2295" s="334">
        <v>43906</v>
      </c>
      <c r="D2295" s="335" t="s">
        <v>1092</v>
      </c>
      <c r="E2295" s="335" t="s">
        <v>422</v>
      </c>
      <c r="F2295" s="335" t="s">
        <v>701</v>
      </c>
      <c r="G2295" s="335" t="s">
        <v>4669</v>
      </c>
      <c r="H2295" s="335" t="s">
        <v>4670</v>
      </c>
      <c r="I2295" s="341">
        <v>31500</v>
      </c>
    </row>
    <row r="2296" spans="1:9" x14ac:dyDescent="0.2">
      <c r="A2296" s="333">
        <v>2295</v>
      </c>
      <c r="B2296" s="334">
        <v>43893</v>
      </c>
      <c r="C2296" s="334">
        <v>43908</v>
      </c>
      <c r="D2296" s="335" t="s">
        <v>1092</v>
      </c>
      <c r="E2296" s="335" t="s">
        <v>392</v>
      </c>
      <c r="F2296" s="335" t="s">
        <v>9</v>
      </c>
      <c r="G2296" s="335" t="s">
        <v>4671</v>
      </c>
      <c r="H2296" s="335" t="s">
        <v>4672</v>
      </c>
      <c r="I2296" s="341">
        <v>121943.55</v>
      </c>
    </row>
    <row r="2297" spans="1:9" x14ac:dyDescent="0.2">
      <c r="A2297" s="333">
        <v>2296</v>
      </c>
      <c r="B2297" s="334">
        <v>43894</v>
      </c>
      <c r="C2297" s="334">
        <v>43913</v>
      </c>
      <c r="D2297" s="335" t="s">
        <v>1092</v>
      </c>
      <c r="E2297" s="335" t="s">
        <v>422</v>
      </c>
      <c r="F2297" s="335" t="s">
        <v>701</v>
      </c>
      <c r="G2297" s="335" t="s">
        <v>4673</v>
      </c>
      <c r="H2297" s="335" t="s">
        <v>4674</v>
      </c>
      <c r="I2297" s="341">
        <v>44800</v>
      </c>
    </row>
    <row r="2298" spans="1:9" x14ac:dyDescent="0.2">
      <c r="A2298" s="333">
        <v>2297</v>
      </c>
      <c r="B2298" s="334">
        <v>43894</v>
      </c>
      <c r="C2298" s="334">
        <v>43913</v>
      </c>
      <c r="D2298" s="335" t="s">
        <v>1092</v>
      </c>
      <c r="E2298" s="335" t="s">
        <v>392</v>
      </c>
      <c r="F2298" s="335" t="s">
        <v>9</v>
      </c>
      <c r="G2298" s="335" t="s">
        <v>4675</v>
      </c>
      <c r="H2298" s="335" t="s">
        <v>4676</v>
      </c>
      <c r="I2298" s="341">
        <v>149332.81</v>
      </c>
    </row>
    <row r="2299" spans="1:9" x14ac:dyDescent="0.2">
      <c r="A2299" s="333">
        <v>2298</v>
      </c>
      <c r="B2299" s="334">
        <v>43894</v>
      </c>
      <c r="C2299" s="334">
        <v>43913</v>
      </c>
      <c r="D2299" s="335" t="s">
        <v>1092</v>
      </c>
      <c r="E2299" s="335" t="s">
        <v>422</v>
      </c>
      <c r="F2299" s="335" t="s">
        <v>701</v>
      </c>
      <c r="G2299" s="335" t="s">
        <v>4677</v>
      </c>
      <c r="H2299" s="335" t="s">
        <v>4678</v>
      </c>
      <c r="I2299" s="341">
        <v>19500</v>
      </c>
    </row>
    <row r="2300" spans="1:9" x14ac:dyDescent="0.2">
      <c r="A2300" s="333">
        <v>2299</v>
      </c>
      <c r="B2300" s="334">
        <v>43895</v>
      </c>
      <c r="C2300" s="334">
        <v>43913</v>
      </c>
      <c r="D2300" s="335" t="s">
        <v>1092</v>
      </c>
      <c r="E2300" s="335" t="s">
        <v>392</v>
      </c>
      <c r="F2300" s="335" t="s">
        <v>9</v>
      </c>
      <c r="G2300" s="335" t="s">
        <v>4679</v>
      </c>
      <c r="H2300" s="335" t="s">
        <v>4680</v>
      </c>
      <c r="I2300" s="341">
        <v>130524.65</v>
      </c>
    </row>
    <row r="2301" spans="1:9" x14ac:dyDescent="0.2">
      <c r="A2301" s="333">
        <v>2300</v>
      </c>
      <c r="B2301" s="334">
        <v>43895</v>
      </c>
      <c r="C2301" s="334">
        <v>43913</v>
      </c>
      <c r="D2301" s="335" t="s">
        <v>1092</v>
      </c>
      <c r="E2301" s="335" t="s">
        <v>392</v>
      </c>
      <c r="F2301" s="335" t="s">
        <v>9</v>
      </c>
      <c r="G2301" s="335" t="s">
        <v>4681</v>
      </c>
      <c r="H2301" s="335" t="s">
        <v>4682</v>
      </c>
      <c r="I2301" s="341">
        <v>145008.70000000001</v>
      </c>
    </row>
    <row r="2302" spans="1:9" x14ac:dyDescent="0.2">
      <c r="A2302" s="333">
        <v>2301</v>
      </c>
      <c r="B2302" s="334">
        <v>43895</v>
      </c>
      <c r="C2302" s="334">
        <v>43913</v>
      </c>
      <c r="D2302" s="335" t="s">
        <v>1092</v>
      </c>
      <c r="E2302" s="335" t="s">
        <v>392</v>
      </c>
      <c r="F2302" s="335" t="s">
        <v>71</v>
      </c>
      <c r="G2302" s="335" t="s">
        <v>4683</v>
      </c>
      <c r="H2302" s="335" t="s">
        <v>4684</v>
      </c>
      <c r="I2302" s="341">
        <v>1800</v>
      </c>
    </row>
    <row r="2303" spans="1:9" x14ac:dyDescent="0.2">
      <c r="A2303" s="333">
        <v>2302</v>
      </c>
      <c r="B2303" s="334">
        <v>43895</v>
      </c>
      <c r="C2303" s="334">
        <v>43913</v>
      </c>
      <c r="D2303" s="335" t="s">
        <v>1092</v>
      </c>
      <c r="E2303" s="335" t="s">
        <v>392</v>
      </c>
      <c r="F2303" s="335" t="s">
        <v>9</v>
      </c>
      <c r="G2303" s="335" t="s">
        <v>4685</v>
      </c>
      <c r="H2303" s="335" t="s">
        <v>4686</v>
      </c>
      <c r="I2303" s="341">
        <v>165273.92000000001</v>
      </c>
    </row>
    <row r="2304" spans="1:9" x14ac:dyDescent="0.2">
      <c r="A2304" s="333">
        <v>2303</v>
      </c>
      <c r="B2304" s="334">
        <v>43895</v>
      </c>
      <c r="C2304" s="334">
        <v>43916</v>
      </c>
      <c r="D2304" s="335" t="s">
        <v>1092</v>
      </c>
      <c r="E2304" s="335" t="s">
        <v>422</v>
      </c>
      <c r="F2304" s="335" t="s">
        <v>701</v>
      </c>
      <c r="G2304" s="335" t="s">
        <v>4687</v>
      </c>
      <c r="H2304" s="335" t="s">
        <v>4688</v>
      </c>
      <c r="I2304" s="341">
        <v>35500</v>
      </c>
    </row>
    <row r="2305" spans="1:9" x14ac:dyDescent="0.2">
      <c r="A2305" s="333">
        <v>2304</v>
      </c>
      <c r="B2305" s="334">
        <v>43896</v>
      </c>
      <c r="C2305" s="334">
        <v>43913</v>
      </c>
      <c r="D2305" s="335" t="s">
        <v>1092</v>
      </c>
      <c r="E2305" s="335" t="s">
        <v>392</v>
      </c>
      <c r="F2305" s="335" t="s">
        <v>701</v>
      </c>
      <c r="G2305" s="335" t="s">
        <v>4689</v>
      </c>
      <c r="H2305" s="335" t="s">
        <v>4690</v>
      </c>
      <c r="I2305" s="341">
        <v>20450</v>
      </c>
    </row>
    <row r="2306" spans="1:9" x14ac:dyDescent="0.2">
      <c r="A2306" s="333">
        <v>2305</v>
      </c>
      <c r="B2306" s="334">
        <v>43899</v>
      </c>
      <c r="C2306" s="334">
        <v>43927</v>
      </c>
      <c r="D2306" s="335" t="s">
        <v>1092</v>
      </c>
      <c r="E2306" s="335" t="s">
        <v>392</v>
      </c>
      <c r="F2306" s="335" t="s">
        <v>9</v>
      </c>
      <c r="G2306" s="335" t="s">
        <v>4691</v>
      </c>
      <c r="H2306" s="335" t="s">
        <v>4692</v>
      </c>
      <c r="I2306" s="341">
        <v>218906.59</v>
      </c>
    </row>
    <row r="2307" spans="1:9" x14ac:dyDescent="0.2">
      <c r="A2307" s="333">
        <v>2306</v>
      </c>
      <c r="B2307" s="334">
        <v>43900</v>
      </c>
      <c r="C2307" s="334">
        <v>43927</v>
      </c>
      <c r="D2307" s="335" t="s">
        <v>1092</v>
      </c>
      <c r="E2307" s="335" t="s">
        <v>422</v>
      </c>
      <c r="F2307" s="335" t="s">
        <v>701</v>
      </c>
      <c r="G2307" s="335" t="s">
        <v>4693</v>
      </c>
      <c r="H2307" s="335" t="s">
        <v>4694</v>
      </c>
      <c r="I2307" s="341">
        <v>245300</v>
      </c>
    </row>
    <row r="2308" spans="1:9" x14ac:dyDescent="0.2">
      <c r="A2308" s="333">
        <v>2307</v>
      </c>
      <c r="B2308" s="334">
        <v>43900</v>
      </c>
      <c r="C2308" s="334">
        <v>43927</v>
      </c>
      <c r="D2308" s="335" t="s">
        <v>1092</v>
      </c>
      <c r="E2308" s="335" t="s">
        <v>392</v>
      </c>
      <c r="F2308" s="335" t="s">
        <v>9</v>
      </c>
      <c r="G2308" s="335" t="s">
        <v>4695</v>
      </c>
      <c r="H2308" s="335" t="s">
        <v>4696</v>
      </c>
      <c r="I2308" s="341">
        <v>373982.35</v>
      </c>
    </row>
    <row r="2309" spans="1:9" x14ac:dyDescent="0.2">
      <c r="A2309" s="333">
        <v>2308</v>
      </c>
      <c r="B2309" s="334">
        <v>43900</v>
      </c>
      <c r="C2309" s="334">
        <v>43915</v>
      </c>
      <c r="D2309" s="335" t="s">
        <v>1092</v>
      </c>
      <c r="E2309" s="335" t="s">
        <v>422</v>
      </c>
      <c r="F2309" s="335" t="s">
        <v>701</v>
      </c>
      <c r="G2309" s="335" t="s">
        <v>4697</v>
      </c>
      <c r="H2309" s="335" t="s">
        <v>4698</v>
      </c>
      <c r="I2309" s="341">
        <v>19880</v>
      </c>
    </row>
    <row r="2310" spans="1:9" x14ac:dyDescent="0.2">
      <c r="A2310" s="333">
        <v>2309</v>
      </c>
      <c r="B2310" s="334">
        <v>43900</v>
      </c>
      <c r="C2310" s="334">
        <v>43927</v>
      </c>
      <c r="D2310" s="335" t="s">
        <v>1092</v>
      </c>
      <c r="E2310" s="335" t="s">
        <v>392</v>
      </c>
      <c r="F2310" s="335" t="s">
        <v>9</v>
      </c>
      <c r="G2310" s="335" t="s">
        <v>4699</v>
      </c>
      <c r="H2310" s="335" t="s">
        <v>4700</v>
      </c>
      <c r="I2310" s="341">
        <v>366453.12</v>
      </c>
    </row>
    <row r="2311" spans="1:9" x14ac:dyDescent="0.2">
      <c r="A2311" s="333">
        <v>2310</v>
      </c>
      <c r="B2311" s="334">
        <v>43901</v>
      </c>
      <c r="C2311" s="334">
        <v>43920</v>
      </c>
      <c r="D2311" s="335" t="s">
        <v>1092</v>
      </c>
      <c r="E2311" s="335" t="s">
        <v>392</v>
      </c>
      <c r="F2311" s="335" t="s">
        <v>9</v>
      </c>
      <c r="G2311" s="335" t="s">
        <v>4701</v>
      </c>
      <c r="H2311" s="335" t="s">
        <v>4702</v>
      </c>
      <c r="I2311" s="341">
        <v>97173.6</v>
      </c>
    </row>
    <row r="2312" spans="1:9" x14ac:dyDescent="0.2">
      <c r="A2312" s="333">
        <v>2311</v>
      </c>
      <c r="B2312" s="334">
        <v>43910</v>
      </c>
      <c r="C2312" s="334">
        <v>43966</v>
      </c>
      <c r="D2312" s="335" t="s">
        <v>1092</v>
      </c>
      <c r="E2312" s="335" t="s">
        <v>392</v>
      </c>
      <c r="F2312" s="335" t="s">
        <v>9</v>
      </c>
      <c r="G2312" s="335" t="s">
        <v>4703</v>
      </c>
      <c r="H2312" s="335" t="s">
        <v>4704</v>
      </c>
      <c r="I2312" s="341">
        <v>237299.65</v>
      </c>
    </row>
    <row r="2313" spans="1:9" x14ac:dyDescent="0.2">
      <c r="A2313" s="333">
        <v>2312</v>
      </c>
      <c r="B2313" s="334">
        <v>43922</v>
      </c>
      <c r="C2313" s="334">
        <v>43957</v>
      </c>
      <c r="D2313" s="335" t="s">
        <v>1092</v>
      </c>
      <c r="E2313" s="335" t="s">
        <v>422</v>
      </c>
      <c r="F2313" s="335" t="s">
        <v>701</v>
      </c>
      <c r="G2313" s="335" t="s">
        <v>4705</v>
      </c>
      <c r="H2313" s="335" t="s">
        <v>4708</v>
      </c>
      <c r="I2313" s="341">
        <v>31500</v>
      </c>
    </row>
    <row r="2314" spans="1:9" x14ac:dyDescent="0.2">
      <c r="A2314" s="333">
        <v>2313</v>
      </c>
      <c r="B2314" s="334">
        <v>43922</v>
      </c>
      <c r="C2314" s="334">
        <v>43957</v>
      </c>
      <c r="D2314" s="335" t="s">
        <v>1092</v>
      </c>
      <c r="E2314" s="335" t="s">
        <v>422</v>
      </c>
      <c r="F2314" s="335" t="s">
        <v>701</v>
      </c>
      <c r="G2314" s="335" t="s">
        <v>4706</v>
      </c>
      <c r="H2314" s="335" t="s">
        <v>4709</v>
      </c>
      <c r="I2314" s="341">
        <v>25500</v>
      </c>
    </row>
    <row r="2315" spans="1:9" x14ac:dyDescent="0.2">
      <c r="A2315" s="333">
        <v>2314</v>
      </c>
      <c r="B2315" s="334">
        <v>43922</v>
      </c>
      <c r="C2315" s="334">
        <v>43957</v>
      </c>
      <c r="D2315" s="335" t="s">
        <v>1092</v>
      </c>
      <c r="E2315" s="335" t="s">
        <v>392</v>
      </c>
      <c r="F2315" s="335" t="s">
        <v>9</v>
      </c>
      <c r="G2315" s="335" t="s">
        <v>4707</v>
      </c>
      <c r="H2315" s="335" t="s">
        <v>4710</v>
      </c>
      <c r="I2315" s="341">
        <v>111580.86</v>
      </c>
    </row>
    <row r="2316" spans="1:9" x14ac:dyDescent="0.2">
      <c r="A2316" s="333">
        <v>2315</v>
      </c>
      <c r="B2316" s="334">
        <v>43924</v>
      </c>
      <c r="C2316" s="334">
        <v>43957</v>
      </c>
      <c r="D2316" s="335" t="s">
        <v>1092</v>
      </c>
      <c r="E2316" s="335" t="s">
        <v>422</v>
      </c>
      <c r="F2316" s="335" t="s">
        <v>701</v>
      </c>
      <c r="G2316" s="335" t="s">
        <v>4711</v>
      </c>
      <c r="H2316" s="335" t="s">
        <v>4712</v>
      </c>
      <c r="I2316" s="341">
        <v>26200</v>
      </c>
    </row>
    <row r="2317" spans="1:9" x14ac:dyDescent="0.2">
      <c r="A2317" s="333">
        <v>2316</v>
      </c>
      <c r="B2317" s="334">
        <v>43924</v>
      </c>
      <c r="C2317" s="334">
        <v>43957</v>
      </c>
      <c r="D2317" s="335" t="s">
        <v>1092</v>
      </c>
      <c r="E2317" s="335" t="s">
        <v>422</v>
      </c>
      <c r="F2317" s="335" t="s">
        <v>701</v>
      </c>
      <c r="G2317" s="335" t="s">
        <v>4713</v>
      </c>
      <c r="H2317" s="335" t="s">
        <v>4714</v>
      </c>
      <c r="I2317" s="341">
        <v>27600</v>
      </c>
    </row>
    <row r="2318" spans="1:9" x14ac:dyDescent="0.2">
      <c r="A2318" s="333">
        <v>2317</v>
      </c>
      <c r="B2318" s="334">
        <v>43924</v>
      </c>
      <c r="C2318" s="334">
        <v>43957</v>
      </c>
      <c r="D2318" s="335" t="s">
        <v>1092</v>
      </c>
      <c r="E2318" s="335" t="s">
        <v>422</v>
      </c>
      <c r="F2318" s="335" t="s">
        <v>701</v>
      </c>
      <c r="G2318" s="335" t="s">
        <v>4715</v>
      </c>
      <c r="H2318" s="335" t="s">
        <v>4716</v>
      </c>
      <c r="I2318" s="341">
        <v>31500</v>
      </c>
    </row>
    <row r="2319" spans="1:9" x14ac:dyDescent="0.2">
      <c r="A2319" s="333">
        <v>2318</v>
      </c>
      <c r="B2319" s="334">
        <v>43924</v>
      </c>
      <c r="C2319" s="334">
        <v>43957</v>
      </c>
      <c r="D2319" s="335" t="s">
        <v>1092</v>
      </c>
      <c r="E2319" s="335" t="s">
        <v>422</v>
      </c>
      <c r="F2319" s="335" t="s">
        <v>701</v>
      </c>
      <c r="G2319" s="335" t="s">
        <v>4717</v>
      </c>
      <c r="H2319" s="335" t="s">
        <v>4718</v>
      </c>
      <c r="I2319" s="341">
        <v>67900</v>
      </c>
    </row>
    <row r="2320" spans="1:9" x14ac:dyDescent="0.2">
      <c r="A2320" s="333">
        <v>2319</v>
      </c>
      <c r="B2320" s="334">
        <v>43930</v>
      </c>
      <c r="C2320" s="334">
        <v>43969</v>
      </c>
      <c r="D2320" s="335" t="s">
        <v>1092</v>
      </c>
      <c r="E2320" s="335" t="s">
        <v>422</v>
      </c>
      <c r="F2320" s="335" t="s">
        <v>701</v>
      </c>
      <c r="G2320" s="335" t="s">
        <v>4719</v>
      </c>
      <c r="H2320" s="335" t="s">
        <v>4720</v>
      </c>
      <c r="I2320" s="341">
        <v>98000</v>
      </c>
    </row>
    <row r="2321" spans="1:9" x14ac:dyDescent="0.2">
      <c r="A2321" s="333">
        <v>2320</v>
      </c>
      <c r="B2321" s="334">
        <v>43930</v>
      </c>
      <c r="C2321" s="334">
        <v>43976</v>
      </c>
      <c r="D2321" s="335" t="s">
        <v>1092</v>
      </c>
      <c r="E2321" s="335" t="s">
        <v>422</v>
      </c>
      <c r="F2321" s="335" t="s">
        <v>701</v>
      </c>
      <c r="G2321" s="335" t="s">
        <v>4721</v>
      </c>
      <c r="H2321" s="335" t="s">
        <v>4722</v>
      </c>
      <c r="I2321" s="341">
        <v>39200</v>
      </c>
    </row>
    <row r="2322" spans="1:9" x14ac:dyDescent="0.2">
      <c r="A2322" s="333">
        <v>2321</v>
      </c>
      <c r="B2322" s="334">
        <v>43930</v>
      </c>
      <c r="C2322" s="334">
        <v>43969</v>
      </c>
      <c r="D2322" s="335" t="s">
        <v>1092</v>
      </c>
      <c r="E2322" s="335" t="s">
        <v>422</v>
      </c>
      <c r="F2322" s="335" t="s">
        <v>701</v>
      </c>
      <c r="G2322" s="335" t="s">
        <v>4723</v>
      </c>
      <c r="H2322" s="335" t="s">
        <v>4724</v>
      </c>
      <c r="I2322" s="341">
        <v>25000</v>
      </c>
    </row>
    <row r="2323" spans="1:9" x14ac:dyDescent="0.2">
      <c r="A2323" s="333">
        <v>2322</v>
      </c>
      <c r="B2323" s="334">
        <v>43930</v>
      </c>
      <c r="C2323" s="334">
        <v>43976</v>
      </c>
      <c r="D2323" s="335" t="s">
        <v>1092</v>
      </c>
      <c r="E2323" s="335" t="s">
        <v>422</v>
      </c>
      <c r="F2323" s="335" t="s">
        <v>701</v>
      </c>
      <c r="G2323" s="335" t="s">
        <v>4725</v>
      </c>
      <c r="H2323" s="335" t="s">
        <v>4726</v>
      </c>
      <c r="I2323" s="341">
        <v>31500</v>
      </c>
    </row>
    <row r="2324" spans="1:9" x14ac:dyDescent="0.2">
      <c r="A2324" s="333">
        <v>2323</v>
      </c>
      <c r="B2324" s="334">
        <v>43930</v>
      </c>
      <c r="C2324" s="334">
        <v>43971</v>
      </c>
      <c r="D2324" s="335" t="s">
        <v>1092</v>
      </c>
      <c r="E2324" s="335" t="s">
        <v>422</v>
      </c>
      <c r="F2324" s="335" t="s">
        <v>701</v>
      </c>
      <c r="G2324" s="335" t="s">
        <v>4727</v>
      </c>
      <c r="H2324" s="335" t="s">
        <v>4728</v>
      </c>
      <c r="I2324" s="341">
        <v>47000</v>
      </c>
    </row>
    <row r="2325" spans="1:9" x14ac:dyDescent="0.2">
      <c r="A2325" s="333">
        <v>2324</v>
      </c>
      <c r="B2325" s="334">
        <v>43930</v>
      </c>
      <c r="C2325" s="334">
        <v>43969</v>
      </c>
      <c r="D2325" s="335" t="s">
        <v>1092</v>
      </c>
      <c r="E2325" s="335" t="s">
        <v>422</v>
      </c>
      <c r="F2325" s="335" t="s">
        <v>701</v>
      </c>
      <c r="G2325" s="335" t="s">
        <v>4729</v>
      </c>
      <c r="H2325" s="335" t="s">
        <v>4730</v>
      </c>
      <c r="I2325" s="341">
        <v>43200</v>
      </c>
    </row>
    <row r="2326" spans="1:9" x14ac:dyDescent="0.2">
      <c r="A2326" s="333">
        <v>2325</v>
      </c>
      <c r="B2326" s="334">
        <v>43930</v>
      </c>
      <c r="C2326" s="334">
        <v>43969</v>
      </c>
      <c r="D2326" s="335" t="s">
        <v>1092</v>
      </c>
      <c r="E2326" s="335" t="s">
        <v>422</v>
      </c>
      <c r="F2326" s="335" t="s">
        <v>701</v>
      </c>
      <c r="G2326" s="335" t="s">
        <v>4731</v>
      </c>
      <c r="H2326" s="335" t="s">
        <v>4732</v>
      </c>
      <c r="I2326" s="341">
        <v>57500</v>
      </c>
    </row>
    <row r="2327" spans="1:9" x14ac:dyDescent="0.2">
      <c r="A2327" s="333">
        <v>2326</v>
      </c>
      <c r="B2327" s="334">
        <v>43930</v>
      </c>
      <c r="C2327" s="334">
        <v>43969</v>
      </c>
      <c r="D2327" s="335" t="s">
        <v>1092</v>
      </c>
      <c r="E2327" s="335" t="s">
        <v>422</v>
      </c>
      <c r="F2327" s="335" t="s">
        <v>701</v>
      </c>
      <c r="G2327" s="335" t="s">
        <v>4733</v>
      </c>
      <c r="H2327" s="335" t="s">
        <v>4734</v>
      </c>
      <c r="I2327" s="341">
        <v>86900</v>
      </c>
    </row>
    <row r="2328" spans="1:9" x14ac:dyDescent="0.2">
      <c r="A2328" s="333">
        <v>2327</v>
      </c>
      <c r="B2328" s="334">
        <v>43930</v>
      </c>
      <c r="C2328" s="334">
        <v>43971</v>
      </c>
      <c r="D2328" s="335" t="s">
        <v>1092</v>
      </c>
      <c r="E2328" s="335" t="s">
        <v>392</v>
      </c>
      <c r="F2328" s="335" t="s">
        <v>9</v>
      </c>
      <c r="G2328" s="335" t="s">
        <v>4735</v>
      </c>
      <c r="H2328" s="335" t="s">
        <v>4736</v>
      </c>
      <c r="I2328" s="341">
        <v>122652.63</v>
      </c>
    </row>
    <row r="2329" spans="1:9" x14ac:dyDescent="0.2">
      <c r="A2329" s="333">
        <v>2328</v>
      </c>
      <c r="B2329" s="334">
        <v>43930</v>
      </c>
      <c r="C2329" s="334">
        <v>43969</v>
      </c>
      <c r="D2329" s="335" t="s">
        <v>1092</v>
      </c>
      <c r="E2329" s="335" t="s">
        <v>422</v>
      </c>
      <c r="F2329" s="335" t="s">
        <v>701</v>
      </c>
      <c r="G2329" s="335" t="s">
        <v>4737</v>
      </c>
      <c r="H2329" s="335" t="s">
        <v>4738</v>
      </c>
      <c r="I2329" s="341">
        <v>35400</v>
      </c>
    </row>
    <row r="2330" spans="1:9" x14ac:dyDescent="0.2">
      <c r="A2330" s="333">
        <v>2329</v>
      </c>
      <c r="B2330" s="334">
        <v>43930</v>
      </c>
      <c r="C2330" s="334">
        <v>43969</v>
      </c>
      <c r="D2330" s="335" t="s">
        <v>1092</v>
      </c>
      <c r="E2330" s="335" t="s">
        <v>422</v>
      </c>
      <c r="F2330" s="335" t="s">
        <v>701</v>
      </c>
      <c r="G2330" s="335" t="s">
        <v>4739</v>
      </c>
      <c r="H2330" s="335" t="s">
        <v>4740</v>
      </c>
      <c r="I2330" s="341">
        <v>31500</v>
      </c>
    </row>
    <row r="2331" spans="1:9" x14ac:dyDescent="0.2">
      <c r="A2331" s="333">
        <v>2330</v>
      </c>
      <c r="B2331" s="334">
        <v>43930</v>
      </c>
      <c r="C2331" s="334">
        <v>43969</v>
      </c>
      <c r="D2331" s="335" t="s">
        <v>1092</v>
      </c>
      <c r="E2331" s="335" t="s">
        <v>422</v>
      </c>
      <c r="F2331" s="335" t="s">
        <v>701</v>
      </c>
      <c r="G2331" s="335" t="s">
        <v>4741</v>
      </c>
      <c r="H2331" s="335" t="s">
        <v>4742</v>
      </c>
      <c r="I2331" s="341">
        <v>36500</v>
      </c>
    </row>
    <row r="2332" spans="1:9" x14ac:dyDescent="0.2">
      <c r="A2332" s="333">
        <v>2331</v>
      </c>
      <c r="B2332" s="334">
        <v>43929</v>
      </c>
      <c r="C2332" s="334">
        <v>43964</v>
      </c>
      <c r="D2332" s="335" t="s">
        <v>1092</v>
      </c>
      <c r="E2332" s="335" t="s">
        <v>422</v>
      </c>
      <c r="F2332" s="335" t="s">
        <v>701</v>
      </c>
      <c r="G2332" s="335" t="s">
        <v>4744</v>
      </c>
      <c r="H2332" s="335" t="s">
        <v>4743</v>
      </c>
      <c r="I2332" s="341">
        <v>13500</v>
      </c>
    </row>
    <row r="2333" spans="1:9" x14ac:dyDescent="0.2">
      <c r="A2333" s="333">
        <v>2332</v>
      </c>
      <c r="B2333" s="334">
        <v>43929</v>
      </c>
      <c r="C2333" s="334">
        <v>43964</v>
      </c>
      <c r="D2333" s="335" t="s">
        <v>1092</v>
      </c>
      <c r="E2333" s="335" t="s">
        <v>422</v>
      </c>
      <c r="F2333" s="335" t="s">
        <v>701</v>
      </c>
      <c r="G2333" s="335" t="s">
        <v>4745</v>
      </c>
      <c r="H2333" s="335" t="s">
        <v>4746</v>
      </c>
      <c r="I2333" s="341">
        <v>31500</v>
      </c>
    </row>
    <row r="2334" spans="1:9" x14ac:dyDescent="0.2">
      <c r="A2334" s="333">
        <v>2333</v>
      </c>
      <c r="B2334" s="334">
        <v>43929</v>
      </c>
      <c r="C2334" s="334">
        <v>43964</v>
      </c>
      <c r="D2334" s="335" t="s">
        <v>1092</v>
      </c>
      <c r="E2334" s="335" t="s">
        <v>422</v>
      </c>
      <c r="F2334" s="335" t="s">
        <v>701</v>
      </c>
      <c r="G2334" s="335" t="s">
        <v>4747</v>
      </c>
      <c r="H2334" s="335" t="s">
        <v>4748</v>
      </c>
      <c r="I2334" s="341">
        <v>84700</v>
      </c>
    </row>
    <row r="2335" spans="1:9" x14ac:dyDescent="0.2">
      <c r="A2335" s="333">
        <v>2334</v>
      </c>
      <c r="B2335" s="334">
        <v>43929</v>
      </c>
      <c r="C2335" s="334">
        <v>43964</v>
      </c>
      <c r="D2335" s="335" t="s">
        <v>1092</v>
      </c>
      <c r="E2335" s="335" t="s">
        <v>422</v>
      </c>
      <c r="F2335" s="335" t="s">
        <v>701</v>
      </c>
      <c r="G2335" s="335" t="s">
        <v>4749</v>
      </c>
      <c r="H2335" s="335" t="s">
        <v>4750</v>
      </c>
      <c r="I2335" s="341">
        <v>37300</v>
      </c>
    </row>
    <row r="2336" spans="1:9" x14ac:dyDescent="0.2">
      <c r="A2336" s="333">
        <v>2335</v>
      </c>
      <c r="B2336" s="334">
        <v>43929</v>
      </c>
      <c r="C2336" s="334">
        <v>43964</v>
      </c>
      <c r="D2336" s="335" t="s">
        <v>1092</v>
      </c>
      <c r="E2336" s="335" t="s">
        <v>422</v>
      </c>
      <c r="F2336" s="335" t="s">
        <v>701</v>
      </c>
      <c r="G2336" s="335" t="s">
        <v>4751</v>
      </c>
      <c r="H2336" s="335" t="s">
        <v>4752</v>
      </c>
      <c r="I2336" s="341">
        <v>35500</v>
      </c>
    </row>
    <row r="2337" spans="1:9" x14ac:dyDescent="0.2">
      <c r="A2337" s="333">
        <v>2336</v>
      </c>
      <c r="B2337" s="334">
        <v>43929</v>
      </c>
      <c r="C2337" s="334">
        <v>43976</v>
      </c>
      <c r="D2337" s="335" t="s">
        <v>1092</v>
      </c>
      <c r="E2337" s="339" t="s">
        <v>422</v>
      </c>
      <c r="F2337" s="335" t="s">
        <v>701</v>
      </c>
      <c r="G2337" s="335" t="s">
        <v>4753</v>
      </c>
      <c r="H2337" s="335" t="s">
        <v>4754</v>
      </c>
      <c r="I2337" s="341">
        <v>37500</v>
      </c>
    </row>
    <row r="2338" spans="1:9" x14ac:dyDescent="0.2">
      <c r="A2338" s="333">
        <v>2337</v>
      </c>
      <c r="B2338" s="334">
        <v>43929</v>
      </c>
      <c r="C2338" s="334">
        <v>43976</v>
      </c>
      <c r="D2338" s="335" t="s">
        <v>1092</v>
      </c>
      <c r="E2338" s="335" t="s">
        <v>422</v>
      </c>
      <c r="F2338" s="335" t="s">
        <v>701</v>
      </c>
      <c r="G2338" s="335" t="s">
        <v>4755</v>
      </c>
      <c r="H2338" s="335" t="s">
        <v>4756</v>
      </c>
      <c r="I2338" s="341">
        <v>385800</v>
      </c>
    </row>
    <row r="2339" spans="1:9" x14ac:dyDescent="0.2">
      <c r="A2339" s="333">
        <v>2338</v>
      </c>
      <c r="B2339" s="334">
        <v>43929</v>
      </c>
      <c r="C2339" s="334">
        <v>43976</v>
      </c>
      <c r="D2339" s="335" t="s">
        <v>1092</v>
      </c>
      <c r="E2339" s="335" t="s">
        <v>392</v>
      </c>
      <c r="F2339" s="335" t="s">
        <v>701</v>
      </c>
      <c r="G2339" s="335" t="s">
        <v>4757</v>
      </c>
      <c r="H2339" s="335" t="s">
        <v>4759</v>
      </c>
      <c r="I2339" s="341">
        <v>299900</v>
      </c>
    </row>
    <row r="2340" spans="1:9" x14ac:dyDescent="0.2">
      <c r="A2340" s="333">
        <v>2339</v>
      </c>
      <c r="B2340" s="334">
        <v>43929</v>
      </c>
      <c r="C2340" s="334">
        <v>43964</v>
      </c>
      <c r="D2340" s="335" t="s">
        <v>1092</v>
      </c>
      <c r="E2340" s="335" t="s">
        <v>392</v>
      </c>
      <c r="F2340" s="335" t="s">
        <v>701</v>
      </c>
      <c r="G2340" s="335" t="s">
        <v>4758</v>
      </c>
      <c r="H2340" s="335" t="s">
        <v>4760</v>
      </c>
      <c r="I2340" s="341">
        <v>59100</v>
      </c>
    </row>
    <row r="2341" spans="1:9" x14ac:dyDescent="0.2">
      <c r="A2341" s="333">
        <v>2340</v>
      </c>
      <c r="B2341" s="334">
        <v>43928</v>
      </c>
      <c r="C2341" s="334">
        <v>43964</v>
      </c>
      <c r="D2341" s="335" t="s">
        <v>1092</v>
      </c>
      <c r="E2341" s="335" t="s">
        <v>422</v>
      </c>
      <c r="F2341" s="335" t="s">
        <v>701</v>
      </c>
      <c r="G2341" s="335" t="s">
        <v>4761</v>
      </c>
      <c r="H2341" s="335" t="s">
        <v>4762</v>
      </c>
      <c r="I2341" s="341">
        <v>11970</v>
      </c>
    </row>
    <row r="2342" spans="1:9" x14ac:dyDescent="0.2">
      <c r="A2342" s="333">
        <v>2341</v>
      </c>
      <c r="B2342" s="334">
        <v>43928</v>
      </c>
      <c r="C2342" s="334">
        <v>43969</v>
      </c>
      <c r="D2342" s="335" t="s">
        <v>1092</v>
      </c>
      <c r="E2342" s="335" t="s">
        <v>392</v>
      </c>
      <c r="F2342" s="335" t="s">
        <v>2224</v>
      </c>
      <c r="G2342" s="342" t="s">
        <v>4764</v>
      </c>
      <c r="H2342" s="335" t="s">
        <v>4763</v>
      </c>
      <c r="I2342" s="341">
        <v>45500</v>
      </c>
    </row>
    <row r="2343" spans="1:9" x14ac:dyDescent="0.2">
      <c r="A2343" s="333">
        <v>2342</v>
      </c>
      <c r="B2343" s="334">
        <v>43928</v>
      </c>
      <c r="C2343" s="334">
        <v>43964</v>
      </c>
      <c r="D2343" s="335" t="s">
        <v>1092</v>
      </c>
      <c r="E2343" s="335" t="s">
        <v>422</v>
      </c>
      <c r="F2343" s="335" t="s">
        <v>701</v>
      </c>
      <c r="G2343" s="335" t="s">
        <v>4765</v>
      </c>
      <c r="H2343" s="335" t="s">
        <v>4766</v>
      </c>
      <c r="I2343" s="341">
        <v>48500</v>
      </c>
    </row>
    <row r="2344" spans="1:9" x14ac:dyDescent="0.2">
      <c r="A2344" s="333">
        <v>2343</v>
      </c>
      <c r="B2344" s="334">
        <v>43928</v>
      </c>
      <c r="C2344" s="334">
        <v>43969</v>
      </c>
      <c r="D2344" s="335" t="s">
        <v>1092</v>
      </c>
      <c r="E2344" s="335" t="s">
        <v>392</v>
      </c>
      <c r="F2344" s="335" t="s">
        <v>9</v>
      </c>
      <c r="G2344" s="342" t="s">
        <v>4768</v>
      </c>
      <c r="H2344" s="335" t="s">
        <v>4767</v>
      </c>
      <c r="I2344" s="341">
        <v>91998.15</v>
      </c>
    </row>
    <row r="2345" spans="1:9" x14ac:dyDescent="0.2">
      <c r="A2345" s="333">
        <v>2344</v>
      </c>
      <c r="B2345" s="334">
        <v>43928</v>
      </c>
      <c r="C2345" s="334">
        <v>43964</v>
      </c>
      <c r="D2345" s="335" t="s">
        <v>1092</v>
      </c>
      <c r="E2345" s="335" t="s">
        <v>422</v>
      </c>
      <c r="F2345" s="335" t="s">
        <v>701</v>
      </c>
      <c r="G2345" s="335" t="s">
        <v>4769</v>
      </c>
      <c r="H2345" s="335" t="s">
        <v>4770</v>
      </c>
      <c r="I2345" s="341">
        <v>67900</v>
      </c>
    </row>
    <row r="2346" spans="1:9" x14ac:dyDescent="0.2">
      <c r="A2346" s="333">
        <v>2345</v>
      </c>
      <c r="B2346" s="334">
        <v>43928</v>
      </c>
      <c r="C2346" s="334">
        <v>43964</v>
      </c>
      <c r="D2346" s="335" t="s">
        <v>1092</v>
      </c>
      <c r="E2346" s="335" t="s">
        <v>392</v>
      </c>
      <c r="F2346" s="335" t="s">
        <v>9</v>
      </c>
      <c r="G2346" s="335" t="s">
        <v>4771</v>
      </c>
      <c r="H2346" s="335" t="s">
        <v>4772</v>
      </c>
      <c r="I2346" s="341">
        <v>97641.13</v>
      </c>
    </row>
    <row r="2347" spans="1:9" x14ac:dyDescent="0.2">
      <c r="A2347" s="333">
        <v>2346</v>
      </c>
      <c r="B2347" s="334">
        <v>43928</v>
      </c>
      <c r="C2347" s="334">
        <v>43976</v>
      </c>
      <c r="D2347" s="335" t="s">
        <v>1092</v>
      </c>
      <c r="E2347" s="335" t="s">
        <v>422</v>
      </c>
      <c r="F2347" s="335" t="s">
        <v>701</v>
      </c>
      <c r="G2347" s="335" t="s">
        <v>4773</v>
      </c>
      <c r="H2347" s="335" t="s">
        <v>4774</v>
      </c>
      <c r="I2347" s="341">
        <v>64500</v>
      </c>
    </row>
    <row r="2348" spans="1:9" x14ac:dyDescent="0.2">
      <c r="A2348" s="333">
        <v>2347</v>
      </c>
      <c r="B2348" s="334">
        <v>43928</v>
      </c>
      <c r="C2348" s="334">
        <v>43964</v>
      </c>
      <c r="D2348" s="335" t="s">
        <v>1092</v>
      </c>
      <c r="E2348" s="335" t="s">
        <v>422</v>
      </c>
      <c r="F2348" s="335" t="s">
        <v>701</v>
      </c>
      <c r="G2348" s="335" t="s">
        <v>4775</v>
      </c>
      <c r="H2348" s="335" t="s">
        <v>4776</v>
      </c>
      <c r="I2348" s="341">
        <v>35500</v>
      </c>
    </row>
    <row r="2349" spans="1:9" x14ac:dyDescent="0.2">
      <c r="A2349" s="333">
        <v>2348</v>
      </c>
      <c r="B2349" s="334">
        <v>43935</v>
      </c>
      <c r="C2349" s="334">
        <v>43976</v>
      </c>
      <c r="D2349" s="335" t="s">
        <v>1092</v>
      </c>
      <c r="E2349" s="335" t="s">
        <v>422</v>
      </c>
      <c r="F2349" s="335" t="s">
        <v>701</v>
      </c>
      <c r="G2349" s="335" t="s">
        <v>4777</v>
      </c>
      <c r="H2349" s="335" t="s">
        <v>4778</v>
      </c>
      <c r="I2349" s="341">
        <v>43100</v>
      </c>
    </row>
    <row r="2350" spans="1:9" x14ac:dyDescent="0.2">
      <c r="A2350" s="333">
        <v>2349</v>
      </c>
      <c r="B2350" s="334">
        <v>43935</v>
      </c>
      <c r="C2350" s="334">
        <v>43976</v>
      </c>
      <c r="D2350" s="335" t="s">
        <v>1092</v>
      </c>
      <c r="E2350" s="335" t="s">
        <v>422</v>
      </c>
      <c r="F2350" s="335" t="s">
        <v>701</v>
      </c>
      <c r="G2350" s="335" t="s">
        <v>4779</v>
      </c>
      <c r="H2350" s="335" t="s">
        <v>4780</v>
      </c>
      <c r="I2350" s="341">
        <v>20900</v>
      </c>
    </row>
    <row r="2351" spans="1:9" x14ac:dyDescent="0.2">
      <c r="A2351" s="333">
        <v>2350</v>
      </c>
      <c r="B2351" s="334">
        <v>43936</v>
      </c>
      <c r="C2351" s="334">
        <v>43976</v>
      </c>
      <c r="D2351" s="335" t="s">
        <v>1092</v>
      </c>
      <c r="E2351" s="335" t="s">
        <v>422</v>
      </c>
      <c r="F2351" s="335" t="s">
        <v>701</v>
      </c>
      <c r="G2351" s="335" t="s">
        <v>4781</v>
      </c>
      <c r="H2351" s="335" t="s">
        <v>4782</v>
      </c>
      <c r="I2351" s="341">
        <v>30000</v>
      </c>
    </row>
    <row r="2352" spans="1:9" x14ac:dyDescent="0.2">
      <c r="A2352" s="333">
        <v>2351</v>
      </c>
      <c r="B2352" s="334">
        <v>43937</v>
      </c>
      <c r="C2352" s="334">
        <v>43976</v>
      </c>
      <c r="D2352" s="335" t="s">
        <v>1092</v>
      </c>
      <c r="E2352" s="335" t="s">
        <v>422</v>
      </c>
      <c r="F2352" s="335" t="s">
        <v>701</v>
      </c>
      <c r="G2352" s="335" t="s">
        <v>4783</v>
      </c>
      <c r="H2352" s="335" t="s">
        <v>4784</v>
      </c>
      <c r="I2352" s="341">
        <v>56400</v>
      </c>
    </row>
    <row r="2353" spans="1:10" x14ac:dyDescent="0.2">
      <c r="A2353" s="333">
        <v>2352</v>
      </c>
      <c r="B2353" s="334">
        <v>43937</v>
      </c>
      <c r="C2353" s="334">
        <v>43985</v>
      </c>
      <c r="D2353" s="335" t="s">
        <v>1092</v>
      </c>
      <c r="E2353" s="335" t="s">
        <v>422</v>
      </c>
      <c r="F2353" s="335" t="s">
        <v>701</v>
      </c>
      <c r="G2353" s="335" t="s">
        <v>4785</v>
      </c>
      <c r="H2353" s="335" t="s">
        <v>4786</v>
      </c>
      <c r="I2353" s="341">
        <v>79000</v>
      </c>
    </row>
    <row r="2354" spans="1:10" x14ac:dyDescent="0.2">
      <c r="A2354" s="333">
        <v>2353</v>
      </c>
      <c r="B2354" s="334">
        <v>43937</v>
      </c>
      <c r="C2354" s="334">
        <v>43985</v>
      </c>
      <c r="D2354" s="335" t="s">
        <v>1092</v>
      </c>
      <c r="E2354" s="335" t="s">
        <v>392</v>
      </c>
      <c r="F2354" s="335" t="s">
        <v>9</v>
      </c>
      <c r="G2354" s="335" t="s">
        <v>4787</v>
      </c>
      <c r="H2354" s="335" t="s">
        <v>4788</v>
      </c>
      <c r="I2354" s="341">
        <v>89501.69</v>
      </c>
    </row>
    <row r="2355" spans="1:10" x14ac:dyDescent="0.2">
      <c r="A2355" s="333">
        <v>2354</v>
      </c>
      <c r="B2355" s="334">
        <v>43937</v>
      </c>
      <c r="C2355" s="334">
        <v>43985</v>
      </c>
      <c r="D2355" s="335" t="s">
        <v>1092</v>
      </c>
      <c r="E2355" s="335" t="s">
        <v>422</v>
      </c>
      <c r="F2355" s="335" t="s">
        <v>701</v>
      </c>
      <c r="G2355" s="335" t="s">
        <v>4789</v>
      </c>
      <c r="H2355" s="335" t="s">
        <v>4790</v>
      </c>
      <c r="I2355" s="341">
        <v>25000</v>
      </c>
    </row>
    <row r="2356" spans="1:10" x14ac:dyDescent="0.2">
      <c r="A2356" s="333">
        <v>2355</v>
      </c>
      <c r="B2356" s="334">
        <v>43937</v>
      </c>
      <c r="C2356" s="334">
        <v>43978</v>
      </c>
      <c r="D2356" s="335" t="s">
        <v>1092</v>
      </c>
      <c r="E2356" s="335" t="s">
        <v>422</v>
      </c>
      <c r="F2356" s="335" t="s">
        <v>701</v>
      </c>
      <c r="G2356" s="335" t="s">
        <v>4791</v>
      </c>
      <c r="H2356" s="335" t="s">
        <v>4792</v>
      </c>
      <c r="I2356" s="341">
        <v>44400</v>
      </c>
    </row>
    <row r="2357" spans="1:10" x14ac:dyDescent="0.2">
      <c r="A2357" s="333">
        <v>2356</v>
      </c>
      <c r="B2357" s="334">
        <v>43937</v>
      </c>
      <c r="C2357" s="334">
        <v>43985</v>
      </c>
      <c r="D2357" s="335" t="s">
        <v>1092</v>
      </c>
      <c r="E2357" s="335" t="s">
        <v>422</v>
      </c>
      <c r="F2357" s="335" t="s">
        <v>701</v>
      </c>
      <c r="G2357" s="335" t="s">
        <v>4793</v>
      </c>
      <c r="H2357" s="335" t="s">
        <v>4794</v>
      </c>
      <c r="I2357" s="341">
        <v>22500</v>
      </c>
    </row>
    <row r="2358" spans="1:10" x14ac:dyDescent="0.2">
      <c r="A2358" s="333">
        <v>2357</v>
      </c>
      <c r="B2358" s="334">
        <v>43937</v>
      </c>
      <c r="C2358" s="334">
        <v>43985</v>
      </c>
      <c r="D2358" s="335" t="s">
        <v>1092</v>
      </c>
      <c r="E2358" s="335" t="s">
        <v>422</v>
      </c>
      <c r="F2358" s="335" t="s">
        <v>701</v>
      </c>
      <c r="G2358" s="335" t="s">
        <v>4795</v>
      </c>
      <c r="H2358" s="335" t="s">
        <v>4796</v>
      </c>
      <c r="I2358" s="341">
        <v>81400</v>
      </c>
    </row>
    <row r="2359" spans="1:10" x14ac:dyDescent="0.2">
      <c r="A2359" s="333">
        <v>2358</v>
      </c>
      <c r="B2359" s="334">
        <v>43937</v>
      </c>
      <c r="C2359" s="334">
        <v>43976</v>
      </c>
      <c r="D2359" s="335" t="s">
        <v>1092</v>
      </c>
      <c r="E2359" s="335" t="s">
        <v>422</v>
      </c>
      <c r="F2359" s="335" t="s">
        <v>701</v>
      </c>
      <c r="G2359" s="335" t="s">
        <v>4797</v>
      </c>
      <c r="H2359" s="335" t="s">
        <v>4798</v>
      </c>
      <c r="I2359" s="341">
        <v>22800</v>
      </c>
    </row>
    <row r="2360" spans="1:10" x14ac:dyDescent="0.2">
      <c r="A2360" s="333">
        <v>2359</v>
      </c>
      <c r="B2360" s="334">
        <v>43937</v>
      </c>
      <c r="C2360" s="334">
        <v>43978</v>
      </c>
      <c r="D2360" s="335" t="s">
        <v>1092</v>
      </c>
      <c r="E2360" s="335" t="s">
        <v>422</v>
      </c>
      <c r="F2360" s="335" t="s">
        <v>701</v>
      </c>
      <c r="G2360" s="335" t="s">
        <v>4799</v>
      </c>
      <c r="H2360" s="335" t="s">
        <v>4800</v>
      </c>
      <c r="I2360" s="341">
        <v>31000</v>
      </c>
    </row>
    <row r="2361" spans="1:10" x14ac:dyDescent="0.2">
      <c r="A2361" s="333">
        <v>2360</v>
      </c>
      <c r="B2361" s="334">
        <v>43937</v>
      </c>
      <c r="C2361" s="334">
        <v>43978</v>
      </c>
      <c r="D2361" s="335" t="s">
        <v>1092</v>
      </c>
      <c r="E2361" s="335" t="s">
        <v>422</v>
      </c>
      <c r="F2361" s="335" t="s">
        <v>701</v>
      </c>
      <c r="G2361" s="335" t="s">
        <v>4801</v>
      </c>
      <c r="H2361" s="335" t="s">
        <v>4802</v>
      </c>
      <c r="I2361" s="341">
        <v>72800</v>
      </c>
    </row>
    <row r="2362" spans="1:10" x14ac:dyDescent="0.2">
      <c r="A2362" s="333">
        <v>2361</v>
      </c>
      <c r="B2362" s="334">
        <v>43937</v>
      </c>
      <c r="C2362" s="334">
        <v>43978</v>
      </c>
      <c r="D2362" s="335" t="s">
        <v>1092</v>
      </c>
      <c r="E2362" s="335" t="s">
        <v>422</v>
      </c>
      <c r="F2362" s="335" t="s">
        <v>701</v>
      </c>
      <c r="G2362" s="335" t="s">
        <v>4803</v>
      </c>
      <c r="H2362" s="335" t="s">
        <v>4804</v>
      </c>
      <c r="I2362" s="341">
        <v>13000</v>
      </c>
    </row>
    <row r="2363" spans="1:10" x14ac:dyDescent="0.2">
      <c r="A2363" s="333">
        <v>2362</v>
      </c>
      <c r="B2363" s="334">
        <v>43937</v>
      </c>
      <c r="C2363" s="334">
        <v>43978</v>
      </c>
      <c r="D2363" s="335" t="s">
        <v>1092</v>
      </c>
      <c r="E2363" s="335" t="s">
        <v>422</v>
      </c>
      <c r="F2363" s="335" t="s">
        <v>701</v>
      </c>
      <c r="G2363" s="335" t="s">
        <v>4805</v>
      </c>
      <c r="H2363" s="335" t="s">
        <v>4806</v>
      </c>
      <c r="I2363" s="341">
        <v>37800</v>
      </c>
    </row>
    <row r="2364" spans="1:10" x14ac:dyDescent="0.2">
      <c r="A2364" s="333">
        <v>2363</v>
      </c>
      <c r="B2364" s="334">
        <v>43938</v>
      </c>
      <c r="C2364" s="334">
        <v>43978</v>
      </c>
      <c r="D2364" s="335" t="s">
        <v>1092</v>
      </c>
      <c r="E2364" s="335" t="s">
        <v>422</v>
      </c>
      <c r="F2364" s="335" t="s">
        <v>701</v>
      </c>
      <c r="G2364" s="335" t="s">
        <v>4807</v>
      </c>
      <c r="H2364" s="335" t="s">
        <v>4808</v>
      </c>
      <c r="I2364" s="341">
        <v>184100</v>
      </c>
    </row>
    <row r="2365" spans="1:10" x14ac:dyDescent="0.2">
      <c r="A2365" s="333">
        <v>2364</v>
      </c>
      <c r="B2365" s="334">
        <v>43941</v>
      </c>
      <c r="C2365" s="334">
        <v>43985</v>
      </c>
      <c r="D2365" s="335" t="s">
        <v>1092</v>
      </c>
      <c r="E2365" s="335" t="s">
        <v>422</v>
      </c>
      <c r="F2365" s="335" t="s">
        <v>701</v>
      </c>
      <c r="G2365" s="335" t="s">
        <v>4809</v>
      </c>
      <c r="H2365" s="335" t="s">
        <v>4810</v>
      </c>
      <c r="I2365" s="341">
        <v>75000</v>
      </c>
    </row>
    <row r="2366" spans="1:10" x14ac:dyDescent="0.2">
      <c r="A2366" s="333">
        <v>2365</v>
      </c>
      <c r="B2366" s="334">
        <v>43942</v>
      </c>
      <c r="C2366" s="334">
        <v>43985</v>
      </c>
      <c r="D2366" s="335" t="s">
        <v>1092</v>
      </c>
      <c r="E2366" s="335" t="s">
        <v>422</v>
      </c>
      <c r="F2366" s="335" t="s">
        <v>396</v>
      </c>
      <c r="G2366" s="335" t="s">
        <v>4811</v>
      </c>
      <c r="H2366" s="335" t="s">
        <v>4812</v>
      </c>
      <c r="I2366" s="341">
        <v>140650</v>
      </c>
    </row>
    <row r="2367" spans="1:10" x14ac:dyDescent="0.2">
      <c r="A2367" s="333">
        <v>2366</v>
      </c>
      <c r="B2367" s="334">
        <v>43943</v>
      </c>
      <c r="C2367" s="334">
        <v>43985</v>
      </c>
      <c r="D2367" s="335" t="s">
        <v>1092</v>
      </c>
      <c r="E2367" s="335" t="s">
        <v>422</v>
      </c>
      <c r="F2367" s="335" t="s">
        <v>701</v>
      </c>
      <c r="G2367" s="335" t="s">
        <v>4813</v>
      </c>
      <c r="H2367" s="335" t="s">
        <v>4814</v>
      </c>
      <c r="I2367" s="341">
        <v>250000</v>
      </c>
    </row>
    <row r="2368" spans="1:10" x14ac:dyDescent="0.2">
      <c r="A2368" s="343">
        <v>2367</v>
      </c>
      <c r="B2368" s="344">
        <v>43944</v>
      </c>
      <c r="C2368" s="344">
        <v>43985</v>
      </c>
      <c r="D2368" s="345" t="s">
        <v>1092</v>
      </c>
      <c r="E2368" s="345" t="s">
        <v>422</v>
      </c>
      <c r="F2368" s="345" t="s">
        <v>701</v>
      </c>
      <c r="G2368" s="345" t="s">
        <v>4815</v>
      </c>
      <c r="H2368" s="345" t="s">
        <v>4816</v>
      </c>
      <c r="I2368" s="346">
        <v>457000</v>
      </c>
      <c r="J2368" s="178" t="s">
        <v>5461</v>
      </c>
    </row>
    <row r="2369" spans="1:10" x14ac:dyDescent="0.2">
      <c r="A2369" s="343">
        <v>2368</v>
      </c>
      <c r="B2369" s="344">
        <v>43944</v>
      </c>
      <c r="C2369" s="344">
        <v>43985</v>
      </c>
      <c r="D2369" s="345" t="s">
        <v>1092</v>
      </c>
      <c r="E2369" s="345" t="s">
        <v>422</v>
      </c>
      <c r="F2369" s="345" t="s">
        <v>701</v>
      </c>
      <c r="G2369" s="345" t="s">
        <v>4817</v>
      </c>
      <c r="H2369" s="345" t="s">
        <v>4818</v>
      </c>
      <c r="I2369" s="346">
        <v>382500</v>
      </c>
      <c r="J2369" s="178" t="s">
        <v>5461</v>
      </c>
    </row>
    <row r="2370" spans="1:10" x14ac:dyDescent="0.2">
      <c r="A2370" s="343">
        <v>2369</v>
      </c>
      <c r="B2370" s="344">
        <v>43944</v>
      </c>
      <c r="C2370" s="344">
        <v>43985</v>
      </c>
      <c r="D2370" s="345" t="s">
        <v>1092</v>
      </c>
      <c r="E2370" s="345" t="s">
        <v>422</v>
      </c>
      <c r="F2370" s="345" t="s">
        <v>701</v>
      </c>
      <c r="G2370" s="345" t="s">
        <v>4819</v>
      </c>
      <c r="H2370" s="345" t="s">
        <v>4820</v>
      </c>
      <c r="I2370" s="346">
        <v>340000</v>
      </c>
      <c r="J2370" s="178" t="s">
        <v>5461</v>
      </c>
    </row>
    <row r="2371" spans="1:10" x14ac:dyDescent="0.2">
      <c r="A2371" s="333">
        <v>2370</v>
      </c>
      <c r="B2371" s="334">
        <v>43944</v>
      </c>
      <c r="C2371" s="334">
        <v>43990</v>
      </c>
      <c r="D2371" s="335" t="s">
        <v>1092</v>
      </c>
      <c r="E2371" s="335" t="s">
        <v>422</v>
      </c>
      <c r="F2371" s="335" t="s">
        <v>701</v>
      </c>
      <c r="G2371" s="335" t="s">
        <v>4821</v>
      </c>
      <c r="H2371" s="335" t="s">
        <v>4823</v>
      </c>
      <c r="I2371" s="341">
        <v>39200</v>
      </c>
    </row>
    <row r="2372" spans="1:10" x14ac:dyDescent="0.2">
      <c r="A2372" s="333">
        <v>2371</v>
      </c>
      <c r="B2372" s="334">
        <v>43944</v>
      </c>
      <c r="C2372" s="334">
        <v>43976</v>
      </c>
      <c r="D2372" s="335" t="s">
        <v>1092</v>
      </c>
      <c r="E2372" s="335" t="s">
        <v>422</v>
      </c>
      <c r="F2372" s="335" t="s">
        <v>701</v>
      </c>
      <c r="G2372" s="335" t="s">
        <v>4822</v>
      </c>
      <c r="H2372" s="335" t="s">
        <v>4824</v>
      </c>
      <c r="I2372" s="341">
        <v>48500</v>
      </c>
    </row>
    <row r="2373" spans="1:10" x14ac:dyDescent="0.2">
      <c r="A2373" s="333">
        <v>2372</v>
      </c>
      <c r="B2373" s="334">
        <v>43948</v>
      </c>
      <c r="C2373" s="334">
        <v>43990</v>
      </c>
      <c r="D2373" s="335" t="s">
        <v>1092</v>
      </c>
      <c r="E2373" s="335" t="s">
        <v>422</v>
      </c>
      <c r="F2373" s="335" t="s">
        <v>396</v>
      </c>
      <c r="G2373" s="335" t="s">
        <v>4825</v>
      </c>
      <c r="H2373" s="335" t="s">
        <v>4826</v>
      </c>
      <c r="I2373" s="341">
        <v>12480</v>
      </c>
    </row>
    <row r="2374" spans="1:10" x14ac:dyDescent="0.2">
      <c r="A2374" s="333">
        <v>2373</v>
      </c>
      <c r="B2374" s="334">
        <v>43948</v>
      </c>
      <c r="C2374" s="334">
        <v>43990</v>
      </c>
      <c r="D2374" s="335" t="s">
        <v>1092</v>
      </c>
      <c r="E2374" s="335" t="s">
        <v>422</v>
      </c>
      <c r="F2374" s="335" t="s">
        <v>396</v>
      </c>
      <c r="G2374" s="335" t="s">
        <v>4827</v>
      </c>
      <c r="H2374" s="335" t="s">
        <v>4828</v>
      </c>
      <c r="I2374" s="341">
        <v>20146.669999999998</v>
      </c>
    </row>
    <row r="2375" spans="1:10" x14ac:dyDescent="0.2">
      <c r="A2375" s="333">
        <v>2374</v>
      </c>
      <c r="B2375" s="334">
        <v>43948</v>
      </c>
      <c r="C2375" s="334">
        <v>43990</v>
      </c>
      <c r="D2375" s="335" t="s">
        <v>1092</v>
      </c>
      <c r="E2375" s="335" t="s">
        <v>422</v>
      </c>
      <c r="F2375" s="335" t="s">
        <v>396</v>
      </c>
      <c r="G2375" s="335" t="s">
        <v>4829</v>
      </c>
      <c r="H2375" s="335" t="s">
        <v>4830</v>
      </c>
      <c r="I2375" s="341">
        <v>41066.660000000003</v>
      </c>
    </row>
    <row r="2376" spans="1:10" x14ac:dyDescent="0.2">
      <c r="A2376" s="333">
        <v>2375</v>
      </c>
      <c r="B2376" s="334">
        <v>43948</v>
      </c>
      <c r="C2376" s="334">
        <v>43990</v>
      </c>
      <c r="D2376" s="335" t="s">
        <v>1092</v>
      </c>
      <c r="E2376" s="335" t="s">
        <v>422</v>
      </c>
      <c r="F2376" s="335" t="s">
        <v>71</v>
      </c>
      <c r="G2376" s="335" t="s">
        <v>4831</v>
      </c>
      <c r="H2376" s="335" t="s">
        <v>4832</v>
      </c>
      <c r="I2376" s="341">
        <v>4349.22</v>
      </c>
    </row>
    <row r="2377" spans="1:10" x14ac:dyDescent="0.2">
      <c r="A2377" s="333">
        <v>2376</v>
      </c>
      <c r="B2377" s="334">
        <v>43948</v>
      </c>
      <c r="C2377" s="334">
        <v>43978</v>
      </c>
      <c r="D2377" s="335" t="s">
        <v>1092</v>
      </c>
      <c r="E2377" s="335" t="s">
        <v>422</v>
      </c>
      <c r="F2377" s="335" t="s">
        <v>701</v>
      </c>
      <c r="G2377" s="335" t="s">
        <v>4833</v>
      </c>
      <c r="H2377" s="335" t="s">
        <v>4834</v>
      </c>
      <c r="I2377" s="341">
        <v>31500</v>
      </c>
    </row>
    <row r="2378" spans="1:10" x14ac:dyDescent="0.2">
      <c r="A2378" s="333">
        <v>2377</v>
      </c>
      <c r="B2378" s="334">
        <v>43948</v>
      </c>
      <c r="C2378" s="334">
        <v>43990</v>
      </c>
      <c r="D2378" s="335" t="s">
        <v>1092</v>
      </c>
      <c r="E2378" s="335" t="s">
        <v>422</v>
      </c>
      <c r="F2378" s="335" t="s">
        <v>71</v>
      </c>
      <c r="G2378" s="335" t="s">
        <v>4835</v>
      </c>
      <c r="H2378" s="335" t="s">
        <v>4836</v>
      </c>
      <c r="I2378" s="341">
        <v>14664.79</v>
      </c>
    </row>
    <row r="2379" spans="1:10" x14ac:dyDescent="0.2">
      <c r="A2379" s="333">
        <v>2378</v>
      </c>
      <c r="B2379" s="334">
        <v>43948</v>
      </c>
      <c r="C2379" s="334">
        <v>43990</v>
      </c>
      <c r="D2379" s="335" t="s">
        <v>1092</v>
      </c>
      <c r="E2379" s="335" t="s">
        <v>422</v>
      </c>
      <c r="F2379" s="335" t="s">
        <v>396</v>
      </c>
      <c r="G2379" s="335" t="s">
        <v>4837</v>
      </c>
      <c r="H2379" s="335" t="s">
        <v>4838</v>
      </c>
      <c r="I2379" s="341">
        <v>5760</v>
      </c>
    </row>
    <row r="2380" spans="1:10" x14ac:dyDescent="0.2">
      <c r="A2380" s="333">
        <v>2379</v>
      </c>
      <c r="B2380" s="334">
        <v>43948</v>
      </c>
      <c r="C2380" s="334">
        <v>43990</v>
      </c>
      <c r="D2380" s="335" t="s">
        <v>1092</v>
      </c>
      <c r="E2380" s="335" t="s">
        <v>392</v>
      </c>
      <c r="F2380" s="335" t="s">
        <v>71</v>
      </c>
      <c r="G2380" s="335" t="s">
        <v>4839</v>
      </c>
      <c r="H2380" s="335" t="s">
        <v>4840</v>
      </c>
      <c r="I2380" s="341">
        <v>4350</v>
      </c>
    </row>
    <row r="2381" spans="1:10" x14ac:dyDescent="0.2">
      <c r="A2381" s="333">
        <v>2380</v>
      </c>
      <c r="B2381" s="334">
        <v>43949</v>
      </c>
      <c r="C2381" s="334">
        <v>43990</v>
      </c>
      <c r="D2381" s="335" t="s">
        <v>1092</v>
      </c>
      <c r="E2381" s="335" t="s">
        <v>422</v>
      </c>
      <c r="F2381" s="335" t="s">
        <v>396</v>
      </c>
      <c r="G2381" s="335" t="s">
        <v>4841</v>
      </c>
      <c r="H2381" s="335" t="s">
        <v>4842</v>
      </c>
      <c r="I2381" s="341">
        <v>88480</v>
      </c>
    </row>
    <row r="2382" spans="1:10" x14ac:dyDescent="0.2">
      <c r="A2382" s="333">
        <v>2381</v>
      </c>
      <c r="B2382" s="334">
        <v>43949</v>
      </c>
      <c r="C2382" s="334">
        <v>43990</v>
      </c>
      <c r="D2382" s="335" t="s">
        <v>1092</v>
      </c>
      <c r="E2382" s="335" t="s">
        <v>422</v>
      </c>
      <c r="F2382" s="335" t="s">
        <v>71</v>
      </c>
      <c r="G2382" s="335" t="s">
        <v>4843</v>
      </c>
      <c r="H2382" s="335" t="s">
        <v>4844</v>
      </c>
      <c r="I2382" s="341">
        <v>15544.61</v>
      </c>
    </row>
    <row r="2383" spans="1:10" x14ac:dyDescent="0.2">
      <c r="A2383" s="333">
        <v>2382</v>
      </c>
      <c r="B2383" s="334">
        <v>43949</v>
      </c>
      <c r="C2383" s="334">
        <v>43990</v>
      </c>
      <c r="D2383" s="335" t="s">
        <v>1092</v>
      </c>
      <c r="E2383" s="335" t="s">
        <v>422</v>
      </c>
      <c r="F2383" s="335" t="s">
        <v>396</v>
      </c>
      <c r="G2383" s="335" t="s">
        <v>4845</v>
      </c>
      <c r="H2383" s="335" t="s">
        <v>4846</v>
      </c>
      <c r="I2383" s="341">
        <v>20280</v>
      </c>
    </row>
    <row r="2384" spans="1:10" x14ac:dyDescent="0.2">
      <c r="A2384" s="333">
        <v>2383</v>
      </c>
      <c r="B2384" s="334">
        <v>43950</v>
      </c>
      <c r="C2384" s="334">
        <v>43976</v>
      </c>
      <c r="D2384" s="335" t="s">
        <v>1092</v>
      </c>
      <c r="E2384" s="335" t="s">
        <v>422</v>
      </c>
      <c r="F2384" s="335" t="s">
        <v>701</v>
      </c>
      <c r="G2384" s="335" t="s">
        <v>4847</v>
      </c>
      <c r="H2384" s="335" t="s">
        <v>4848</v>
      </c>
      <c r="I2384" s="341">
        <v>23281</v>
      </c>
    </row>
    <row r="2385" spans="1:9" x14ac:dyDescent="0.2">
      <c r="A2385" s="333">
        <v>2384</v>
      </c>
      <c r="B2385" s="334">
        <v>43950</v>
      </c>
      <c r="C2385" s="334">
        <v>43992</v>
      </c>
      <c r="D2385" s="335" t="s">
        <v>1092</v>
      </c>
      <c r="E2385" s="335" t="s">
        <v>422</v>
      </c>
      <c r="F2385" s="335" t="s">
        <v>71</v>
      </c>
      <c r="G2385" s="335" t="s">
        <v>4849</v>
      </c>
      <c r="H2385" s="335" t="s">
        <v>4850</v>
      </c>
      <c r="I2385" s="341">
        <v>50772.3</v>
      </c>
    </row>
    <row r="2386" spans="1:9" x14ac:dyDescent="0.2">
      <c r="A2386" s="333">
        <v>2385</v>
      </c>
      <c r="B2386" s="334">
        <v>43950</v>
      </c>
      <c r="C2386" s="334">
        <v>43992</v>
      </c>
      <c r="D2386" s="335" t="s">
        <v>1092</v>
      </c>
      <c r="E2386" s="335" t="s">
        <v>422</v>
      </c>
      <c r="F2386" s="335" t="s">
        <v>396</v>
      </c>
      <c r="G2386" s="335" t="s">
        <v>4851</v>
      </c>
      <c r="H2386" s="335" t="s">
        <v>4852</v>
      </c>
      <c r="I2386" s="341">
        <v>133320</v>
      </c>
    </row>
    <row r="2387" spans="1:9" x14ac:dyDescent="0.2">
      <c r="A2387" s="333">
        <v>2386</v>
      </c>
      <c r="B2387" s="334">
        <v>43950</v>
      </c>
      <c r="C2387" s="334">
        <v>43992</v>
      </c>
      <c r="D2387" s="335" t="s">
        <v>1092</v>
      </c>
      <c r="E2387" s="335" t="s">
        <v>422</v>
      </c>
      <c r="F2387" s="335" t="s">
        <v>396</v>
      </c>
      <c r="G2387" s="335" t="s">
        <v>4853</v>
      </c>
      <c r="H2387" s="335" t="s">
        <v>4854</v>
      </c>
      <c r="I2387" s="341">
        <v>26160</v>
      </c>
    </row>
    <row r="2388" spans="1:9" x14ac:dyDescent="0.2">
      <c r="A2388" s="333">
        <v>2387</v>
      </c>
      <c r="B2388" s="334">
        <v>43951</v>
      </c>
      <c r="C2388" s="334">
        <v>43997</v>
      </c>
      <c r="D2388" s="335" t="s">
        <v>1092</v>
      </c>
      <c r="E2388" s="335" t="s">
        <v>392</v>
      </c>
      <c r="F2388" s="335" t="s">
        <v>1272</v>
      </c>
      <c r="G2388" s="335" t="s">
        <v>4855</v>
      </c>
      <c r="H2388" s="335" t="s">
        <v>4856</v>
      </c>
      <c r="I2388" s="341">
        <v>17000</v>
      </c>
    </row>
    <row r="2389" spans="1:9" x14ac:dyDescent="0.2">
      <c r="A2389" s="333">
        <v>2388</v>
      </c>
      <c r="B2389" s="334">
        <v>43951</v>
      </c>
      <c r="C2389" s="334">
        <v>44004</v>
      </c>
      <c r="D2389" s="335" t="s">
        <v>1092</v>
      </c>
      <c r="E2389" s="335" t="s">
        <v>422</v>
      </c>
      <c r="F2389" s="335" t="s">
        <v>396</v>
      </c>
      <c r="G2389" s="335" t="s">
        <v>4857</v>
      </c>
      <c r="H2389" s="335" t="s">
        <v>4858</v>
      </c>
      <c r="I2389" s="341">
        <v>99466.67</v>
      </c>
    </row>
    <row r="2390" spans="1:9" x14ac:dyDescent="0.2">
      <c r="A2390" s="333">
        <v>2389</v>
      </c>
      <c r="B2390" s="334">
        <v>43951</v>
      </c>
      <c r="C2390" s="334">
        <v>44004</v>
      </c>
      <c r="D2390" s="335" t="s">
        <v>1092</v>
      </c>
      <c r="E2390" s="335" t="s">
        <v>422</v>
      </c>
      <c r="F2390" s="335" t="s">
        <v>71</v>
      </c>
      <c r="G2390" s="335" t="s">
        <v>4859</v>
      </c>
      <c r="H2390" s="335" t="s">
        <v>4860</v>
      </c>
      <c r="I2390" s="341">
        <v>31783.119999999999</v>
      </c>
    </row>
    <row r="2391" spans="1:9" x14ac:dyDescent="0.2">
      <c r="A2391" s="333">
        <v>2390</v>
      </c>
      <c r="B2391" s="334">
        <v>43951</v>
      </c>
      <c r="C2391" s="334">
        <v>43997</v>
      </c>
      <c r="D2391" s="335" t="s">
        <v>1092</v>
      </c>
      <c r="E2391" s="335" t="s">
        <v>392</v>
      </c>
      <c r="F2391" s="335" t="s">
        <v>1272</v>
      </c>
      <c r="G2391" s="335" t="s">
        <v>4861</v>
      </c>
      <c r="H2391" s="335" t="s">
        <v>4862</v>
      </c>
      <c r="I2391" s="341">
        <v>5100</v>
      </c>
    </row>
    <row r="2392" spans="1:9" x14ac:dyDescent="0.2">
      <c r="A2392" s="333">
        <v>2391</v>
      </c>
      <c r="B2392" s="334">
        <v>43951</v>
      </c>
      <c r="C2392" s="334">
        <v>43997</v>
      </c>
      <c r="D2392" s="335" t="s">
        <v>1092</v>
      </c>
      <c r="E2392" s="335" t="s">
        <v>392</v>
      </c>
      <c r="F2392" s="335" t="s">
        <v>71</v>
      </c>
      <c r="G2392" s="335" t="s">
        <v>4863</v>
      </c>
      <c r="H2392" s="335" t="s">
        <v>4864</v>
      </c>
      <c r="I2392" s="341">
        <v>4800</v>
      </c>
    </row>
    <row r="2393" spans="1:9" x14ac:dyDescent="0.2">
      <c r="A2393" s="333">
        <v>2392</v>
      </c>
      <c r="B2393" s="334">
        <v>43951</v>
      </c>
      <c r="C2393" s="334">
        <v>44004</v>
      </c>
      <c r="D2393" s="335" t="s">
        <v>1092</v>
      </c>
      <c r="E2393" s="335" t="s">
        <v>422</v>
      </c>
      <c r="F2393" s="335" t="s">
        <v>396</v>
      </c>
      <c r="G2393" s="335" t="s">
        <v>4865</v>
      </c>
      <c r="H2393" s="335" t="s">
        <v>4866</v>
      </c>
      <c r="I2393" s="341">
        <v>20160</v>
      </c>
    </row>
    <row r="2394" spans="1:9" x14ac:dyDescent="0.2">
      <c r="A2394" s="333">
        <v>2393</v>
      </c>
      <c r="B2394" s="334">
        <v>43958</v>
      </c>
      <c r="C2394" s="334">
        <v>43992</v>
      </c>
      <c r="D2394" s="335" t="s">
        <v>1092</v>
      </c>
      <c r="E2394" s="335" t="s">
        <v>422</v>
      </c>
      <c r="F2394" s="335" t="s">
        <v>701</v>
      </c>
      <c r="G2394" s="335" t="s">
        <v>4867</v>
      </c>
      <c r="H2394" s="335" t="s">
        <v>4868</v>
      </c>
      <c r="I2394" s="341">
        <v>169000</v>
      </c>
    </row>
    <row r="2395" spans="1:9" x14ac:dyDescent="0.2">
      <c r="A2395" s="333">
        <v>2394</v>
      </c>
      <c r="B2395" s="334">
        <v>43958</v>
      </c>
      <c r="C2395" s="334">
        <v>43992</v>
      </c>
      <c r="D2395" s="335" t="s">
        <v>1092</v>
      </c>
      <c r="E2395" s="335" t="s">
        <v>422</v>
      </c>
      <c r="F2395" s="335" t="s">
        <v>701</v>
      </c>
      <c r="G2395" s="335" t="s">
        <v>4819</v>
      </c>
      <c r="H2395" s="335" t="s">
        <v>4869</v>
      </c>
      <c r="I2395" s="341">
        <v>340000</v>
      </c>
    </row>
    <row r="2396" spans="1:9" x14ac:dyDescent="0.2">
      <c r="A2396" s="333">
        <v>2395</v>
      </c>
      <c r="B2396" s="334">
        <v>43958</v>
      </c>
      <c r="C2396" s="334">
        <v>43992</v>
      </c>
      <c r="D2396" s="335" t="s">
        <v>1092</v>
      </c>
      <c r="E2396" s="335" t="s">
        <v>422</v>
      </c>
      <c r="F2396" s="335" t="s">
        <v>701</v>
      </c>
      <c r="G2396" s="335" t="s">
        <v>4817</v>
      </c>
      <c r="H2396" s="335" t="s">
        <v>4870</v>
      </c>
      <c r="I2396" s="341">
        <v>382500</v>
      </c>
    </row>
    <row r="2397" spans="1:9" x14ac:dyDescent="0.2">
      <c r="A2397" s="333">
        <v>2396</v>
      </c>
      <c r="B2397" s="334">
        <v>43958</v>
      </c>
      <c r="C2397" s="334">
        <v>43992</v>
      </c>
      <c r="D2397" s="335" t="s">
        <v>1092</v>
      </c>
      <c r="E2397" s="335" t="s">
        <v>422</v>
      </c>
      <c r="F2397" s="335" t="s">
        <v>701</v>
      </c>
      <c r="G2397" s="335" t="s">
        <v>4815</v>
      </c>
      <c r="H2397" s="335" t="s">
        <v>4871</v>
      </c>
      <c r="I2397" s="341">
        <v>457000</v>
      </c>
    </row>
    <row r="2398" spans="1:9" x14ac:dyDescent="0.2">
      <c r="A2398" s="333">
        <v>2397</v>
      </c>
      <c r="B2398" s="334">
        <v>43962</v>
      </c>
      <c r="C2398" s="334">
        <v>44011</v>
      </c>
      <c r="D2398" s="335" t="s">
        <v>1092</v>
      </c>
      <c r="E2398" s="335" t="s">
        <v>422</v>
      </c>
      <c r="F2398" s="335" t="s">
        <v>701</v>
      </c>
      <c r="G2398" s="335" t="s">
        <v>4872</v>
      </c>
      <c r="H2398" s="335" t="s">
        <v>4873</v>
      </c>
      <c r="I2398" s="341">
        <v>25800</v>
      </c>
    </row>
    <row r="2399" spans="1:9" x14ac:dyDescent="0.2">
      <c r="A2399" s="333">
        <v>2398</v>
      </c>
      <c r="B2399" s="334">
        <v>43963</v>
      </c>
      <c r="C2399" s="334">
        <v>43992</v>
      </c>
      <c r="D2399" s="335" t="s">
        <v>1092</v>
      </c>
      <c r="E2399" s="335" t="s">
        <v>422</v>
      </c>
      <c r="F2399" s="335" t="s">
        <v>701</v>
      </c>
      <c r="G2399" s="335" t="s">
        <v>4874</v>
      </c>
      <c r="H2399" s="335" t="s">
        <v>4875</v>
      </c>
      <c r="I2399" s="341">
        <v>409100</v>
      </c>
    </row>
    <row r="2400" spans="1:9" x14ac:dyDescent="0.2">
      <c r="A2400" s="333">
        <v>2399</v>
      </c>
      <c r="B2400" s="334">
        <v>43963</v>
      </c>
      <c r="C2400" s="334">
        <v>44011</v>
      </c>
      <c r="D2400" s="335" t="s">
        <v>1092</v>
      </c>
      <c r="E2400" s="335" t="s">
        <v>422</v>
      </c>
      <c r="F2400" s="335" t="s">
        <v>701</v>
      </c>
      <c r="G2400" s="335" t="s">
        <v>4876</v>
      </c>
      <c r="H2400" s="335" t="s">
        <v>4877</v>
      </c>
      <c r="I2400" s="341">
        <v>20300</v>
      </c>
    </row>
    <row r="2401" spans="1:9" x14ac:dyDescent="0.2">
      <c r="A2401" s="333">
        <v>2400</v>
      </c>
      <c r="B2401" s="334">
        <v>43966</v>
      </c>
      <c r="C2401" s="334">
        <v>44011</v>
      </c>
      <c r="D2401" s="335" t="s">
        <v>1092</v>
      </c>
      <c r="E2401" s="335" t="s">
        <v>422</v>
      </c>
      <c r="F2401" s="335" t="s">
        <v>701</v>
      </c>
      <c r="G2401" s="335" t="s">
        <v>4878</v>
      </c>
      <c r="H2401" s="335" t="s">
        <v>4879</v>
      </c>
      <c r="I2401" s="341">
        <v>30130</v>
      </c>
    </row>
    <row r="2402" spans="1:9" x14ac:dyDescent="0.2">
      <c r="A2402" s="333">
        <v>2401</v>
      </c>
      <c r="B2402" s="334">
        <v>43966</v>
      </c>
      <c r="C2402" s="334">
        <v>44011</v>
      </c>
      <c r="D2402" s="335" t="s">
        <v>1092</v>
      </c>
      <c r="E2402" s="335" t="s">
        <v>422</v>
      </c>
      <c r="F2402" s="335" t="s">
        <v>701</v>
      </c>
      <c r="G2402" s="335" t="s">
        <v>4880</v>
      </c>
      <c r="H2402" s="335" t="s">
        <v>4881</v>
      </c>
      <c r="I2402" s="341">
        <v>103500</v>
      </c>
    </row>
    <row r="2403" spans="1:9" x14ac:dyDescent="0.2">
      <c r="A2403" s="333">
        <v>2402</v>
      </c>
      <c r="B2403" s="334">
        <v>43966</v>
      </c>
      <c r="C2403" s="334">
        <v>44011</v>
      </c>
      <c r="D2403" s="335" t="s">
        <v>1092</v>
      </c>
      <c r="E2403" s="335" t="s">
        <v>392</v>
      </c>
      <c r="F2403" s="335" t="s">
        <v>9</v>
      </c>
      <c r="G2403" s="335" t="s">
        <v>4882</v>
      </c>
      <c r="H2403" s="335" t="s">
        <v>4883</v>
      </c>
      <c r="I2403" s="341">
        <v>143862.32999999999</v>
      </c>
    </row>
    <row r="2404" spans="1:9" x14ac:dyDescent="0.2">
      <c r="A2404" s="333">
        <v>2403</v>
      </c>
      <c r="B2404" s="334">
        <v>43970</v>
      </c>
      <c r="C2404" s="334">
        <v>44011</v>
      </c>
      <c r="D2404" s="335" t="s">
        <v>1092</v>
      </c>
      <c r="E2404" s="335" t="s">
        <v>422</v>
      </c>
      <c r="F2404" s="335" t="s">
        <v>701</v>
      </c>
      <c r="G2404" s="335" t="s">
        <v>4884</v>
      </c>
      <c r="H2404" s="335" t="s">
        <v>4885</v>
      </c>
      <c r="I2404" s="341">
        <v>18500</v>
      </c>
    </row>
    <row r="2405" spans="1:9" x14ac:dyDescent="0.2">
      <c r="A2405" s="333">
        <v>2404</v>
      </c>
      <c r="B2405" s="334">
        <v>43970</v>
      </c>
      <c r="C2405" s="334">
        <v>44011</v>
      </c>
      <c r="D2405" s="335" t="s">
        <v>1092</v>
      </c>
      <c r="E2405" s="335" t="s">
        <v>392</v>
      </c>
      <c r="F2405" s="335" t="s">
        <v>701</v>
      </c>
      <c r="G2405" s="335" t="s">
        <v>4886</v>
      </c>
      <c r="H2405" s="335" t="s">
        <v>4887</v>
      </c>
      <c r="I2405" s="341">
        <v>19500</v>
      </c>
    </row>
    <row r="2406" spans="1:9" x14ac:dyDescent="0.2">
      <c r="A2406" s="333">
        <v>2405</v>
      </c>
      <c r="B2406" s="334">
        <v>43970</v>
      </c>
      <c r="C2406" s="334">
        <v>44011</v>
      </c>
      <c r="D2406" s="335" t="s">
        <v>1092</v>
      </c>
      <c r="E2406" s="335" t="s">
        <v>422</v>
      </c>
      <c r="F2406" s="335" t="s">
        <v>701</v>
      </c>
      <c r="G2406" s="335" t="s">
        <v>4888</v>
      </c>
      <c r="H2406" s="335" t="s">
        <v>4889</v>
      </c>
      <c r="I2406" s="341">
        <v>29200</v>
      </c>
    </row>
    <row r="2407" spans="1:9" x14ac:dyDescent="0.2">
      <c r="A2407" s="333">
        <v>2406</v>
      </c>
      <c r="B2407" s="334">
        <v>43970</v>
      </c>
      <c r="C2407" s="334">
        <v>43985</v>
      </c>
      <c r="D2407" s="335" t="s">
        <v>1092</v>
      </c>
      <c r="E2407" s="335" t="s">
        <v>422</v>
      </c>
      <c r="F2407" s="335" t="s">
        <v>396</v>
      </c>
      <c r="G2407" s="335" t="s">
        <v>4890</v>
      </c>
      <c r="H2407" s="335" t="s">
        <v>4891</v>
      </c>
      <c r="I2407" s="341">
        <v>3240</v>
      </c>
    </row>
    <row r="2408" spans="1:9" x14ac:dyDescent="0.2">
      <c r="A2408" s="333">
        <v>2407</v>
      </c>
      <c r="B2408" s="334">
        <v>43970</v>
      </c>
      <c r="C2408" s="334">
        <v>43985</v>
      </c>
      <c r="D2408" s="335" t="s">
        <v>1092</v>
      </c>
      <c r="E2408" s="335" t="s">
        <v>422</v>
      </c>
      <c r="F2408" s="335" t="s">
        <v>396</v>
      </c>
      <c r="G2408" s="335" t="s">
        <v>4893</v>
      </c>
      <c r="H2408" s="335" t="s">
        <v>4892</v>
      </c>
      <c r="I2408" s="341">
        <v>11088</v>
      </c>
    </row>
    <row r="2409" spans="1:9" x14ac:dyDescent="0.2">
      <c r="A2409" s="333">
        <v>2408</v>
      </c>
      <c r="B2409" s="334">
        <v>43971</v>
      </c>
      <c r="C2409" s="334">
        <v>44011</v>
      </c>
      <c r="D2409" s="335" t="s">
        <v>1092</v>
      </c>
      <c r="E2409" s="335" t="s">
        <v>422</v>
      </c>
      <c r="F2409" s="335" t="s">
        <v>701</v>
      </c>
      <c r="G2409" s="335" t="s">
        <v>4894</v>
      </c>
      <c r="H2409" s="335" t="s">
        <v>4895</v>
      </c>
      <c r="I2409" s="341">
        <v>14800</v>
      </c>
    </row>
    <row r="2410" spans="1:9" x14ac:dyDescent="0.2">
      <c r="A2410" s="333">
        <v>2409</v>
      </c>
      <c r="B2410" s="334">
        <v>43971</v>
      </c>
      <c r="C2410" s="334">
        <v>44011</v>
      </c>
      <c r="D2410" s="335" t="s">
        <v>1092</v>
      </c>
      <c r="E2410" s="335" t="s">
        <v>422</v>
      </c>
      <c r="F2410" s="335" t="s">
        <v>701</v>
      </c>
      <c r="G2410" s="335" t="s">
        <v>4896</v>
      </c>
      <c r="H2410" s="335" t="s">
        <v>4897</v>
      </c>
      <c r="I2410" s="341">
        <v>32300</v>
      </c>
    </row>
    <row r="2411" spans="1:9" x14ac:dyDescent="0.2">
      <c r="A2411" s="333">
        <v>2410</v>
      </c>
      <c r="B2411" s="334">
        <v>43971</v>
      </c>
      <c r="C2411" s="334">
        <v>44004</v>
      </c>
      <c r="D2411" s="335" t="s">
        <v>1092</v>
      </c>
      <c r="E2411" s="335" t="s">
        <v>392</v>
      </c>
      <c r="F2411" s="335" t="s">
        <v>9</v>
      </c>
      <c r="G2411" s="335" t="s">
        <v>4898</v>
      </c>
      <c r="H2411" s="335" t="s">
        <v>4899</v>
      </c>
      <c r="I2411" s="341">
        <v>93515.83</v>
      </c>
    </row>
    <row r="2412" spans="1:9" x14ac:dyDescent="0.2">
      <c r="A2412" s="333">
        <v>2411</v>
      </c>
      <c r="B2412" s="334">
        <v>43971</v>
      </c>
      <c r="C2412" s="334">
        <v>44018</v>
      </c>
      <c r="D2412" s="335" t="s">
        <v>1092</v>
      </c>
      <c r="E2412" s="335" t="s">
        <v>422</v>
      </c>
      <c r="F2412" s="335" t="s">
        <v>396</v>
      </c>
      <c r="G2412" s="335" t="s">
        <v>4900</v>
      </c>
      <c r="H2412" s="335" t="s">
        <v>4901</v>
      </c>
      <c r="I2412" s="341">
        <v>3600</v>
      </c>
    </row>
    <row r="2413" spans="1:9" x14ac:dyDescent="0.2">
      <c r="A2413" s="333">
        <v>2412</v>
      </c>
      <c r="B2413" s="334">
        <v>43971</v>
      </c>
      <c r="C2413" s="334">
        <v>44018</v>
      </c>
      <c r="D2413" s="335" t="s">
        <v>1092</v>
      </c>
      <c r="E2413" s="335" t="s">
        <v>422</v>
      </c>
      <c r="F2413" s="335" t="s">
        <v>396</v>
      </c>
      <c r="G2413" s="335" t="s">
        <v>4902</v>
      </c>
      <c r="H2413" s="335" t="s">
        <v>4903</v>
      </c>
      <c r="I2413" s="341">
        <v>13860</v>
      </c>
    </row>
    <row r="2414" spans="1:9" x14ac:dyDescent="0.2">
      <c r="A2414" s="333">
        <v>2413</v>
      </c>
      <c r="B2414" s="334">
        <v>43971</v>
      </c>
      <c r="C2414" s="334">
        <v>44018</v>
      </c>
      <c r="D2414" s="335" t="s">
        <v>1092</v>
      </c>
      <c r="E2414" s="335" t="s">
        <v>422</v>
      </c>
      <c r="F2414" s="335" t="s">
        <v>71</v>
      </c>
      <c r="G2414" s="335" t="s">
        <v>4905</v>
      </c>
      <c r="H2414" s="335" t="s">
        <v>4904</v>
      </c>
      <c r="I2414" s="341">
        <v>1443.72</v>
      </c>
    </row>
    <row r="2415" spans="1:9" x14ac:dyDescent="0.2">
      <c r="A2415" s="333">
        <v>2414</v>
      </c>
      <c r="B2415" s="334">
        <v>43972</v>
      </c>
      <c r="C2415" s="334">
        <v>44020</v>
      </c>
      <c r="D2415" s="335" t="s">
        <v>1092</v>
      </c>
      <c r="E2415" s="335" t="s">
        <v>392</v>
      </c>
      <c r="F2415" s="335" t="s">
        <v>701</v>
      </c>
      <c r="G2415" s="335" t="s">
        <v>4906</v>
      </c>
      <c r="H2415" s="335" t="s">
        <v>4907</v>
      </c>
      <c r="I2415" s="341">
        <v>23450</v>
      </c>
    </row>
    <row r="2416" spans="1:9" x14ac:dyDescent="0.2">
      <c r="A2416" s="333">
        <v>2415</v>
      </c>
      <c r="B2416" s="334">
        <v>43972</v>
      </c>
      <c r="C2416" s="334">
        <v>43990</v>
      </c>
      <c r="D2416" s="335" t="s">
        <v>1092</v>
      </c>
      <c r="E2416" s="335" t="s">
        <v>392</v>
      </c>
      <c r="F2416" s="335" t="s">
        <v>1272</v>
      </c>
      <c r="G2416" s="335" t="s">
        <v>4908</v>
      </c>
      <c r="H2416" s="335" t="s">
        <v>4909</v>
      </c>
      <c r="I2416" s="341">
        <v>50000</v>
      </c>
    </row>
    <row r="2417" spans="1:9" x14ac:dyDescent="0.2">
      <c r="A2417" s="333">
        <v>2416</v>
      </c>
      <c r="B2417" s="334">
        <v>43972</v>
      </c>
      <c r="C2417" s="334">
        <v>44013</v>
      </c>
      <c r="D2417" s="335" t="s">
        <v>1092</v>
      </c>
      <c r="E2417" s="335" t="s">
        <v>422</v>
      </c>
      <c r="F2417" s="335" t="s">
        <v>701</v>
      </c>
      <c r="G2417" s="335" t="s">
        <v>4910</v>
      </c>
      <c r="H2417" s="335" t="s">
        <v>4911</v>
      </c>
      <c r="I2417" s="341">
        <v>60000</v>
      </c>
    </row>
    <row r="2418" spans="1:9" x14ac:dyDescent="0.2">
      <c r="A2418" s="333">
        <v>2417</v>
      </c>
      <c r="B2418" s="334">
        <v>43972</v>
      </c>
      <c r="C2418" s="334">
        <v>44020</v>
      </c>
      <c r="D2418" s="335" t="s">
        <v>1092</v>
      </c>
      <c r="E2418" s="335" t="s">
        <v>422</v>
      </c>
      <c r="F2418" s="335" t="s">
        <v>701</v>
      </c>
      <c r="G2418" s="335" t="s">
        <v>4912</v>
      </c>
      <c r="H2418" s="335" t="s">
        <v>4913</v>
      </c>
      <c r="I2418" s="341">
        <v>31500</v>
      </c>
    </row>
    <row r="2419" spans="1:9" x14ac:dyDescent="0.2">
      <c r="A2419" s="333">
        <v>2418</v>
      </c>
      <c r="B2419" s="334">
        <v>43973</v>
      </c>
      <c r="C2419" s="334">
        <v>44013</v>
      </c>
      <c r="D2419" s="335" t="s">
        <v>1092</v>
      </c>
      <c r="E2419" s="335" t="s">
        <v>422</v>
      </c>
      <c r="F2419" s="335" t="s">
        <v>701</v>
      </c>
      <c r="G2419" s="335" t="s">
        <v>4914</v>
      </c>
      <c r="H2419" s="335" t="s">
        <v>4915</v>
      </c>
      <c r="I2419" s="341">
        <v>50600</v>
      </c>
    </row>
    <row r="2420" spans="1:9" x14ac:dyDescent="0.2">
      <c r="A2420" s="333">
        <v>2419</v>
      </c>
      <c r="B2420" s="334">
        <v>43973</v>
      </c>
      <c r="C2420" s="334">
        <v>44013</v>
      </c>
      <c r="D2420" s="335" t="s">
        <v>1092</v>
      </c>
      <c r="E2420" s="335" t="s">
        <v>422</v>
      </c>
      <c r="F2420" s="335" t="s">
        <v>701</v>
      </c>
      <c r="G2420" s="335" t="s">
        <v>4916</v>
      </c>
      <c r="H2420" s="335" t="s">
        <v>4917</v>
      </c>
      <c r="I2420" s="341">
        <v>154000</v>
      </c>
    </row>
    <row r="2421" spans="1:9" x14ac:dyDescent="0.2">
      <c r="A2421" s="333">
        <v>2420</v>
      </c>
      <c r="B2421" s="334">
        <v>43973</v>
      </c>
      <c r="C2421" s="334">
        <v>44013</v>
      </c>
      <c r="D2421" s="335" t="s">
        <v>1092</v>
      </c>
      <c r="E2421" s="335" t="s">
        <v>422</v>
      </c>
      <c r="F2421" s="335" t="s">
        <v>701</v>
      </c>
      <c r="G2421" s="335" t="s">
        <v>4918</v>
      </c>
      <c r="H2421" s="335" t="s">
        <v>4919</v>
      </c>
      <c r="I2421" s="341">
        <v>43130</v>
      </c>
    </row>
    <row r="2422" spans="1:9" x14ac:dyDescent="0.2">
      <c r="A2422" s="333">
        <v>2421</v>
      </c>
      <c r="B2422" s="334">
        <v>43973</v>
      </c>
      <c r="C2422" s="334">
        <v>44025</v>
      </c>
      <c r="D2422" s="335" t="s">
        <v>1092</v>
      </c>
      <c r="E2422" s="335" t="s">
        <v>392</v>
      </c>
      <c r="F2422" s="335" t="s">
        <v>9</v>
      </c>
      <c r="G2422" s="335" t="s">
        <v>4920</v>
      </c>
      <c r="H2422" s="335" t="s">
        <v>4921</v>
      </c>
      <c r="I2422" s="341">
        <v>88703.75</v>
      </c>
    </row>
    <row r="2423" spans="1:9" x14ac:dyDescent="0.2">
      <c r="A2423" s="333">
        <v>2422</v>
      </c>
      <c r="B2423" s="334">
        <v>43973</v>
      </c>
      <c r="C2423" s="334">
        <v>44013</v>
      </c>
      <c r="D2423" s="335" t="s">
        <v>1092</v>
      </c>
      <c r="E2423" s="335" t="s">
        <v>422</v>
      </c>
      <c r="F2423" s="335" t="s">
        <v>701</v>
      </c>
      <c r="G2423" s="335" t="s">
        <v>4922</v>
      </c>
      <c r="H2423" s="335" t="s">
        <v>4923</v>
      </c>
      <c r="I2423" s="341">
        <v>123881</v>
      </c>
    </row>
    <row r="2424" spans="1:9" x14ac:dyDescent="0.2">
      <c r="A2424" s="333">
        <v>2423</v>
      </c>
      <c r="B2424" s="334">
        <v>43977</v>
      </c>
      <c r="C2424" s="334">
        <v>44013</v>
      </c>
      <c r="D2424" s="335" t="s">
        <v>1092</v>
      </c>
      <c r="E2424" s="335" t="s">
        <v>422</v>
      </c>
      <c r="F2424" s="335" t="s">
        <v>71</v>
      </c>
      <c r="G2424" s="335" t="s">
        <v>4924</v>
      </c>
      <c r="H2424" s="335" t="s">
        <v>4925</v>
      </c>
      <c r="I2424" s="341">
        <v>6763.95</v>
      </c>
    </row>
    <row r="2425" spans="1:9" x14ac:dyDescent="0.2">
      <c r="A2425" s="333">
        <v>2424</v>
      </c>
      <c r="B2425" s="334">
        <v>43977</v>
      </c>
      <c r="C2425" s="334">
        <v>44013</v>
      </c>
      <c r="D2425" s="335" t="s">
        <v>1092</v>
      </c>
      <c r="E2425" s="335" t="s">
        <v>422</v>
      </c>
      <c r="F2425" s="335" t="s">
        <v>701</v>
      </c>
      <c r="G2425" s="335" t="s">
        <v>4926</v>
      </c>
      <c r="H2425" s="335" t="s">
        <v>4927</v>
      </c>
      <c r="I2425" s="341">
        <v>15950</v>
      </c>
    </row>
    <row r="2426" spans="1:9" x14ac:dyDescent="0.2">
      <c r="A2426" s="333">
        <v>2425</v>
      </c>
      <c r="B2426" s="334">
        <v>43977</v>
      </c>
      <c r="C2426" s="334">
        <v>43997</v>
      </c>
      <c r="D2426" s="335" t="s">
        <v>1092</v>
      </c>
      <c r="E2426" s="335" t="s">
        <v>422</v>
      </c>
      <c r="F2426" s="335" t="s">
        <v>701</v>
      </c>
      <c r="G2426" s="335" t="s">
        <v>4928</v>
      </c>
      <c r="H2426" s="335" t="s">
        <v>4929</v>
      </c>
      <c r="I2426" s="341">
        <v>185485</v>
      </c>
    </row>
    <row r="2427" spans="1:9" x14ac:dyDescent="0.2">
      <c r="A2427" s="333">
        <v>2426</v>
      </c>
      <c r="B2427" s="334">
        <v>43977</v>
      </c>
      <c r="C2427" s="334">
        <v>44013</v>
      </c>
      <c r="D2427" s="335" t="s">
        <v>1092</v>
      </c>
      <c r="E2427" s="335" t="s">
        <v>422</v>
      </c>
      <c r="F2427" s="335" t="s">
        <v>396</v>
      </c>
      <c r="G2427" s="335" t="s">
        <v>4930</v>
      </c>
      <c r="H2427" s="335" t="s">
        <v>4931</v>
      </c>
      <c r="I2427" s="341">
        <v>7320</v>
      </c>
    </row>
    <row r="2428" spans="1:9" x14ac:dyDescent="0.2">
      <c r="A2428" s="333">
        <v>2427</v>
      </c>
      <c r="B2428" s="334">
        <v>43977</v>
      </c>
      <c r="C2428" s="334">
        <v>44013</v>
      </c>
      <c r="D2428" s="335" t="s">
        <v>1092</v>
      </c>
      <c r="E2428" s="335" t="s">
        <v>422</v>
      </c>
      <c r="F2428" s="335" t="s">
        <v>396</v>
      </c>
      <c r="G2428" s="335" t="s">
        <v>4932</v>
      </c>
      <c r="H2428" s="335" t="s">
        <v>4933</v>
      </c>
      <c r="I2428" s="341">
        <v>30800</v>
      </c>
    </row>
    <row r="2429" spans="1:9" x14ac:dyDescent="0.2">
      <c r="A2429" s="333">
        <v>2428</v>
      </c>
      <c r="B2429" s="334">
        <v>43979</v>
      </c>
      <c r="C2429" s="334">
        <v>44013</v>
      </c>
      <c r="D2429" s="335" t="s">
        <v>1092</v>
      </c>
      <c r="E2429" s="335" t="s">
        <v>422</v>
      </c>
      <c r="F2429" s="335" t="s">
        <v>701</v>
      </c>
      <c r="G2429" s="335" t="s">
        <v>4934</v>
      </c>
      <c r="H2429" s="335" t="s">
        <v>4935</v>
      </c>
      <c r="I2429" s="341">
        <v>153400</v>
      </c>
    </row>
    <row r="2430" spans="1:9" x14ac:dyDescent="0.2">
      <c r="A2430" s="333">
        <v>2429</v>
      </c>
      <c r="B2430" s="334">
        <v>43979</v>
      </c>
      <c r="C2430" s="334">
        <v>44018</v>
      </c>
      <c r="D2430" s="335" t="s">
        <v>1092</v>
      </c>
      <c r="E2430" s="335" t="s">
        <v>422</v>
      </c>
      <c r="F2430" s="335" t="s">
        <v>701</v>
      </c>
      <c r="G2430" s="335" t="s">
        <v>4936</v>
      </c>
      <c r="H2430" s="335" t="s">
        <v>4937</v>
      </c>
      <c r="I2430" s="341">
        <v>139000</v>
      </c>
    </row>
    <row r="2431" spans="1:9" x14ac:dyDescent="0.2">
      <c r="A2431" s="333">
        <v>2430</v>
      </c>
      <c r="B2431" s="334">
        <v>43979</v>
      </c>
      <c r="C2431" s="334">
        <v>44018</v>
      </c>
      <c r="D2431" s="335" t="s">
        <v>1092</v>
      </c>
      <c r="E2431" s="335" t="s">
        <v>392</v>
      </c>
      <c r="F2431" s="335" t="s">
        <v>9</v>
      </c>
      <c r="G2431" s="335" t="s">
        <v>4939</v>
      </c>
      <c r="H2431" s="335" t="s">
        <v>4549</v>
      </c>
      <c r="I2431" s="341">
        <v>54895.97</v>
      </c>
    </row>
    <row r="2432" spans="1:9" x14ac:dyDescent="0.2">
      <c r="A2432" s="333">
        <v>2431</v>
      </c>
      <c r="B2432" s="334">
        <v>43979</v>
      </c>
      <c r="C2432" s="334">
        <v>44018</v>
      </c>
      <c r="D2432" s="335" t="s">
        <v>1092</v>
      </c>
      <c r="E2432" s="335" t="s">
        <v>422</v>
      </c>
      <c r="F2432" s="335" t="s">
        <v>701</v>
      </c>
      <c r="G2432" s="335" t="s">
        <v>4940</v>
      </c>
      <c r="H2432" s="335" t="s">
        <v>4941</v>
      </c>
      <c r="I2432" s="341">
        <v>92100</v>
      </c>
    </row>
    <row r="2433" spans="1:10" x14ac:dyDescent="0.2">
      <c r="A2433" s="333">
        <v>2432</v>
      </c>
      <c r="B2433" s="334">
        <v>43979</v>
      </c>
      <c r="C2433" s="334">
        <v>44011</v>
      </c>
      <c r="D2433" s="335" t="s">
        <v>1092</v>
      </c>
      <c r="E2433" s="335" t="s">
        <v>392</v>
      </c>
      <c r="F2433" s="335" t="s">
        <v>701</v>
      </c>
      <c r="G2433" s="335" t="s">
        <v>4942</v>
      </c>
      <c r="H2433" s="335" t="s">
        <v>4943</v>
      </c>
      <c r="I2433" s="341">
        <v>482000</v>
      </c>
    </row>
    <row r="2434" spans="1:10" x14ac:dyDescent="0.2">
      <c r="A2434" s="333">
        <v>2433</v>
      </c>
      <c r="B2434" s="334">
        <v>43979</v>
      </c>
      <c r="C2434" s="334">
        <v>44018</v>
      </c>
      <c r="D2434" s="335" t="s">
        <v>1092</v>
      </c>
      <c r="E2434" s="335" t="s">
        <v>422</v>
      </c>
      <c r="F2434" s="335" t="s">
        <v>701</v>
      </c>
      <c r="G2434" s="335" t="s">
        <v>4944</v>
      </c>
      <c r="H2434" s="335" t="s">
        <v>4945</v>
      </c>
      <c r="I2434" s="341">
        <v>82660</v>
      </c>
    </row>
    <row r="2435" spans="1:10" x14ac:dyDescent="0.2">
      <c r="A2435" s="333">
        <v>2434</v>
      </c>
      <c r="B2435" s="334">
        <v>43980</v>
      </c>
      <c r="C2435" s="334">
        <v>44020</v>
      </c>
      <c r="D2435" s="335" t="s">
        <v>1092</v>
      </c>
      <c r="E2435" s="335" t="s">
        <v>392</v>
      </c>
      <c r="F2435" s="335" t="s">
        <v>9</v>
      </c>
      <c r="G2435" s="335" t="s">
        <v>4946</v>
      </c>
      <c r="H2435" s="335" t="s">
        <v>4947</v>
      </c>
      <c r="I2435" s="341">
        <v>23778.55</v>
      </c>
    </row>
    <row r="2436" spans="1:10" x14ac:dyDescent="0.2">
      <c r="A2436" s="333">
        <v>2435</v>
      </c>
      <c r="B2436" s="334">
        <v>43985</v>
      </c>
      <c r="C2436" s="334">
        <v>44018</v>
      </c>
      <c r="D2436" s="335" t="s">
        <v>1092</v>
      </c>
      <c r="E2436" s="335" t="s">
        <v>392</v>
      </c>
      <c r="F2436" s="335" t="s">
        <v>9</v>
      </c>
      <c r="G2436" s="335" t="s">
        <v>4948</v>
      </c>
      <c r="H2436" s="335" t="s">
        <v>4949</v>
      </c>
      <c r="I2436" s="341">
        <v>227035.89</v>
      </c>
    </row>
    <row r="2437" spans="1:10" x14ac:dyDescent="0.2">
      <c r="A2437" s="343">
        <v>2436</v>
      </c>
      <c r="B2437" s="344">
        <v>43985</v>
      </c>
      <c r="C2437" s="344">
        <v>44018</v>
      </c>
      <c r="D2437" s="345" t="s">
        <v>1092</v>
      </c>
      <c r="E2437" s="345" t="s">
        <v>392</v>
      </c>
      <c r="F2437" s="345" t="s">
        <v>9</v>
      </c>
      <c r="G2437" s="345" t="s">
        <v>4950</v>
      </c>
      <c r="H2437" s="345" t="s">
        <v>4951</v>
      </c>
      <c r="I2437" s="346">
        <v>128657.14</v>
      </c>
      <c r="J2437" s="178" t="s">
        <v>5447</v>
      </c>
    </row>
    <row r="2438" spans="1:10" x14ac:dyDescent="0.2">
      <c r="A2438" s="333">
        <v>2437</v>
      </c>
      <c r="B2438" s="334">
        <v>43986</v>
      </c>
      <c r="C2438" s="334">
        <v>44018</v>
      </c>
      <c r="D2438" s="335" t="s">
        <v>1092</v>
      </c>
      <c r="E2438" s="335" t="s">
        <v>422</v>
      </c>
      <c r="F2438" s="335" t="s">
        <v>396</v>
      </c>
      <c r="G2438" s="335" t="s">
        <v>4952</v>
      </c>
      <c r="H2438" s="335" t="s">
        <v>4953</v>
      </c>
      <c r="I2438" s="341">
        <v>172333.33</v>
      </c>
    </row>
    <row r="2439" spans="1:10" x14ac:dyDescent="0.2">
      <c r="A2439" s="333">
        <v>2438</v>
      </c>
      <c r="B2439" s="334">
        <v>43986</v>
      </c>
      <c r="C2439" s="334">
        <v>44018</v>
      </c>
      <c r="D2439" s="335" t="s">
        <v>1092</v>
      </c>
      <c r="E2439" s="335" t="s">
        <v>422</v>
      </c>
      <c r="F2439" s="335" t="s">
        <v>71</v>
      </c>
      <c r="G2439" s="335" t="s">
        <v>4954</v>
      </c>
      <c r="H2439" s="335" t="s">
        <v>4955</v>
      </c>
      <c r="I2439" s="341">
        <v>1920</v>
      </c>
    </row>
    <row r="2440" spans="1:10" x14ac:dyDescent="0.2">
      <c r="A2440" s="333">
        <v>2439</v>
      </c>
      <c r="B2440" s="334">
        <v>43986</v>
      </c>
      <c r="C2440" s="334">
        <v>44018</v>
      </c>
      <c r="D2440" s="335" t="s">
        <v>1092</v>
      </c>
      <c r="E2440" s="335" t="s">
        <v>422</v>
      </c>
      <c r="F2440" s="335" t="s">
        <v>701</v>
      </c>
      <c r="G2440" s="335" t="s">
        <v>4956</v>
      </c>
      <c r="H2440" s="335" t="s">
        <v>4957</v>
      </c>
      <c r="I2440" s="341">
        <v>153040</v>
      </c>
    </row>
    <row r="2441" spans="1:10" x14ac:dyDescent="0.2">
      <c r="A2441" s="333">
        <v>2440</v>
      </c>
      <c r="B2441" s="334">
        <v>43986</v>
      </c>
      <c r="C2441" s="334">
        <v>44018</v>
      </c>
      <c r="D2441" s="335" t="s">
        <v>1092</v>
      </c>
      <c r="E2441" s="335" t="s">
        <v>422</v>
      </c>
      <c r="F2441" s="335" t="s">
        <v>396</v>
      </c>
      <c r="G2441" s="335" t="s">
        <v>4958</v>
      </c>
      <c r="H2441" s="335" t="s">
        <v>4959</v>
      </c>
      <c r="I2441" s="341">
        <v>30600</v>
      </c>
    </row>
    <row r="2442" spans="1:10" x14ac:dyDescent="0.2">
      <c r="A2442" s="333">
        <v>2441</v>
      </c>
      <c r="B2442" s="334">
        <v>43990</v>
      </c>
      <c r="C2442" s="334">
        <v>44025</v>
      </c>
      <c r="D2442" s="335" t="s">
        <v>1092</v>
      </c>
      <c r="E2442" s="335" t="s">
        <v>422</v>
      </c>
      <c r="F2442" s="335" t="s">
        <v>701</v>
      </c>
      <c r="G2442" s="335" t="s">
        <v>4960</v>
      </c>
      <c r="H2442" s="335" t="s">
        <v>4961</v>
      </c>
      <c r="I2442" s="341">
        <v>1099300</v>
      </c>
    </row>
    <row r="2443" spans="1:10" x14ac:dyDescent="0.2">
      <c r="A2443" s="333">
        <v>2442</v>
      </c>
      <c r="B2443" s="334">
        <v>43990</v>
      </c>
      <c r="C2443" s="334">
        <v>44025</v>
      </c>
      <c r="D2443" s="335" t="s">
        <v>1092</v>
      </c>
      <c r="E2443" s="335" t="s">
        <v>422</v>
      </c>
      <c r="F2443" s="335" t="s">
        <v>701</v>
      </c>
      <c r="G2443" s="335" t="s">
        <v>4962</v>
      </c>
      <c r="H2443" s="335" t="s">
        <v>4963</v>
      </c>
      <c r="I2443" s="341">
        <v>289900</v>
      </c>
    </row>
    <row r="2444" spans="1:10" x14ac:dyDescent="0.2">
      <c r="A2444" s="333">
        <v>2443</v>
      </c>
      <c r="B2444" s="334">
        <v>43987</v>
      </c>
      <c r="C2444" s="334">
        <v>44018</v>
      </c>
      <c r="D2444" s="335" t="s">
        <v>1092</v>
      </c>
      <c r="E2444" s="335" t="s">
        <v>422</v>
      </c>
      <c r="F2444" s="335" t="s">
        <v>71</v>
      </c>
      <c r="G2444" s="335" t="s">
        <v>4964</v>
      </c>
      <c r="H2444" s="335" t="s">
        <v>4965</v>
      </c>
      <c r="I2444" s="341">
        <v>20250</v>
      </c>
    </row>
    <row r="2445" spans="1:10" x14ac:dyDescent="0.2">
      <c r="A2445" s="333">
        <v>2444</v>
      </c>
      <c r="B2445" s="334">
        <v>43990</v>
      </c>
      <c r="C2445" s="334">
        <v>44020</v>
      </c>
      <c r="D2445" s="335" t="s">
        <v>1092</v>
      </c>
      <c r="E2445" s="335" t="s">
        <v>392</v>
      </c>
      <c r="F2445" s="335" t="s">
        <v>1272</v>
      </c>
      <c r="G2445" s="335" t="s">
        <v>4966</v>
      </c>
      <c r="H2445" s="335" t="s">
        <v>4967</v>
      </c>
      <c r="I2445" s="341">
        <v>126454.53</v>
      </c>
    </row>
    <row r="2446" spans="1:10" x14ac:dyDescent="0.2">
      <c r="A2446" s="333">
        <v>2445</v>
      </c>
      <c r="B2446" s="334">
        <v>43990</v>
      </c>
      <c r="C2446" s="334">
        <v>44020</v>
      </c>
      <c r="D2446" s="335" t="s">
        <v>1092</v>
      </c>
      <c r="E2446" s="335" t="s">
        <v>392</v>
      </c>
      <c r="F2446" s="335" t="s">
        <v>1272</v>
      </c>
      <c r="G2446" s="335" t="s">
        <v>4968</v>
      </c>
      <c r="H2446" s="335" t="s">
        <v>4969</v>
      </c>
      <c r="I2446" s="341">
        <v>37920</v>
      </c>
    </row>
    <row r="2447" spans="1:10" x14ac:dyDescent="0.2">
      <c r="A2447" s="333">
        <v>2446</v>
      </c>
      <c r="B2447" s="334">
        <v>43990</v>
      </c>
      <c r="C2447" s="334">
        <v>44020</v>
      </c>
      <c r="D2447" s="335" t="s">
        <v>1092</v>
      </c>
      <c r="E2447" s="335" t="s">
        <v>392</v>
      </c>
      <c r="F2447" s="335" t="s">
        <v>71</v>
      </c>
      <c r="G2447" s="335" t="s">
        <v>4970</v>
      </c>
      <c r="H2447" s="335" t="s">
        <v>4971</v>
      </c>
      <c r="I2447" s="341">
        <v>45307.61</v>
      </c>
    </row>
    <row r="2448" spans="1:10" x14ac:dyDescent="0.2">
      <c r="A2448" s="333">
        <v>2447</v>
      </c>
      <c r="B2448" s="334">
        <v>43993</v>
      </c>
      <c r="C2448" s="334">
        <v>44020</v>
      </c>
      <c r="D2448" s="335" t="s">
        <v>1092</v>
      </c>
      <c r="E2448" s="335" t="s">
        <v>422</v>
      </c>
      <c r="F2448" s="335" t="s">
        <v>701</v>
      </c>
      <c r="G2448" s="335" t="s">
        <v>4972</v>
      </c>
      <c r="H2448" s="335" t="s">
        <v>4973</v>
      </c>
      <c r="I2448" s="341">
        <v>153040</v>
      </c>
    </row>
    <row r="2449" spans="1:9" x14ac:dyDescent="0.2">
      <c r="A2449" s="333">
        <v>2448</v>
      </c>
      <c r="B2449" s="334">
        <v>44000</v>
      </c>
      <c r="C2449" s="334">
        <v>44025</v>
      </c>
      <c r="D2449" s="335" t="s">
        <v>1092</v>
      </c>
      <c r="E2449" s="335" t="s">
        <v>422</v>
      </c>
      <c r="F2449" s="335" t="s">
        <v>701</v>
      </c>
      <c r="G2449" s="335" t="s">
        <v>4974</v>
      </c>
      <c r="H2449" s="335" t="s">
        <v>4975</v>
      </c>
      <c r="I2449" s="341">
        <v>101679</v>
      </c>
    </row>
    <row r="2450" spans="1:9" x14ac:dyDescent="0.2">
      <c r="A2450" s="333">
        <v>2449</v>
      </c>
      <c r="B2450" s="334">
        <v>44000</v>
      </c>
      <c r="C2450" s="334">
        <v>44025</v>
      </c>
      <c r="D2450" s="335" t="s">
        <v>1092</v>
      </c>
      <c r="E2450" s="335" t="s">
        <v>422</v>
      </c>
      <c r="F2450" s="335" t="s">
        <v>701</v>
      </c>
      <c r="G2450" s="335" t="s">
        <v>4976</v>
      </c>
      <c r="H2450" s="335" t="s">
        <v>4977</v>
      </c>
      <c r="I2450" s="341">
        <v>96878</v>
      </c>
    </row>
    <row r="2451" spans="1:9" x14ac:dyDescent="0.2">
      <c r="A2451" s="333">
        <v>2450</v>
      </c>
      <c r="B2451" s="334">
        <v>44001</v>
      </c>
      <c r="C2451" s="334">
        <v>44025</v>
      </c>
      <c r="D2451" s="335" t="s">
        <v>1092</v>
      </c>
      <c r="E2451" s="335" t="s">
        <v>392</v>
      </c>
      <c r="F2451" s="335" t="s">
        <v>1272</v>
      </c>
      <c r="G2451" s="335" t="s">
        <v>4978</v>
      </c>
      <c r="H2451" s="335" t="s">
        <v>4979</v>
      </c>
      <c r="I2451" s="341">
        <v>13530</v>
      </c>
    </row>
    <row r="2452" spans="1:9" x14ac:dyDescent="0.2">
      <c r="A2452" s="333">
        <v>2451</v>
      </c>
      <c r="B2452" s="334">
        <v>44001</v>
      </c>
      <c r="C2452" s="334">
        <v>44025</v>
      </c>
      <c r="D2452" s="335" t="s">
        <v>1092</v>
      </c>
      <c r="E2452" s="335" t="s">
        <v>392</v>
      </c>
      <c r="F2452" s="335" t="s">
        <v>71</v>
      </c>
      <c r="G2452" s="335" t="s">
        <v>4980</v>
      </c>
      <c r="H2452" s="335" t="s">
        <v>4981</v>
      </c>
      <c r="I2452" s="341">
        <v>15415.44</v>
      </c>
    </row>
    <row r="2453" spans="1:9" x14ac:dyDescent="0.2">
      <c r="A2453" s="333">
        <v>2452</v>
      </c>
      <c r="B2453" s="334">
        <v>44001</v>
      </c>
      <c r="C2453" s="334">
        <v>44025</v>
      </c>
      <c r="D2453" s="335" t="s">
        <v>1092</v>
      </c>
      <c r="E2453" s="335" t="s">
        <v>392</v>
      </c>
      <c r="F2453" s="335" t="s">
        <v>1272</v>
      </c>
      <c r="G2453" s="335" t="s">
        <v>4982</v>
      </c>
      <c r="H2453" s="335" t="s">
        <v>4983</v>
      </c>
      <c r="I2453" s="341">
        <v>45100</v>
      </c>
    </row>
    <row r="2454" spans="1:9" x14ac:dyDescent="0.2">
      <c r="A2454" s="333">
        <v>2453</v>
      </c>
      <c r="B2454" s="334">
        <v>44011</v>
      </c>
      <c r="C2454" s="334">
        <v>44026</v>
      </c>
      <c r="D2454" s="335" t="s">
        <v>1092</v>
      </c>
      <c r="E2454" s="335" t="s">
        <v>422</v>
      </c>
      <c r="F2454" s="335" t="s">
        <v>71</v>
      </c>
      <c r="G2454" s="335" t="s">
        <v>4984</v>
      </c>
      <c r="H2454" s="335" t="s">
        <v>4985</v>
      </c>
      <c r="I2454" s="341">
        <v>208822.7</v>
      </c>
    </row>
    <row r="2455" spans="1:9" x14ac:dyDescent="0.2">
      <c r="A2455" s="333">
        <v>2454</v>
      </c>
      <c r="B2455" s="334">
        <v>44020</v>
      </c>
      <c r="C2455" s="334">
        <v>44076</v>
      </c>
      <c r="D2455" s="335" t="s">
        <v>1092</v>
      </c>
      <c r="E2455" s="335" t="s">
        <v>392</v>
      </c>
      <c r="F2455" s="335" t="s">
        <v>9</v>
      </c>
      <c r="G2455" s="335" t="s">
        <v>4986</v>
      </c>
      <c r="H2455" s="335" t="s">
        <v>4987</v>
      </c>
      <c r="I2455" s="341">
        <v>968194</v>
      </c>
    </row>
    <row r="2456" spans="1:9" x14ac:dyDescent="0.2">
      <c r="A2456" s="333">
        <v>2455</v>
      </c>
      <c r="B2456" s="334">
        <v>44027</v>
      </c>
      <c r="C2456" s="334">
        <v>44074</v>
      </c>
      <c r="D2456" s="335" t="s">
        <v>1092</v>
      </c>
      <c r="E2456" s="335" t="s">
        <v>422</v>
      </c>
      <c r="F2456" s="335" t="s">
        <v>396</v>
      </c>
      <c r="G2456" s="335" t="s">
        <v>4988</v>
      </c>
      <c r="H2456" s="335" t="s">
        <v>4989</v>
      </c>
      <c r="I2456" s="341">
        <v>60000</v>
      </c>
    </row>
    <row r="2457" spans="1:9" x14ac:dyDescent="0.2">
      <c r="A2457" s="333">
        <v>2456</v>
      </c>
      <c r="B2457" s="334">
        <v>44027</v>
      </c>
      <c r="C2457" s="334">
        <v>44074</v>
      </c>
      <c r="D2457" s="335" t="s">
        <v>1092</v>
      </c>
      <c r="E2457" s="335" t="s">
        <v>422</v>
      </c>
      <c r="F2457" s="335" t="s">
        <v>396</v>
      </c>
      <c r="G2457" s="335" t="s">
        <v>4990</v>
      </c>
      <c r="H2457" s="335" t="s">
        <v>4991</v>
      </c>
      <c r="I2457" s="341">
        <v>414133.33</v>
      </c>
    </row>
    <row r="2458" spans="1:9" x14ac:dyDescent="0.2">
      <c r="A2458" s="333">
        <v>2457</v>
      </c>
      <c r="B2458" s="334">
        <v>44027</v>
      </c>
      <c r="C2458" s="334">
        <v>44074</v>
      </c>
      <c r="D2458" s="335" t="s">
        <v>1092</v>
      </c>
      <c r="E2458" s="335" t="s">
        <v>422</v>
      </c>
      <c r="F2458" s="335" t="s">
        <v>396</v>
      </c>
      <c r="G2458" s="335" t="s">
        <v>4992</v>
      </c>
      <c r="H2458" s="335" t="s">
        <v>4993</v>
      </c>
      <c r="I2458" s="341">
        <v>23540</v>
      </c>
    </row>
    <row r="2459" spans="1:9" x14ac:dyDescent="0.2">
      <c r="A2459" s="333">
        <v>2458</v>
      </c>
      <c r="B2459" s="334">
        <v>44027</v>
      </c>
      <c r="C2459" s="334">
        <v>44074</v>
      </c>
      <c r="D2459" s="335" t="s">
        <v>1092</v>
      </c>
      <c r="E2459" s="335" t="s">
        <v>422</v>
      </c>
      <c r="F2459" s="335" t="s">
        <v>71</v>
      </c>
      <c r="G2459" s="335" t="s">
        <v>4994</v>
      </c>
      <c r="H2459" s="335" t="s">
        <v>4995</v>
      </c>
      <c r="I2459" s="341">
        <v>62427.32</v>
      </c>
    </row>
    <row r="2460" spans="1:9" x14ac:dyDescent="0.2">
      <c r="A2460" s="333">
        <v>2459</v>
      </c>
      <c r="B2460" s="334">
        <v>44028</v>
      </c>
      <c r="C2460" s="334">
        <v>44076</v>
      </c>
      <c r="D2460" s="335" t="s">
        <v>1092</v>
      </c>
      <c r="E2460" s="335" t="s">
        <v>422</v>
      </c>
      <c r="F2460" s="335" t="s">
        <v>396</v>
      </c>
      <c r="G2460" s="335" t="s">
        <v>4996</v>
      </c>
      <c r="H2460" s="335" t="s">
        <v>4997</v>
      </c>
      <c r="I2460" s="341">
        <v>22000</v>
      </c>
    </row>
    <row r="2461" spans="1:9" x14ac:dyDescent="0.2">
      <c r="A2461" s="333">
        <v>2460</v>
      </c>
      <c r="B2461" s="334">
        <v>44028</v>
      </c>
      <c r="C2461" s="334">
        <v>44076</v>
      </c>
      <c r="D2461" s="335" t="s">
        <v>1092</v>
      </c>
      <c r="E2461" s="335" t="s">
        <v>422</v>
      </c>
      <c r="F2461" s="335" t="s">
        <v>71</v>
      </c>
      <c r="G2461" s="335" t="s">
        <v>4998</v>
      </c>
      <c r="H2461" s="335" t="s">
        <v>4999</v>
      </c>
      <c r="I2461" s="341">
        <v>6795.16</v>
      </c>
    </row>
    <row r="2462" spans="1:9" x14ac:dyDescent="0.2">
      <c r="A2462" s="333">
        <v>2461</v>
      </c>
      <c r="B2462" s="334">
        <v>44028</v>
      </c>
      <c r="C2462" s="334">
        <v>44088</v>
      </c>
      <c r="D2462" s="335" t="s">
        <v>1092</v>
      </c>
      <c r="E2462" s="335" t="s">
        <v>392</v>
      </c>
      <c r="F2462" s="335" t="s">
        <v>9</v>
      </c>
      <c r="G2462" s="335" t="s">
        <v>5000</v>
      </c>
      <c r="H2462" s="335" t="s">
        <v>5001</v>
      </c>
      <c r="I2462" s="341">
        <v>423784.25</v>
      </c>
    </row>
    <row r="2463" spans="1:9" x14ac:dyDescent="0.2">
      <c r="A2463" s="333">
        <v>2462</v>
      </c>
      <c r="B2463" s="334">
        <v>44028</v>
      </c>
      <c r="C2463" s="334">
        <v>44076</v>
      </c>
      <c r="D2463" s="335" t="s">
        <v>1092</v>
      </c>
      <c r="E2463" s="335" t="s">
        <v>422</v>
      </c>
      <c r="F2463" s="335" t="s">
        <v>396</v>
      </c>
      <c r="G2463" s="335" t="s">
        <v>5002</v>
      </c>
      <c r="H2463" s="335" t="s">
        <v>5003</v>
      </c>
      <c r="I2463" s="341">
        <v>4200</v>
      </c>
    </row>
    <row r="2464" spans="1:9" x14ac:dyDescent="0.2">
      <c r="A2464" s="333">
        <v>2463</v>
      </c>
      <c r="B2464" s="334">
        <v>44033</v>
      </c>
      <c r="C2464" s="334">
        <v>44081</v>
      </c>
      <c r="D2464" s="335" t="s">
        <v>1092</v>
      </c>
      <c r="E2464" s="335" t="s">
        <v>392</v>
      </c>
      <c r="F2464" s="335" t="s">
        <v>71</v>
      </c>
      <c r="G2464" s="335" t="s">
        <v>5004</v>
      </c>
      <c r="H2464" s="335" t="s">
        <v>5005</v>
      </c>
      <c r="I2464" s="341">
        <v>1878.12</v>
      </c>
    </row>
    <row r="2465" spans="1:10" x14ac:dyDescent="0.2">
      <c r="A2465" s="333">
        <v>2464</v>
      </c>
      <c r="B2465" s="334">
        <v>44034</v>
      </c>
      <c r="C2465" s="334">
        <v>44081</v>
      </c>
      <c r="D2465" s="335" t="s">
        <v>1092</v>
      </c>
      <c r="E2465" s="335" t="s">
        <v>392</v>
      </c>
      <c r="F2465" s="335" t="s">
        <v>71</v>
      </c>
      <c r="G2465" s="335" t="s">
        <v>5006</v>
      </c>
      <c r="H2465" s="335" t="s">
        <v>5007</v>
      </c>
      <c r="I2465" s="341">
        <v>4087.76</v>
      </c>
    </row>
    <row r="2466" spans="1:10" x14ac:dyDescent="0.2">
      <c r="A2466" s="333">
        <v>2465</v>
      </c>
      <c r="B2466" s="334">
        <v>44035</v>
      </c>
      <c r="C2466" s="334">
        <v>44088</v>
      </c>
      <c r="D2466" s="335" t="s">
        <v>1092</v>
      </c>
      <c r="E2466" s="335" t="s">
        <v>422</v>
      </c>
      <c r="F2466" s="335" t="s">
        <v>701</v>
      </c>
      <c r="G2466" s="335" t="s">
        <v>5008</v>
      </c>
      <c r="H2466" s="335" t="s">
        <v>5009</v>
      </c>
      <c r="I2466" s="341">
        <v>20200</v>
      </c>
    </row>
    <row r="2467" spans="1:10" x14ac:dyDescent="0.2">
      <c r="A2467" s="333">
        <v>2466</v>
      </c>
      <c r="B2467" s="334">
        <v>44035</v>
      </c>
      <c r="C2467" s="334">
        <v>44081</v>
      </c>
      <c r="D2467" s="335" t="s">
        <v>1092</v>
      </c>
      <c r="E2467" s="335" t="s">
        <v>422</v>
      </c>
      <c r="F2467" s="335" t="s">
        <v>701</v>
      </c>
      <c r="G2467" s="335" t="s">
        <v>5010</v>
      </c>
      <c r="H2467" s="335" t="s">
        <v>5011</v>
      </c>
      <c r="I2467" s="341">
        <v>43801.65</v>
      </c>
    </row>
    <row r="2468" spans="1:10" x14ac:dyDescent="0.2">
      <c r="A2468" s="333">
        <v>2467</v>
      </c>
      <c r="B2468" s="334">
        <v>44035</v>
      </c>
      <c r="C2468" s="334">
        <v>44081</v>
      </c>
      <c r="D2468" s="335" t="s">
        <v>1092</v>
      </c>
      <c r="E2468" s="335" t="s">
        <v>422</v>
      </c>
      <c r="F2468" s="335" t="s">
        <v>701</v>
      </c>
      <c r="G2468" s="335" t="s">
        <v>5012</v>
      </c>
      <c r="H2468" s="335" t="s">
        <v>5013</v>
      </c>
      <c r="I2468" s="341">
        <v>43801.65</v>
      </c>
    </row>
    <row r="2469" spans="1:10" x14ac:dyDescent="0.2">
      <c r="A2469" s="333">
        <v>2468</v>
      </c>
      <c r="B2469" s="334">
        <v>44035</v>
      </c>
      <c r="C2469" s="334">
        <v>44083</v>
      </c>
      <c r="D2469" s="335" t="s">
        <v>1092</v>
      </c>
      <c r="E2469" s="335" t="s">
        <v>422</v>
      </c>
      <c r="F2469" s="335" t="s">
        <v>701</v>
      </c>
      <c r="G2469" s="335" t="s">
        <v>5014</v>
      </c>
      <c r="H2469" s="335" t="s">
        <v>5015</v>
      </c>
      <c r="I2469" s="341">
        <v>14450</v>
      </c>
    </row>
    <row r="2470" spans="1:10" x14ac:dyDescent="0.2">
      <c r="A2470" s="333">
        <v>2469</v>
      </c>
      <c r="B2470" s="334">
        <v>44035</v>
      </c>
      <c r="C2470" s="334">
        <v>44081</v>
      </c>
      <c r="D2470" s="335" t="s">
        <v>1092</v>
      </c>
      <c r="E2470" s="335" t="s">
        <v>422</v>
      </c>
      <c r="F2470" s="335" t="s">
        <v>701</v>
      </c>
      <c r="G2470" s="335" t="s">
        <v>5016</v>
      </c>
      <c r="H2470" s="335" t="s">
        <v>5017</v>
      </c>
      <c r="I2470" s="341">
        <v>24380.17</v>
      </c>
    </row>
    <row r="2471" spans="1:10" x14ac:dyDescent="0.2">
      <c r="A2471" s="333">
        <v>2470</v>
      </c>
      <c r="B2471" s="334">
        <v>44035</v>
      </c>
      <c r="C2471" s="334">
        <v>44081</v>
      </c>
      <c r="D2471" s="335" t="s">
        <v>1092</v>
      </c>
      <c r="E2471" s="335" t="s">
        <v>422</v>
      </c>
      <c r="F2471" s="335" t="s">
        <v>701</v>
      </c>
      <c r="G2471" s="335" t="s">
        <v>5018</v>
      </c>
      <c r="H2471" s="335" t="s">
        <v>5019</v>
      </c>
      <c r="I2471" s="341">
        <v>30578.51</v>
      </c>
    </row>
    <row r="2472" spans="1:10" x14ac:dyDescent="0.2">
      <c r="A2472" s="333">
        <v>2471</v>
      </c>
      <c r="B2472" s="334">
        <v>44035</v>
      </c>
      <c r="C2472" s="334">
        <v>44081</v>
      </c>
      <c r="D2472" s="335" t="s">
        <v>1092</v>
      </c>
      <c r="E2472" s="335" t="s">
        <v>422</v>
      </c>
      <c r="F2472" s="335" t="s">
        <v>701</v>
      </c>
      <c r="G2472" s="335" t="s">
        <v>5020</v>
      </c>
      <c r="H2472" s="335" t="s">
        <v>5021</v>
      </c>
      <c r="I2472" s="341">
        <v>28925.62</v>
      </c>
    </row>
    <row r="2473" spans="1:10" x14ac:dyDescent="0.2">
      <c r="A2473" s="333">
        <v>2472</v>
      </c>
      <c r="B2473" s="334">
        <v>44035</v>
      </c>
      <c r="C2473" s="334">
        <v>44081</v>
      </c>
      <c r="D2473" s="335" t="s">
        <v>1092</v>
      </c>
      <c r="E2473" s="335" t="s">
        <v>422</v>
      </c>
      <c r="F2473" s="335" t="s">
        <v>701</v>
      </c>
      <c r="G2473" s="335" t="s">
        <v>5022</v>
      </c>
      <c r="H2473" s="335" t="s">
        <v>5023</v>
      </c>
      <c r="I2473" s="341">
        <v>43388.43</v>
      </c>
    </row>
    <row r="2474" spans="1:10" x14ac:dyDescent="0.2">
      <c r="A2474" s="333">
        <v>2473</v>
      </c>
      <c r="B2474" s="334">
        <v>44042</v>
      </c>
      <c r="C2474" s="334">
        <v>44103</v>
      </c>
      <c r="D2474" s="335" t="s">
        <v>1092</v>
      </c>
      <c r="E2474" s="335" t="s">
        <v>392</v>
      </c>
      <c r="F2474" s="335" t="s">
        <v>9</v>
      </c>
      <c r="G2474" s="335" t="s">
        <v>5029</v>
      </c>
      <c r="H2474" s="335" t="s">
        <v>5030</v>
      </c>
      <c r="I2474" s="341">
        <v>1242338.25</v>
      </c>
    </row>
    <row r="2475" spans="1:10" x14ac:dyDescent="0.2">
      <c r="A2475" s="333">
        <v>2474</v>
      </c>
      <c r="B2475" s="334">
        <v>44046</v>
      </c>
      <c r="C2475" s="334">
        <v>44088</v>
      </c>
      <c r="D2475" s="335" t="s">
        <v>1092</v>
      </c>
      <c r="E2475" s="335" t="s">
        <v>392</v>
      </c>
      <c r="F2475" s="335" t="s">
        <v>9</v>
      </c>
      <c r="G2475" s="335" t="s">
        <v>5031</v>
      </c>
      <c r="H2475" s="335" t="s">
        <v>5043</v>
      </c>
      <c r="I2475" s="341">
        <v>195686.68</v>
      </c>
    </row>
    <row r="2476" spans="1:10" x14ac:dyDescent="0.2">
      <c r="A2476" s="333">
        <v>2475</v>
      </c>
      <c r="B2476" s="334">
        <v>44047</v>
      </c>
      <c r="C2476" s="334">
        <v>44109</v>
      </c>
      <c r="D2476" s="335" t="s">
        <v>1092</v>
      </c>
      <c r="E2476" s="335" t="s">
        <v>422</v>
      </c>
      <c r="F2476" s="335" t="s">
        <v>701</v>
      </c>
      <c r="G2476" s="335" t="s">
        <v>5032</v>
      </c>
      <c r="H2476" s="335" t="s">
        <v>5044</v>
      </c>
      <c r="I2476" s="341">
        <v>247639</v>
      </c>
    </row>
    <row r="2477" spans="1:10" x14ac:dyDescent="0.2">
      <c r="A2477" s="343">
        <v>2476</v>
      </c>
      <c r="B2477" s="344">
        <v>44047</v>
      </c>
      <c r="C2477" s="344">
        <v>44088</v>
      </c>
      <c r="D2477" s="345" t="s">
        <v>1092</v>
      </c>
      <c r="E2477" s="345" t="s">
        <v>392</v>
      </c>
      <c r="F2477" s="345" t="s">
        <v>9</v>
      </c>
      <c r="G2477" s="345" t="s">
        <v>5033</v>
      </c>
      <c r="H2477" s="345" t="s">
        <v>5045</v>
      </c>
      <c r="I2477" s="346">
        <v>97347.99</v>
      </c>
      <c r="J2477" s="178" t="s">
        <v>5135</v>
      </c>
    </row>
    <row r="2478" spans="1:10" x14ac:dyDescent="0.2">
      <c r="A2478" s="333">
        <v>2477</v>
      </c>
      <c r="B2478" s="334">
        <v>44048</v>
      </c>
      <c r="C2478" s="334">
        <v>44095</v>
      </c>
      <c r="D2478" s="335" t="s">
        <v>1092</v>
      </c>
      <c r="E2478" s="335" t="s">
        <v>422</v>
      </c>
      <c r="F2478" s="335" t="s">
        <v>701</v>
      </c>
      <c r="G2478" s="335" t="s">
        <v>5034</v>
      </c>
      <c r="H2478" s="335" t="s">
        <v>5046</v>
      </c>
      <c r="I2478" s="341">
        <v>69000</v>
      </c>
    </row>
    <row r="2479" spans="1:10" x14ac:dyDescent="0.2">
      <c r="A2479" s="333">
        <v>2478</v>
      </c>
      <c r="B2479" s="334">
        <v>44048</v>
      </c>
      <c r="C2479" s="334">
        <v>44095</v>
      </c>
      <c r="D2479" s="335" t="s">
        <v>1092</v>
      </c>
      <c r="E2479" s="335" t="s">
        <v>422</v>
      </c>
      <c r="F2479" s="335" t="s">
        <v>701</v>
      </c>
      <c r="G2479" s="335" t="s">
        <v>5035</v>
      </c>
      <c r="H2479" s="335" t="s">
        <v>5047</v>
      </c>
      <c r="I2479" s="341">
        <v>34500</v>
      </c>
    </row>
    <row r="2480" spans="1:10" x14ac:dyDescent="0.2">
      <c r="A2480" s="333">
        <v>2479</v>
      </c>
      <c r="B2480" s="334">
        <v>44048</v>
      </c>
      <c r="C2480" s="334">
        <v>44095</v>
      </c>
      <c r="D2480" s="335" t="s">
        <v>1092</v>
      </c>
      <c r="E2480" s="335" t="s">
        <v>422</v>
      </c>
      <c r="F2480" s="335" t="s">
        <v>701</v>
      </c>
      <c r="G2480" s="335" t="s">
        <v>5036</v>
      </c>
      <c r="H2480" s="335" t="s">
        <v>5048</v>
      </c>
      <c r="I2480" s="341">
        <v>37300</v>
      </c>
    </row>
    <row r="2481" spans="1:9" x14ac:dyDescent="0.2">
      <c r="A2481" s="333">
        <v>2480</v>
      </c>
      <c r="B2481" s="334">
        <v>44049</v>
      </c>
      <c r="C2481" s="334">
        <v>44095</v>
      </c>
      <c r="D2481" s="335" t="s">
        <v>1092</v>
      </c>
      <c r="E2481" s="335" t="s">
        <v>422</v>
      </c>
      <c r="F2481" s="335" t="s">
        <v>701</v>
      </c>
      <c r="G2481" s="335" t="s">
        <v>5037</v>
      </c>
      <c r="H2481" s="335" t="s">
        <v>5049</v>
      </c>
      <c r="I2481" s="341">
        <v>60000</v>
      </c>
    </row>
    <row r="2482" spans="1:9" x14ac:dyDescent="0.2">
      <c r="A2482" s="333">
        <v>2481</v>
      </c>
      <c r="B2482" s="334">
        <v>44049</v>
      </c>
      <c r="C2482" s="334">
        <v>44095</v>
      </c>
      <c r="D2482" s="335" t="s">
        <v>1092</v>
      </c>
      <c r="E2482" s="335" t="s">
        <v>422</v>
      </c>
      <c r="F2482" s="335" t="s">
        <v>701</v>
      </c>
      <c r="G2482" s="335" t="s">
        <v>5038</v>
      </c>
      <c r="H2482" s="335" t="s">
        <v>5050</v>
      </c>
      <c r="I2482" s="341">
        <v>140000</v>
      </c>
    </row>
    <row r="2483" spans="1:9" x14ac:dyDescent="0.2">
      <c r="A2483" s="333">
        <v>2482</v>
      </c>
      <c r="B2483" s="334">
        <v>44050</v>
      </c>
      <c r="C2483" s="334">
        <v>44109</v>
      </c>
      <c r="D2483" s="335" t="s">
        <v>1092</v>
      </c>
      <c r="E2483" s="335" t="s">
        <v>422</v>
      </c>
      <c r="F2483" s="335" t="s">
        <v>701</v>
      </c>
      <c r="G2483" s="335" t="s">
        <v>5039</v>
      </c>
      <c r="H2483" s="335" t="s">
        <v>5051</v>
      </c>
      <c r="I2483" s="341">
        <v>300000</v>
      </c>
    </row>
    <row r="2484" spans="1:9" x14ac:dyDescent="0.2">
      <c r="A2484" s="333">
        <v>2483</v>
      </c>
      <c r="B2484" s="334">
        <v>44050</v>
      </c>
      <c r="C2484" s="334">
        <v>44109</v>
      </c>
      <c r="D2484" s="335" t="s">
        <v>1092</v>
      </c>
      <c r="E2484" s="335" t="s">
        <v>422</v>
      </c>
      <c r="F2484" s="335" t="s">
        <v>701</v>
      </c>
      <c r="G2484" s="335" t="s">
        <v>5040</v>
      </c>
      <c r="H2484" s="335" t="s">
        <v>5052</v>
      </c>
      <c r="I2484" s="341">
        <v>450000</v>
      </c>
    </row>
    <row r="2485" spans="1:9" x14ac:dyDescent="0.2">
      <c r="A2485" s="333">
        <v>2484</v>
      </c>
      <c r="B2485" s="334">
        <v>44050</v>
      </c>
      <c r="C2485" s="334">
        <v>44109</v>
      </c>
      <c r="D2485" s="335" t="s">
        <v>1092</v>
      </c>
      <c r="E2485" s="335" t="s">
        <v>422</v>
      </c>
      <c r="F2485" s="335" t="s">
        <v>701</v>
      </c>
      <c r="G2485" s="335" t="s">
        <v>5041</v>
      </c>
      <c r="H2485" s="335" t="s">
        <v>5053</v>
      </c>
      <c r="I2485" s="341">
        <v>1220500</v>
      </c>
    </row>
    <row r="2486" spans="1:9" x14ac:dyDescent="0.2">
      <c r="A2486" s="333">
        <v>2485</v>
      </c>
      <c r="B2486" s="334">
        <v>44050</v>
      </c>
      <c r="C2486" s="334">
        <v>44109</v>
      </c>
      <c r="D2486" s="335" t="s">
        <v>1092</v>
      </c>
      <c r="E2486" s="335" t="s">
        <v>392</v>
      </c>
      <c r="F2486" s="335" t="s">
        <v>9</v>
      </c>
      <c r="G2486" s="335" t="s">
        <v>5042</v>
      </c>
      <c r="H2486" s="335" t="s">
        <v>5054</v>
      </c>
      <c r="I2486" s="341">
        <v>309679.98</v>
      </c>
    </row>
    <row r="2487" spans="1:9" x14ac:dyDescent="0.2">
      <c r="A2487" s="333">
        <v>2486</v>
      </c>
      <c r="B2487" s="334">
        <v>44075</v>
      </c>
      <c r="C2487" s="334">
        <v>44097</v>
      </c>
      <c r="D2487" s="335" t="s">
        <v>1092</v>
      </c>
      <c r="E2487" s="335" t="s">
        <v>422</v>
      </c>
      <c r="F2487" s="335" t="s">
        <v>1276</v>
      </c>
      <c r="G2487" s="335" t="s">
        <v>5055</v>
      </c>
      <c r="H2487" s="335" t="s">
        <v>5056</v>
      </c>
      <c r="I2487" s="341">
        <v>32600</v>
      </c>
    </row>
    <row r="2488" spans="1:9" x14ac:dyDescent="0.2">
      <c r="A2488" s="333">
        <v>2487</v>
      </c>
      <c r="B2488" s="334">
        <v>44075</v>
      </c>
      <c r="C2488" s="334">
        <v>44097</v>
      </c>
      <c r="D2488" s="335" t="s">
        <v>1092</v>
      </c>
      <c r="E2488" s="335" t="s">
        <v>422</v>
      </c>
      <c r="F2488" s="335" t="s">
        <v>1276</v>
      </c>
      <c r="G2488" s="335" t="s">
        <v>5057</v>
      </c>
      <c r="H2488" s="335" t="s">
        <v>5058</v>
      </c>
      <c r="I2488" s="341">
        <v>7560</v>
      </c>
    </row>
    <row r="2489" spans="1:9" x14ac:dyDescent="0.2">
      <c r="A2489" s="333">
        <v>2488</v>
      </c>
      <c r="B2489" s="334">
        <v>44075</v>
      </c>
      <c r="C2489" s="334">
        <v>44097</v>
      </c>
      <c r="D2489" s="335" t="s">
        <v>1092</v>
      </c>
      <c r="E2489" s="335" t="s">
        <v>422</v>
      </c>
      <c r="F2489" s="335" t="s">
        <v>71</v>
      </c>
      <c r="G2489" s="335" t="s">
        <v>5059</v>
      </c>
      <c r="H2489" s="335" t="s">
        <v>5060</v>
      </c>
      <c r="I2489" s="341">
        <v>9730.69</v>
      </c>
    </row>
    <row r="2490" spans="1:9" x14ac:dyDescent="0.2">
      <c r="A2490" s="333">
        <v>2489</v>
      </c>
      <c r="B2490" s="334">
        <v>44078</v>
      </c>
      <c r="C2490" s="334">
        <v>44095</v>
      </c>
      <c r="D2490" s="335" t="s">
        <v>1092</v>
      </c>
      <c r="E2490" s="335" t="s">
        <v>422</v>
      </c>
      <c r="F2490" s="335" t="s">
        <v>701</v>
      </c>
      <c r="G2490" s="335" t="s">
        <v>5061</v>
      </c>
      <c r="H2490" s="335" t="s">
        <v>5062</v>
      </c>
      <c r="I2490" s="341">
        <v>54000</v>
      </c>
    </row>
    <row r="2491" spans="1:9" x14ac:dyDescent="0.2">
      <c r="A2491" s="333">
        <v>2490</v>
      </c>
      <c r="B2491" s="334">
        <v>44078</v>
      </c>
      <c r="C2491" s="334">
        <v>44097</v>
      </c>
      <c r="D2491" s="335" t="s">
        <v>1092</v>
      </c>
      <c r="E2491" s="335" t="s">
        <v>422</v>
      </c>
      <c r="F2491" s="335" t="s">
        <v>396</v>
      </c>
      <c r="G2491" s="335" t="s">
        <v>5063</v>
      </c>
      <c r="H2491" s="335" t="s">
        <v>5064</v>
      </c>
      <c r="I2491" s="341">
        <v>6600</v>
      </c>
    </row>
    <row r="2492" spans="1:9" x14ac:dyDescent="0.2">
      <c r="A2492" s="333">
        <v>2491</v>
      </c>
      <c r="B2492" s="334">
        <v>44078</v>
      </c>
      <c r="C2492" s="334">
        <v>44097</v>
      </c>
      <c r="D2492" s="335" t="s">
        <v>1092</v>
      </c>
      <c r="E2492" s="335" t="s">
        <v>422</v>
      </c>
      <c r="F2492" s="335" t="s">
        <v>71</v>
      </c>
      <c r="G2492" s="335" t="s">
        <v>5065</v>
      </c>
      <c r="H2492" s="335" t="s">
        <v>5066</v>
      </c>
      <c r="I2492" s="341">
        <v>9944.93</v>
      </c>
    </row>
    <row r="2493" spans="1:9" x14ac:dyDescent="0.2">
      <c r="A2493" s="333">
        <v>2492</v>
      </c>
      <c r="B2493" s="334">
        <v>44078</v>
      </c>
      <c r="C2493" s="334">
        <v>44097</v>
      </c>
      <c r="D2493" s="335" t="s">
        <v>1092</v>
      </c>
      <c r="E2493" s="335" t="s">
        <v>422</v>
      </c>
      <c r="F2493" s="335" t="s">
        <v>396</v>
      </c>
      <c r="G2493" s="335" t="s">
        <v>5067</v>
      </c>
      <c r="H2493" s="335" t="s">
        <v>5068</v>
      </c>
      <c r="I2493" s="341">
        <v>26133.34</v>
      </c>
    </row>
    <row r="2494" spans="1:9" x14ac:dyDescent="0.2">
      <c r="A2494" s="333">
        <v>2493</v>
      </c>
      <c r="B2494" s="334">
        <v>44078</v>
      </c>
      <c r="C2494" s="334">
        <v>44095</v>
      </c>
      <c r="D2494" s="335" t="s">
        <v>1092</v>
      </c>
      <c r="E2494" s="335" t="s">
        <v>422</v>
      </c>
      <c r="F2494" s="335" t="s">
        <v>701</v>
      </c>
      <c r="G2494" s="335" t="s">
        <v>5069</v>
      </c>
      <c r="H2494" s="335" t="s">
        <v>5070</v>
      </c>
      <c r="I2494" s="341">
        <v>152010</v>
      </c>
    </row>
    <row r="2495" spans="1:9" x14ac:dyDescent="0.2">
      <c r="A2495" s="333">
        <v>2494</v>
      </c>
      <c r="B2495" s="334">
        <v>44078</v>
      </c>
      <c r="C2495" s="334">
        <v>44109</v>
      </c>
      <c r="D2495" s="335" t="s">
        <v>1092</v>
      </c>
      <c r="E2495" s="335" t="s">
        <v>392</v>
      </c>
      <c r="F2495" s="335" t="s">
        <v>9</v>
      </c>
      <c r="G2495" s="335" t="s">
        <v>5071</v>
      </c>
      <c r="H2495" s="335" t="s">
        <v>5072</v>
      </c>
      <c r="I2495" s="341">
        <v>439796.6</v>
      </c>
    </row>
    <row r="2496" spans="1:9" x14ac:dyDescent="0.2">
      <c r="A2496" s="333">
        <v>2495</v>
      </c>
      <c r="B2496" s="334">
        <v>44078</v>
      </c>
      <c r="C2496" s="334">
        <v>44109</v>
      </c>
      <c r="D2496" s="335" t="s">
        <v>1092</v>
      </c>
      <c r="E2496" s="335" t="s">
        <v>392</v>
      </c>
      <c r="F2496" s="335" t="s">
        <v>9</v>
      </c>
      <c r="G2496" s="335" t="s">
        <v>5073</v>
      </c>
      <c r="H2496" s="335" t="s">
        <v>5074</v>
      </c>
      <c r="I2496" s="341">
        <v>558917</v>
      </c>
    </row>
    <row r="2497" spans="1:9" x14ac:dyDescent="0.2">
      <c r="A2497" s="333">
        <v>2496</v>
      </c>
      <c r="B2497" s="334">
        <v>44083</v>
      </c>
      <c r="C2497" s="334">
        <v>44102</v>
      </c>
      <c r="D2497" s="335" t="s">
        <v>1092</v>
      </c>
      <c r="E2497" s="335" t="s">
        <v>422</v>
      </c>
      <c r="F2497" s="335" t="s">
        <v>396</v>
      </c>
      <c r="G2497" s="335" t="s">
        <v>5075</v>
      </c>
      <c r="H2497" s="335" t="s">
        <v>5076</v>
      </c>
      <c r="I2497" s="341">
        <v>24600</v>
      </c>
    </row>
    <row r="2498" spans="1:9" x14ac:dyDescent="0.2">
      <c r="A2498" s="333">
        <v>2497</v>
      </c>
      <c r="B2498" s="334">
        <v>44083</v>
      </c>
      <c r="C2498" s="334">
        <v>44102</v>
      </c>
      <c r="D2498" s="335" t="s">
        <v>1092</v>
      </c>
      <c r="E2498" s="335" t="s">
        <v>422</v>
      </c>
      <c r="F2498" s="335" t="s">
        <v>396</v>
      </c>
      <c r="G2498" s="335" t="s">
        <v>5077</v>
      </c>
      <c r="H2498" s="335" t="s">
        <v>5078</v>
      </c>
      <c r="I2498" s="341">
        <v>122666.66</v>
      </c>
    </row>
    <row r="2499" spans="1:9" x14ac:dyDescent="0.2">
      <c r="A2499" s="333">
        <v>2498</v>
      </c>
      <c r="B2499" s="334">
        <v>44083</v>
      </c>
      <c r="C2499" s="334">
        <v>44102</v>
      </c>
      <c r="D2499" s="335" t="s">
        <v>1092</v>
      </c>
      <c r="E2499" s="335" t="s">
        <v>422</v>
      </c>
      <c r="F2499" s="335" t="s">
        <v>71</v>
      </c>
      <c r="G2499" s="335" t="s">
        <v>5079</v>
      </c>
      <c r="H2499" s="335" t="s">
        <v>5080</v>
      </c>
      <c r="I2499" s="341">
        <v>49174.71</v>
      </c>
    </row>
    <row r="2500" spans="1:9" x14ac:dyDescent="0.2">
      <c r="A2500" s="333">
        <v>2499</v>
      </c>
      <c r="B2500" s="334">
        <v>44083</v>
      </c>
      <c r="C2500" s="334">
        <v>44102</v>
      </c>
      <c r="D2500" s="335" t="s">
        <v>1092</v>
      </c>
      <c r="E2500" s="335" t="s">
        <v>392</v>
      </c>
      <c r="F2500" s="335" t="s">
        <v>1272</v>
      </c>
      <c r="G2500" s="335" t="s">
        <v>5081</v>
      </c>
      <c r="H2500" s="335" t="s">
        <v>5082</v>
      </c>
      <c r="I2500" s="341">
        <v>173697.56</v>
      </c>
    </row>
    <row r="2501" spans="1:9" x14ac:dyDescent="0.2">
      <c r="A2501" s="333">
        <v>2500</v>
      </c>
      <c r="B2501" s="334">
        <v>44083</v>
      </c>
      <c r="C2501" s="334">
        <v>44102</v>
      </c>
      <c r="D2501" s="335" t="s">
        <v>1092</v>
      </c>
      <c r="E2501" s="335" t="s">
        <v>392</v>
      </c>
      <c r="F2501" s="335" t="s">
        <v>71</v>
      </c>
      <c r="G2501" s="335" t="s">
        <v>5083</v>
      </c>
      <c r="H2501" s="335" t="s">
        <v>5084</v>
      </c>
      <c r="I2501" s="341">
        <v>38841.07</v>
      </c>
    </row>
    <row r="2502" spans="1:9" x14ac:dyDescent="0.2">
      <c r="A2502" s="333">
        <v>2501</v>
      </c>
      <c r="B2502" s="334">
        <v>44083</v>
      </c>
      <c r="C2502" s="334">
        <v>44102</v>
      </c>
      <c r="D2502" s="335" t="s">
        <v>1092</v>
      </c>
      <c r="E2502" s="335" t="s">
        <v>392</v>
      </c>
      <c r="F2502" s="335" t="s">
        <v>1272</v>
      </c>
      <c r="G2502" s="335" t="s">
        <v>5085</v>
      </c>
      <c r="H2502" s="335" t="s">
        <v>5086</v>
      </c>
      <c r="I2502" s="341">
        <v>52080</v>
      </c>
    </row>
    <row r="2503" spans="1:9" x14ac:dyDescent="0.2">
      <c r="A2503" s="333">
        <v>2502</v>
      </c>
      <c r="B2503" s="334">
        <v>44084</v>
      </c>
      <c r="C2503" s="334">
        <v>44102</v>
      </c>
      <c r="D2503" s="335" t="s">
        <v>1092</v>
      </c>
      <c r="E2503" s="335" t="s">
        <v>422</v>
      </c>
      <c r="F2503" s="335" t="s">
        <v>71</v>
      </c>
      <c r="G2503" s="335" t="s">
        <v>5087</v>
      </c>
      <c r="H2503" s="335" t="s">
        <v>5088</v>
      </c>
      <c r="I2503" s="341">
        <v>15376.99</v>
      </c>
    </row>
    <row r="2504" spans="1:9" x14ac:dyDescent="0.2">
      <c r="A2504" s="333">
        <v>2503</v>
      </c>
      <c r="B2504" s="334">
        <v>44084</v>
      </c>
      <c r="C2504" s="334">
        <v>44102</v>
      </c>
      <c r="D2504" s="335" t="s">
        <v>1092</v>
      </c>
      <c r="E2504" s="335" t="s">
        <v>422</v>
      </c>
      <c r="F2504" s="335" t="s">
        <v>396</v>
      </c>
      <c r="G2504" s="335" t="s">
        <v>5089</v>
      </c>
      <c r="H2504" s="335" t="s">
        <v>5090</v>
      </c>
      <c r="I2504" s="341">
        <v>13404</v>
      </c>
    </row>
    <row r="2505" spans="1:9" x14ac:dyDescent="0.2">
      <c r="A2505" s="333">
        <v>2504</v>
      </c>
      <c r="B2505" s="334">
        <v>44084</v>
      </c>
      <c r="C2505" s="334">
        <v>44102</v>
      </c>
      <c r="D2505" s="335" t="s">
        <v>1092</v>
      </c>
      <c r="E2505" s="335" t="s">
        <v>422</v>
      </c>
      <c r="F2505" s="335" t="s">
        <v>396</v>
      </c>
      <c r="G2505" s="335" t="s">
        <v>5091</v>
      </c>
      <c r="H2505" s="335" t="s">
        <v>5092</v>
      </c>
      <c r="I2505" s="341">
        <v>59720</v>
      </c>
    </row>
    <row r="2506" spans="1:9" x14ac:dyDescent="0.2">
      <c r="A2506" s="333">
        <v>2505</v>
      </c>
      <c r="B2506" s="334">
        <v>44089</v>
      </c>
      <c r="C2506" s="334">
        <v>44109</v>
      </c>
      <c r="D2506" s="335" t="s">
        <v>1092</v>
      </c>
      <c r="E2506" s="335" t="s">
        <v>392</v>
      </c>
      <c r="F2506" s="335" t="s">
        <v>1272</v>
      </c>
      <c r="G2506" s="335" t="s">
        <v>5093</v>
      </c>
      <c r="H2506" s="335" t="s">
        <v>5094</v>
      </c>
      <c r="I2506" s="341">
        <v>6200</v>
      </c>
    </row>
    <row r="2507" spans="1:9" x14ac:dyDescent="0.2">
      <c r="A2507" s="333">
        <v>2506</v>
      </c>
      <c r="B2507" s="334">
        <v>44089</v>
      </c>
      <c r="C2507" s="334">
        <v>44109</v>
      </c>
      <c r="D2507" s="335" t="s">
        <v>1092</v>
      </c>
      <c r="E2507" s="335" t="s">
        <v>392</v>
      </c>
      <c r="F2507" s="335" t="s">
        <v>71</v>
      </c>
      <c r="G2507" s="335" t="s">
        <v>5095</v>
      </c>
      <c r="H2507" s="335" t="s">
        <v>5096</v>
      </c>
      <c r="I2507" s="341">
        <v>3204.5</v>
      </c>
    </row>
    <row r="2508" spans="1:9" x14ac:dyDescent="0.2">
      <c r="A2508" s="333">
        <v>2507</v>
      </c>
      <c r="B2508" s="334">
        <v>44089</v>
      </c>
      <c r="C2508" s="334">
        <v>44109</v>
      </c>
      <c r="D2508" s="335" t="s">
        <v>1092</v>
      </c>
      <c r="E2508" s="335" t="s">
        <v>392</v>
      </c>
      <c r="F2508" s="335" t="s">
        <v>1272</v>
      </c>
      <c r="G2508" s="335" t="s">
        <v>5097</v>
      </c>
      <c r="H2508" s="335" t="s">
        <v>5098</v>
      </c>
      <c r="I2508" s="341">
        <v>2880</v>
      </c>
    </row>
    <row r="2509" spans="1:9" x14ac:dyDescent="0.2">
      <c r="A2509" s="333">
        <v>2508</v>
      </c>
      <c r="B2509" s="334">
        <v>44092</v>
      </c>
      <c r="C2509" s="334">
        <v>44109</v>
      </c>
      <c r="D2509" s="335" t="s">
        <v>1092</v>
      </c>
      <c r="E2509" s="335" t="s">
        <v>422</v>
      </c>
      <c r="F2509" s="335" t="s">
        <v>1640</v>
      </c>
      <c r="G2509" s="335" t="s">
        <v>5099</v>
      </c>
      <c r="H2509" s="335" t="s">
        <v>5104</v>
      </c>
      <c r="I2509" s="341">
        <v>14124</v>
      </c>
    </row>
    <row r="2510" spans="1:9" x14ac:dyDescent="0.2">
      <c r="A2510" s="333">
        <v>2509</v>
      </c>
      <c r="B2510" s="334">
        <v>44096</v>
      </c>
      <c r="C2510" s="334">
        <v>44118</v>
      </c>
      <c r="D2510" s="335" t="s">
        <v>1092</v>
      </c>
      <c r="E2510" s="335" t="s">
        <v>392</v>
      </c>
      <c r="F2510" s="335" t="s">
        <v>1257</v>
      </c>
      <c r="G2510" s="335" t="s">
        <v>5100</v>
      </c>
      <c r="H2510" s="335" t="s">
        <v>5105</v>
      </c>
      <c r="I2510" s="341">
        <v>28200</v>
      </c>
    </row>
    <row r="2511" spans="1:9" x14ac:dyDescent="0.2">
      <c r="A2511" s="333">
        <v>2510</v>
      </c>
      <c r="B2511" s="334">
        <v>44096</v>
      </c>
      <c r="C2511" s="334">
        <v>44118</v>
      </c>
      <c r="D2511" s="335" t="s">
        <v>1092</v>
      </c>
      <c r="E2511" s="335" t="s">
        <v>392</v>
      </c>
      <c r="F2511" s="335" t="s">
        <v>71</v>
      </c>
      <c r="G2511" s="335" t="s">
        <v>5101</v>
      </c>
      <c r="H2511" s="335" t="s">
        <v>5106</v>
      </c>
      <c r="I2511" s="341">
        <v>28617.91</v>
      </c>
    </row>
    <row r="2512" spans="1:9" x14ac:dyDescent="0.2">
      <c r="A2512" s="333">
        <v>2511</v>
      </c>
      <c r="B2512" s="334">
        <v>44096</v>
      </c>
      <c r="C2512" s="334">
        <v>44118</v>
      </c>
      <c r="D2512" s="335" t="s">
        <v>1092</v>
      </c>
      <c r="E2512" s="335" t="s">
        <v>392</v>
      </c>
      <c r="F2512" s="335" t="s">
        <v>1257</v>
      </c>
      <c r="G2512" s="335" t="s">
        <v>5102</v>
      </c>
      <c r="H2512" s="335" t="s">
        <v>5107</v>
      </c>
      <c r="I2512" s="341">
        <v>94027.03</v>
      </c>
    </row>
    <row r="2513" spans="1:9" x14ac:dyDescent="0.2">
      <c r="A2513" s="333">
        <v>2512</v>
      </c>
      <c r="B2513" s="334">
        <v>44099</v>
      </c>
      <c r="C2513" s="334">
        <v>44123</v>
      </c>
      <c r="D2513" s="335" t="s">
        <v>1092</v>
      </c>
      <c r="E2513" s="335" t="s">
        <v>422</v>
      </c>
      <c r="F2513" s="335" t="s">
        <v>701</v>
      </c>
      <c r="G2513" s="335" t="s">
        <v>5103</v>
      </c>
      <c r="H2513" s="335" t="s">
        <v>5108</v>
      </c>
      <c r="I2513" s="341">
        <v>13800</v>
      </c>
    </row>
    <row r="2514" spans="1:9" x14ac:dyDescent="0.2">
      <c r="A2514" s="333">
        <v>2513</v>
      </c>
      <c r="B2514" s="334">
        <v>44102</v>
      </c>
      <c r="C2514" s="334">
        <v>44118</v>
      </c>
      <c r="D2514" s="335" t="s">
        <v>1092</v>
      </c>
      <c r="E2514" s="335" t="s">
        <v>422</v>
      </c>
      <c r="F2514" s="335" t="s">
        <v>701</v>
      </c>
      <c r="G2514" s="335" t="s">
        <v>5109</v>
      </c>
      <c r="H2514" s="335" t="s">
        <v>5110</v>
      </c>
      <c r="I2514" s="341">
        <v>160000</v>
      </c>
    </row>
    <row r="2515" spans="1:9" x14ac:dyDescent="0.2">
      <c r="A2515" s="333">
        <v>2514</v>
      </c>
      <c r="B2515" s="334">
        <v>44104</v>
      </c>
      <c r="C2515" s="334">
        <v>44130</v>
      </c>
      <c r="D2515" s="335" t="s">
        <v>1092</v>
      </c>
      <c r="E2515" s="335" t="s">
        <v>392</v>
      </c>
      <c r="F2515" s="335" t="s">
        <v>9</v>
      </c>
      <c r="G2515" s="335" t="s">
        <v>5111</v>
      </c>
      <c r="H2515" s="335" t="s">
        <v>5112</v>
      </c>
      <c r="I2515" s="341">
        <v>548642.4</v>
      </c>
    </row>
    <row r="2516" spans="1:9" x14ac:dyDescent="0.2">
      <c r="A2516" s="333">
        <v>2515</v>
      </c>
      <c r="B2516" s="334">
        <v>44105</v>
      </c>
      <c r="C2516" s="334">
        <v>44123</v>
      </c>
      <c r="D2516" s="335" t="s">
        <v>1092</v>
      </c>
      <c r="E2516" s="335" t="s">
        <v>392</v>
      </c>
      <c r="F2516" s="335" t="s">
        <v>71</v>
      </c>
      <c r="G2516" s="335" t="s">
        <v>5113</v>
      </c>
      <c r="H2516" s="335" t="s">
        <v>5114</v>
      </c>
      <c r="I2516" s="341">
        <v>3967.77</v>
      </c>
    </row>
    <row r="2517" spans="1:9" x14ac:dyDescent="0.2">
      <c r="A2517" s="333">
        <v>2516</v>
      </c>
      <c r="B2517" s="334">
        <v>44105</v>
      </c>
      <c r="C2517" s="334">
        <v>44123</v>
      </c>
      <c r="D2517" s="335" t="s">
        <v>1092</v>
      </c>
      <c r="E2517" s="335" t="s">
        <v>392</v>
      </c>
      <c r="F2517" s="335" t="s">
        <v>1272</v>
      </c>
      <c r="G2517" s="335" t="s">
        <v>5115</v>
      </c>
      <c r="H2517" s="335" t="s">
        <v>5116</v>
      </c>
      <c r="I2517" s="341">
        <v>2340</v>
      </c>
    </row>
    <row r="2518" spans="1:9" x14ac:dyDescent="0.2">
      <c r="A2518" s="333">
        <v>2517</v>
      </c>
      <c r="B2518" s="334">
        <v>44105</v>
      </c>
      <c r="C2518" s="334">
        <v>44123</v>
      </c>
      <c r="D2518" s="335" t="s">
        <v>1092</v>
      </c>
      <c r="E2518" s="335" t="s">
        <v>392</v>
      </c>
      <c r="F2518" s="335" t="s">
        <v>396</v>
      </c>
      <c r="G2518" s="335" t="s">
        <v>5117</v>
      </c>
      <c r="H2518" s="335" t="s">
        <v>5118</v>
      </c>
      <c r="I2518" s="341">
        <v>13946.66</v>
      </c>
    </row>
    <row r="2519" spans="1:9" x14ac:dyDescent="0.2">
      <c r="A2519" s="333">
        <v>2518</v>
      </c>
      <c r="B2519" s="334">
        <v>44106</v>
      </c>
      <c r="C2519" s="334">
        <v>44125</v>
      </c>
      <c r="D2519" s="335" t="s">
        <v>1092</v>
      </c>
      <c r="E2519" s="335" t="s">
        <v>392</v>
      </c>
      <c r="F2519" s="335" t="s">
        <v>2224</v>
      </c>
      <c r="G2519" s="335" t="s">
        <v>5119</v>
      </c>
      <c r="H2519" s="335" t="s">
        <v>5120</v>
      </c>
      <c r="I2519" s="341">
        <v>50575</v>
      </c>
    </row>
    <row r="2520" spans="1:9" x14ac:dyDescent="0.2">
      <c r="A2520" s="333">
        <v>2519</v>
      </c>
      <c r="B2520" s="334">
        <v>44109</v>
      </c>
      <c r="C2520" s="334">
        <v>44126</v>
      </c>
      <c r="D2520" s="335" t="s">
        <v>1092</v>
      </c>
      <c r="E2520" s="335" t="s">
        <v>392</v>
      </c>
      <c r="F2520" s="335" t="s">
        <v>701</v>
      </c>
      <c r="G2520" s="335" t="s">
        <v>5136</v>
      </c>
      <c r="H2520" s="335" t="s">
        <v>5137</v>
      </c>
      <c r="I2520" s="341">
        <v>52980</v>
      </c>
    </row>
    <row r="2521" spans="1:9" x14ac:dyDescent="0.2">
      <c r="A2521" s="333">
        <v>2520</v>
      </c>
      <c r="B2521" s="334">
        <v>44110</v>
      </c>
      <c r="C2521" s="334">
        <v>44130</v>
      </c>
      <c r="D2521" s="335" t="s">
        <v>1092</v>
      </c>
      <c r="E2521" s="335" t="s">
        <v>392</v>
      </c>
      <c r="F2521" s="335" t="s">
        <v>71</v>
      </c>
      <c r="G2521" s="335" t="s">
        <v>5121</v>
      </c>
      <c r="H2521" s="335" t="s">
        <v>5122</v>
      </c>
      <c r="I2521" s="341">
        <v>40051.67</v>
      </c>
    </row>
    <row r="2522" spans="1:9" x14ac:dyDescent="0.2">
      <c r="A2522" s="333">
        <v>2521</v>
      </c>
      <c r="B2522" s="334">
        <v>44110</v>
      </c>
      <c r="C2522" s="334">
        <v>44130</v>
      </c>
      <c r="D2522" s="335" t="s">
        <v>1092</v>
      </c>
      <c r="E2522" s="335" t="s">
        <v>392</v>
      </c>
      <c r="F2522" s="335" t="s">
        <v>71</v>
      </c>
      <c r="G2522" s="335" t="s">
        <v>5123</v>
      </c>
      <c r="H2522" s="335" t="s">
        <v>5124</v>
      </c>
      <c r="I2522" s="341">
        <v>3075</v>
      </c>
    </row>
    <row r="2523" spans="1:9" x14ac:dyDescent="0.2">
      <c r="A2523" s="333">
        <v>2522</v>
      </c>
      <c r="B2523" s="334">
        <v>44110</v>
      </c>
      <c r="C2523" s="334">
        <v>44130</v>
      </c>
      <c r="D2523" s="335" t="s">
        <v>1092</v>
      </c>
      <c r="E2523" s="335" t="s">
        <v>392</v>
      </c>
      <c r="F2523" s="335" t="s">
        <v>1272</v>
      </c>
      <c r="G2523" s="335" t="s">
        <v>5125</v>
      </c>
      <c r="H2523" s="335" t="s">
        <v>5127</v>
      </c>
      <c r="I2523" s="341">
        <v>23520</v>
      </c>
    </row>
    <row r="2524" spans="1:9" x14ac:dyDescent="0.2">
      <c r="A2524" s="333">
        <v>2523</v>
      </c>
      <c r="B2524" s="334">
        <v>44110</v>
      </c>
      <c r="C2524" s="334">
        <v>44130</v>
      </c>
      <c r="D2524" s="335" t="s">
        <v>1092</v>
      </c>
      <c r="E2524" s="335" t="s">
        <v>392</v>
      </c>
      <c r="F2524" s="335" t="s">
        <v>1272</v>
      </c>
      <c r="G2524" s="335" t="s">
        <v>5126</v>
      </c>
      <c r="H2524" s="335" t="s">
        <v>5128</v>
      </c>
      <c r="I2524" s="341">
        <v>78792.5</v>
      </c>
    </row>
    <row r="2525" spans="1:9" x14ac:dyDescent="0.2">
      <c r="A2525" s="333">
        <v>2524</v>
      </c>
      <c r="B2525" s="334">
        <v>44123</v>
      </c>
      <c r="C2525" s="334">
        <v>44139</v>
      </c>
      <c r="D2525" s="335" t="s">
        <v>1092</v>
      </c>
      <c r="E2525" s="335" t="s">
        <v>392</v>
      </c>
      <c r="F2525" s="335" t="s">
        <v>1272</v>
      </c>
      <c r="G2525" s="335" t="s">
        <v>5129</v>
      </c>
      <c r="H2525" s="335" t="s">
        <v>5130</v>
      </c>
      <c r="I2525" s="341">
        <v>112357.2</v>
      </c>
    </row>
    <row r="2526" spans="1:9" x14ac:dyDescent="0.2">
      <c r="A2526" s="333">
        <v>2525</v>
      </c>
      <c r="B2526" s="334">
        <v>44123</v>
      </c>
      <c r="C2526" s="334">
        <v>44139</v>
      </c>
      <c r="D2526" s="335" t="s">
        <v>1092</v>
      </c>
      <c r="E2526" s="335" t="s">
        <v>392</v>
      </c>
      <c r="F2526" s="335" t="s">
        <v>1272</v>
      </c>
      <c r="G2526" s="335" t="s">
        <v>5131</v>
      </c>
      <c r="H2526" s="335" t="s">
        <v>5132</v>
      </c>
      <c r="I2526" s="341">
        <v>33706.800000000003</v>
      </c>
    </row>
    <row r="2527" spans="1:9" x14ac:dyDescent="0.2">
      <c r="A2527" s="333">
        <v>2526</v>
      </c>
      <c r="B2527" s="334">
        <v>44123</v>
      </c>
      <c r="C2527" s="334">
        <v>44139</v>
      </c>
      <c r="D2527" s="335" t="s">
        <v>1092</v>
      </c>
      <c r="E2527" s="335" t="s">
        <v>392</v>
      </c>
      <c r="F2527" s="335" t="s">
        <v>71</v>
      </c>
      <c r="G2527" s="335" t="s">
        <v>5133</v>
      </c>
      <c r="H2527" s="335" t="s">
        <v>5134</v>
      </c>
      <c r="I2527" s="341">
        <v>28222.37</v>
      </c>
    </row>
    <row r="2528" spans="1:9" x14ac:dyDescent="0.2">
      <c r="A2528" s="333">
        <v>2527</v>
      </c>
      <c r="B2528" s="334">
        <v>44126</v>
      </c>
      <c r="C2528" s="334">
        <v>44144</v>
      </c>
      <c r="D2528" s="335" t="s">
        <v>1092</v>
      </c>
      <c r="E2528" s="335" t="s">
        <v>392</v>
      </c>
      <c r="F2528" s="335" t="s">
        <v>701</v>
      </c>
      <c r="G2528" s="335" t="s">
        <v>5138</v>
      </c>
      <c r="H2528" s="335" t="s">
        <v>5139</v>
      </c>
      <c r="I2528" s="341">
        <v>94450</v>
      </c>
    </row>
    <row r="2529" spans="1:9" x14ac:dyDescent="0.2">
      <c r="A2529" s="333">
        <v>2528</v>
      </c>
      <c r="B2529" s="334">
        <v>44127</v>
      </c>
      <c r="C2529" s="334">
        <v>44144</v>
      </c>
      <c r="D2529" s="335" t="s">
        <v>1092</v>
      </c>
      <c r="E2529" s="335" t="s">
        <v>422</v>
      </c>
      <c r="F2529" s="335" t="s">
        <v>396</v>
      </c>
      <c r="G2529" s="335" t="s">
        <v>5140</v>
      </c>
      <c r="H2529" s="335" t="s">
        <v>5141</v>
      </c>
      <c r="I2529" s="341">
        <v>15360</v>
      </c>
    </row>
    <row r="2530" spans="1:9" x14ac:dyDescent="0.2">
      <c r="A2530" s="333">
        <v>2529</v>
      </c>
      <c r="B2530" s="334">
        <v>44127</v>
      </c>
      <c r="C2530" s="334">
        <v>44144</v>
      </c>
      <c r="D2530" s="335" t="s">
        <v>1092</v>
      </c>
      <c r="E2530" s="335" t="s">
        <v>422</v>
      </c>
      <c r="F2530" s="335" t="s">
        <v>701</v>
      </c>
      <c r="G2530" s="335" t="s">
        <v>5142</v>
      </c>
      <c r="H2530" s="335" t="s">
        <v>5143</v>
      </c>
      <c r="I2530" s="341">
        <v>14200</v>
      </c>
    </row>
    <row r="2531" spans="1:9" x14ac:dyDescent="0.2">
      <c r="A2531" s="333">
        <v>2530</v>
      </c>
      <c r="B2531" s="334">
        <v>44127</v>
      </c>
      <c r="C2531" s="334">
        <v>44144</v>
      </c>
      <c r="D2531" s="335" t="s">
        <v>1092</v>
      </c>
      <c r="E2531" s="335" t="s">
        <v>422</v>
      </c>
      <c r="F2531" s="335" t="s">
        <v>71</v>
      </c>
      <c r="G2531" s="335" t="s">
        <v>5144</v>
      </c>
      <c r="H2531" s="335" t="s">
        <v>5145</v>
      </c>
      <c r="I2531" s="341">
        <v>32040.07</v>
      </c>
    </row>
    <row r="2532" spans="1:9" x14ac:dyDescent="0.2">
      <c r="A2532" s="333">
        <v>2531</v>
      </c>
      <c r="B2532" s="334">
        <v>44127</v>
      </c>
      <c r="C2532" s="334">
        <v>44158</v>
      </c>
      <c r="D2532" s="335" t="s">
        <v>1092</v>
      </c>
      <c r="E2532" s="335" t="s">
        <v>422</v>
      </c>
      <c r="F2532" s="335" t="s">
        <v>701</v>
      </c>
      <c r="G2532" s="335" t="s">
        <v>5146</v>
      </c>
      <c r="H2532" s="335" t="s">
        <v>5147</v>
      </c>
      <c r="I2532" s="341">
        <v>300000</v>
      </c>
    </row>
    <row r="2533" spans="1:9" x14ac:dyDescent="0.2">
      <c r="A2533" s="333">
        <v>2532</v>
      </c>
      <c r="B2533" s="334">
        <v>44127</v>
      </c>
      <c r="C2533" s="334">
        <v>44144</v>
      </c>
      <c r="D2533" s="335" t="s">
        <v>1092</v>
      </c>
      <c r="E2533" s="335" t="s">
        <v>422</v>
      </c>
      <c r="F2533" s="335" t="s">
        <v>396</v>
      </c>
      <c r="G2533" s="335" t="s">
        <v>5148</v>
      </c>
      <c r="H2533" s="335" t="s">
        <v>5149</v>
      </c>
      <c r="I2533" s="341">
        <v>76426.67</v>
      </c>
    </row>
    <row r="2534" spans="1:9" x14ac:dyDescent="0.2">
      <c r="A2534" s="333">
        <v>2533</v>
      </c>
      <c r="B2534" s="334">
        <v>44130</v>
      </c>
      <c r="C2534" s="334">
        <v>44146</v>
      </c>
      <c r="D2534" s="335" t="s">
        <v>1092</v>
      </c>
      <c r="E2534" s="335" t="s">
        <v>392</v>
      </c>
      <c r="F2534" s="335" t="s">
        <v>71</v>
      </c>
      <c r="G2534" s="335" t="s">
        <v>5150</v>
      </c>
      <c r="H2534" s="335" t="s">
        <v>5151</v>
      </c>
      <c r="I2534" s="341">
        <v>25993.11</v>
      </c>
    </row>
    <row r="2535" spans="1:9" x14ac:dyDescent="0.2">
      <c r="A2535" s="333">
        <v>2534</v>
      </c>
      <c r="B2535" s="334">
        <v>44130</v>
      </c>
      <c r="C2535" s="334">
        <v>44146</v>
      </c>
      <c r="D2535" s="335" t="s">
        <v>1092</v>
      </c>
      <c r="E2535" s="335" t="s">
        <v>392</v>
      </c>
      <c r="F2535" s="335" t="s">
        <v>1272</v>
      </c>
      <c r="G2535" s="335" t="s">
        <v>5152</v>
      </c>
      <c r="H2535" s="335" t="s">
        <v>5153</v>
      </c>
      <c r="I2535" s="341">
        <v>19933.2</v>
      </c>
    </row>
    <row r="2536" spans="1:9" x14ac:dyDescent="0.2">
      <c r="A2536" s="333">
        <v>2535</v>
      </c>
      <c r="B2536" s="334">
        <v>44130</v>
      </c>
      <c r="C2536" s="334">
        <v>44146</v>
      </c>
      <c r="D2536" s="335" t="s">
        <v>1092</v>
      </c>
      <c r="E2536" s="335" t="s">
        <v>392</v>
      </c>
      <c r="F2536" s="335" t="s">
        <v>1272</v>
      </c>
      <c r="G2536" s="335" t="s">
        <v>5154</v>
      </c>
      <c r="H2536" s="335" t="s">
        <v>5155</v>
      </c>
      <c r="I2536" s="341">
        <v>66444.89</v>
      </c>
    </row>
    <row r="2537" spans="1:9" x14ac:dyDescent="0.2">
      <c r="A2537" s="333">
        <v>2536</v>
      </c>
      <c r="B2537" s="334">
        <v>44131</v>
      </c>
      <c r="C2537" s="334">
        <v>44151</v>
      </c>
      <c r="D2537" s="335" t="s">
        <v>1092</v>
      </c>
      <c r="E2537" s="335" t="s">
        <v>392</v>
      </c>
      <c r="F2537" s="335" t="s">
        <v>701</v>
      </c>
      <c r="G2537" s="335" t="s">
        <v>5156</v>
      </c>
      <c r="H2537" s="335" t="s">
        <v>5157</v>
      </c>
      <c r="I2537" s="341">
        <v>55100</v>
      </c>
    </row>
    <row r="2538" spans="1:9" x14ac:dyDescent="0.2">
      <c r="A2538" s="333">
        <v>2537</v>
      </c>
      <c r="B2538" s="334">
        <v>44131</v>
      </c>
      <c r="C2538" s="334">
        <v>44151</v>
      </c>
      <c r="D2538" s="335" t="s">
        <v>1092</v>
      </c>
      <c r="E2538" s="335" t="s">
        <v>422</v>
      </c>
      <c r="F2538" s="335" t="s">
        <v>701</v>
      </c>
      <c r="G2538" s="335" t="s">
        <v>5158</v>
      </c>
      <c r="H2538" s="335" t="s">
        <v>5159</v>
      </c>
      <c r="I2538" s="341">
        <v>19000</v>
      </c>
    </row>
    <row r="2539" spans="1:9" x14ac:dyDescent="0.2">
      <c r="A2539" s="333">
        <v>2538</v>
      </c>
      <c r="B2539" s="334">
        <v>44131</v>
      </c>
      <c r="C2539" s="334">
        <v>44151</v>
      </c>
      <c r="D2539" s="335" t="s">
        <v>1092</v>
      </c>
      <c r="E2539" s="335" t="s">
        <v>392</v>
      </c>
      <c r="F2539" s="335" t="s">
        <v>9</v>
      </c>
      <c r="G2539" s="335" t="s">
        <v>5161</v>
      </c>
      <c r="H2539" s="335" t="s">
        <v>5160</v>
      </c>
      <c r="I2539" s="341">
        <v>96172.7</v>
      </c>
    </row>
    <row r="2540" spans="1:9" x14ac:dyDescent="0.2">
      <c r="A2540" s="333">
        <v>2539</v>
      </c>
      <c r="B2540" s="334">
        <v>44131</v>
      </c>
      <c r="C2540" s="334">
        <v>44158</v>
      </c>
      <c r="D2540" s="335" t="s">
        <v>1092</v>
      </c>
      <c r="E2540" s="335" t="s">
        <v>422</v>
      </c>
      <c r="F2540" s="335" t="s">
        <v>701</v>
      </c>
      <c r="G2540" s="335" t="s">
        <v>5162</v>
      </c>
      <c r="H2540" s="335" t="s">
        <v>5163</v>
      </c>
      <c r="I2540" s="341">
        <v>400000</v>
      </c>
    </row>
    <row r="2541" spans="1:9" x14ac:dyDescent="0.2">
      <c r="A2541" s="333">
        <v>2540</v>
      </c>
      <c r="B2541" s="334">
        <v>44134</v>
      </c>
      <c r="C2541" s="334">
        <v>44151</v>
      </c>
      <c r="D2541" s="335" t="s">
        <v>1092</v>
      </c>
      <c r="E2541" s="335" t="s">
        <v>392</v>
      </c>
      <c r="F2541" s="335" t="s">
        <v>4469</v>
      </c>
      <c r="G2541" s="335" t="s">
        <v>5164</v>
      </c>
      <c r="H2541" s="335" t="s">
        <v>5165</v>
      </c>
      <c r="I2541" s="341">
        <v>11400</v>
      </c>
    </row>
    <row r="2542" spans="1:9" x14ac:dyDescent="0.2">
      <c r="A2542" s="333">
        <v>2541</v>
      </c>
      <c r="B2542" s="334">
        <v>44134</v>
      </c>
      <c r="C2542" s="334">
        <v>44151</v>
      </c>
      <c r="D2542" s="335" t="s">
        <v>1092</v>
      </c>
      <c r="E2542" s="335" t="s">
        <v>392</v>
      </c>
      <c r="F2542" s="335" t="s">
        <v>4469</v>
      </c>
      <c r="G2542" s="335" t="s">
        <v>5166</v>
      </c>
      <c r="H2542" s="335" t="s">
        <v>5167</v>
      </c>
      <c r="I2542" s="341">
        <v>14400</v>
      </c>
    </row>
    <row r="2543" spans="1:9" x14ac:dyDescent="0.2">
      <c r="A2543" s="333">
        <v>2542</v>
      </c>
      <c r="B2543" s="334">
        <v>44134</v>
      </c>
      <c r="C2543" s="334">
        <v>44153</v>
      </c>
      <c r="D2543" s="335" t="s">
        <v>1092</v>
      </c>
      <c r="E2543" s="335" t="s">
        <v>392</v>
      </c>
      <c r="F2543" s="335" t="s">
        <v>71</v>
      </c>
      <c r="G2543" s="335" t="s">
        <v>5168</v>
      </c>
      <c r="H2543" s="335" t="s">
        <v>5169</v>
      </c>
      <c r="I2543" s="341">
        <v>22999.15</v>
      </c>
    </row>
    <row r="2544" spans="1:9" x14ac:dyDescent="0.2">
      <c r="A2544" s="333">
        <v>2543</v>
      </c>
      <c r="B2544" s="334">
        <v>44134</v>
      </c>
      <c r="C2544" s="334">
        <v>44151</v>
      </c>
      <c r="D2544" s="335" t="s">
        <v>1092</v>
      </c>
      <c r="E2544" s="335" t="s">
        <v>392</v>
      </c>
      <c r="F2544" s="335" t="s">
        <v>71</v>
      </c>
      <c r="G2544" s="335" t="s">
        <v>5170</v>
      </c>
      <c r="H2544" s="335" t="s">
        <v>5171</v>
      </c>
      <c r="I2544" s="341">
        <v>19561.939999999999</v>
      </c>
    </row>
    <row r="2545" spans="1:9" x14ac:dyDescent="0.2">
      <c r="A2545" s="333">
        <v>2544</v>
      </c>
      <c r="B2545" s="334">
        <v>44134</v>
      </c>
      <c r="C2545" s="334">
        <v>44151</v>
      </c>
      <c r="D2545" s="335" t="s">
        <v>1092</v>
      </c>
      <c r="E2545" s="335" t="s">
        <v>392</v>
      </c>
      <c r="F2545" s="335" t="s">
        <v>71</v>
      </c>
      <c r="G2545" s="335" t="s">
        <v>5172</v>
      </c>
      <c r="H2545" s="335" t="s">
        <v>5173</v>
      </c>
      <c r="I2545" s="341">
        <v>9584.9</v>
      </c>
    </row>
    <row r="2546" spans="1:9" x14ac:dyDescent="0.2">
      <c r="A2546" s="333">
        <v>2545</v>
      </c>
      <c r="B2546" s="334">
        <v>44134</v>
      </c>
      <c r="C2546" s="334">
        <v>44151</v>
      </c>
      <c r="D2546" s="335" t="s">
        <v>1092</v>
      </c>
      <c r="E2546" s="335" t="s">
        <v>392</v>
      </c>
      <c r="F2546" s="335" t="s">
        <v>1272</v>
      </c>
      <c r="G2546" s="335" t="s">
        <v>5174</v>
      </c>
      <c r="H2546" s="335" t="s">
        <v>5175</v>
      </c>
      <c r="I2546" s="341">
        <v>38000</v>
      </c>
    </row>
    <row r="2547" spans="1:9" x14ac:dyDescent="0.2">
      <c r="A2547" s="333">
        <v>2546</v>
      </c>
      <c r="B2547" s="334">
        <v>44134</v>
      </c>
      <c r="C2547" s="334">
        <v>44151</v>
      </c>
      <c r="D2547" s="335" t="s">
        <v>1092</v>
      </c>
      <c r="E2547" s="335" t="s">
        <v>392</v>
      </c>
      <c r="F2547" s="335" t="s">
        <v>71</v>
      </c>
      <c r="G2547" s="335" t="s">
        <v>5176</v>
      </c>
      <c r="H2547" s="335" t="s">
        <v>5177</v>
      </c>
      <c r="I2547" s="341">
        <v>21515.13</v>
      </c>
    </row>
    <row r="2548" spans="1:9" x14ac:dyDescent="0.2">
      <c r="A2548" s="333">
        <v>2547</v>
      </c>
      <c r="B2548" s="334">
        <v>44134</v>
      </c>
      <c r="C2548" s="334">
        <v>44153</v>
      </c>
      <c r="D2548" s="335" t="s">
        <v>1092</v>
      </c>
      <c r="E2548" s="335" t="s">
        <v>392</v>
      </c>
      <c r="F2548" s="335" t="s">
        <v>1272</v>
      </c>
      <c r="G2548" s="335" t="s">
        <v>5178</v>
      </c>
      <c r="H2548" s="335" t="s">
        <v>5179</v>
      </c>
      <c r="I2548" s="341">
        <v>62000</v>
      </c>
    </row>
    <row r="2549" spans="1:9" x14ac:dyDescent="0.2">
      <c r="A2549" s="333">
        <v>2548</v>
      </c>
      <c r="B2549" s="334">
        <v>44134</v>
      </c>
      <c r="C2549" s="334">
        <v>44153</v>
      </c>
      <c r="D2549" s="335" t="s">
        <v>1092</v>
      </c>
      <c r="E2549" s="335" t="s">
        <v>392</v>
      </c>
      <c r="F2549" s="335" t="s">
        <v>71</v>
      </c>
      <c r="G2549" s="335" t="s">
        <v>5180</v>
      </c>
      <c r="H2549" s="335" t="s">
        <v>5181</v>
      </c>
      <c r="I2549" s="341">
        <v>33261.279999999999</v>
      </c>
    </row>
    <row r="2550" spans="1:9" x14ac:dyDescent="0.2">
      <c r="A2550" s="333">
        <v>2549</v>
      </c>
      <c r="B2550" s="334">
        <v>44134</v>
      </c>
      <c r="C2550" s="334">
        <v>44153</v>
      </c>
      <c r="D2550" s="335" t="s">
        <v>1092</v>
      </c>
      <c r="E2550" s="335" t="s">
        <v>392</v>
      </c>
      <c r="F2550" s="335" t="s">
        <v>1272</v>
      </c>
      <c r="G2550" s="335" t="s">
        <v>5182</v>
      </c>
      <c r="H2550" s="335" t="s">
        <v>5183</v>
      </c>
      <c r="I2550" s="341">
        <v>26272.799999999999</v>
      </c>
    </row>
    <row r="2551" spans="1:9" x14ac:dyDescent="0.2">
      <c r="A2551" s="333">
        <v>2550</v>
      </c>
      <c r="B2551" s="334">
        <v>44134</v>
      </c>
      <c r="C2551" s="334">
        <v>44153</v>
      </c>
      <c r="D2551" s="335" t="s">
        <v>1092</v>
      </c>
      <c r="E2551" s="335" t="s">
        <v>392</v>
      </c>
      <c r="F2551" s="335" t="s">
        <v>1272</v>
      </c>
      <c r="G2551" s="335" t="s">
        <v>5184</v>
      </c>
      <c r="H2551" s="335" t="s">
        <v>5185</v>
      </c>
      <c r="I2551" s="341">
        <v>87574.67</v>
      </c>
    </row>
    <row r="2552" spans="1:9" x14ac:dyDescent="0.2">
      <c r="A2552" s="333">
        <v>2551</v>
      </c>
      <c r="B2552" s="334">
        <v>44134</v>
      </c>
      <c r="C2552" s="334">
        <v>44151</v>
      </c>
      <c r="D2552" s="335" t="s">
        <v>1092</v>
      </c>
      <c r="E2552" s="335" t="s">
        <v>392</v>
      </c>
      <c r="F2552" s="335" t="s">
        <v>1272</v>
      </c>
      <c r="G2552" s="335" t="s">
        <v>5186</v>
      </c>
      <c r="H2552" s="335" t="s">
        <v>5187</v>
      </c>
      <c r="I2552" s="341">
        <v>42000</v>
      </c>
    </row>
    <row r="2553" spans="1:9" x14ac:dyDescent="0.2">
      <c r="A2553" s="333">
        <v>2552</v>
      </c>
      <c r="B2553" s="334">
        <v>44134</v>
      </c>
      <c r="C2553" s="334">
        <v>44151</v>
      </c>
      <c r="D2553" s="335" t="s">
        <v>1092</v>
      </c>
      <c r="E2553" s="335" t="s">
        <v>392</v>
      </c>
      <c r="F2553" s="335" t="s">
        <v>1272</v>
      </c>
      <c r="G2553" s="335" t="s">
        <v>5188</v>
      </c>
      <c r="H2553" s="335" t="s">
        <v>5189</v>
      </c>
      <c r="I2553" s="341">
        <v>11400</v>
      </c>
    </row>
    <row r="2554" spans="1:9" x14ac:dyDescent="0.2">
      <c r="A2554" s="333">
        <v>2553</v>
      </c>
      <c r="B2554" s="334">
        <v>44134</v>
      </c>
      <c r="C2554" s="334">
        <v>44153</v>
      </c>
      <c r="D2554" s="335" t="s">
        <v>1092</v>
      </c>
      <c r="E2554" s="335" t="s">
        <v>392</v>
      </c>
      <c r="F2554" s="335" t="s">
        <v>1272</v>
      </c>
      <c r="G2554" s="335" t="s">
        <v>5190</v>
      </c>
      <c r="H2554" s="335" t="s">
        <v>5191</v>
      </c>
      <c r="I2554" s="341">
        <v>18600</v>
      </c>
    </row>
    <row r="2555" spans="1:9" x14ac:dyDescent="0.2">
      <c r="A2555" s="333">
        <v>2554</v>
      </c>
      <c r="B2555" s="334">
        <v>44134</v>
      </c>
      <c r="C2555" s="334">
        <v>44151</v>
      </c>
      <c r="D2555" s="335" t="s">
        <v>1092</v>
      </c>
      <c r="E2555" s="335" t="s">
        <v>392</v>
      </c>
      <c r="F2555" s="335" t="s">
        <v>1272</v>
      </c>
      <c r="G2555" s="335" t="s">
        <v>5194</v>
      </c>
      <c r="H2555" s="335" t="s">
        <v>5195</v>
      </c>
      <c r="I2555" s="341">
        <v>48000</v>
      </c>
    </row>
    <row r="2556" spans="1:9" x14ac:dyDescent="0.2">
      <c r="A2556" s="333">
        <v>2555</v>
      </c>
      <c r="B2556" s="334">
        <v>44137</v>
      </c>
      <c r="C2556" s="334">
        <v>44153</v>
      </c>
      <c r="D2556" s="335" t="s">
        <v>1092</v>
      </c>
      <c r="E2556" s="335" t="s">
        <v>422</v>
      </c>
      <c r="F2556" s="335" t="s">
        <v>701</v>
      </c>
      <c r="G2556" s="335" t="s">
        <v>5192</v>
      </c>
      <c r="H2556" s="335" t="s">
        <v>5193</v>
      </c>
      <c r="I2556" s="341">
        <v>97470</v>
      </c>
    </row>
    <row r="2557" spans="1:9" x14ac:dyDescent="0.2">
      <c r="A2557" s="333">
        <v>2556</v>
      </c>
      <c r="B2557" s="334">
        <v>44140</v>
      </c>
      <c r="C2557" s="334">
        <v>44165</v>
      </c>
      <c r="D2557" s="335" t="s">
        <v>1092</v>
      </c>
      <c r="E2557" s="335" t="s">
        <v>392</v>
      </c>
      <c r="F2557" s="335" t="s">
        <v>9</v>
      </c>
      <c r="G2557" s="335" t="s">
        <v>5196</v>
      </c>
      <c r="H2557" s="335" t="s">
        <v>5197</v>
      </c>
      <c r="I2557" s="341">
        <v>279526.37</v>
      </c>
    </row>
    <row r="2558" spans="1:9" x14ac:dyDescent="0.2">
      <c r="A2558" s="333">
        <v>2557</v>
      </c>
      <c r="B2558" s="334">
        <v>44145</v>
      </c>
      <c r="C2558" s="334">
        <v>44179</v>
      </c>
      <c r="D2558" s="335" t="s">
        <v>1092</v>
      </c>
      <c r="E2558" s="335" t="s">
        <v>422</v>
      </c>
      <c r="F2558" s="335" t="s">
        <v>701</v>
      </c>
      <c r="G2558" s="335" t="s">
        <v>5198</v>
      </c>
      <c r="H2558" s="335" t="s">
        <v>5199</v>
      </c>
      <c r="I2558" s="341">
        <v>565000</v>
      </c>
    </row>
    <row r="2559" spans="1:9" x14ac:dyDescent="0.2">
      <c r="A2559" s="333">
        <v>2558</v>
      </c>
      <c r="B2559" s="334">
        <v>44147</v>
      </c>
      <c r="C2559" s="334">
        <v>44167</v>
      </c>
      <c r="D2559" s="335" t="s">
        <v>1092</v>
      </c>
      <c r="E2559" s="335" t="s">
        <v>422</v>
      </c>
      <c r="F2559" s="335" t="s">
        <v>396</v>
      </c>
      <c r="G2559" s="335" t="s">
        <v>5200</v>
      </c>
      <c r="H2559" s="335" t="s">
        <v>5201</v>
      </c>
      <c r="I2559" s="341">
        <v>45106.67</v>
      </c>
    </row>
    <row r="2560" spans="1:9" x14ac:dyDescent="0.2">
      <c r="A2560" s="333">
        <v>2559</v>
      </c>
      <c r="B2560" s="334">
        <v>44147</v>
      </c>
      <c r="C2560" s="334">
        <v>44167</v>
      </c>
      <c r="D2560" s="335" t="s">
        <v>1092</v>
      </c>
      <c r="E2560" s="335" t="s">
        <v>422</v>
      </c>
      <c r="F2560" s="335" t="s">
        <v>71</v>
      </c>
      <c r="G2560" s="335" t="s">
        <v>5202</v>
      </c>
      <c r="H2560" s="335" t="s">
        <v>5203</v>
      </c>
      <c r="I2560" s="341">
        <v>10055.709999999999</v>
      </c>
    </row>
    <row r="2561" spans="1:9" x14ac:dyDescent="0.2">
      <c r="A2561" s="333">
        <v>2560</v>
      </c>
      <c r="B2561" s="334">
        <v>44147</v>
      </c>
      <c r="C2561" s="334">
        <v>44167</v>
      </c>
      <c r="D2561" s="335" t="s">
        <v>1092</v>
      </c>
      <c r="E2561" s="335" t="s">
        <v>422</v>
      </c>
      <c r="F2561" s="335" t="s">
        <v>396</v>
      </c>
      <c r="G2561" s="335" t="s">
        <v>5204</v>
      </c>
      <c r="H2561" s="335" t="s">
        <v>5205</v>
      </c>
      <c r="I2561" s="341">
        <v>11400</v>
      </c>
    </row>
    <row r="2562" spans="1:9" x14ac:dyDescent="0.2">
      <c r="A2562" s="333">
        <v>2561</v>
      </c>
      <c r="B2562" s="334">
        <v>44148</v>
      </c>
      <c r="C2562" s="334">
        <v>44167</v>
      </c>
      <c r="D2562" s="335" t="s">
        <v>1092</v>
      </c>
      <c r="E2562" s="335" t="s">
        <v>392</v>
      </c>
      <c r="F2562" s="335" t="s">
        <v>1272</v>
      </c>
      <c r="G2562" s="335" t="s">
        <v>5206</v>
      </c>
      <c r="H2562" s="335" t="s">
        <v>5209</v>
      </c>
      <c r="I2562" s="341">
        <v>172800</v>
      </c>
    </row>
    <row r="2563" spans="1:9" x14ac:dyDescent="0.2">
      <c r="A2563" s="333">
        <v>2562</v>
      </c>
      <c r="B2563" s="334">
        <v>44148</v>
      </c>
      <c r="C2563" s="334">
        <v>44167</v>
      </c>
      <c r="D2563" s="335" t="s">
        <v>1092</v>
      </c>
      <c r="E2563" s="335" t="s">
        <v>392</v>
      </c>
      <c r="F2563" s="335" t="s">
        <v>71</v>
      </c>
      <c r="G2563" s="335" t="s">
        <v>5207</v>
      </c>
      <c r="H2563" s="335" t="s">
        <v>5210</v>
      </c>
      <c r="I2563" s="341">
        <v>159907.23000000001</v>
      </c>
    </row>
    <row r="2564" spans="1:9" x14ac:dyDescent="0.2">
      <c r="A2564" s="333">
        <v>2563</v>
      </c>
      <c r="B2564" s="334">
        <v>44148</v>
      </c>
      <c r="C2564" s="334">
        <v>44179</v>
      </c>
      <c r="D2564" s="335" t="s">
        <v>1092</v>
      </c>
      <c r="E2564" s="335" t="s">
        <v>392</v>
      </c>
      <c r="F2564" s="335" t="s">
        <v>1272</v>
      </c>
      <c r="G2564" s="335" t="s">
        <v>5208</v>
      </c>
      <c r="H2564" s="335" t="s">
        <v>5211</v>
      </c>
      <c r="I2564" s="341">
        <v>576036.18000000005</v>
      </c>
    </row>
    <row r="2565" spans="1:9" x14ac:dyDescent="0.2">
      <c r="A2565" s="333">
        <v>2564</v>
      </c>
      <c r="B2565" s="334">
        <v>44152</v>
      </c>
      <c r="C2565" s="334">
        <v>44174</v>
      </c>
      <c r="D2565" s="335" t="s">
        <v>1092</v>
      </c>
      <c r="E2565" s="335" t="s">
        <v>392</v>
      </c>
      <c r="F2565" s="335" t="s">
        <v>71</v>
      </c>
      <c r="G2565" s="335" t="s">
        <v>5212</v>
      </c>
      <c r="H2565" s="335" t="s">
        <v>5215</v>
      </c>
      <c r="I2565" s="341">
        <v>60427.76</v>
      </c>
    </row>
    <row r="2566" spans="1:9" x14ac:dyDescent="0.2">
      <c r="A2566" s="333">
        <v>2565</v>
      </c>
      <c r="B2566" s="334">
        <v>44152</v>
      </c>
      <c r="C2566" s="334">
        <v>44172</v>
      </c>
      <c r="D2566" s="335" t="s">
        <v>1092</v>
      </c>
      <c r="E2566" s="335" t="s">
        <v>392</v>
      </c>
      <c r="F2566" s="335" t="s">
        <v>1272</v>
      </c>
      <c r="G2566" s="335" t="s">
        <v>5213</v>
      </c>
      <c r="H2566" s="335" t="s">
        <v>5216</v>
      </c>
      <c r="I2566" s="341">
        <v>26760</v>
      </c>
    </row>
    <row r="2567" spans="1:9" x14ac:dyDescent="0.2">
      <c r="A2567" s="333">
        <v>2566</v>
      </c>
      <c r="B2567" s="334">
        <v>44152</v>
      </c>
      <c r="C2567" s="334">
        <v>44172</v>
      </c>
      <c r="D2567" s="335" t="s">
        <v>1092</v>
      </c>
      <c r="E2567" s="335" t="s">
        <v>392</v>
      </c>
      <c r="F2567" s="335" t="s">
        <v>1272</v>
      </c>
      <c r="G2567" s="335" t="s">
        <v>5214</v>
      </c>
      <c r="H2567" s="335" t="s">
        <v>5217</v>
      </c>
      <c r="I2567" s="341">
        <v>89406.64</v>
      </c>
    </row>
    <row r="2568" spans="1:9" x14ac:dyDescent="0.2">
      <c r="A2568" s="333">
        <v>2567</v>
      </c>
      <c r="B2568" s="334">
        <v>44155</v>
      </c>
      <c r="C2568" s="334">
        <v>44174</v>
      </c>
      <c r="D2568" s="335" t="s">
        <v>1092</v>
      </c>
      <c r="E2568" s="335" t="s">
        <v>422</v>
      </c>
      <c r="F2568" s="335" t="s">
        <v>1276</v>
      </c>
      <c r="G2568" s="335" t="s">
        <v>5218</v>
      </c>
      <c r="H2568" s="335" t="s">
        <v>5219</v>
      </c>
      <c r="I2568" s="341">
        <v>51333.34</v>
      </c>
    </row>
    <row r="2569" spans="1:9" x14ac:dyDescent="0.2">
      <c r="A2569" s="333">
        <v>2568</v>
      </c>
      <c r="B2569" s="334">
        <v>44155</v>
      </c>
      <c r="C2569" s="334">
        <v>44172</v>
      </c>
      <c r="D2569" s="335" t="s">
        <v>1092</v>
      </c>
      <c r="E2569" s="335" t="s">
        <v>422</v>
      </c>
      <c r="F2569" s="335" t="s">
        <v>701</v>
      </c>
      <c r="G2569" s="335" t="s">
        <v>5220</v>
      </c>
      <c r="H2569" s="335" t="s">
        <v>5221</v>
      </c>
      <c r="I2569" s="341">
        <v>100000</v>
      </c>
    </row>
    <row r="2570" spans="1:9" x14ac:dyDescent="0.2">
      <c r="A2570" s="333">
        <v>2569</v>
      </c>
      <c r="B2570" s="334">
        <v>44155</v>
      </c>
      <c r="C2570" s="334">
        <v>44172</v>
      </c>
      <c r="D2570" s="335" t="s">
        <v>1092</v>
      </c>
      <c r="E2570" s="335" t="s">
        <v>392</v>
      </c>
      <c r="F2570" s="335" t="s">
        <v>701</v>
      </c>
      <c r="G2570" s="335" t="s">
        <v>5222</v>
      </c>
      <c r="H2570" s="335" t="s">
        <v>5223</v>
      </c>
      <c r="I2570" s="341">
        <v>100000</v>
      </c>
    </row>
    <row r="2571" spans="1:9" x14ac:dyDescent="0.2">
      <c r="A2571" s="333">
        <v>2570</v>
      </c>
      <c r="B2571" s="334">
        <v>44155</v>
      </c>
      <c r="C2571" s="334">
        <v>44174</v>
      </c>
      <c r="D2571" s="335" t="s">
        <v>1092</v>
      </c>
      <c r="E2571" s="335" t="s">
        <v>422</v>
      </c>
      <c r="F2571" s="335" t="s">
        <v>71</v>
      </c>
      <c r="G2571" s="335" t="s">
        <v>5224</v>
      </c>
      <c r="H2571" s="335" t="s">
        <v>5225</v>
      </c>
      <c r="I2571" s="341">
        <v>12987.34</v>
      </c>
    </row>
    <row r="2572" spans="1:9" x14ac:dyDescent="0.2">
      <c r="A2572" s="333">
        <v>2571</v>
      </c>
      <c r="B2572" s="334">
        <v>44155</v>
      </c>
      <c r="C2572" s="334">
        <v>44174</v>
      </c>
      <c r="D2572" s="335" t="s">
        <v>1092</v>
      </c>
      <c r="E2572" s="335" t="s">
        <v>422</v>
      </c>
      <c r="F2572" s="335" t="s">
        <v>1276</v>
      </c>
      <c r="G2572" s="335" t="s">
        <v>5226</v>
      </c>
      <c r="H2572" s="335" t="s">
        <v>5227</v>
      </c>
      <c r="I2572" s="341">
        <v>10800</v>
      </c>
    </row>
    <row r="2573" spans="1:9" x14ac:dyDescent="0.2">
      <c r="A2573" s="333">
        <v>2572</v>
      </c>
      <c r="B2573" s="334">
        <v>44158</v>
      </c>
      <c r="C2573" s="334">
        <v>44174</v>
      </c>
      <c r="D2573" s="335" t="s">
        <v>1092</v>
      </c>
      <c r="E2573" s="335" t="s">
        <v>422</v>
      </c>
      <c r="F2573" s="335" t="s">
        <v>71</v>
      </c>
      <c r="G2573" s="335" t="s">
        <v>5228</v>
      </c>
      <c r="H2573" s="335" t="s">
        <v>5230</v>
      </c>
      <c r="I2573" s="341">
        <v>7293.87</v>
      </c>
    </row>
    <row r="2574" spans="1:9" x14ac:dyDescent="0.2">
      <c r="A2574" s="333">
        <v>2573</v>
      </c>
      <c r="B2574" s="334">
        <v>44158</v>
      </c>
      <c r="C2574" s="334">
        <v>44174</v>
      </c>
      <c r="D2574" s="335" t="s">
        <v>1092</v>
      </c>
      <c r="E2574" s="335" t="s">
        <v>422</v>
      </c>
      <c r="F2574" s="335" t="s">
        <v>1276</v>
      </c>
      <c r="G2574" s="335" t="s">
        <v>5229</v>
      </c>
      <c r="H2574" s="335" t="s">
        <v>5231</v>
      </c>
      <c r="I2574" s="341">
        <v>15000</v>
      </c>
    </row>
    <row r="2575" spans="1:9" x14ac:dyDescent="0.2">
      <c r="A2575" s="333">
        <v>2574</v>
      </c>
      <c r="B2575" s="334">
        <v>44161</v>
      </c>
      <c r="C2575" s="334">
        <v>44179</v>
      </c>
      <c r="D2575" s="335" t="s">
        <v>1092</v>
      </c>
      <c r="E2575" s="335" t="s">
        <v>392</v>
      </c>
      <c r="F2575" s="335" t="s">
        <v>10</v>
      </c>
      <c r="G2575" s="335" t="s">
        <v>5233</v>
      </c>
      <c r="H2575" s="335" t="s">
        <v>5232</v>
      </c>
      <c r="I2575" s="341">
        <v>50578.51</v>
      </c>
    </row>
    <row r="2576" spans="1:9" x14ac:dyDescent="0.2">
      <c r="A2576" s="333">
        <v>2575</v>
      </c>
      <c r="B2576" s="334">
        <v>44161</v>
      </c>
      <c r="C2576" s="334">
        <v>44179</v>
      </c>
      <c r="D2576" s="335" t="s">
        <v>1092</v>
      </c>
      <c r="E2576" s="335" t="s">
        <v>392</v>
      </c>
      <c r="F2576" s="335" t="s">
        <v>10</v>
      </c>
      <c r="G2576" s="335" t="s">
        <v>5234</v>
      </c>
      <c r="H2576" s="335" t="s">
        <v>5235</v>
      </c>
      <c r="I2576" s="341">
        <v>45743.8</v>
      </c>
    </row>
    <row r="2577" spans="1:9" x14ac:dyDescent="0.2">
      <c r="A2577" s="333">
        <v>2576</v>
      </c>
      <c r="B2577" s="334">
        <v>44161</v>
      </c>
      <c r="C2577" s="334">
        <v>44179</v>
      </c>
      <c r="D2577" s="335" t="s">
        <v>1092</v>
      </c>
      <c r="E2577" s="335" t="s">
        <v>392</v>
      </c>
      <c r="F2577" s="335" t="s">
        <v>10</v>
      </c>
      <c r="G2577" s="335" t="s">
        <v>5236</v>
      </c>
      <c r="H2577" s="335" t="s">
        <v>5237</v>
      </c>
      <c r="I2577" s="341">
        <v>51322.32</v>
      </c>
    </row>
    <row r="2578" spans="1:9" x14ac:dyDescent="0.2">
      <c r="A2578" s="333">
        <v>2577</v>
      </c>
      <c r="B2578" s="334">
        <v>44161</v>
      </c>
      <c r="C2578" s="334">
        <v>44179</v>
      </c>
      <c r="D2578" s="335" t="s">
        <v>1092</v>
      </c>
      <c r="E2578" s="339" t="s">
        <v>392</v>
      </c>
      <c r="F2578" s="335" t="s">
        <v>10</v>
      </c>
      <c r="G2578" s="335" t="s">
        <v>5236</v>
      </c>
      <c r="H2578" s="335" t="s">
        <v>5238</v>
      </c>
      <c r="I2578" s="341">
        <v>41838.85</v>
      </c>
    </row>
    <row r="2579" spans="1:9" x14ac:dyDescent="0.2">
      <c r="A2579" s="333">
        <v>2578</v>
      </c>
      <c r="B2579" s="334">
        <v>44161</v>
      </c>
      <c r="C2579" s="334">
        <v>44179</v>
      </c>
      <c r="D2579" s="335" t="s">
        <v>1092</v>
      </c>
      <c r="E2579" s="335" t="s">
        <v>392</v>
      </c>
      <c r="F2579" s="335" t="s">
        <v>10</v>
      </c>
      <c r="G2579" s="335" t="s">
        <v>5239</v>
      </c>
      <c r="H2579" s="335" t="s">
        <v>5240</v>
      </c>
      <c r="I2579" s="341">
        <v>48595.040000000001</v>
      </c>
    </row>
    <row r="2580" spans="1:9" x14ac:dyDescent="0.2">
      <c r="A2580" s="333">
        <v>2579</v>
      </c>
      <c r="B2580" s="334">
        <v>44161</v>
      </c>
      <c r="C2580" s="334">
        <v>44179</v>
      </c>
      <c r="D2580" s="335" t="s">
        <v>1092</v>
      </c>
      <c r="E2580" s="335" t="s">
        <v>392</v>
      </c>
      <c r="F2580" s="335" t="s">
        <v>10</v>
      </c>
      <c r="G2580" s="335" t="s">
        <v>5241</v>
      </c>
      <c r="H2580" s="335" t="s">
        <v>5242</v>
      </c>
      <c r="I2580" s="341">
        <v>37148.76</v>
      </c>
    </row>
    <row r="2581" spans="1:9" x14ac:dyDescent="0.2">
      <c r="A2581" s="333">
        <v>2580</v>
      </c>
      <c r="B2581" s="334">
        <v>44161</v>
      </c>
      <c r="C2581" s="334">
        <v>44179</v>
      </c>
      <c r="D2581" s="335" t="s">
        <v>1092</v>
      </c>
      <c r="E2581" s="335" t="s">
        <v>392</v>
      </c>
      <c r="F2581" s="335" t="s">
        <v>10</v>
      </c>
      <c r="G2581" s="335" t="s">
        <v>5243</v>
      </c>
      <c r="H2581" s="335" t="s">
        <v>5244</v>
      </c>
      <c r="I2581" s="341">
        <v>48099.17</v>
      </c>
    </row>
    <row r="2582" spans="1:9" x14ac:dyDescent="0.2">
      <c r="A2582" s="333">
        <v>2581</v>
      </c>
      <c r="B2582" s="334">
        <v>44161</v>
      </c>
      <c r="C2582" s="334">
        <v>44179</v>
      </c>
      <c r="D2582" s="335" t="s">
        <v>1092</v>
      </c>
      <c r="E2582" s="335" t="s">
        <v>392</v>
      </c>
      <c r="F2582" s="335" t="s">
        <v>10</v>
      </c>
      <c r="G2582" s="335" t="s">
        <v>5245</v>
      </c>
      <c r="H2582" s="335" t="s">
        <v>5246</v>
      </c>
      <c r="I2582" s="341">
        <v>31157.02</v>
      </c>
    </row>
    <row r="2583" spans="1:9" x14ac:dyDescent="0.2">
      <c r="A2583" s="333">
        <v>2582</v>
      </c>
      <c r="B2583" s="334">
        <v>44161</v>
      </c>
      <c r="C2583" s="334">
        <v>44179</v>
      </c>
      <c r="D2583" s="335" t="s">
        <v>1092</v>
      </c>
      <c r="E2583" s="335" t="s">
        <v>392</v>
      </c>
      <c r="F2583" s="335" t="s">
        <v>10</v>
      </c>
      <c r="G2583" s="335" t="s">
        <v>5247</v>
      </c>
      <c r="H2583" s="335" t="s">
        <v>5248</v>
      </c>
      <c r="I2583" s="341">
        <v>50082.64</v>
      </c>
    </row>
    <row r="2584" spans="1:9" x14ac:dyDescent="0.2">
      <c r="A2584" s="333">
        <v>2583</v>
      </c>
      <c r="B2584" s="334">
        <v>44161</v>
      </c>
      <c r="C2584" s="334">
        <v>44179</v>
      </c>
      <c r="D2584" s="335" t="s">
        <v>1092</v>
      </c>
      <c r="E2584" s="335" t="s">
        <v>392</v>
      </c>
      <c r="F2584" s="335" t="s">
        <v>10</v>
      </c>
      <c r="G2584" s="335" t="s">
        <v>5249</v>
      </c>
      <c r="H2584" s="335" t="s">
        <v>5250</v>
      </c>
      <c r="I2584" s="341">
        <v>42396.69</v>
      </c>
    </row>
    <row r="2585" spans="1:9" x14ac:dyDescent="0.2">
      <c r="A2585" s="333">
        <v>2584</v>
      </c>
      <c r="B2585" s="334">
        <v>44161</v>
      </c>
      <c r="C2585" s="334">
        <v>44179</v>
      </c>
      <c r="D2585" s="335" t="s">
        <v>1092</v>
      </c>
      <c r="E2585" s="335" t="s">
        <v>392</v>
      </c>
      <c r="F2585" s="335" t="s">
        <v>10</v>
      </c>
      <c r="G2585" s="335" t="s">
        <v>5251</v>
      </c>
      <c r="H2585" s="335" t="s">
        <v>5254</v>
      </c>
      <c r="I2585" s="341">
        <v>34752.06</v>
      </c>
    </row>
    <row r="2586" spans="1:9" x14ac:dyDescent="0.2">
      <c r="A2586" s="333">
        <v>2585</v>
      </c>
      <c r="B2586" s="334">
        <v>44161</v>
      </c>
      <c r="C2586" s="334">
        <v>44179</v>
      </c>
      <c r="D2586" s="335" t="s">
        <v>1092</v>
      </c>
      <c r="E2586" s="335" t="s">
        <v>422</v>
      </c>
      <c r="F2586" s="335" t="s">
        <v>701</v>
      </c>
      <c r="G2586" s="335" t="s">
        <v>5252</v>
      </c>
      <c r="H2586" s="335" t="s">
        <v>5253</v>
      </c>
      <c r="I2586" s="341">
        <v>30000</v>
      </c>
    </row>
    <row r="2587" spans="1:9" x14ac:dyDescent="0.2">
      <c r="A2587" s="333">
        <v>2586</v>
      </c>
      <c r="B2587" s="334">
        <v>44161</v>
      </c>
      <c r="C2587" s="334">
        <v>44179</v>
      </c>
      <c r="D2587" s="335" t="s">
        <v>1092</v>
      </c>
      <c r="E2587" s="335" t="s">
        <v>392</v>
      </c>
      <c r="F2587" s="335" t="s">
        <v>10</v>
      </c>
      <c r="G2587" s="335" t="s">
        <v>5255</v>
      </c>
      <c r="H2587" s="335" t="s">
        <v>5256</v>
      </c>
      <c r="I2587" s="341">
        <v>43512.4</v>
      </c>
    </row>
    <row r="2588" spans="1:9" x14ac:dyDescent="0.2">
      <c r="A2588" s="333">
        <v>2587</v>
      </c>
      <c r="B2588" s="334">
        <v>44161</v>
      </c>
      <c r="C2588" s="334">
        <v>44179</v>
      </c>
      <c r="D2588" s="335" t="s">
        <v>1092</v>
      </c>
      <c r="E2588" s="335" t="s">
        <v>392</v>
      </c>
      <c r="F2588" s="335" t="s">
        <v>10</v>
      </c>
      <c r="G2588" s="335" t="s">
        <v>5257</v>
      </c>
      <c r="H2588" s="335" t="s">
        <v>5258</v>
      </c>
      <c r="I2588" s="341">
        <v>55537.19</v>
      </c>
    </row>
    <row r="2589" spans="1:9" x14ac:dyDescent="0.2">
      <c r="A2589" s="333">
        <v>2588</v>
      </c>
      <c r="B2589" s="334">
        <v>44161</v>
      </c>
      <c r="C2589" s="334">
        <v>44179</v>
      </c>
      <c r="D2589" s="335" t="s">
        <v>1092</v>
      </c>
      <c r="E2589" s="335" t="s">
        <v>392</v>
      </c>
      <c r="F2589" s="335" t="s">
        <v>10</v>
      </c>
      <c r="G2589" s="335" t="s">
        <v>5259</v>
      </c>
      <c r="H2589" s="335" t="s">
        <v>5260</v>
      </c>
      <c r="I2589" s="341">
        <v>41942.15</v>
      </c>
    </row>
    <row r="2590" spans="1:9" x14ac:dyDescent="0.2">
      <c r="A2590" s="333">
        <v>2589</v>
      </c>
      <c r="B2590" s="334">
        <v>44161</v>
      </c>
      <c r="C2590" s="334">
        <v>44179</v>
      </c>
      <c r="D2590" s="335" t="s">
        <v>1092</v>
      </c>
      <c r="E2590" s="335" t="s">
        <v>392</v>
      </c>
      <c r="F2590" s="335" t="s">
        <v>10</v>
      </c>
      <c r="G2590" s="335" t="s">
        <v>5261</v>
      </c>
      <c r="H2590" s="335" t="s">
        <v>5262</v>
      </c>
      <c r="I2590" s="341">
        <v>41280.99</v>
      </c>
    </row>
    <row r="2591" spans="1:9" x14ac:dyDescent="0.2">
      <c r="A2591" s="333">
        <v>2590</v>
      </c>
      <c r="B2591" s="334">
        <v>44161</v>
      </c>
      <c r="C2591" s="334">
        <v>44179</v>
      </c>
      <c r="D2591" s="335" t="s">
        <v>1092</v>
      </c>
      <c r="E2591" s="335" t="s">
        <v>392</v>
      </c>
      <c r="F2591" s="335" t="s">
        <v>10</v>
      </c>
      <c r="G2591" s="335" t="s">
        <v>5263</v>
      </c>
      <c r="H2591" s="335" t="s">
        <v>5264</v>
      </c>
      <c r="I2591" s="341">
        <v>43140.5</v>
      </c>
    </row>
    <row r="2592" spans="1:9" x14ac:dyDescent="0.2">
      <c r="A2592" s="333">
        <v>2591</v>
      </c>
      <c r="B2592" s="334">
        <v>44161</v>
      </c>
      <c r="C2592" s="334">
        <v>44179</v>
      </c>
      <c r="D2592" s="335" t="s">
        <v>1092</v>
      </c>
      <c r="E2592" s="335" t="s">
        <v>392</v>
      </c>
      <c r="F2592" s="335" t="s">
        <v>10</v>
      </c>
      <c r="G2592" s="335" t="s">
        <v>5265</v>
      </c>
      <c r="H2592" s="335" t="s">
        <v>5266</v>
      </c>
      <c r="I2592" s="341">
        <v>16776.86</v>
      </c>
    </row>
    <row r="2593" spans="1:9" x14ac:dyDescent="0.2">
      <c r="A2593" s="333">
        <v>2592</v>
      </c>
      <c r="B2593" s="334">
        <v>44161</v>
      </c>
      <c r="C2593" s="334">
        <v>44179</v>
      </c>
      <c r="D2593" s="335" t="s">
        <v>1092</v>
      </c>
      <c r="E2593" s="335" t="s">
        <v>392</v>
      </c>
      <c r="F2593" s="335" t="s">
        <v>10</v>
      </c>
      <c r="G2593" s="335" t="s">
        <v>5267</v>
      </c>
      <c r="H2593" s="335" t="s">
        <v>5268</v>
      </c>
      <c r="I2593" s="341">
        <v>45185.95</v>
      </c>
    </row>
    <row r="2594" spans="1:9" x14ac:dyDescent="0.2">
      <c r="A2594" s="333">
        <v>2593</v>
      </c>
      <c r="B2594" s="334">
        <v>44161</v>
      </c>
      <c r="C2594" s="334">
        <v>44179</v>
      </c>
      <c r="D2594" s="335" t="s">
        <v>1092</v>
      </c>
      <c r="E2594" s="335" t="s">
        <v>392</v>
      </c>
      <c r="F2594" s="335" t="s">
        <v>10</v>
      </c>
      <c r="G2594" s="335" t="s">
        <v>5269</v>
      </c>
      <c r="H2594" s="335" t="s">
        <v>5270</v>
      </c>
      <c r="I2594" s="341">
        <v>49090.91</v>
      </c>
    </row>
    <row r="2595" spans="1:9" x14ac:dyDescent="0.2">
      <c r="A2595" s="333">
        <v>2594</v>
      </c>
      <c r="B2595" s="334">
        <v>44161</v>
      </c>
      <c r="C2595" s="334">
        <v>44179</v>
      </c>
      <c r="D2595" s="335" t="s">
        <v>1092</v>
      </c>
      <c r="E2595" s="335" t="s">
        <v>392</v>
      </c>
      <c r="F2595" s="335" t="s">
        <v>10</v>
      </c>
      <c r="G2595" s="335" t="s">
        <v>5271</v>
      </c>
      <c r="H2595" s="335" t="s">
        <v>5272</v>
      </c>
      <c r="I2595" s="341">
        <v>40743.800000000003</v>
      </c>
    </row>
    <row r="2596" spans="1:9" x14ac:dyDescent="0.2">
      <c r="A2596" s="333">
        <v>2595</v>
      </c>
      <c r="B2596" s="334">
        <v>44161</v>
      </c>
      <c r="C2596" s="334">
        <v>44179</v>
      </c>
      <c r="D2596" s="335" t="s">
        <v>1092</v>
      </c>
      <c r="E2596" s="335" t="s">
        <v>392</v>
      </c>
      <c r="F2596" s="335" t="s">
        <v>10</v>
      </c>
      <c r="G2596" s="335" t="s">
        <v>5273</v>
      </c>
      <c r="H2596" s="335" t="s">
        <v>5274</v>
      </c>
      <c r="I2596" s="341">
        <v>41342.980000000003</v>
      </c>
    </row>
    <row r="2597" spans="1:9" x14ac:dyDescent="0.2">
      <c r="A2597" s="333">
        <v>2596</v>
      </c>
      <c r="B2597" s="334">
        <v>44161</v>
      </c>
      <c r="C2597" s="334">
        <v>44179</v>
      </c>
      <c r="D2597" s="335" t="s">
        <v>1092</v>
      </c>
      <c r="E2597" s="335" t="s">
        <v>392</v>
      </c>
      <c r="F2597" s="335" t="s">
        <v>10</v>
      </c>
      <c r="G2597" s="335" t="s">
        <v>5275</v>
      </c>
      <c r="H2597" s="335" t="s">
        <v>5276</v>
      </c>
      <c r="I2597" s="341">
        <v>59504.13</v>
      </c>
    </row>
    <row r="2598" spans="1:9" x14ac:dyDescent="0.2">
      <c r="A2598" s="333">
        <v>2597</v>
      </c>
      <c r="B2598" s="334">
        <v>44161</v>
      </c>
      <c r="C2598" s="334">
        <v>44179</v>
      </c>
      <c r="D2598" s="335" t="s">
        <v>1092</v>
      </c>
      <c r="E2598" s="335" t="s">
        <v>392</v>
      </c>
      <c r="F2598" s="335" t="s">
        <v>10</v>
      </c>
      <c r="G2598" s="335" t="s">
        <v>5277</v>
      </c>
      <c r="H2598" s="335" t="s">
        <v>5278</v>
      </c>
      <c r="I2598" s="341">
        <v>35950.410000000003</v>
      </c>
    </row>
    <row r="2599" spans="1:9" x14ac:dyDescent="0.2">
      <c r="A2599" s="333">
        <v>2598</v>
      </c>
      <c r="B2599" s="334">
        <v>44161</v>
      </c>
      <c r="C2599" s="334">
        <v>44179</v>
      </c>
      <c r="D2599" s="335" t="s">
        <v>1092</v>
      </c>
      <c r="E2599" s="335" t="s">
        <v>392</v>
      </c>
      <c r="F2599" s="335" t="s">
        <v>10</v>
      </c>
      <c r="G2599" s="335" t="s">
        <v>5279</v>
      </c>
      <c r="H2599" s="335" t="s">
        <v>5280</v>
      </c>
      <c r="I2599" s="341">
        <v>59752.07</v>
      </c>
    </row>
    <row r="2600" spans="1:9" x14ac:dyDescent="0.2">
      <c r="A2600" s="333">
        <v>2599</v>
      </c>
      <c r="B2600" s="334">
        <v>44161</v>
      </c>
      <c r="C2600" s="334">
        <v>44179</v>
      </c>
      <c r="D2600" s="335" t="s">
        <v>1092</v>
      </c>
      <c r="E2600" s="335" t="s">
        <v>392</v>
      </c>
      <c r="F2600" s="335" t="s">
        <v>10</v>
      </c>
      <c r="G2600" s="335" t="s">
        <v>5281</v>
      </c>
      <c r="H2600" s="335" t="s">
        <v>5282</v>
      </c>
      <c r="I2600" s="341">
        <v>53553.72</v>
      </c>
    </row>
    <row r="2601" spans="1:9" x14ac:dyDescent="0.2">
      <c r="A2601" s="333">
        <v>2600</v>
      </c>
      <c r="B2601" s="334">
        <v>44161</v>
      </c>
      <c r="C2601" s="334">
        <v>44179</v>
      </c>
      <c r="D2601" s="335" t="s">
        <v>1092</v>
      </c>
      <c r="E2601" s="335" t="s">
        <v>392</v>
      </c>
      <c r="F2601" s="335" t="s">
        <v>10</v>
      </c>
      <c r="G2601" s="335" t="s">
        <v>5283</v>
      </c>
      <c r="H2601" s="335" t="s">
        <v>5284</v>
      </c>
      <c r="I2601" s="341">
        <v>36549.589999999997</v>
      </c>
    </row>
    <row r="2602" spans="1:9" x14ac:dyDescent="0.2">
      <c r="A2602" s="333">
        <v>2601</v>
      </c>
      <c r="B2602" s="334">
        <v>44161</v>
      </c>
      <c r="C2602" s="334">
        <v>44179</v>
      </c>
      <c r="D2602" s="335" t="s">
        <v>1092</v>
      </c>
      <c r="E2602" s="335" t="s">
        <v>392</v>
      </c>
      <c r="F2602" s="335" t="s">
        <v>10</v>
      </c>
      <c r="G2602" s="335" t="s">
        <v>5285</v>
      </c>
      <c r="H2602" s="335" t="s">
        <v>5286</v>
      </c>
      <c r="I2602" s="341">
        <v>59801.65</v>
      </c>
    </row>
    <row r="2603" spans="1:9" x14ac:dyDescent="0.2">
      <c r="A2603" s="333">
        <v>2602</v>
      </c>
      <c r="B2603" s="334">
        <v>44161</v>
      </c>
      <c r="C2603" s="334">
        <v>44179</v>
      </c>
      <c r="D2603" s="335" t="s">
        <v>1092</v>
      </c>
      <c r="E2603" s="335" t="s">
        <v>392</v>
      </c>
      <c r="F2603" s="335" t="s">
        <v>10</v>
      </c>
      <c r="G2603" s="335" t="s">
        <v>5287</v>
      </c>
      <c r="H2603" s="335" t="s">
        <v>5288</v>
      </c>
      <c r="I2603" s="341">
        <v>44628.1</v>
      </c>
    </row>
    <row r="2604" spans="1:9" x14ac:dyDescent="0.2">
      <c r="A2604" s="333">
        <v>2603</v>
      </c>
      <c r="B2604" s="334">
        <v>44161</v>
      </c>
      <c r="C2604" s="334">
        <v>44179</v>
      </c>
      <c r="D2604" s="335" t="s">
        <v>1092</v>
      </c>
      <c r="E2604" s="335" t="s">
        <v>392</v>
      </c>
      <c r="F2604" s="335" t="s">
        <v>10</v>
      </c>
      <c r="G2604" s="335" t="s">
        <v>5289</v>
      </c>
      <c r="H2604" s="335" t="s">
        <v>5290</v>
      </c>
      <c r="I2604" s="341">
        <v>48533.06</v>
      </c>
    </row>
    <row r="2605" spans="1:9" x14ac:dyDescent="0.2">
      <c r="A2605" s="333">
        <v>2604</v>
      </c>
      <c r="B2605" s="334">
        <v>44161</v>
      </c>
      <c r="C2605" s="334">
        <v>44179</v>
      </c>
      <c r="D2605" s="335" t="s">
        <v>1092</v>
      </c>
      <c r="E2605" s="335" t="s">
        <v>392</v>
      </c>
      <c r="F2605" s="335" t="s">
        <v>10</v>
      </c>
      <c r="G2605" s="335" t="s">
        <v>5291</v>
      </c>
      <c r="H2605" s="335" t="s">
        <v>5292</v>
      </c>
      <c r="I2605" s="341">
        <v>42954.55</v>
      </c>
    </row>
    <row r="2606" spans="1:9" x14ac:dyDescent="0.2">
      <c r="A2606" s="333">
        <v>2605</v>
      </c>
      <c r="B2606" s="334">
        <v>44161</v>
      </c>
      <c r="C2606" s="334">
        <v>44179</v>
      </c>
      <c r="D2606" s="335" t="s">
        <v>1092</v>
      </c>
      <c r="E2606" s="335" t="s">
        <v>392</v>
      </c>
      <c r="F2606" s="335" t="s">
        <v>10</v>
      </c>
      <c r="G2606" s="335" t="s">
        <v>5293</v>
      </c>
      <c r="H2606" s="335" t="s">
        <v>5294</v>
      </c>
      <c r="I2606" s="341">
        <v>59702.48</v>
      </c>
    </row>
    <row r="2607" spans="1:9" x14ac:dyDescent="0.2">
      <c r="A2607" s="333">
        <v>2606</v>
      </c>
      <c r="B2607" s="334">
        <v>44161</v>
      </c>
      <c r="C2607" s="334">
        <v>44179</v>
      </c>
      <c r="D2607" s="335" t="s">
        <v>1092</v>
      </c>
      <c r="E2607" s="335" t="s">
        <v>392</v>
      </c>
      <c r="F2607" s="335" t="s">
        <v>10</v>
      </c>
      <c r="G2607" s="335" t="s">
        <v>5295</v>
      </c>
      <c r="H2607" s="335" t="s">
        <v>5296</v>
      </c>
      <c r="I2607" s="341">
        <v>50206.61</v>
      </c>
    </row>
    <row r="2608" spans="1:9" x14ac:dyDescent="0.2">
      <c r="A2608" s="333">
        <v>2607</v>
      </c>
      <c r="B2608" s="334">
        <v>44161</v>
      </c>
      <c r="C2608" s="334">
        <v>44179</v>
      </c>
      <c r="D2608" s="335" t="s">
        <v>1092</v>
      </c>
      <c r="E2608" s="335" t="s">
        <v>392</v>
      </c>
      <c r="F2608" s="335" t="s">
        <v>10</v>
      </c>
      <c r="G2608" s="335" t="s">
        <v>5297</v>
      </c>
      <c r="H2608" s="335" t="s">
        <v>5298</v>
      </c>
      <c r="I2608" s="341">
        <v>49586.78</v>
      </c>
    </row>
    <row r="2609" spans="1:10" x14ac:dyDescent="0.2">
      <c r="A2609" s="333">
        <v>2608</v>
      </c>
      <c r="B2609" s="334">
        <v>44161</v>
      </c>
      <c r="C2609" s="334">
        <v>44179</v>
      </c>
      <c r="D2609" s="335" t="s">
        <v>1092</v>
      </c>
      <c r="E2609" s="335" t="s">
        <v>392</v>
      </c>
      <c r="F2609" s="335" t="s">
        <v>10</v>
      </c>
      <c r="G2609" s="335" t="s">
        <v>5299</v>
      </c>
      <c r="H2609" s="335" t="s">
        <v>5300</v>
      </c>
      <c r="I2609" s="341">
        <v>40723.14</v>
      </c>
    </row>
    <row r="2610" spans="1:10" x14ac:dyDescent="0.2">
      <c r="A2610" s="333">
        <v>2609</v>
      </c>
      <c r="B2610" s="334">
        <v>44161</v>
      </c>
      <c r="C2610" s="334">
        <v>44179</v>
      </c>
      <c r="D2610" s="335" t="s">
        <v>1092</v>
      </c>
      <c r="E2610" s="335" t="s">
        <v>422</v>
      </c>
      <c r="F2610" s="335" t="s">
        <v>701</v>
      </c>
      <c r="G2610" s="335" t="s">
        <v>5301</v>
      </c>
      <c r="H2610" s="335" t="s">
        <v>5302</v>
      </c>
      <c r="I2610" s="341">
        <v>14000</v>
      </c>
    </row>
    <row r="2611" spans="1:10" x14ac:dyDescent="0.2">
      <c r="A2611" s="333">
        <v>2610</v>
      </c>
      <c r="B2611" s="334">
        <v>44161</v>
      </c>
      <c r="C2611" s="334">
        <v>44179</v>
      </c>
      <c r="D2611" s="335" t="s">
        <v>1092</v>
      </c>
      <c r="E2611" s="335" t="s">
        <v>392</v>
      </c>
      <c r="F2611" s="335" t="s">
        <v>10</v>
      </c>
      <c r="G2611" s="335" t="s">
        <v>5303</v>
      </c>
      <c r="H2611" s="335" t="s">
        <v>5304</v>
      </c>
      <c r="I2611" s="341">
        <v>42541.32</v>
      </c>
    </row>
    <row r="2612" spans="1:10" x14ac:dyDescent="0.2">
      <c r="A2612" s="333">
        <v>2611</v>
      </c>
      <c r="B2612" s="334">
        <v>44162</v>
      </c>
      <c r="C2612" s="334">
        <v>44189</v>
      </c>
      <c r="D2612" s="335" t="s">
        <v>1092</v>
      </c>
      <c r="E2612" s="335" t="s">
        <v>392</v>
      </c>
      <c r="F2612" s="335" t="s">
        <v>1272</v>
      </c>
      <c r="G2612" s="335" t="s">
        <v>5305</v>
      </c>
      <c r="H2612" s="335" t="s">
        <v>5306</v>
      </c>
      <c r="I2612" s="341">
        <v>601081.23</v>
      </c>
    </row>
    <row r="2613" spans="1:10" x14ac:dyDescent="0.2">
      <c r="A2613" s="333">
        <v>2612</v>
      </c>
      <c r="B2613" s="334">
        <v>44162</v>
      </c>
      <c r="C2613" s="334">
        <v>44179</v>
      </c>
      <c r="D2613" s="335" t="s">
        <v>1092</v>
      </c>
      <c r="E2613" s="335" t="s">
        <v>392</v>
      </c>
      <c r="F2613" s="335" t="s">
        <v>396</v>
      </c>
      <c r="G2613" s="335" t="s">
        <v>5307</v>
      </c>
      <c r="H2613" s="335" t="s">
        <v>5308</v>
      </c>
      <c r="I2613" s="341">
        <v>14400</v>
      </c>
    </row>
    <row r="2614" spans="1:10" x14ac:dyDescent="0.2">
      <c r="A2614" s="333">
        <v>2613</v>
      </c>
      <c r="B2614" s="334">
        <v>44162</v>
      </c>
      <c r="C2614" s="334">
        <v>44179</v>
      </c>
      <c r="D2614" s="335" t="s">
        <v>1092</v>
      </c>
      <c r="E2614" s="335" t="s">
        <v>392</v>
      </c>
      <c r="F2614" s="335" t="s">
        <v>71</v>
      </c>
      <c r="G2614" s="335" t="s">
        <v>5309</v>
      </c>
      <c r="H2614" s="335" t="s">
        <v>5310</v>
      </c>
      <c r="I2614" s="341">
        <v>141254.91</v>
      </c>
    </row>
    <row r="2615" spans="1:10" x14ac:dyDescent="0.2">
      <c r="A2615" s="333">
        <v>2614</v>
      </c>
      <c r="B2615" s="334">
        <v>44162</v>
      </c>
      <c r="C2615" s="334">
        <v>44179</v>
      </c>
      <c r="D2615" s="335" t="s">
        <v>1092</v>
      </c>
      <c r="E2615" s="335" t="s">
        <v>392</v>
      </c>
      <c r="F2615" s="335" t="s">
        <v>1272</v>
      </c>
      <c r="G2615" s="335" t="s">
        <v>5311</v>
      </c>
      <c r="H2615" s="335" t="s">
        <v>5312</v>
      </c>
      <c r="I2615" s="341">
        <v>180324.37</v>
      </c>
    </row>
    <row r="2616" spans="1:10" x14ac:dyDescent="0.2">
      <c r="A2616" s="333">
        <v>2615</v>
      </c>
      <c r="B2616" s="334">
        <v>44162</v>
      </c>
      <c r="C2616" s="334">
        <v>44179</v>
      </c>
      <c r="D2616" s="335" t="s">
        <v>1092</v>
      </c>
      <c r="E2616" s="335" t="s">
        <v>392</v>
      </c>
      <c r="F2616" s="335" t="s">
        <v>10</v>
      </c>
      <c r="G2616" s="335" t="s">
        <v>5313</v>
      </c>
      <c r="H2616" s="335" t="s">
        <v>5314</v>
      </c>
      <c r="I2616" s="341">
        <v>47975.21</v>
      </c>
    </row>
    <row r="2617" spans="1:10" x14ac:dyDescent="0.2">
      <c r="A2617" s="333">
        <v>2616</v>
      </c>
      <c r="B2617" s="334">
        <v>44166</v>
      </c>
      <c r="C2617" s="334">
        <v>44188</v>
      </c>
      <c r="D2617" s="335" t="s">
        <v>1092</v>
      </c>
      <c r="E2617" s="335" t="s">
        <v>422</v>
      </c>
      <c r="F2617" s="335" t="s">
        <v>701</v>
      </c>
      <c r="G2617" s="335" t="s">
        <v>5315</v>
      </c>
      <c r="H2617" s="335" t="s">
        <v>5316</v>
      </c>
      <c r="I2617" s="341">
        <v>31500</v>
      </c>
    </row>
    <row r="2618" spans="1:10" x14ac:dyDescent="0.2">
      <c r="A2618" s="333">
        <v>2617</v>
      </c>
      <c r="B2618" s="334">
        <v>44166</v>
      </c>
      <c r="C2618" s="334">
        <v>44188</v>
      </c>
      <c r="D2618" s="335" t="s">
        <v>1092</v>
      </c>
      <c r="E2618" s="335" t="s">
        <v>422</v>
      </c>
      <c r="F2618" s="335" t="s">
        <v>701</v>
      </c>
      <c r="G2618" s="335" t="s">
        <v>5317</v>
      </c>
      <c r="H2618" s="335" t="s">
        <v>5318</v>
      </c>
      <c r="I2618" s="341">
        <v>94200</v>
      </c>
    </row>
    <row r="2619" spans="1:10" x14ac:dyDescent="0.2">
      <c r="A2619" s="333">
        <v>2618</v>
      </c>
      <c r="B2619" s="334">
        <v>44166</v>
      </c>
      <c r="C2619" s="334">
        <v>44188</v>
      </c>
      <c r="D2619" s="335" t="s">
        <v>1092</v>
      </c>
      <c r="E2619" s="335" t="s">
        <v>422</v>
      </c>
      <c r="F2619" s="335" t="s">
        <v>701</v>
      </c>
      <c r="G2619" s="335" t="s">
        <v>5319</v>
      </c>
      <c r="H2619" s="335" t="s">
        <v>5320</v>
      </c>
      <c r="I2619" s="341">
        <v>40000</v>
      </c>
    </row>
    <row r="2620" spans="1:10" x14ac:dyDescent="0.2">
      <c r="A2620" s="333">
        <v>2619</v>
      </c>
      <c r="B2620" s="334">
        <v>44168</v>
      </c>
      <c r="C2620" s="334">
        <v>44207</v>
      </c>
      <c r="D2620" s="335" t="s">
        <v>1092</v>
      </c>
      <c r="E2620" s="335" t="s">
        <v>392</v>
      </c>
      <c r="F2620" s="335" t="s">
        <v>1272</v>
      </c>
      <c r="G2620" s="335" t="s">
        <v>5321</v>
      </c>
      <c r="H2620" s="335" t="s">
        <v>5322</v>
      </c>
      <c r="I2620" s="341">
        <v>13800</v>
      </c>
    </row>
    <row r="2621" spans="1:10" x14ac:dyDescent="0.2">
      <c r="A2621" s="333">
        <v>2620</v>
      </c>
      <c r="B2621" s="334">
        <v>44168</v>
      </c>
      <c r="C2621" s="334">
        <v>44207</v>
      </c>
      <c r="D2621" s="335" t="s">
        <v>1092</v>
      </c>
      <c r="E2621" s="335" t="s">
        <v>392</v>
      </c>
      <c r="F2621" s="335" t="s">
        <v>71</v>
      </c>
      <c r="G2621" s="335" t="s">
        <v>5323</v>
      </c>
      <c r="H2621" s="335" t="s">
        <v>5324</v>
      </c>
      <c r="I2621" s="341">
        <v>20251.32</v>
      </c>
    </row>
    <row r="2622" spans="1:10" x14ac:dyDescent="0.2">
      <c r="A2622" s="343">
        <v>2621</v>
      </c>
      <c r="B2622" s="344">
        <v>44168</v>
      </c>
      <c r="C2622" s="344">
        <v>44200</v>
      </c>
      <c r="D2622" s="345" t="s">
        <v>1092</v>
      </c>
      <c r="E2622" s="345" t="s">
        <v>422</v>
      </c>
      <c r="F2622" s="345" t="s">
        <v>701</v>
      </c>
      <c r="G2622" s="345" t="s">
        <v>5325</v>
      </c>
      <c r="H2622" s="345" t="s">
        <v>5326</v>
      </c>
      <c r="I2622" s="346">
        <v>31500</v>
      </c>
      <c r="J2622" s="178" t="s">
        <v>5377</v>
      </c>
    </row>
    <row r="2623" spans="1:10" x14ac:dyDescent="0.2">
      <c r="A2623" s="333">
        <v>2622</v>
      </c>
      <c r="B2623" s="334">
        <v>44168</v>
      </c>
      <c r="C2623" s="334">
        <v>44207</v>
      </c>
      <c r="D2623" s="335" t="s">
        <v>1092</v>
      </c>
      <c r="E2623" s="335" t="s">
        <v>392</v>
      </c>
      <c r="F2623" s="335" t="s">
        <v>1272</v>
      </c>
      <c r="G2623" s="335" t="s">
        <v>5327</v>
      </c>
      <c r="H2623" s="335" t="s">
        <v>5328</v>
      </c>
      <c r="I2623" s="341">
        <v>46157.87</v>
      </c>
    </row>
    <row r="2624" spans="1:10" x14ac:dyDescent="0.2">
      <c r="A2624" s="333">
        <v>2623</v>
      </c>
      <c r="B2624" s="334">
        <v>44169</v>
      </c>
      <c r="C2624" s="334">
        <v>44207</v>
      </c>
      <c r="D2624" s="335" t="s">
        <v>1092</v>
      </c>
      <c r="E2624" s="335" t="s">
        <v>392</v>
      </c>
      <c r="F2624" s="335" t="s">
        <v>701</v>
      </c>
      <c r="G2624" s="335" t="s">
        <v>5329</v>
      </c>
      <c r="H2624" s="335" t="s">
        <v>5330</v>
      </c>
      <c r="I2624" s="341">
        <v>142000</v>
      </c>
    </row>
    <row r="2625" spans="1:10" x14ac:dyDescent="0.2">
      <c r="A2625" s="333">
        <v>2624</v>
      </c>
      <c r="B2625" s="334">
        <v>44169</v>
      </c>
      <c r="C2625" s="334">
        <v>44207</v>
      </c>
      <c r="D2625" s="335" t="s">
        <v>1092</v>
      </c>
      <c r="E2625" s="335" t="s">
        <v>392</v>
      </c>
      <c r="F2625" s="335" t="s">
        <v>10</v>
      </c>
      <c r="G2625" s="335" t="s">
        <v>5331</v>
      </c>
      <c r="H2625" s="335" t="s">
        <v>5332</v>
      </c>
      <c r="I2625" s="341">
        <v>43560</v>
      </c>
    </row>
    <row r="2626" spans="1:10" x14ac:dyDescent="0.2">
      <c r="A2626" s="333">
        <v>2625</v>
      </c>
      <c r="B2626" s="334">
        <v>44169</v>
      </c>
      <c r="C2626" s="334">
        <v>44207</v>
      </c>
      <c r="D2626" s="335" t="s">
        <v>1092</v>
      </c>
      <c r="E2626" s="335" t="s">
        <v>392</v>
      </c>
      <c r="F2626" s="335" t="s">
        <v>71</v>
      </c>
      <c r="G2626" s="335" t="s">
        <v>5333</v>
      </c>
      <c r="H2626" s="335" t="s">
        <v>5334</v>
      </c>
      <c r="I2626" s="341">
        <v>10824.44</v>
      </c>
    </row>
    <row r="2627" spans="1:10" x14ac:dyDescent="0.2">
      <c r="A2627" s="333">
        <v>2626</v>
      </c>
      <c r="B2627" s="334">
        <v>44169</v>
      </c>
      <c r="C2627" s="334">
        <v>44207</v>
      </c>
      <c r="D2627" s="335" t="s">
        <v>1092</v>
      </c>
      <c r="E2627" s="335" t="s">
        <v>392</v>
      </c>
      <c r="F2627" s="335" t="s">
        <v>701</v>
      </c>
      <c r="G2627" s="335" t="s">
        <v>5335</v>
      </c>
      <c r="H2627" s="335" t="s">
        <v>5336</v>
      </c>
      <c r="I2627" s="341">
        <v>133200</v>
      </c>
    </row>
    <row r="2628" spans="1:10" x14ac:dyDescent="0.2">
      <c r="A2628" s="333">
        <v>2627</v>
      </c>
      <c r="B2628" s="334">
        <v>44169</v>
      </c>
      <c r="C2628" s="334">
        <v>44207</v>
      </c>
      <c r="D2628" s="335" t="s">
        <v>1092</v>
      </c>
      <c r="E2628" s="335" t="s">
        <v>392</v>
      </c>
      <c r="F2628" s="335" t="s">
        <v>1272</v>
      </c>
      <c r="G2628" s="335" t="s">
        <v>5337</v>
      </c>
      <c r="H2628" s="335" t="s">
        <v>5338</v>
      </c>
      <c r="I2628" s="341">
        <v>9960</v>
      </c>
    </row>
    <row r="2629" spans="1:10" x14ac:dyDescent="0.2">
      <c r="A2629" s="333">
        <v>2628</v>
      </c>
      <c r="B2629" s="334">
        <v>44169</v>
      </c>
      <c r="C2629" s="334">
        <v>44207</v>
      </c>
      <c r="D2629" s="335" t="s">
        <v>1092</v>
      </c>
      <c r="E2629" s="335" t="s">
        <v>392</v>
      </c>
      <c r="F2629" s="335" t="s">
        <v>701</v>
      </c>
      <c r="G2629" s="335" t="s">
        <v>5339</v>
      </c>
      <c r="H2629" s="335" t="s">
        <v>5340</v>
      </c>
      <c r="I2629" s="341">
        <v>135300</v>
      </c>
    </row>
    <row r="2630" spans="1:10" x14ac:dyDescent="0.2">
      <c r="A2630" s="333">
        <v>2629</v>
      </c>
      <c r="B2630" s="334">
        <v>44169</v>
      </c>
      <c r="C2630" s="334">
        <v>44186</v>
      </c>
      <c r="D2630" s="335" t="s">
        <v>1092</v>
      </c>
      <c r="E2630" s="335" t="s">
        <v>422</v>
      </c>
      <c r="F2630" s="335" t="s">
        <v>701</v>
      </c>
      <c r="G2630" s="335" t="s">
        <v>5341</v>
      </c>
      <c r="H2630" s="335" t="s">
        <v>5342</v>
      </c>
      <c r="I2630" s="341">
        <v>97470</v>
      </c>
    </row>
    <row r="2631" spans="1:10" x14ac:dyDescent="0.2">
      <c r="A2631" s="343">
        <v>2630</v>
      </c>
      <c r="B2631" s="344">
        <v>44172</v>
      </c>
      <c r="C2631" s="344">
        <v>44200</v>
      </c>
      <c r="D2631" s="345" t="s">
        <v>1092</v>
      </c>
      <c r="E2631" s="345" t="s">
        <v>422</v>
      </c>
      <c r="F2631" s="345" t="s">
        <v>701</v>
      </c>
      <c r="G2631" s="345" t="s">
        <v>5343</v>
      </c>
      <c r="H2631" s="345" t="s">
        <v>5344</v>
      </c>
      <c r="I2631" s="346">
        <v>31500</v>
      </c>
      <c r="J2631" s="178" t="s">
        <v>5445</v>
      </c>
    </row>
    <row r="2632" spans="1:10" x14ac:dyDescent="0.2">
      <c r="A2632" s="343">
        <v>2631</v>
      </c>
      <c r="B2632" s="344">
        <v>44172</v>
      </c>
      <c r="C2632" s="344">
        <v>44200</v>
      </c>
      <c r="D2632" s="345" t="s">
        <v>1092</v>
      </c>
      <c r="E2632" s="345" t="s">
        <v>392</v>
      </c>
      <c r="F2632" s="345" t="s">
        <v>1272</v>
      </c>
      <c r="G2632" s="345" t="s">
        <v>5345</v>
      </c>
      <c r="H2632" s="345" t="s">
        <v>5346</v>
      </c>
      <c r="I2632" s="346">
        <v>9422</v>
      </c>
      <c r="J2632" s="178" t="s">
        <v>5445</v>
      </c>
    </row>
    <row r="2633" spans="1:10" x14ac:dyDescent="0.2">
      <c r="A2633" s="343">
        <v>2632</v>
      </c>
      <c r="B2633" s="344">
        <v>44175</v>
      </c>
      <c r="C2633" s="344">
        <v>44200</v>
      </c>
      <c r="D2633" s="345" t="s">
        <v>1092</v>
      </c>
      <c r="E2633" s="345" t="s">
        <v>422</v>
      </c>
      <c r="F2633" s="345" t="s">
        <v>701</v>
      </c>
      <c r="G2633" s="345" t="s">
        <v>5347</v>
      </c>
      <c r="H2633" s="345" t="s">
        <v>5348</v>
      </c>
      <c r="I2633" s="346">
        <v>31500</v>
      </c>
      <c r="J2633" s="178" t="s">
        <v>5445</v>
      </c>
    </row>
    <row r="2634" spans="1:10" x14ac:dyDescent="0.2">
      <c r="A2634" s="333">
        <v>2633</v>
      </c>
      <c r="B2634" s="334">
        <v>44176</v>
      </c>
      <c r="C2634" s="334">
        <v>44214</v>
      </c>
      <c r="D2634" s="335" t="s">
        <v>1092</v>
      </c>
      <c r="E2634" s="335" t="s">
        <v>422</v>
      </c>
      <c r="F2634" s="335" t="s">
        <v>396</v>
      </c>
      <c r="G2634" s="335" t="s">
        <v>5349</v>
      </c>
      <c r="H2634" s="335" t="s">
        <v>5350</v>
      </c>
      <c r="I2634" s="341">
        <v>62172</v>
      </c>
    </row>
    <row r="2635" spans="1:10" x14ac:dyDescent="0.2">
      <c r="A2635" s="333">
        <v>2634</v>
      </c>
      <c r="B2635" s="334">
        <v>44176</v>
      </c>
      <c r="C2635" s="334">
        <v>44207</v>
      </c>
      <c r="D2635" s="335" t="s">
        <v>1092</v>
      </c>
      <c r="E2635" s="335" t="s">
        <v>422</v>
      </c>
      <c r="F2635" s="335" t="s">
        <v>396</v>
      </c>
      <c r="G2635" s="335" t="s">
        <v>5351</v>
      </c>
      <c r="H2635" s="335" t="s">
        <v>5352</v>
      </c>
      <c r="I2635" s="341">
        <v>612480</v>
      </c>
    </row>
    <row r="2636" spans="1:10" x14ac:dyDescent="0.2">
      <c r="A2636" s="333">
        <v>2635</v>
      </c>
      <c r="B2636" s="334">
        <v>44176</v>
      </c>
      <c r="C2636" s="334">
        <v>44200</v>
      </c>
      <c r="D2636" s="335" t="s">
        <v>1092</v>
      </c>
      <c r="E2636" s="335" t="s">
        <v>422</v>
      </c>
      <c r="F2636" s="335" t="s">
        <v>71</v>
      </c>
      <c r="G2636" s="335" t="s">
        <v>5353</v>
      </c>
      <c r="H2636" s="335" t="s">
        <v>5354</v>
      </c>
      <c r="I2636" s="341">
        <v>178725</v>
      </c>
    </row>
    <row r="2637" spans="1:10" x14ac:dyDescent="0.2">
      <c r="A2637" s="333">
        <v>2636</v>
      </c>
      <c r="B2637" s="334">
        <v>44176</v>
      </c>
      <c r="C2637" s="334">
        <v>44200</v>
      </c>
      <c r="D2637" s="335" t="s">
        <v>1092</v>
      </c>
      <c r="E2637" s="335" t="s">
        <v>422</v>
      </c>
      <c r="F2637" s="335" t="s">
        <v>396</v>
      </c>
      <c r="G2637" s="335" t="s">
        <v>5355</v>
      </c>
      <c r="H2637" s="335" t="s">
        <v>5356</v>
      </c>
      <c r="I2637" s="341">
        <v>103200</v>
      </c>
    </row>
    <row r="2638" spans="1:10" x14ac:dyDescent="0.2">
      <c r="A2638" s="333">
        <v>2637</v>
      </c>
      <c r="B2638" s="334">
        <v>44183</v>
      </c>
      <c r="C2638" s="334">
        <v>44209</v>
      </c>
      <c r="D2638" s="335" t="s">
        <v>1092</v>
      </c>
      <c r="E2638" s="335" t="s">
        <v>392</v>
      </c>
      <c r="F2638" s="335" t="s">
        <v>71</v>
      </c>
      <c r="G2638" s="335" t="s">
        <v>5357</v>
      </c>
      <c r="H2638" s="335" t="s">
        <v>5358</v>
      </c>
      <c r="I2638" s="341">
        <v>20281.47</v>
      </c>
    </row>
    <row r="2639" spans="1:10" x14ac:dyDescent="0.2">
      <c r="A2639" s="333">
        <v>2638</v>
      </c>
      <c r="B2639" s="334">
        <v>44183</v>
      </c>
      <c r="C2639" s="334">
        <v>44209</v>
      </c>
      <c r="D2639" s="335" t="s">
        <v>1092</v>
      </c>
      <c r="E2639" s="335" t="s">
        <v>392</v>
      </c>
      <c r="F2639" s="335" t="s">
        <v>1257</v>
      </c>
      <c r="G2639" s="335" t="s">
        <v>5359</v>
      </c>
      <c r="H2639" s="335" t="s">
        <v>5360</v>
      </c>
      <c r="I2639" s="341">
        <v>69236.800000000003</v>
      </c>
    </row>
    <row r="2640" spans="1:10" x14ac:dyDescent="0.2">
      <c r="A2640" s="333">
        <v>2639</v>
      </c>
      <c r="B2640" s="334">
        <v>36878</v>
      </c>
      <c r="C2640" s="334">
        <v>44209</v>
      </c>
      <c r="D2640" s="335" t="s">
        <v>1092</v>
      </c>
      <c r="E2640" s="335" t="s">
        <v>392</v>
      </c>
      <c r="F2640" s="335" t="s">
        <v>1257</v>
      </c>
      <c r="G2640" s="335" t="s">
        <v>5361</v>
      </c>
      <c r="H2640" s="335" t="s">
        <v>5362</v>
      </c>
      <c r="I2640" s="341">
        <v>20760</v>
      </c>
    </row>
    <row r="2641" spans="1:9" x14ac:dyDescent="0.2">
      <c r="A2641" s="333">
        <v>2640</v>
      </c>
      <c r="B2641" s="334">
        <v>44183</v>
      </c>
      <c r="C2641" s="334">
        <v>44209</v>
      </c>
      <c r="D2641" s="335" t="s">
        <v>1092</v>
      </c>
      <c r="E2641" s="335" t="s">
        <v>422</v>
      </c>
      <c r="F2641" s="335" t="s">
        <v>701</v>
      </c>
      <c r="G2641" s="335" t="s">
        <v>5363</v>
      </c>
      <c r="H2641" s="335" t="s">
        <v>5364</v>
      </c>
      <c r="I2641" s="341">
        <v>42000</v>
      </c>
    </row>
    <row r="2642" spans="1:9" x14ac:dyDescent="0.2">
      <c r="A2642" s="333">
        <v>2641</v>
      </c>
      <c r="B2642" s="334">
        <v>44186</v>
      </c>
      <c r="C2642" s="334">
        <v>44214</v>
      </c>
      <c r="D2642" s="335" t="s">
        <v>1092</v>
      </c>
      <c r="E2642" s="335" t="s">
        <v>422</v>
      </c>
      <c r="F2642" s="335" t="s">
        <v>1640</v>
      </c>
      <c r="G2642" s="335" t="s">
        <v>5365</v>
      </c>
      <c r="H2642" s="335" t="s">
        <v>5366</v>
      </c>
      <c r="I2642" s="341">
        <v>44506.67</v>
      </c>
    </row>
    <row r="2643" spans="1:9" x14ac:dyDescent="0.2">
      <c r="A2643" s="333">
        <v>2642</v>
      </c>
      <c r="B2643" s="334">
        <v>44186</v>
      </c>
      <c r="C2643" s="334">
        <v>44214</v>
      </c>
      <c r="D2643" s="335" t="s">
        <v>1092</v>
      </c>
      <c r="E2643" s="335" t="s">
        <v>422</v>
      </c>
      <c r="F2643" s="335" t="s">
        <v>71</v>
      </c>
      <c r="G2643" s="335" t="s">
        <v>5367</v>
      </c>
      <c r="H2643" s="335" t="s">
        <v>5368</v>
      </c>
      <c r="I2643" s="341">
        <v>10876.11</v>
      </c>
    </row>
    <row r="2644" spans="1:9" x14ac:dyDescent="0.2">
      <c r="A2644" s="333">
        <v>2643</v>
      </c>
      <c r="B2644" s="334">
        <v>44186</v>
      </c>
      <c r="C2644" s="334">
        <v>44214</v>
      </c>
      <c r="D2644" s="335" t="s">
        <v>1092</v>
      </c>
      <c r="E2644" s="335" t="s">
        <v>422</v>
      </c>
      <c r="F2644" s="335" t="s">
        <v>1640</v>
      </c>
      <c r="G2644" s="335" t="s">
        <v>5369</v>
      </c>
      <c r="H2644" s="335" t="s">
        <v>5370</v>
      </c>
      <c r="I2644" s="341">
        <v>1680</v>
      </c>
    </row>
    <row r="2645" spans="1:9" x14ac:dyDescent="0.2">
      <c r="A2645" s="333">
        <v>2644</v>
      </c>
      <c r="B2645" s="334">
        <v>44186</v>
      </c>
      <c r="C2645" s="334">
        <v>44214</v>
      </c>
      <c r="D2645" s="335" t="s">
        <v>1092</v>
      </c>
      <c r="E2645" s="335" t="s">
        <v>422</v>
      </c>
      <c r="F2645" s="335" t="s">
        <v>1640</v>
      </c>
      <c r="G2645" s="335" t="s">
        <v>5371</v>
      </c>
      <c r="H2645" s="335" t="s">
        <v>5372</v>
      </c>
      <c r="I2645" s="341">
        <v>11400</v>
      </c>
    </row>
    <row r="2646" spans="1:9" x14ac:dyDescent="0.2">
      <c r="A2646" s="333">
        <v>2645</v>
      </c>
      <c r="B2646" s="334">
        <v>44186</v>
      </c>
      <c r="C2646" s="334">
        <v>44214</v>
      </c>
      <c r="D2646" s="335" t="s">
        <v>1092</v>
      </c>
      <c r="E2646" s="335" t="s">
        <v>422</v>
      </c>
      <c r="F2646" s="335" t="s">
        <v>1640</v>
      </c>
      <c r="G2646" s="335" t="s">
        <v>5373</v>
      </c>
      <c r="H2646" s="335" t="s">
        <v>5374</v>
      </c>
      <c r="I2646" s="341">
        <v>6522.35</v>
      </c>
    </row>
    <row r="2647" spans="1:9" x14ac:dyDescent="0.2">
      <c r="A2647" s="333">
        <v>2646</v>
      </c>
      <c r="B2647" s="334">
        <v>44186</v>
      </c>
      <c r="C2647" s="334">
        <v>44214</v>
      </c>
      <c r="D2647" s="335" t="s">
        <v>1092</v>
      </c>
      <c r="E2647" s="335" t="s">
        <v>422</v>
      </c>
      <c r="F2647" s="335" t="s">
        <v>71</v>
      </c>
      <c r="G2647" s="335" t="s">
        <v>5375</v>
      </c>
      <c r="H2647" s="335" t="s">
        <v>5376</v>
      </c>
      <c r="I2647" s="341">
        <v>4296.0200000000004</v>
      </c>
    </row>
    <row r="2648" spans="1:9" x14ac:dyDescent="0.2">
      <c r="A2648" s="333">
        <v>2647</v>
      </c>
      <c r="B2648" s="334">
        <v>44188</v>
      </c>
      <c r="C2648" s="334">
        <v>44207</v>
      </c>
      <c r="D2648" s="335" t="s">
        <v>1092</v>
      </c>
      <c r="E2648" s="335" t="s">
        <v>422</v>
      </c>
      <c r="F2648" s="335" t="s">
        <v>701</v>
      </c>
      <c r="G2648" s="335" t="s">
        <v>5378</v>
      </c>
      <c r="H2648" s="335" t="s">
        <v>5402</v>
      </c>
      <c r="I2648" s="341">
        <v>95520</v>
      </c>
    </row>
    <row r="2649" spans="1:9" x14ac:dyDescent="0.2">
      <c r="A2649" s="333">
        <v>2648</v>
      </c>
      <c r="B2649" s="334">
        <v>44188</v>
      </c>
      <c r="C2649" s="334">
        <v>44216</v>
      </c>
      <c r="D2649" s="335" t="s">
        <v>1092</v>
      </c>
      <c r="E2649" s="335" t="s">
        <v>422</v>
      </c>
      <c r="F2649" s="335" t="s">
        <v>701</v>
      </c>
      <c r="G2649" s="335" t="s">
        <v>5379</v>
      </c>
      <c r="H2649" s="335" t="s">
        <v>5403</v>
      </c>
      <c r="I2649" s="341">
        <v>64450</v>
      </c>
    </row>
    <row r="2650" spans="1:9" x14ac:dyDescent="0.2">
      <c r="A2650" s="333">
        <v>2649</v>
      </c>
      <c r="B2650" s="334">
        <v>44188</v>
      </c>
      <c r="C2650" s="334">
        <v>44207</v>
      </c>
      <c r="D2650" s="335" t="s">
        <v>1092</v>
      </c>
      <c r="E2650" s="335" t="s">
        <v>422</v>
      </c>
      <c r="F2650" s="335" t="s">
        <v>701</v>
      </c>
      <c r="G2650" s="335" t="s">
        <v>5380</v>
      </c>
      <c r="H2650" s="335" t="s">
        <v>5404</v>
      </c>
      <c r="I2650" s="341">
        <v>94550</v>
      </c>
    </row>
    <row r="2651" spans="1:9" x14ac:dyDescent="0.2">
      <c r="A2651" s="333">
        <v>2650</v>
      </c>
      <c r="B2651" s="334">
        <v>44189</v>
      </c>
      <c r="C2651" s="334">
        <v>44207</v>
      </c>
      <c r="D2651" s="335" t="s">
        <v>1092</v>
      </c>
      <c r="E2651" s="335" t="s">
        <v>422</v>
      </c>
      <c r="F2651" s="335" t="s">
        <v>701</v>
      </c>
      <c r="G2651" s="335" t="s">
        <v>5325</v>
      </c>
      <c r="H2651" s="335" t="s">
        <v>5405</v>
      </c>
      <c r="I2651" s="341">
        <v>31500</v>
      </c>
    </row>
    <row r="2652" spans="1:9" x14ac:dyDescent="0.2">
      <c r="A2652" s="333">
        <v>2651</v>
      </c>
      <c r="B2652" s="334">
        <v>44189</v>
      </c>
      <c r="C2652" s="334">
        <v>44209</v>
      </c>
      <c r="D2652" s="339" t="s">
        <v>1092</v>
      </c>
      <c r="E2652" s="335" t="s">
        <v>422</v>
      </c>
      <c r="F2652" s="335" t="s">
        <v>701</v>
      </c>
      <c r="G2652" s="335" t="s">
        <v>5381</v>
      </c>
      <c r="H2652" s="335" t="s">
        <v>5406</v>
      </c>
      <c r="I2652" s="341">
        <v>44450</v>
      </c>
    </row>
    <row r="2653" spans="1:9" x14ac:dyDescent="0.2">
      <c r="A2653" s="333">
        <v>2652</v>
      </c>
      <c r="B2653" s="334">
        <v>44189</v>
      </c>
      <c r="C2653" s="334">
        <v>44209</v>
      </c>
      <c r="D2653" s="335" t="s">
        <v>1092</v>
      </c>
      <c r="E2653" s="335" t="s">
        <v>422</v>
      </c>
      <c r="F2653" s="335" t="s">
        <v>1276</v>
      </c>
      <c r="G2653" s="335" t="s">
        <v>5382</v>
      </c>
      <c r="H2653" s="335" t="s">
        <v>5407</v>
      </c>
      <c r="I2653" s="341">
        <v>73200</v>
      </c>
    </row>
    <row r="2654" spans="1:9" x14ac:dyDescent="0.2">
      <c r="A2654" s="333">
        <v>2653</v>
      </c>
      <c r="B2654" s="334">
        <v>44189</v>
      </c>
      <c r="C2654" s="334">
        <v>44221</v>
      </c>
      <c r="D2654" s="335" t="s">
        <v>1092</v>
      </c>
      <c r="E2654" s="335" t="s">
        <v>422</v>
      </c>
      <c r="F2654" s="335" t="s">
        <v>1276</v>
      </c>
      <c r="G2654" s="335" t="s">
        <v>5383</v>
      </c>
      <c r="H2654" s="335" t="s">
        <v>5408</v>
      </c>
      <c r="I2654" s="341">
        <v>402760</v>
      </c>
    </row>
    <row r="2655" spans="1:9" x14ac:dyDescent="0.2">
      <c r="A2655" s="333">
        <v>2654</v>
      </c>
      <c r="B2655" s="334">
        <v>44189</v>
      </c>
      <c r="C2655" s="334">
        <v>44209</v>
      </c>
      <c r="D2655" s="335" t="s">
        <v>1092</v>
      </c>
      <c r="E2655" s="335" t="s">
        <v>422</v>
      </c>
      <c r="F2655" s="335" t="s">
        <v>71</v>
      </c>
      <c r="G2655" s="335" t="s">
        <v>5384</v>
      </c>
      <c r="H2655" s="335" t="s">
        <v>5409</v>
      </c>
      <c r="I2655" s="341">
        <v>111730.36</v>
      </c>
    </row>
    <row r="2656" spans="1:9" x14ac:dyDescent="0.2">
      <c r="A2656" s="333">
        <v>2655</v>
      </c>
      <c r="B2656" s="334">
        <v>44189</v>
      </c>
      <c r="C2656" s="334">
        <v>44209</v>
      </c>
      <c r="D2656" s="335" t="s">
        <v>1092</v>
      </c>
      <c r="E2656" s="335" t="s">
        <v>422</v>
      </c>
      <c r="F2656" s="335" t="s">
        <v>1276</v>
      </c>
      <c r="G2656" s="335" t="s">
        <v>5385</v>
      </c>
      <c r="H2656" s="335" t="s">
        <v>5410</v>
      </c>
      <c r="I2656" s="341">
        <v>62172</v>
      </c>
    </row>
    <row r="2657" spans="1:9" x14ac:dyDescent="0.2">
      <c r="A2657" s="333">
        <v>2656</v>
      </c>
      <c r="B2657" s="334">
        <v>44193</v>
      </c>
      <c r="C2657" s="334">
        <v>44214</v>
      </c>
      <c r="D2657" s="335" t="s">
        <v>1092</v>
      </c>
      <c r="E2657" s="335" t="s">
        <v>422</v>
      </c>
      <c r="F2657" s="335" t="s">
        <v>701</v>
      </c>
      <c r="G2657" s="335" t="s">
        <v>5386</v>
      </c>
      <c r="H2657" s="335" t="s">
        <v>5411</v>
      </c>
      <c r="I2657" s="341">
        <v>81000</v>
      </c>
    </row>
    <row r="2658" spans="1:9" x14ac:dyDescent="0.2">
      <c r="A2658" s="333">
        <v>2657</v>
      </c>
      <c r="B2658" s="334">
        <v>44193</v>
      </c>
      <c r="C2658" s="334">
        <v>44214</v>
      </c>
      <c r="D2658" s="335" t="s">
        <v>1092</v>
      </c>
      <c r="E2658" s="335" t="s">
        <v>422</v>
      </c>
      <c r="F2658" s="335" t="s">
        <v>701</v>
      </c>
      <c r="G2658" s="335" t="s">
        <v>5387</v>
      </c>
      <c r="H2658" s="335" t="s">
        <v>5412</v>
      </c>
      <c r="I2658" s="341">
        <v>35500</v>
      </c>
    </row>
    <row r="2659" spans="1:9" x14ac:dyDescent="0.2">
      <c r="A2659" s="333">
        <v>2658</v>
      </c>
      <c r="B2659" s="334">
        <v>44193</v>
      </c>
      <c r="C2659" s="334">
        <v>44214</v>
      </c>
      <c r="D2659" s="335" t="s">
        <v>1092</v>
      </c>
      <c r="E2659" s="335" t="s">
        <v>422</v>
      </c>
      <c r="F2659" s="335" t="s">
        <v>701</v>
      </c>
      <c r="G2659" s="335" t="s">
        <v>5388</v>
      </c>
      <c r="H2659" s="335" t="s">
        <v>5413</v>
      </c>
      <c r="I2659" s="341">
        <v>31500</v>
      </c>
    </row>
    <row r="2660" spans="1:9" x14ac:dyDescent="0.2">
      <c r="A2660" s="333">
        <v>2659</v>
      </c>
      <c r="B2660" s="334">
        <v>44194</v>
      </c>
      <c r="C2660" s="334">
        <v>44235</v>
      </c>
      <c r="D2660" s="335" t="s">
        <v>1092</v>
      </c>
      <c r="E2660" s="335" t="s">
        <v>422</v>
      </c>
      <c r="F2660" s="335" t="s">
        <v>1276</v>
      </c>
      <c r="G2660" s="335" t="s">
        <v>5389</v>
      </c>
      <c r="H2660" s="335" t="s">
        <v>5414</v>
      </c>
      <c r="I2660" s="341">
        <v>404653.33</v>
      </c>
    </row>
    <row r="2661" spans="1:9" x14ac:dyDescent="0.2">
      <c r="A2661" s="333">
        <v>2660</v>
      </c>
      <c r="B2661" s="334">
        <v>44194</v>
      </c>
      <c r="C2661" s="334">
        <v>44221</v>
      </c>
      <c r="D2661" s="335" t="s">
        <v>1092</v>
      </c>
      <c r="E2661" s="335" t="s">
        <v>422</v>
      </c>
      <c r="F2661" s="335" t="s">
        <v>1276</v>
      </c>
      <c r="G2661" s="335" t="s">
        <v>5390</v>
      </c>
      <c r="H2661" s="335" t="s">
        <v>5415</v>
      </c>
      <c r="I2661" s="341">
        <v>33600</v>
      </c>
    </row>
    <row r="2662" spans="1:9" x14ac:dyDescent="0.2">
      <c r="A2662" s="333">
        <v>2661</v>
      </c>
      <c r="B2662" s="334">
        <v>44194</v>
      </c>
      <c r="C2662" s="334">
        <v>44221</v>
      </c>
      <c r="D2662" s="335" t="s">
        <v>1092</v>
      </c>
      <c r="E2662" s="335" t="s">
        <v>422</v>
      </c>
      <c r="F2662" s="335" t="s">
        <v>71</v>
      </c>
      <c r="G2662" s="335" t="s">
        <v>5391</v>
      </c>
      <c r="H2662" s="335" t="s">
        <v>5416</v>
      </c>
      <c r="I2662" s="341">
        <v>76800</v>
      </c>
    </row>
    <row r="2663" spans="1:9" x14ac:dyDescent="0.2">
      <c r="A2663" s="333">
        <v>2662</v>
      </c>
      <c r="B2663" s="334">
        <v>44195</v>
      </c>
      <c r="C2663" s="334">
        <v>44221</v>
      </c>
      <c r="D2663" s="335" t="s">
        <v>1092</v>
      </c>
      <c r="E2663" s="335" t="s">
        <v>422</v>
      </c>
      <c r="F2663" s="335" t="s">
        <v>701</v>
      </c>
      <c r="G2663" s="335" t="s">
        <v>5392</v>
      </c>
      <c r="H2663" s="335" t="s">
        <v>5417</v>
      </c>
      <c r="I2663" s="341">
        <v>49586.78</v>
      </c>
    </row>
    <row r="2664" spans="1:9" x14ac:dyDescent="0.2">
      <c r="A2664" s="333">
        <v>2663</v>
      </c>
      <c r="B2664" s="334">
        <v>44195</v>
      </c>
      <c r="C2664" s="334">
        <v>44221</v>
      </c>
      <c r="D2664" s="335" t="s">
        <v>1092</v>
      </c>
      <c r="E2664" s="335" t="s">
        <v>422</v>
      </c>
      <c r="F2664" s="335" t="s">
        <v>701</v>
      </c>
      <c r="G2664" s="335" t="s">
        <v>5393</v>
      </c>
      <c r="H2664" s="335" t="s">
        <v>5418</v>
      </c>
      <c r="I2664" s="341">
        <v>28925.62</v>
      </c>
    </row>
    <row r="2665" spans="1:9" x14ac:dyDescent="0.2">
      <c r="A2665" s="333">
        <v>2664</v>
      </c>
      <c r="B2665" s="334">
        <v>44195</v>
      </c>
      <c r="C2665" s="334">
        <v>44221</v>
      </c>
      <c r="D2665" s="335" t="s">
        <v>1092</v>
      </c>
      <c r="E2665" s="335" t="s">
        <v>422</v>
      </c>
      <c r="F2665" s="335" t="s">
        <v>701</v>
      </c>
      <c r="G2665" s="335" t="s">
        <v>5394</v>
      </c>
      <c r="H2665" s="335" t="s">
        <v>5419</v>
      </c>
      <c r="I2665" s="341">
        <v>28925.62</v>
      </c>
    </row>
    <row r="2666" spans="1:9" x14ac:dyDescent="0.2">
      <c r="A2666" s="333">
        <v>2665</v>
      </c>
      <c r="B2666" s="334">
        <v>44195</v>
      </c>
      <c r="C2666" s="334">
        <v>44221</v>
      </c>
      <c r="D2666" s="335" t="s">
        <v>1092</v>
      </c>
      <c r="E2666" s="335" t="s">
        <v>422</v>
      </c>
      <c r="F2666" s="335" t="s">
        <v>701</v>
      </c>
      <c r="G2666" s="335" t="s">
        <v>5395</v>
      </c>
      <c r="H2666" s="335" t="s">
        <v>5420</v>
      </c>
      <c r="I2666" s="341">
        <v>59504.13</v>
      </c>
    </row>
    <row r="2667" spans="1:9" x14ac:dyDescent="0.2">
      <c r="A2667" s="333">
        <v>2666</v>
      </c>
      <c r="B2667" s="334">
        <v>44195</v>
      </c>
      <c r="C2667" s="334">
        <v>44221</v>
      </c>
      <c r="D2667" s="335" t="s">
        <v>1092</v>
      </c>
      <c r="E2667" s="335" t="s">
        <v>422</v>
      </c>
      <c r="F2667" s="335" t="s">
        <v>701</v>
      </c>
      <c r="G2667" s="335" t="s">
        <v>5396</v>
      </c>
      <c r="H2667" s="335" t="s">
        <v>5421</v>
      </c>
      <c r="I2667" s="341">
        <v>43801.65</v>
      </c>
    </row>
    <row r="2668" spans="1:9" x14ac:dyDescent="0.2">
      <c r="A2668" s="333">
        <v>2667</v>
      </c>
      <c r="B2668" s="334">
        <v>44195</v>
      </c>
      <c r="C2668" s="334">
        <v>44228</v>
      </c>
      <c r="D2668" s="335" t="s">
        <v>1092</v>
      </c>
      <c r="E2668" s="335" t="s">
        <v>392</v>
      </c>
      <c r="F2668" s="335" t="s">
        <v>9</v>
      </c>
      <c r="G2668" s="335" t="s">
        <v>5397</v>
      </c>
      <c r="H2668" s="335" t="s">
        <v>5422</v>
      </c>
      <c r="I2668" s="341">
        <v>282340.78999999998</v>
      </c>
    </row>
    <row r="2669" spans="1:9" x14ac:dyDescent="0.2">
      <c r="A2669" s="333">
        <v>2668</v>
      </c>
      <c r="B2669" s="334">
        <v>44195</v>
      </c>
      <c r="C2669" s="334">
        <v>44221</v>
      </c>
      <c r="D2669" s="335" t="s">
        <v>1092</v>
      </c>
      <c r="E2669" s="335" t="s">
        <v>422</v>
      </c>
      <c r="F2669" s="335" t="s">
        <v>701</v>
      </c>
      <c r="G2669" s="335" t="s">
        <v>5398</v>
      </c>
      <c r="H2669" s="335" t="s">
        <v>5423</v>
      </c>
      <c r="I2669" s="341">
        <v>41322.31</v>
      </c>
    </row>
    <row r="2670" spans="1:9" x14ac:dyDescent="0.2">
      <c r="A2670" s="333">
        <v>2669</v>
      </c>
      <c r="B2670" s="334">
        <v>44196</v>
      </c>
      <c r="C2670" s="334">
        <v>44214</v>
      </c>
      <c r="D2670" s="335" t="s">
        <v>1092</v>
      </c>
      <c r="E2670" s="335" t="s">
        <v>422</v>
      </c>
      <c r="F2670" s="335" t="s">
        <v>701</v>
      </c>
      <c r="G2670" s="335" t="s">
        <v>5399</v>
      </c>
      <c r="H2670" s="335" t="s">
        <v>5424</v>
      </c>
      <c r="I2670" s="341">
        <v>19331.599999999999</v>
      </c>
    </row>
    <row r="2671" spans="1:9" x14ac:dyDescent="0.2">
      <c r="A2671" s="333">
        <v>2670</v>
      </c>
      <c r="B2671" s="334">
        <v>44196</v>
      </c>
      <c r="C2671" s="334">
        <v>44214</v>
      </c>
      <c r="D2671" s="335" t="s">
        <v>1092</v>
      </c>
      <c r="E2671" s="335" t="s">
        <v>422</v>
      </c>
      <c r="F2671" s="335" t="s">
        <v>701</v>
      </c>
      <c r="G2671" s="335" t="s">
        <v>5400</v>
      </c>
      <c r="H2671" s="335" t="s">
        <v>5425</v>
      </c>
      <c r="I2671" s="341">
        <v>31500</v>
      </c>
    </row>
    <row r="2672" spans="1:9" x14ac:dyDescent="0.2">
      <c r="A2672" s="333">
        <v>2671</v>
      </c>
      <c r="B2672" s="334">
        <v>44196</v>
      </c>
      <c r="C2672" s="334">
        <v>44216</v>
      </c>
      <c r="D2672" s="335" t="s">
        <v>1092</v>
      </c>
      <c r="E2672" s="335" t="s">
        <v>422</v>
      </c>
      <c r="F2672" s="335" t="s">
        <v>701</v>
      </c>
      <c r="G2672" s="335" t="s">
        <v>5401</v>
      </c>
      <c r="H2672" s="335" t="s">
        <v>5426</v>
      </c>
      <c r="I2672" s="341">
        <v>16300</v>
      </c>
    </row>
    <row r="2673" spans="1:9" x14ac:dyDescent="0.2">
      <c r="A2673" s="333">
        <v>2672</v>
      </c>
      <c r="B2673" s="334">
        <v>44204</v>
      </c>
      <c r="C2673" s="334">
        <v>44221</v>
      </c>
      <c r="D2673" s="335" t="s">
        <v>1092</v>
      </c>
      <c r="E2673" s="335" t="s">
        <v>422</v>
      </c>
      <c r="F2673" s="335" t="s">
        <v>71</v>
      </c>
      <c r="G2673" s="335" t="s">
        <v>5429</v>
      </c>
      <c r="H2673" s="335" t="s">
        <v>5430</v>
      </c>
      <c r="I2673" s="341">
        <v>43844.79</v>
      </c>
    </row>
    <row r="2674" spans="1:9" x14ac:dyDescent="0.2">
      <c r="A2674" s="333">
        <v>2673</v>
      </c>
      <c r="B2674" s="334">
        <v>44204</v>
      </c>
      <c r="C2674" s="334">
        <v>44221</v>
      </c>
      <c r="D2674" s="335" t="s">
        <v>1092</v>
      </c>
      <c r="E2674" s="335" t="s">
        <v>422</v>
      </c>
      <c r="F2674" s="335" t="s">
        <v>1640</v>
      </c>
      <c r="G2674" s="335" t="s">
        <v>5431</v>
      </c>
      <c r="H2674" s="335" t="s">
        <v>5432</v>
      </c>
      <c r="I2674" s="341">
        <v>140000</v>
      </c>
    </row>
    <row r="2675" spans="1:9" x14ac:dyDescent="0.2">
      <c r="A2675" s="333">
        <v>2674</v>
      </c>
      <c r="B2675" s="334">
        <v>44204</v>
      </c>
      <c r="C2675" s="334">
        <v>44221</v>
      </c>
      <c r="D2675" s="335" t="s">
        <v>1092</v>
      </c>
      <c r="E2675" s="335" t="s">
        <v>422</v>
      </c>
      <c r="F2675" s="335" t="s">
        <v>1640</v>
      </c>
      <c r="G2675" s="335" t="s">
        <v>5433</v>
      </c>
      <c r="H2675" s="335" t="s">
        <v>5434</v>
      </c>
      <c r="I2675" s="341">
        <v>24600</v>
      </c>
    </row>
    <row r="2676" spans="1:9" x14ac:dyDescent="0.2">
      <c r="A2676" s="333">
        <v>2675</v>
      </c>
      <c r="B2676" s="334">
        <v>44207</v>
      </c>
      <c r="C2676" s="334">
        <v>44223</v>
      </c>
      <c r="D2676" s="335" t="s">
        <v>1092</v>
      </c>
      <c r="E2676" s="335" t="s">
        <v>422</v>
      </c>
      <c r="F2676" s="335" t="s">
        <v>701</v>
      </c>
      <c r="G2676" s="335" t="s">
        <v>5435</v>
      </c>
      <c r="H2676" s="335" t="s">
        <v>5436</v>
      </c>
      <c r="I2676" s="341">
        <v>43342.559999999998</v>
      </c>
    </row>
    <row r="2677" spans="1:9" x14ac:dyDescent="0.2">
      <c r="A2677" s="333">
        <v>2676</v>
      </c>
      <c r="B2677" s="334">
        <v>44207</v>
      </c>
      <c r="C2677" s="334">
        <v>44223</v>
      </c>
      <c r="D2677" s="335" t="s">
        <v>1092</v>
      </c>
      <c r="E2677" s="335" t="s">
        <v>422</v>
      </c>
      <c r="F2677" s="335" t="s">
        <v>701</v>
      </c>
      <c r="G2677" s="335" t="s">
        <v>5437</v>
      </c>
      <c r="H2677" s="335" t="s">
        <v>5438</v>
      </c>
      <c r="I2677" s="341">
        <v>23852.1</v>
      </c>
    </row>
    <row r="2678" spans="1:9" x14ac:dyDescent="0.2">
      <c r="A2678" s="333">
        <v>2677</v>
      </c>
      <c r="B2678" s="334">
        <v>44208</v>
      </c>
      <c r="C2678" s="334">
        <v>44228</v>
      </c>
      <c r="D2678" s="335" t="s">
        <v>1092</v>
      </c>
      <c r="E2678" s="335" t="s">
        <v>422</v>
      </c>
      <c r="F2678" s="335" t="s">
        <v>1285</v>
      </c>
      <c r="G2678" s="335" t="s">
        <v>5439</v>
      </c>
      <c r="H2678" s="335" t="s">
        <v>5440</v>
      </c>
      <c r="I2678" s="341">
        <v>48000</v>
      </c>
    </row>
    <row r="2679" spans="1:9" x14ac:dyDescent="0.2">
      <c r="A2679" s="333">
        <v>2678</v>
      </c>
      <c r="B2679" s="334">
        <v>44208</v>
      </c>
      <c r="C2679" s="334">
        <v>44223</v>
      </c>
      <c r="D2679" s="335" t="s">
        <v>1092</v>
      </c>
      <c r="E2679" s="335" t="s">
        <v>422</v>
      </c>
      <c r="F2679" s="335" t="s">
        <v>1285</v>
      </c>
      <c r="G2679" s="335" t="s">
        <v>5441</v>
      </c>
      <c r="H2679" s="335" t="s">
        <v>5442</v>
      </c>
      <c r="I2679" s="341">
        <v>23952.9</v>
      </c>
    </row>
    <row r="2680" spans="1:9" x14ac:dyDescent="0.2">
      <c r="A2680" s="333">
        <v>2679</v>
      </c>
      <c r="B2680" s="334">
        <v>44208</v>
      </c>
      <c r="C2680" s="334">
        <v>44223</v>
      </c>
      <c r="D2680" s="335" t="s">
        <v>1092</v>
      </c>
      <c r="E2680" s="335" t="s">
        <v>422</v>
      </c>
      <c r="F2680" s="335" t="s">
        <v>1285</v>
      </c>
      <c r="G2680" s="335" t="s">
        <v>5443</v>
      </c>
      <c r="H2680" s="335" t="s">
        <v>5444</v>
      </c>
      <c r="I2680" s="341">
        <v>26541.200000000001</v>
      </c>
    </row>
    <row r="2681" spans="1:9" x14ac:dyDescent="0.2">
      <c r="A2681" s="333">
        <v>2680</v>
      </c>
      <c r="B2681" s="334">
        <v>44210</v>
      </c>
      <c r="C2681" s="334">
        <v>44228</v>
      </c>
      <c r="D2681" s="335" t="s">
        <v>1092</v>
      </c>
      <c r="E2681" s="335" t="s">
        <v>422</v>
      </c>
      <c r="F2681" s="335" t="s">
        <v>701</v>
      </c>
      <c r="G2681" s="335" t="s">
        <v>5448</v>
      </c>
      <c r="H2681" s="335" t="s">
        <v>5449</v>
      </c>
      <c r="I2681" s="341">
        <v>42148.76</v>
      </c>
    </row>
    <row r="2682" spans="1:9" x14ac:dyDescent="0.2">
      <c r="A2682" s="333">
        <v>2681</v>
      </c>
      <c r="B2682" s="334">
        <v>44210</v>
      </c>
      <c r="C2682" s="334">
        <v>44242</v>
      </c>
      <c r="D2682" s="335" t="s">
        <v>1092</v>
      </c>
      <c r="E2682" s="335" t="s">
        <v>422</v>
      </c>
      <c r="F2682" s="335" t="s">
        <v>396</v>
      </c>
      <c r="G2682" s="335" t="s">
        <v>5450</v>
      </c>
      <c r="H2682" s="335" t="s">
        <v>5451</v>
      </c>
      <c r="I2682" s="341">
        <v>1497866.66</v>
      </c>
    </row>
    <row r="2683" spans="1:9" x14ac:dyDescent="0.2">
      <c r="A2683" s="333">
        <v>2682</v>
      </c>
      <c r="B2683" s="334">
        <v>44210</v>
      </c>
      <c r="C2683" s="334">
        <v>44230</v>
      </c>
      <c r="D2683" s="335" t="s">
        <v>1092</v>
      </c>
      <c r="E2683" s="335" t="s">
        <v>422</v>
      </c>
      <c r="F2683" s="335" t="s">
        <v>396</v>
      </c>
      <c r="G2683" s="335" t="s">
        <v>5452</v>
      </c>
      <c r="H2683" s="335" t="s">
        <v>5453</v>
      </c>
      <c r="I2683" s="341">
        <v>98400</v>
      </c>
    </row>
    <row r="2684" spans="1:9" x14ac:dyDescent="0.2">
      <c r="A2684" s="333">
        <v>2683</v>
      </c>
      <c r="B2684" s="334">
        <v>44210</v>
      </c>
      <c r="C2684" s="334">
        <v>44230</v>
      </c>
      <c r="D2684" s="335" t="s">
        <v>1092</v>
      </c>
      <c r="E2684" s="335" t="s">
        <v>422</v>
      </c>
      <c r="F2684" s="335" t="s">
        <v>71</v>
      </c>
      <c r="G2684" s="335" t="s">
        <v>5454</v>
      </c>
      <c r="H2684" s="335" t="s">
        <v>5455</v>
      </c>
      <c r="I2684" s="341">
        <v>182400</v>
      </c>
    </row>
    <row r="2685" spans="1:9" x14ac:dyDescent="0.2">
      <c r="A2685" s="333">
        <v>2684</v>
      </c>
      <c r="B2685" s="334">
        <v>44210</v>
      </c>
      <c r="C2685" s="334">
        <v>44228</v>
      </c>
      <c r="D2685" s="335" t="s">
        <v>1092</v>
      </c>
      <c r="E2685" s="335" t="s">
        <v>422</v>
      </c>
      <c r="F2685" s="335" t="s">
        <v>701</v>
      </c>
      <c r="G2685" s="335" t="s">
        <v>5456</v>
      </c>
      <c r="H2685" s="335" t="s">
        <v>5457</v>
      </c>
      <c r="I2685" s="341">
        <v>37190.080000000002</v>
      </c>
    </row>
    <row r="2686" spans="1:9" x14ac:dyDescent="0.2">
      <c r="A2686" s="333">
        <v>2685</v>
      </c>
      <c r="B2686" s="334">
        <v>44210</v>
      </c>
      <c r="C2686" s="334">
        <v>44228</v>
      </c>
      <c r="D2686" s="335" t="s">
        <v>1092</v>
      </c>
      <c r="E2686" s="335" t="s">
        <v>422</v>
      </c>
      <c r="F2686" s="335" t="s">
        <v>701</v>
      </c>
      <c r="G2686" s="335" t="s">
        <v>5458</v>
      </c>
      <c r="H2686" s="335" t="s">
        <v>5459</v>
      </c>
      <c r="I2686" s="341">
        <v>43801.65</v>
      </c>
    </row>
    <row r="2687" spans="1:9" x14ac:dyDescent="0.2">
      <c r="A2687" s="333">
        <v>2686</v>
      </c>
      <c r="B2687" s="334">
        <v>44215</v>
      </c>
      <c r="C2687" s="334">
        <v>44230</v>
      </c>
      <c r="D2687" s="335" t="s">
        <v>1092</v>
      </c>
      <c r="E2687" s="335" t="s">
        <v>422</v>
      </c>
      <c r="F2687" s="335" t="s">
        <v>701</v>
      </c>
      <c r="G2687" s="335" t="s">
        <v>5462</v>
      </c>
      <c r="H2687" s="335" t="s">
        <v>5463</v>
      </c>
      <c r="I2687" s="341">
        <v>47107.44</v>
      </c>
    </row>
    <row r="2688" spans="1:9" x14ac:dyDescent="0.2">
      <c r="A2688" s="333">
        <v>2687</v>
      </c>
      <c r="B2688" s="334">
        <v>44215</v>
      </c>
      <c r="C2688" s="334">
        <v>44230</v>
      </c>
      <c r="D2688" s="335" t="s">
        <v>1092</v>
      </c>
      <c r="E2688" s="335" t="s">
        <v>422</v>
      </c>
      <c r="F2688" s="335" t="s">
        <v>701</v>
      </c>
      <c r="G2688" s="335" t="s">
        <v>5464</v>
      </c>
      <c r="H2688" s="335" t="s">
        <v>5465</v>
      </c>
      <c r="I2688" s="341">
        <v>32231.4</v>
      </c>
    </row>
    <row r="2689" spans="1:9" x14ac:dyDescent="0.2">
      <c r="A2689" s="333">
        <v>2688</v>
      </c>
      <c r="B2689" s="334">
        <v>44215</v>
      </c>
      <c r="C2689" s="334">
        <v>44230</v>
      </c>
      <c r="D2689" s="335" t="s">
        <v>1092</v>
      </c>
      <c r="E2689" s="335" t="s">
        <v>422</v>
      </c>
      <c r="F2689" s="335" t="s">
        <v>701</v>
      </c>
      <c r="G2689" s="335" t="s">
        <v>5466</v>
      </c>
      <c r="H2689" s="335" t="s">
        <v>5467</v>
      </c>
      <c r="I2689" s="341">
        <v>48760.33</v>
      </c>
    </row>
    <row r="2690" spans="1:9" x14ac:dyDescent="0.2">
      <c r="A2690" s="333">
        <v>2689</v>
      </c>
      <c r="B2690" s="334">
        <v>44218</v>
      </c>
      <c r="C2690" s="334">
        <v>44249</v>
      </c>
      <c r="D2690" s="335" t="s">
        <v>1092</v>
      </c>
      <c r="E2690" s="335" t="s">
        <v>422</v>
      </c>
      <c r="F2690" s="335" t="s">
        <v>701</v>
      </c>
      <c r="G2690" s="335" t="s">
        <v>5468</v>
      </c>
      <c r="H2690" s="335" t="s">
        <v>5469</v>
      </c>
      <c r="I2690" s="341">
        <v>357280</v>
      </c>
    </row>
    <row r="2691" spans="1:9" x14ac:dyDescent="0.2">
      <c r="A2691" s="333">
        <v>2690</v>
      </c>
      <c r="B2691" s="334">
        <v>44221</v>
      </c>
      <c r="C2691" s="334">
        <v>44237</v>
      </c>
      <c r="D2691" s="335" t="s">
        <v>1092</v>
      </c>
      <c r="E2691" s="335" t="s">
        <v>392</v>
      </c>
      <c r="F2691" s="335" t="s">
        <v>701</v>
      </c>
      <c r="G2691" s="335" t="s">
        <v>5470</v>
      </c>
      <c r="H2691" s="335" t="s">
        <v>1385</v>
      </c>
      <c r="I2691" s="341">
        <v>130000</v>
      </c>
    </row>
    <row r="2692" spans="1:9" x14ac:dyDescent="0.2">
      <c r="A2692" s="333">
        <v>2691</v>
      </c>
      <c r="B2692" s="334">
        <v>44222</v>
      </c>
      <c r="C2692" s="334">
        <v>44242</v>
      </c>
      <c r="D2692" s="335" t="s">
        <v>1092</v>
      </c>
      <c r="E2692" s="335" t="s">
        <v>422</v>
      </c>
      <c r="F2692" s="335" t="s">
        <v>701</v>
      </c>
      <c r="G2692" s="335" t="s">
        <v>5471</v>
      </c>
      <c r="H2692" s="335" t="s">
        <v>5472</v>
      </c>
      <c r="I2692" s="341">
        <v>89000</v>
      </c>
    </row>
    <row r="2693" spans="1:9" x14ac:dyDescent="0.2">
      <c r="A2693" s="333">
        <v>2692</v>
      </c>
      <c r="B2693" s="334">
        <v>44222</v>
      </c>
      <c r="C2693" s="334">
        <v>44242</v>
      </c>
      <c r="D2693" s="335" t="s">
        <v>1092</v>
      </c>
      <c r="E2693" s="335" t="s">
        <v>422</v>
      </c>
      <c r="F2693" s="335" t="s">
        <v>701</v>
      </c>
      <c r="G2693" s="335" t="s">
        <v>5473</v>
      </c>
      <c r="H2693" s="335" t="s">
        <v>5474</v>
      </c>
      <c r="I2693" s="341">
        <v>135920</v>
      </c>
    </row>
    <row r="2694" spans="1:9" x14ac:dyDescent="0.2">
      <c r="A2694" s="333">
        <v>2693</v>
      </c>
      <c r="B2694" s="334">
        <v>44222</v>
      </c>
      <c r="C2694" s="334">
        <v>44242</v>
      </c>
      <c r="D2694" s="335" t="s">
        <v>1092</v>
      </c>
      <c r="E2694" s="335" t="s">
        <v>422</v>
      </c>
      <c r="F2694" s="335" t="s">
        <v>701</v>
      </c>
      <c r="G2694" s="335" t="s">
        <v>5475</v>
      </c>
      <c r="H2694" s="335" t="s">
        <v>5476</v>
      </c>
      <c r="I2694" s="341">
        <v>76500</v>
      </c>
    </row>
    <row r="2695" spans="1:9" x14ac:dyDescent="0.2">
      <c r="A2695" s="333">
        <v>2694</v>
      </c>
      <c r="B2695" s="334">
        <v>44222</v>
      </c>
      <c r="C2695" s="334">
        <v>44242</v>
      </c>
      <c r="D2695" s="335" t="s">
        <v>1092</v>
      </c>
      <c r="E2695" s="335" t="s">
        <v>422</v>
      </c>
      <c r="F2695" s="335" t="s">
        <v>701</v>
      </c>
      <c r="G2695" s="335" t="s">
        <v>5477</v>
      </c>
      <c r="H2695" s="335" t="s">
        <v>5478</v>
      </c>
      <c r="I2695" s="341">
        <v>32100</v>
      </c>
    </row>
    <row r="2696" spans="1:9" x14ac:dyDescent="0.2">
      <c r="A2696" s="333">
        <v>2695</v>
      </c>
      <c r="B2696" s="334">
        <v>44229</v>
      </c>
      <c r="C2696" s="334">
        <v>44249</v>
      </c>
      <c r="D2696" s="335" t="s">
        <v>1092</v>
      </c>
      <c r="E2696" s="335" t="s">
        <v>422</v>
      </c>
      <c r="F2696" s="335" t="s">
        <v>71</v>
      </c>
      <c r="G2696" s="335" t="s">
        <v>5479</v>
      </c>
      <c r="H2696" s="335" t="s">
        <v>5480</v>
      </c>
      <c r="I2696" s="341">
        <v>9383.3700000000008</v>
      </c>
    </row>
    <row r="2697" spans="1:9" x14ac:dyDescent="0.2">
      <c r="A2697" s="333">
        <v>2696</v>
      </c>
      <c r="B2697" s="334">
        <v>44229</v>
      </c>
      <c r="C2697" s="334">
        <v>44249</v>
      </c>
      <c r="D2697" s="335" t="s">
        <v>1092</v>
      </c>
      <c r="E2697" s="335" t="s">
        <v>422</v>
      </c>
      <c r="F2697" s="335" t="s">
        <v>396</v>
      </c>
      <c r="G2697" s="335" t="s">
        <v>5481</v>
      </c>
      <c r="H2697" s="335" t="s">
        <v>5482</v>
      </c>
      <c r="I2697" s="341">
        <v>28560</v>
      </c>
    </row>
    <row r="2698" spans="1:9" x14ac:dyDescent="0.2">
      <c r="A2698" s="333">
        <v>2697</v>
      </c>
      <c r="B2698" s="334">
        <v>44229</v>
      </c>
      <c r="C2698" s="334">
        <v>44249</v>
      </c>
      <c r="D2698" s="335" t="s">
        <v>1092</v>
      </c>
      <c r="E2698" s="335" t="s">
        <v>422</v>
      </c>
      <c r="F2698" s="335" t="s">
        <v>396</v>
      </c>
      <c r="G2698" s="335" t="s">
        <v>5483</v>
      </c>
      <c r="H2698" s="335" t="s">
        <v>5484</v>
      </c>
      <c r="I2698" s="341">
        <v>9000</v>
      </c>
    </row>
    <row r="2699" spans="1:9" x14ac:dyDescent="0.2">
      <c r="A2699" s="333">
        <v>2698</v>
      </c>
      <c r="B2699" s="334">
        <v>44229</v>
      </c>
      <c r="C2699" s="334">
        <v>44249</v>
      </c>
      <c r="D2699" s="335" t="s">
        <v>1092</v>
      </c>
      <c r="E2699" s="335" t="s">
        <v>392</v>
      </c>
      <c r="F2699" s="335" t="s">
        <v>1272</v>
      </c>
      <c r="G2699" s="335" t="s">
        <v>5345</v>
      </c>
      <c r="H2699" s="335" t="s">
        <v>5485</v>
      </c>
      <c r="I2699" s="341">
        <v>9422</v>
      </c>
    </row>
    <row r="2700" spans="1:9" x14ac:dyDescent="0.2">
      <c r="A2700" s="333">
        <v>2699</v>
      </c>
      <c r="B2700" s="334">
        <v>44230</v>
      </c>
      <c r="C2700" s="334">
        <v>44256</v>
      </c>
      <c r="D2700" s="335" t="s">
        <v>1092</v>
      </c>
      <c r="E2700" s="335" t="s">
        <v>422</v>
      </c>
      <c r="F2700" s="335" t="s">
        <v>701</v>
      </c>
      <c r="G2700" s="335" t="s">
        <v>5486</v>
      </c>
      <c r="H2700" s="335" t="s">
        <v>5487</v>
      </c>
      <c r="I2700" s="341">
        <v>223600</v>
      </c>
    </row>
    <row r="2701" spans="1:9" x14ac:dyDescent="0.2">
      <c r="A2701" s="333">
        <v>2700</v>
      </c>
      <c r="B2701" s="334">
        <v>44230</v>
      </c>
      <c r="C2701" s="334">
        <v>44249</v>
      </c>
      <c r="D2701" s="335" t="s">
        <v>1092</v>
      </c>
      <c r="E2701" s="335" t="s">
        <v>392</v>
      </c>
      <c r="F2701" s="335" t="s">
        <v>71</v>
      </c>
      <c r="G2701" s="335" t="s">
        <v>5488</v>
      </c>
      <c r="H2701" s="335" t="s">
        <v>5489</v>
      </c>
      <c r="I2701" s="341">
        <v>19024.77</v>
      </c>
    </row>
    <row r="2702" spans="1:9" x14ac:dyDescent="0.2">
      <c r="A2702" s="333">
        <v>2701</v>
      </c>
      <c r="B2702" s="334">
        <v>44230</v>
      </c>
      <c r="C2702" s="334">
        <v>44249</v>
      </c>
      <c r="D2702" s="335" t="s">
        <v>1092</v>
      </c>
      <c r="E2702" s="335" t="s">
        <v>392</v>
      </c>
      <c r="F2702" s="335" t="s">
        <v>1272</v>
      </c>
      <c r="G2702" s="335" t="s">
        <v>5490</v>
      </c>
      <c r="H2702" s="335" t="s">
        <v>5491</v>
      </c>
      <c r="I2702" s="341">
        <v>47160</v>
      </c>
    </row>
    <row r="2703" spans="1:9" x14ac:dyDescent="0.2">
      <c r="A2703" s="333">
        <v>2702</v>
      </c>
      <c r="B2703" s="334">
        <v>44230</v>
      </c>
      <c r="C2703" s="334">
        <v>44251</v>
      </c>
      <c r="D2703" s="335" t="s">
        <v>1092</v>
      </c>
      <c r="E2703" s="335" t="s">
        <v>422</v>
      </c>
      <c r="F2703" s="335" t="s">
        <v>701</v>
      </c>
      <c r="G2703" s="335" t="s">
        <v>5492</v>
      </c>
      <c r="H2703" s="335" t="s">
        <v>5493</v>
      </c>
      <c r="I2703" s="341">
        <v>72940</v>
      </c>
    </row>
    <row r="2704" spans="1:9" x14ac:dyDescent="0.2">
      <c r="A2704" s="333">
        <v>2703</v>
      </c>
      <c r="B2704" s="334">
        <v>44230</v>
      </c>
      <c r="C2704" s="334">
        <v>44249</v>
      </c>
      <c r="D2704" s="335" t="s">
        <v>1092</v>
      </c>
      <c r="E2704" s="335" t="s">
        <v>392</v>
      </c>
      <c r="F2704" s="335" t="s">
        <v>1272</v>
      </c>
      <c r="G2704" s="335" t="s">
        <v>5494</v>
      </c>
      <c r="H2704" s="335" t="s">
        <v>5495</v>
      </c>
      <c r="I2704" s="341">
        <v>157715.56</v>
      </c>
    </row>
    <row r="2705" spans="1:10" x14ac:dyDescent="0.2">
      <c r="A2705" s="333">
        <v>2704</v>
      </c>
      <c r="B2705" s="334">
        <v>44230</v>
      </c>
      <c r="C2705" s="334">
        <v>44249</v>
      </c>
      <c r="D2705" s="335" t="s">
        <v>1092</v>
      </c>
      <c r="E2705" s="335" t="s">
        <v>392</v>
      </c>
      <c r="F2705" s="335" t="s">
        <v>701</v>
      </c>
      <c r="G2705" s="335" t="s">
        <v>5496</v>
      </c>
      <c r="H2705" s="335" t="s">
        <v>5497</v>
      </c>
      <c r="I2705" s="341">
        <v>26300.880000000001</v>
      </c>
    </row>
    <row r="2706" spans="1:10" x14ac:dyDescent="0.2">
      <c r="A2706" s="333">
        <v>2705</v>
      </c>
      <c r="B2706" s="334">
        <v>44232</v>
      </c>
      <c r="C2706" s="334">
        <v>44251</v>
      </c>
      <c r="D2706" s="335" t="s">
        <v>1092</v>
      </c>
      <c r="E2706" s="335" t="s">
        <v>392</v>
      </c>
      <c r="F2706" s="335" t="s">
        <v>1272</v>
      </c>
      <c r="G2706" s="335" t="s">
        <v>5498</v>
      </c>
      <c r="H2706" s="335" t="s">
        <v>5499</v>
      </c>
      <c r="I2706" s="341">
        <v>12252</v>
      </c>
    </row>
    <row r="2707" spans="1:10" x14ac:dyDescent="0.2">
      <c r="A2707" s="333">
        <v>2706</v>
      </c>
      <c r="B2707" s="334">
        <v>44232</v>
      </c>
      <c r="C2707" s="334">
        <v>44251</v>
      </c>
      <c r="D2707" s="335" t="s">
        <v>1092</v>
      </c>
      <c r="E2707" s="335" t="s">
        <v>392</v>
      </c>
      <c r="F2707" s="335" t="s">
        <v>1272</v>
      </c>
      <c r="G2707" s="335" t="s">
        <v>5500</v>
      </c>
      <c r="H2707" s="335" t="s">
        <v>5501</v>
      </c>
      <c r="I2707" s="341">
        <v>40853.199999999997</v>
      </c>
    </row>
    <row r="2708" spans="1:10" x14ac:dyDescent="0.2">
      <c r="A2708" s="333">
        <v>2707</v>
      </c>
      <c r="B2708" s="334">
        <v>44232</v>
      </c>
      <c r="C2708" s="334">
        <v>44251</v>
      </c>
      <c r="D2708" s="335" t="s">
        <v>1092</v>
      </c>
      <c r="E2708" s="335" t="s">
        <v>392</v>
      </c>
      <c r="F2708" s="335" t="s">
        <v>71</v>
      </c>
      <c r="G2708" s="335" t="s">
        <v>5502</v>
      </c>
      <c r="H2708" s="335" t="s">
        <v>5503</v>
      </c>
      <c r="I2708" s="341">
        <v>17072.759999999998</v>
      </c>
    </row>
    <row r="2709" spans="1:10" x14ac:dyDescent="0.2">
      <c r="A2709" s="333">
        <v>2708</v>
      </c>
      <c r="B2709" s="334">
        <v>44235</v>
      </c>
      <c r="C2709" s="334">
        <v>44251</v>
      </c>
      <c r="D2709" s="335" t="s">
        <v>1092</v>
      </c>
      <c r="E2709" s="335" t="s">
        <v>392</v>
      </c>
      <c r="F2709" s="335" t="s">
        <v>2224</v>
      </c>
      <c r="G2709" s="335" t="s">
        <v>5504</v>
      </c>
      <c r="H2709" s="335" t="s">
        <v>5505</v>
      </c>
      <c r="I2709" s="341">
        <v>30000</v>
      </c>
    </row>
    <row r="2710" spans="1:10" x14ac:dyDescent="0.2">
      <c r="A2710" s="333">
        <v>2709</v>
      </c>
      <c r="B2710" s="334">
        <v>44236</v>
      </c>
      <c r="C2710" s="334">
        <v>44256</v>
      </c>
      <c r="D2710" s="335" t="s">
        <v>1092</v>
      </c>
      <c r="E2710" s="335" t="s">
        <v>422</v>
      </c>
      <c r="F2710" s="335" t="s">
        <v>701</v>
      </c>
      <c r="G2710" s="335" t="s">
        <v>5506</v>
      </c>
      <c r="H2710" s="335" t="s">
        <v>5507</v>
      </c>
      <c r="I2710" s="341">
        <v>12500</v>
      </c>
    </row>
    <row r="2711" spans="1:10" x14ac:dyDescent="0.2">
      <c r="A2711" s="343">
        <v>2710</v>
      </c>
      <c r="B2711" s="344">
        <v>44236</v>
      </c>
      <c r="C2711" s="344">
        <v>44258</v>
      </c>
      <c r="D2711" s="345" t="s">
        <v>1092</v>
      </c>
      <c r="E2711" s="345" t="s">
        <v>422</v>
      </c>
      <c r="F2711" s="345" t="s">
        <v>701</v>
      </c>
      <c r="G2711" s="345" t="s">
        <v>5508</v>
      </c>
      <c r="H2711" s="345" t="s">
        <v>5509</v>
      </c>
      <c r="I2711" s="346">
        <v>45610</v>
      </c>
      <c r="J2711" s="178" t="s">
        <v>6007</v>
      </c>
    </row>
    <row r="2712" spans="1:10" x14ac:dyDescent="0.2">
      <c r="A2712" s="333">
        <v>2711</v>
      </c>
      <c r="B2712" s="334">
        <v>44238</v>
      </c>
      <c r="C2712" s="334">
        <v>44256</v>
      </c>
      <c r="D2712" s="335" t="s">
        <v>1092</v>
      </c>
      <c r="E2712" s="335" t="s">
        <v>392</v>
      </c>
      <c r="F2712" s="335" t="s">
        <v>701</v>
      </c>
      <c r="G2712" s="335" t="s">
        <v>5510</v>
      </c>
      <c r="H2712" s="335" t="s">
        <v>5511</v>
      </c>
      <c r="I2712" s="341">
        <v>104290</v>
      </c>
    </row>
    <row r="2713" spans="1:10" x14ac:dyDescent="0.2">
      <c r="A2713" s="333">
        <v>2712</v>
      </c>
      <c r="B2713" s="334">
        <v>44239</v>
      </c>
      <c r="C2713" s="334">
        <v>44256</v>
      </c>
      <c r="D2713" s="335" t="s">
        <v>1092</v>
      </c>
      <c r="E2713" s="335" t="s">
        <v>422</v>
      </c>
      <c r="F2713" s="335" t="s">
        <v>701</v>
      </c>
      <c r="G2713" s="335" t="s">
        <v>5512</v>
      </c>
      <c r="H2713" s="335" t="s">
        <v>5513</v>
      </c>
      <c r="I2713" s="341">
        <v>32783.760000000002</v>
      </c>
    </row>
    <row r="2714" spans="1:10" x14ac:dyDescent="0.2">
      <c r="A2714" s="333">
        <v>2713</v>
      </c>
      <c r="B2714" s="334">
        <v>44239</v>
      </c>
      <c r="C2714" s="334">
        <v>44258</v>
      </c>
      <c r="D2714" s="335" t="s">
        <v>1092</v>
      </c>
      <c r="E2714" s="335" t="s">
        <v>422</v>
      </c>
      <c r="F2714" s="335" t="s">
        <v>701</v>
      </c>
      <c r="G2714" s="335" t="s">
        <v>5514</v>
      </c>
      <c r="H2714" s="335" t="s">
        <v>5515</v>
      </c>
      <c r="I2714" s="341">
        <v>18410</v>
      </c>
    </row>
    <row r="2715" spans="1:10" x14ac:dyDescent="0.2">
      <c r="A2715" s="333">
        <v>2714</v>
      </c>
      <c r="B2715" s="334">
        <v>44244</v>
      </c>
      <c r="C2715" s="334">
        <v>44270</v>
      </c>
      <c r="D2715" s="335" t="s">
        <v>1092</v>
      </c>
      <c r="E2715" s="335" t="s">
        <v>392</v>
      </c>
      <c r="F2715" s="335" t="s">
        <v>9</v>
      </c>
      <c r="G2715" s="335" t="s">
        <v>5516</v>
      </c>
      <c r="H2715" s="335" t="s">
        <v>5517</v>
      </c>
      <c r="I2715" s="341">
        <v>216303.38</v>
      </c>
    </row>
    <row r="2716" spans="1:10" x14ac:dyDescent="0.2">
      <c r="A2716" s="333">
        <v>2715</v>
      </c>
      <c r="B2716" s="334">
        <v>44246</v>
      </c>
      <c r="C2716" s="334">
        <v>44263</v>
      </c>
      <c r="D2716" s="335" t="s">
        <v>1092</v>
      </c>
      <c r="E2716" s="335" t="s">
        <v>422</v>
      </c>
      <c r="F2716" s="335" t="s">
        <v>396</v>
      </c>
      <c r="G2716" s="335" t="s">
        <v>5518</v>
      </c>
      <c r="H2716" s="335" t="s">
        <v>5519</v>
      </c>
      <c r="I2716" s="341">
        <v>1320</v>
      </c>
    </row>
    <row r="2717" spans="1:10" x14ac:dyDescent="0.2">
      <c r="A2717" s="333">
        <v>2716</v>
      </c>
      <c r="B2717" s="334">
        <v>44246</v>
      </c>
      <c r="C2717" s="334">
        <v>44263</v>
      </c>
      <c r="D2717" s="335" t="s">
        <v>1092</v>
      </c>
      <c r="E2717" s="335" t="s">
        <v>392</v>
      </c>
      <c r="F2717" s="335" t="s">
        <v>1272</v>
      </c>
      <c r="G2717" s="335" t="s">
        <v>5521</v>
      </c>
      <c r="H2717" s="335" t="s">
        <v>5522</v>
      </c>
      <c r="I2717" s="341">
        <v>98139.56</v>
      </c>
    </row>
    <row r="2718" spans="1:10" x14ac:dyDescent="0.2">
      <c r="A2718" s="333">
        <v>2717</v>
      </c>
      <c r="B2718" s="334">
        <v>44246</v>
      </c>
      <c r="C2718" s="334">
        <v>44263</v>
      </c>
      <c r="D2718" s="335" t="s">
        <v>1092</v>
      </c>
      <c r="E2718" s="335" t="s">
        <v>422</v>
      </c>
      <c r="F2718" s="335" t="s">
        <v>396</v>
      </c>
      <c r="G2718" s="335" t="s">
        <v>5520</v>
      </c>
      <c r="H2718" s="335" t="s">
        <v>5523</v>
      </c>
      <c r="I2718" s="341">
        <v>3633.35</v>
      </c>
    </row>
    <row r="2719" spans="1:10" x14ac:dyDescent="0.2">
      <c r="A2719" s="333">
        <v>2718</v>
      </c>
      <c r="B2719" s="334">
        <v>44246</v>
      </c>
      <c r="C2719" s="334">
        <v>44263</v>
      </c>
      <c r="D2719" s="335" t="s">
        <v>1092</v>
      </c>
      <c r="E2719" s="335" t="s">
        <v>392</v>
      </c>
      <c r="F2719" s="335" t="s">
        <v>71</v>
      </c>
      <c r="G2719" s="335" t="s">
        <v>5524</v>
      </c>
      <c r="H2719" s="335" t="s">
        <v>5525</v>
      </c>
      <c r="I2719" s="341">
        <v>83269.679999999993</v>
      </c>
    </row>
    <row r="2720" spans="1:10" x14ac:dyDescent="0.2">
      <c r="A2720" s="333">
        <v>2719</v>
      </c>
      <c r="B2720" s="334">
        <v>44246</v>
      </c>
      <c r="C2720" s="334">
        <v>44263</v>
      </c>
      <c r="D2720" s="335" t="s">
        <v>1092</v>
      </c>
      <c r="E2720" s="335" t="s">
        <v>392</v>
      </c>
      <c r="F2720" s="335" t="s">
        <v>71</v>
      </c>
      <c r="G2720" s="335" t="s">
        <v>5526</v>
      </c>
      <c r="H2720" s="335" t="s">
        <v>5527</v>
      </c>
      <c r="I2720" s="341">
        <v>65853.31</v>
      </c>
    </row>
    <row r="2721" spans="1:9" x14ac:dyDescent="0.2">
      <c r="A2721" s="333">
        <v>2720</v>
      </c>
      <c r="B2721" s="334">
        <v>44246</v>
      </c>
      <c r="C2721" s="334">
        <v>44263</v>
      </c>
      <c r="D2721" s="335" t="s">
        <v>1092</v>
      </c>
      <c r="E2721" s="335" t="s">
        <v>392</v>
      </c>
      <c r="F2721" s="335" t="s">
        <v>1272</v>
      </c>
      <c r="G2721" s="335" t="s">
        <v>5528</v>
      </c>
      <c r="H2721" s="335" t="s">
        <v>5529</v>
      </c>
      <c r="I2721" s="341">
        <v>29400</v>
      </c>
    </row>
    <row r="2722" spans="1:9" x14ac:dyDescent="0.2">
      <c r="A2722" s="333">
        <v>2721</v>
      </c>
      <c r="B2722" s="334">
        <v>44250</v>
      </c>
      <c r="C2722" s="334">
        <v>44277</v>
      </c>
      <c r="D2722" s="335" t="s">
        <v>1092</v>
      </c>
      <c r="E2722" s="335" t="s">
        <v>422</v>
      </c>
      <c r="F2722" s="335" t="s">
        <v>701</v>
      </c>
      <c r="G2722" s="335" t="s">
        <v>5530</v>
      </c>
      <c r="H2722" s="335" t="s">
        <v>5531</v>
      </c>
      <c r="I2722" s="341">
        <v>300000</v>
      </c>
    </row>
    <row r="2723" spans="1:9" x14ac:dyDescent="0.2">
      <c r="A2723" s="333">
        <v>2722</v>
      </c>
      <c r="B2723" s="334">
        <v>44252</v>
      </c>
      <c r="C2723" s="334">
        <v>44270</v>
      </c>
      <c r="D2723" s="335" t="s">
        <v>1092</v>
      </c>
      <c r="E2723" s="335" t="s">
        <v>392</v>
      </c>
      <c r="F2723" s="335" t="s">
        <v>701</v>
      </c>
      <c r="G2723" s="335" t="s">
        <v>5532</v>
      </c>
      <c r="H2723" s="335" t="s">
        <v>5533</v>
      </c>
      <c r="I2723" s="341">
        <v>47300</v>
      </c>
    </row>
    <row r="2724" spans="1:9" x14ac:dyDescent="0.2">
      <c r="A2724" s="333">
        <v>2723</v>
      </c>
      <c r="B2724" s="334">
        <v>44252</v>
      </c>
      <c r="C2724" s="334">
        <v>44270</v>
      </c>
      <c r="D2724" s="335" t="s">
        <v>1092</v>
      </c>
      <c r="E2724" s="335" t="s">
        <v>392</v>
      </c>
      <c r="F2724" s="335" t="s">
        <v>701</v>
      </c>
      <c r="G2724" s="342" t="s">
        <v>5535</v>
      </c>
      <c r="H2724" s="335" t="s">
        <v>5534</v>
      </c>
      <c r="I2724" s="341">
        <v>27200</v>
      </c>
    </row>
    <row r="2725" spans="1:9" x14ac:dyDescent="0.2">
      <c r="A2725" s="333">
        <v>2724</v>
      </c>
      <c r="B2725" s="334">
        <v>44252</v>
      </c>
      <c r="C2725" s="334">
        <v>44270</v>
      </c>
      <c r="D2725" s="335" t="s">
        <v>1092</v>
      </c>
      <c r="E2725" s="335" t="s">
        <v>422</v>
      </c>
      <c r="F2725" s="335" t="s">
        <v>71</v>
      </c>
      <c r="G2725" s="335" t="s">
        <v>5536</v>
      </c>
      <c r="H2725" s="335" t="s">
        <v>5537</v>
      </c>
      <c r="I2725" s="341">
        <v>12659.55</v>
      </c>
    </row>
    <row r="2726" spans="1:9" x14ac:dyDescent="0.2">
      <c r="A2726" s="333">
        <v>2725</v>
      </c>
      <c r="B2726" s="334">
        <v>44252</v>
      </c>
      <c r="C2726" s="334">
        <v>44270</v>
      </c>
      <c r="D2726" s="335" t="s">
        <v>1092</v>
      </c>
      <c r="E2726" s="335" t="s">
        <v>422</v>
      </c>
      <c r="F2726" s="335" t="s">
        <v>396</v>
      </c>
      <c r="G2726" s="335" t="s">
        <v>5538</v>
      </c>
      <c r="H2726" s="335" t="s">
        <v>5539</v>
      </c>
      <c r="I2726" s="341">
        <v>38115.67</v>
      </c>
    </row>
    <row r="2727" spans="1:9" x14ac:dyDescent="0.2">
      <c r="A2727" s="333">
        <v>2726</v>
      </c>
      <c r="B2727" s="334">
        <v>44252</v>
      </c>
      <c r="C2727" s="334">
        <v>44270</v>
      </c>
      <c r="D2727" s="335" t="s">
        <v>1092</v>
      </c>
      <c r="E2727" s="335" t="s">
        <v>422</v>
      </c>
      <c r="F2727" s="335" t="s">
        <v>701</v>
      </c>
      <c r="G2727" s="335" t="s">
        <v>5319</v>
      </c>
      <c r="H2727" s="335" t="s">
        <v>5320</v>
      </c>
      <c r="I2727" s="341">
        <v>40000</v>
      </c>
    </row>
    <row r="2728" spans="1:9" x14ac:dyDescent="0.2">
      <c r="A2728" s="333">
        <v>2727</v>
      </c>
      <c r="B2728" s="334">
        <v>44252</v>
      </c>
      <c r="C2728" s="334">
        <v>44270</v>
      </c>
      <c r="D2728" s="335" t="s">
        <v>1092</v>
      </c>
      <c r="E2728" s="335" t="s">
        <v>422</v>
      </c>
      <c r="F2728" s="335" t="s">
        <v>396</v>
      </c>
      <c r="G2728" s="335" t="s">
        <v>5540</v>
      </c>
      <c r="H2728" s="335" t="s">
        <v>5541</v>
      </c>
      <c r="I2728" s="341">
        <v>9684</v>
      </c>
    </row>
    <row r="2729" spans="1:9" x14ac:dyDescent="0.2">
      <c r="A2729" s="333">
        <v>2728</v>
      </c>
      <c r="B2729" s="334">
        <v>44253</v>
      </c>
      <c r="C2729" s="334">
        <v>44272</v>
      </c>
      <c r="D2729" s="335" t="s">
        <v>1092</v>
      </c>
      <c r="E2729" s="335" t="s">
        <v>422</v>
      </c>
      <c r="F2729" s="335" t="s">
        <v>396</v>
      </c>
      <c r="G2729" s="335" t="s">
        <v>5542</v>
      </c>
      <c r="H2729" s="335" t="s">
        <v>5543</v>
      </c>
      <c r="I2729" s="341">
        <v>154874.57</v>
      </c>
    </row>
    <row r="2730" spans="1:9" x14ac:dyDescent="0.2">
      <c r="A2730" s="333">
        <v>2729</v>
      </c>
      <c r="B2730" s="334">
        <v>44253</v>
      </c>
      <c r="C2730" s="334">
        <v>44272</v>
      </c>
      <c r="D2730" s="335" t="s">
        <v>1092</v>
      </c>
      <c r="E2730" s="335" t="s">
        <v>422</v>
      </c>
      <c r="F2730" s="335" t="s">
        <v>701</v>
      </c>
      <c r="G2730" s="335" t="s">
        <v>5544</v>
      </c>
      <c r="H2730" s="335" t="s">
        <v>5545</v>
      </c>
      <c r="I2730" s="341">
        <v>180000</v>
      </c>
    </row>
    <row r="2731" spans="1:9" x14ac:dyDescent="0.2">
      <c r="A2731" s="333">
        <v>2730</v>
      </c>
      <c r="B2731" s="334">
        <v>44253</v>
      </c>
      <c r="C2731" s="334">
        <v>44272</v>
      </c>
      <c r="D2731" s="335" t="s">
        <v>1092</v>
      </c>
      <c r="E2731" s="335" t="s">
        <v>422</v>
      </c>
      <c r="F2731" s="335" t="s">
        <v>396</v>
      </c>
      <c r="G2731" s="335" t="s">
        <v>5546</v>
      </c>
      <c r="H2731" s="335" t="s">
        <v>5547</v>
      </c>
      <c r="I2731" s="341">
        <v>30936</v>
      </c>
    </row>
    <row r="2732" spans="1:9" x14ac:dyDescent="0.2">
      <c r="A2732" s="333">
        <v>2731</v>
      </c>
      <c r="B2732" s="334">
        <v>44253</v>
      </c>
      <c r="C2732" s="334">
        <v>44272</v>
      </c>
      <c r="D2732" s="335" t="s">
        <v>1092</v>
      </c>
      <c r="E2732" s="335" t="s">
        <v>422</v>
      </c>
      <c r="F2732" s="335" t="s">
        <v>71</v>
      </c>
      <c r="G2732" s="335" t="s">
        <v>5548</v>
      </c>
      <c r="H2732" s="335" t="s">
        <v>5549</v>
      </c>
      <c r="I2732" s="341">
        <v>42336.71</v>
      </c>
    </row>
    <row r="2733" spans="1:9" x14ac:dyDescent="0.2">
      <c r="A2733" s="333">
        <v>2732</v>
      </c>
      <c r="B2733" s="334">
        <v>44259</v>
      </c>
      <c r="C2733" s="334">
        <v>44279</v>
      </c>
      <c r="D2733" s="335" t="s">
        <v>1092</v>
      </c>
      <c r="E2733" s="335" t="s">
        <v>392</v>
      </c>
      <c r="F2733" s="335" t="s">
        <v>71</v>
      </c>
      <c r="G2733" s="335" t="s">
        <v>5550</v>
      </c>
      <c r="H2733" s="335" t="s">
        <v>5551</v>
      </c>
      <c r="I2733" s="341">
        <v>7709.16</v>
      </c>
    </row>
    <row r="2734" spans="1:9" x14ac:dyDescent="0.2">
      <c r="A2734" s="333">
        <v>2733</v>
      </c>
      <c r="B2734" s="334">
        <v>44259</v>
      </c>
      <c r="C2734" s="334">
        <v>44279</v>
      </c>
      <c r="D2734" s="335" t="s">
        <v>1092</v>
      </c>
      <c r="E2734" s="335" t="s">
        <v>392</v>
      </c>
      <c r="F2734" s="335" t="s">
        <v>1257</v>
      </c>
      <c r="G2734" s="335" t="s">
        <v>5552</v>
      </c>
      <c r="H2734" s="335" t="s">
        <v>5553</v>
      </c>
      <c r="I2734" s="341">
        <v>23078.93</v>
      </c>
    </row>
    <row r="2735" spans="1:9" x14ac:dyDescent="0.2">
      <c r="A2735" s="333">
        <v>2734</v>
      </c>
      <c r="B2735" s="334">
        <v>44259</v>
      </c>
      <c r="C2735" s="334">
        <v>44279</v>
      </c>
      <c r="D2735" s="335" t="s">
        <v>1092</v>
      </c>
      <c r="E2735" s="335" t="s">
        <v>392</v>
      </c>
      <c r="F2735" s="335" t="s">
        <v>1257</v>
      </c>
      <c r="G2735" s="335" t="s">
        <v>5554</v>
      </c>
      <c r="H2735" s="335" t="s">
        <v>5555</v>
      </c>
      <c r="I2735" s="341">
        <v>6912</v>
      </c>
    </row>
    <row r="2736" spans="1:9" x14ac:dyDescent="0.2">
      <c r="A2736" s="333">
        <v>2735</v>
      </c>
      <c r="B2736" s="334">
        <v>44260</v>
      </c>
      <c r="C2736" s="334">
        <v>44277</v>
      </c>
      <c r="D2736" s="335" t="s">
        <v>1092</v>
      </c>
      <c r="E2736" s="335" t="s">
        <v>422</v>
      </c>
      <c r="F2736" s="335" t="s">
        <v>701</v>
      </c>
      <c r="G2736" s="335" t="s">
        <v>5556</v>
      </c>
      <c r="H2736" s="335" t="s">
        <v>5557</v>
      </c>
      <c r="I2736" s="341">
        <v>153060</v>
      </c>
    </row>
    <row r="2737" spans="1:10" x14ac:dyDescent="0.2">
      <c r="A2737" s="333">
        <v>2736</v>
      </c>
      <c r="B2737" s="334">
        <v>44260</v>
      </c>
      <c r="C2737" s="334">
        <v>44277</v>
      </c>
      <c r="D2737" s="335" t="s">
        <v>1092</v>
      </c>
      <c r="E2737" s="335" t="s">
        <v>422</v>
      </c>
      <c r="F2737" s="335" t="s">
        <v>701</v>
      </c>
      <c r="G2737" s="335" t="s">
        <v>5558</v>
      </c>
      <c r="H2737" s="335" t="s">
        <v>5559</v>
      </c>
      <c r="I2737" s="341">
        <v>153040</v>
      </c>
    </row>
    <row r="2738" spans="1:10" x14ac:dyDescent="0.2">
      <c r="A2738" s="333">
        <v>2737</v>
      </c>
      <c r="B2738" s="334">
        <v>44260</v>
      </c>
      <c r="C2738" s="334">
        <v>44277</v>
      </c>
      <c r="D2738" s="335" t="s">
        <v>1092</v>
      </c>
      <c r="E2738" s="335" t="s">
        <v>422</v>
      </c>
      <c r="F2738" s="335" t="s">
        <v>701</v>
      </c>
      <c r="G2738" s="335" t="s">
        <v>5560</v>
      </c>
      <c r="H2738" s="335" t="s">
        <v>5561</v>
      </c>
      <c r="I2738" s="341">
        <v>153600</v>
      </c>
    </row>
    <row r="2739" spans="1:10" x14ac:dyDescent="0.2">
      <c r="A2739" s="333">
        <v>2738</v>
      </c>
      <c r="B2739" s="334">
        <v>44265</v>
      </c>
      <c r="C2739" s="334">
        <v>44284</v>
      </c>
      <c r="D2739" s="335" t="s">
        <v>1092</v>
      </c>
      <c r="E2739" s="335" t="s">
        <v>422</v>
      </c>
      <c r="F2739" s="335" t="s">
        <v>701</v>
      </c>
      <c r="G2739" s="335" t="s">
        <v>5562</v>
      </c>
      <c r="H2739" s="335" t="s">
        <v>5563</v>
      </c>
      <c r="I2739" s="341">
        <v>25000</v>
      </c>
    </row>
    <row r="2740" spans="1:10" x14ac:dyDescent="0.2">
      <c r="A2740" s="333">
        <v>2739</v>
      </c>
      <c r="B2740" s="334">
        <v>44272</v>
      </c>
      <c r="C2740" s="334">
        <v>44293</v>
      </c>
      <c r="D2740" s="335" t="s">
        <v>1092</v>
      </c>
      <c r="E2740" s="335" t="s">
        <v>422</v>
      </c>
      <c r="F2740" s="335" t="s">
        <v>1276</v>
      </c>
      <c r="G2740" s="335" t="s">
        <v>5564</v>
      </c>
      <c r="H2740" s="335" t="s">
        <v>5565</v>
      </c>
      <c r="I2740" s="341">
        <v>20064</v>
      </c>
    </row>
    <row r="2741" spans="1:10" x14ac:dyDescent="0.2">
      <c r="A2741" s="333">
        <v>2740</v>
      </c>
      <c r="B2741" s="334">
        <v>44277</v>
      </c>
      <c r="C2741" s="334">
        <v>44298</v>
      </c>
      <c r="D2741" s="335" t="s">
        <v>1092</v>
      </c>
      <c r="E2741" s="335" t="s">
        <v>392</v>
      </c>
      <c r="F2741" s="335" t="s">
        <v>2224</v>
      </c>
      <c r="G2741" s="335" t="s">
        <v>5267</v>
      </c>
      <c r="H2741" s="335" t="s">
        <v>5566</v>
      </c>
      <c r="I2741" s="341">
        <v>19363.22</v>
      </c>
    </row>
    <row r="2742" spans="1:10" x14ac:dyDescent="0.2">
      <c r="A2742" s="333">
        <v>2741</v>
      </c>
      <c r="B2742" s="334">
        <v>44279</v>
      </c>
      <c r="C2742" s="334">
        <v>44298</v>
      </c>
      <c r="D2742" s="335" t="s">
        <v>1092</v>
      </c>
      <c r="E2742" s="335" t="s">
        <v>392</v>
      </c>
      <c r="F2742" s="335" t="s">
        <v>701</v>
      </c>
      <c r="G2742" s="335" t="s">
        <v>5567</v>
      </c>
      <c r="H2742" s="335" t="s">
        <v>5568</v>
      </c>
      <c r="I2742" s="341">
        <v>43000</v>
      </c>
    </row>
    <row r="2743" spans="1:10" x14ac:dyDescent="0.2">
      <c r="A2743" s="333">
        <v>2742</v>
      </c>
      <c r="B2743" s="334">
        <v>44279</v>
      </c>
      <c r="C2743" s="334">
        <v>44298</v>
      </c>
      <c r="D2743" s="335" t="s">
        <v>1092</v>
      </c>
      <c r="E2743" s="335" t="s">
        <v>392</v>
      </c>
      <c r="F2743" s="335" t="s">
        <v>701</v>
      </c>
      <c r="G2743" s="335" t="s">
        <v>5569</v>
      </c>
      <c r="H2743" s="335" t="s">
        <v>5570</v>
      </c>
      <c r="I2743" s="341">
        <v>45500</v>
      </c>
    </row>
    <row r="2744" spans="1:10" x14ac:dyDescent="0.2">
      <c r="A2744" s="333">
        <v>2743</v>
      </c>
      <c r="B2744" s="334">
        <v>44279</v>
      </c>
      <c r="C2744" s="334">
        <v>44298</v>
      </c>
      <c r="D2744" s="335" t="s">
        <v>1092</v>
      </c>
      <c r="E2744" s="335" t="s">
        <v>422</v>
      </c>
      <c r="F2744" s="335" t="s">
        <v>1285</v>
      </c>
      <c r="G2744" s="335" t="s">
        <v>5571</v>
      </c>
      <c r="H2744" s="335" t="s">
        <v>5572</v>
      </c>
      <c r="I2744" s="341">
        <v>12425</v>
      </c>
    </row>
    <row r="2745" spans="1:10" x14ac:dyDescent="0.2">
      <c r="A2745" s="333">
        <v>2744</v>
      </c>
      <c r="B2745" s="334">
        <v>44279</v>
      </c>
      <c r="C2745" s="334">
        <v>44298</v>
      </c>
      <c r="D2745" s="335" t="s">
        <v>1092</v>
      </c>
      <c r="E2745" s="335" t="s">
        <v>392</v>
      </c>
      <c r="F2745" s="335" t="s">
        <v>2266</v>
      </c>
      <c r="G2745" s="335" t="s">
        <v>5573</v>
      </c>
      <c r="H2745" s="335" t="s">
        <v>5574</v>
      </c>
      <c r="I2745" s="341">
        <v>20760</v>
      </c>
    </row>
    <row r="2746" spans="1:10" x14ac:dyDescent="0.2">
      <c r="A2746" s="333">
        <v>2745</v>
      </c>
      <c r="B2746" s="334">
        <v>44279</v>
      </c>
      <c r="C2746" s="334">
        <v>44298</v>
      </c>
      <c r="D2746" s="335" t="s">
        <v>1092</v>
      </c>
      <c r="E2746" s="335" t="s">
        <v>392</v>
      </c>
      <c r="F2746" s="335" t="s">
        <v>71</v>
      </c>
      <c r="G2746" s="335" t="s">
        <v>5575</v>
      </c>
      <c r="H2746" s="335" t="s">
        <v>5576</v>
      </c>
      <c r="I2746" s="341">
        <v>21278.42</v>
      </c>
    </row>
    <row r="2747" spans="1:10" x14ac:dyDescent="0.2">
      <c r="A2747" s="333">
        <v>2746</v>
      </c>
      <c r="B2747" s="334">
        <v>44279</v>
      </c>
      <c r="C2747" s="334">
        <v>44298</v>
      </c>
      <c r="D2747" s="335" t="s">
        <v>1092</v>
      </c>
      <c r="E2747" s="335" t="s">
        <v>392</v>
      </c>
      <c r="F2747" s="335" t="s">
        <v>1272</v>
      </c>
      <c r="G2747" s="335" t="s">
        <v>5577</v>
      </c>
      <c r="H2747" s="335" t="s">
        <v>5578</v>
      </c>
      <c r="I2747" s="341">
        <v>83136.800000000003</v>
      </c>
    </row>
    <row r="2748" spans="1:10" x14ac:dyDescent="0.2">
      <c r="A2748" s="333">
        <v>2747</v>
      </c>
      <c r="B2748" s="334">
        <v>44279</v>
      </c>
      <c r="C2748" s="334">
        <v>44298</v>
      </c>
      <c r="D2748" s="335" t="s">
        <v>1092</v>
      </c>
      <c r="E2748" s="335" t="s">
        <v>422</v>
      </c>
      <c r="F2748" s="335" t="s">
        <v>701</v>
      </c>
      <c r="G2748" s="335" t="s">
        <v>5579</v>
      </c>
      <c r="H2748" s="335" t="s">
        <v>5580</v>
      </c>
      <c r="I2748" s="341">
        <v>60000</v>
      </c>
    </row>
    <row r="2749" spans="1:10" x14ac:dyDescent="0.2">
      <c r="A2749" s="333">
        <v>2748</v>
      </c>
      <c r="B2749" s="334">
        <v>44284</v>
      </c>
      <c r="C2749" s="334">
        <v>44300</v>
      </c>
      <c r="D2749" s="335" t="s">
        <v>1092</v>
      </c>
      <c r="E2749" s="335" t="s">
        <v>422</v>
      </c>
      <c r="F2749" s="335" t="s">
        <v>701</v>
      </c>
      <c r="G2749" s="335" t="s">
        <v>5581</v>
      </c>
      <c r="H2749" s="335" t="s">
        <v>5586</v>
      </c>
      <c r="I2749" s="341">
        <v>26600</v>
      </c>
    </row>
    <row r="2750" spans="1:10" x14ac:dyDescent="0.2">
      <c r="A2750" s="343">
        <v>2749</v>
      </c>
      <c r="B2750" s="344">
        <v>44284</v>
      </c>
      <c r="C2750" s="344">
        <v>44319</v>
      </c>
      <c r="D2750" s="345" t="s">
        <v>1092</v>
      </c>
      <c r="E2750" s="345" t="s">
        <v>392</v>
      </c>
      <c r="F2750" s="345" t="s">
        <v>701</v>
      </c>
      <c r="G2750" s="345" t="s">
        <v>5582</v>
      </c>
      <c r="H2750" s="345" t="s">
        <v>5587</v>
      </c>
      <c r="I2750" s="346">
        <v>515000</v>
      </c>
      <c r="J2750" s="178" t="s">
        <v>6003</v>
      </c>
    </row>
    <row r="2751" spans="1:10" x14ac:dyDescent="0.2">
      <c r="A2751" s="333">
        <v>2750</v>
      </c>
      <c r="B2751" s="334">
        <v>44284</v>
      </c>
      <c r="C2751" s="334">
        <v>44312</v>
      </c>
      <c r="D2751" s="335" t="s">
        <v>1092</v>
      </c>
      <c r="E2751" s="335" t="s">
        <v>422</v>
      </c>
      <c r="F2751" s="335" t="s">
        <v>701</v>
      </c>
      <c r="G2751" s="335" t="s">
        <v>5583</v>
      </c>
      <c r="H2751" s="335" t="s">
        <v>5588</v>
      </c>
      <c r="I2751" s="341">
        <v>250000</v>
      </c>
    </row>
    <row r="2752" spans="1:10" x14ac:dyDescent="0.2">
      <c r="A2752" s="333">
        <v>2751</v>
      </c>
      <c r="B2752" s="334">
        <v>44284</v>
      </c>
      <c r="C2752" s="334">
        <v>44312</v>
      </c>
      <c r="D2752" s="335" t="s">
        <v>1092</v>
      </c>
      <c r="E2752" s="335" t="s">
        <v>392</v>
      </c>
      <c r="F2752" s="335" t="s">
        <v>9</v>
      </c>
      <c r="G2752" s="335" t="s">
        <v>5584</v>
      </c>
      <c r="H2752" s="335" t="s">
        <v>5589</v>
      </c>
      <c r="I2752" s="341">
        <v>510083.19</v>
      </c>
    </row>
    <row r="2753" spans="1:10" x14ac:dyDescent="0.2">
      <c r="A2753" s="343">
        <v>2752</v>
      </c>
      <c r="B2753" s="344">
        <v>44284</v>
      </c>
      <c r="C2753" s="344">
        <v>44312</v>
      </c>
      <c r="D2753" s="345" t="s">
        <v>1092</v>
      </c>
      <c r="E2753" s="345" t="s">
        <v>392</v>
      </c>
      <c r="F2753" s="345" t="s">
        <v>9</v>
      </c>
      <c r="G2753" s="345" t="s">
        <v>5585</v>
      </c>
      <c r="H2753" s="345" t="s">
        <v>5590</v>
      </c>
      <c r="I2753" s="346">
        <v>366412.83</v>
      </c>
      <c r="J2753" s="178" t="s">
        <v>5697</v>
      </c>
    </row>
    <row r="2754" spans="1:10" x14ac:dyDescent="0.2">
      <c r="A2754" s="333">
        <v>2753</v>
      </c>
      <c r="B2754" s="334">
        <v>44285</v>
      </c>
      <c r="C2754" s="334">
        <v>44305</v>
      </c>
      <c r="D2754" s="335" t="s">
        <v>1092</v>
      </c>
      <c r="E2754" s="335" t="s">
        <v>422</v>
      </c>
      <c r="F2754" s="335" t="s">
        <v>701</v>
      </c>
      <c r="G2754" s="335" t="s">
        <v>5591</v>
      </c>
      <c r="H2754" s="335" t="s">
        <v>5599</v>
      </c>
      <c r="I2754" s="341">
        <v>46130</v>
      </c>
    </row>
    <row r="2755" spans="1:10" x14ac:dyDescent="0.2">
      <c r="A2755" s="333">
        <v>2754</v>
      </c>
      <c r="B2755" s="334">
        <v>44285</v>
      </c>
      <c r="C2755" s="334">
        <v>44305</v>
      </c>
      <c r="D2755" s="335" t="s">
        <v>1092</v>
      </c>
      <c r="E2755" s="335" t="s">
        <v>422</v>
      </c>
      <c r="F2755" s="335" t="s">
        <v>701</v>
      </c>
      <c r="G2755" s="335" t="s">
        <v>5592</v>
      </c>
      <c r="H2755" s="335" t="s">
        <v>5600</v>
      </c>
      <c r="I2755" s="341">
        <v>29000</v>
      </c>
    </row>
    <row r="2756" spans="1:10" x14ac:dyDescent="0.2">
      <c r="A2756" s="333">
        <v>2755</v>
      </c>
      <c r="B2756" s="334">
        <v>44285</v>
      </c>
      <c r="C2756" s="334">
        <v>44305</v>
      </c>
      <c r="D2756" s="335" t="s">
        <v>1092</v>
      </c>
      <c r="E2756" s="335" t="s">
        <v>392</v>
      </c>
      <c r="F2756" s="335" t="s">
        <v>701</v>
      </c>
      <c r="G2756" s="335" t="s">
        <v>5593</v>
      </c>
      <c r="H2756" s="335" t="s">
        <v>5601</v>
      </c>
      <c r="I2756" s="341">
        <v>21500</v>
      </c>
    </row>
    <row r="2757" spans="1:10" x14ac:dyDescent="0.2">
      <c r="A2757" s="333">
        <v>2756</v>
      </c>
      <c r="B2757" s="334">
        <v>44285</v>
      </c>
      <c r="C2757" s="334">
        <v>44305</v>
      </c>
      <c r="D2757" s="335" t="s">
        <v>1092</v>
      </c>
      <c r="E2757" s="335" t="s">
        <v>392</v>
      </c>
      <c r="F2757" s="335" t="s">
        <v>71</v>
      </c>
      <c r="G2757" s="335" t="s">
        <v>5594</v>
      </c>
      <c r="H2757" s="335" t="s">
        <v>5602</v>
      </c>
      <c r="I2757" s="341">
        <v>13805</v>
      </c>
    </row>
    <row r="2758" spans="1:10" x14ac:dyDescent="0.2">
      <c r="A2758" s="333">
        <v>2757</v>
      </c>
      <c r="B2758" s="334">
        <v>44285</v>
      </c>
      <c r="C2758" s="334">
        <v>44305</v>
      </c>
      <c r="D2758" s="335" t="s">
        <v>1092</v>
      </c>
      <c r="E2758" s="335" t="s">
        <v>392</v>
      </c>
      <c r="F2758" s="335" t="s">
        <v>1272</v>
      </c>
      <c r="G2758" s="335" t="s">
        <v>5595</v>
      </c>
      <c r="H2758" s="335" t="s">
        <v>5603</v>
      </c>
      <c r="I2758" s="341">
        <v>24000</v>
      </c>
    </row>
    <row r="2759" spans="1:10" x14ac:dyDescent="0.2">
      <c r="A2759" s="333">
        <v>2758</v>
      </c>
      <c r="B2759" s="334">
        <v>44285</v>
      </c>
      <c r="C2759" s="334">
        <v>44305</v>
      </c>
      <c r="D2759" s="335" t="s">
        <v>1092</v>
      </c>
      <c r="E2759" s="335" t="s">
        <v>392</v>
      </c>
      <c r="F2759" s="335" t="s">
        <v>2224</v>
      </c>
      <c r="G2759" s="335" t="s">
        <v>5596</v>
      </c>
      <c r="H2759" s="335" t="s">
        <v>5604</v>
      </c>
      <c r="I2759" s="341">
        <v>68181.820000000007</v>
      </c>
    </row>
    <row r="2760" spans="1:10" x14ac:dyDescent="0.2">
      <c r="A2760" s="333">
        <v>2759</v>
      </c>
      <c r="B2760" s="334">
        <v>44285</v>
      </c>
      <c r="C2760" s="334">
        <v>44305</v>
      </c>
      <c r="D2760" s="335" t="s">
        <v>1092</v>
      </c>
      <c r="E2760" s="335" t="s">
        <v>392</v>
      </c>
      <c r="F2760" s="335" t="s">
        <v>2224</v>
      </c>
      <c r="G2760" s="335" t="s">
        <v>5597</v>
      </c>
      <c r="H2760" s="335" t="s">
        <v>5605</v>
      </c>
      <c r="I2760" s="341">
        <v>48685.53</v>
      </c>
    </row>
    <row r="2761" spans="1:10" x14ac:dyDescent="0.2">
      <c r="A2761" s="333">
        <v>2760</v>
      </c>
      <c r="B2761" s="334">
        <v>44285</v>
      </c>
      <c r="C2761" s="334">
        <v>44305</v>
      </c>
      <c r="D2761" s="335" t="s">
        <v>1092</v>
      </c>
      <c r="E2761" s="335" t="s">
        <v>392</v>
      </c>
      <c r="F2761" s="335" t="s">
        <v>1272</v>
      </c>
      <c r="G2761" s="335" t="s">
        <v>5598</v>
      </c>
      <c r="H2761" s="335" t="s">
        <v>5606</v>
      </c>
      <c r="I2761" s="341">
        <v>7200</v>
      </c>
    </row>
    <row r="2762" spans="1:10" x14ac:dyDescent="0.2">
      <c r="A2762" s="333">
        <v>2761</v>
      </c>
      <c r="B2762" s="334">
        <v>44286</v>
      </c>
      <c r="C2762" s="334">
        <v>44305</v>
      </c>
      <c r="D2762" s="335" t="s">
        <v>1092</v>
      </c>
      <c r="E2762" s="335" t="s">
        <v>422</v>
      </c>
      <c r="F2762" s="335" t="s">
        <v>396</v>
      </c>
      <c r="G2762" s="335" t="s">
        <v>5607</v>
      </c>
      <c r="H2762" s="335" t="s">
        <v>5612</v>
      </c>
      <c r="I2762" s="341">
        <v>22187.22</v>
      </c>
    </row>
    <row r="2763" spans="1:10" x14ac:dyDescent="0.2">
      <c r="A2763" s="333">
        <v>2762</v>
      </c>
      <c r="B2763" s="334">
        <v>44287</v>
      </c>
      <c r="C2763" s="334">
        <v>44307</v>
      </c>
      <c r="D2763" s="335" t="s">
        <v>1092</v>
      </c>
      <c r="E2763" s="335" t="s">
        <v>422</v>
      </c>
      <c r="F2763" s="335" t="s">
        <v>701</v>
      </c>
      <c r="G2763" s="335" t="s">
        <v>5608</v>
      </c>
      <c r="H2763" s="335" t="s">
        <v>5613</v>
      </c>
      <c r="I2763" s="341">
        <v>27000</v>
      </c>
    </row>
    <row r="2764" spans="1:10" x14ac:dyDescent="0.2">
      <c r="A2764" s="333">
        <v>2763</v>
      </c>
      <c r="B2764" s="334">
        <v>44287</v>
      </c>
      <c r="C2764" s="334">
        <v>44307</v>
      </c>
      <c r="D2764" s="335" t="s">
        <v>1092</v>
      </c>
      <c r="E2764" s="335" t="s">
        <v>422</v>
      </c>
      <c r="F2764" s="335" t="s">
        <v>396</v>
      </c>
      <c r="G2764" s="335" t="s">
        <v>5609</v>
      </c>
      <c r="H2764" s="335" t="s">
        <v>5614</v>
      </c>
      <c r="I2764" s="341">
        <v>6288</v>
      </c>
    </row>
    <row r="2765" spans="1:10" x14ac:dyDescent="0.2">
      <c r="A2765" s="333">
        <v>2764</v>
      </c>
      <c r="B2765" s="334">
        <v>44287</v>
      </c>
      <c r="C2765" s="334">
        <v>44307</v>
      </c>
      <c r="D2765" s="335" t="s">
        <v>1092</v>
      </c>
      <c r="E2765" s="335" t="s">
        <v>422</v>
      </c>
      <c r="F2765" s="335" t="s">
        <v>71</v>
      </c>
      <c r="G2765" s="335" t="s">
        <v>5610</v>
      </c>
      <c r="H2765" s="335" t="s">
        <v>5615</v>
      </c>
      <c r="I2765" s="341">
        <v>7402.03</v>
      </c>
    </row>
    <row r="2766" spans="1:10" x14ac:dyDescent="0.2">
      <c r="A2766" s="333">
        <v>2765</v>
      </c>
      <c r="B2766" s="334">
        <v>44287</v>
      </c>
      <c r="C2766" s="334">
        <v>44307</v>
      </c>
      <c r="D2766" s="335" t="s">
        <v>1092</v>
      </c>
      <c r="E2766" s="335" t="s">
        <v>422</v>
      </c>
      <c r="F2766" s="335" t="s">
        <v>396</v>
      </c>
      <c r="G2766" s="335" t="s">
        <v>5611</v>
      </c>
      <c r="H2766" s="335" t="s">
        <v>5616</v>
      </c>
      <c r="I2766" s="341">
        <v>26869.4</v>
      </c>
    </row>
    <row r="2767" spans="1:10" x14ac:dyDescent="0.2">
      <c r="A2767" s="347">
        <v>2766</v>
      </c>
      <c r="B2767" s="348">
        <v>44293</v>
      </c>
      <c r="C2767" s="348">
        <v>44312</v>
      </c>
      <c r="D2767" s="349" t="s">
        <v>1092</v>
      </c>
      <c r="E2767" s="349" t="s">
        <v>422</v>
      </c>
      <c r="F2767" s="349" t="s">
        <v>396</v>
      </c>
      <c r="G2767" s="349" t="s">
        <v>5617</v>
      </c>
      <c r="H2767" s="349" t="s">
        <v>5619</v>
      </c>
      <c r="I2767" s="350">
        <v>178724.69</v>
      </c>
    </row>
    <row r="2768" spans="1:10" x14ac:dyDescent="0.2">
      <c r="A2768" s="347">
        <v>2767</v>
      </c>
      <c r="B2768" s="348">
        <v>44293</v>
      </c>
      <c r="C2768" s="348">
        <v>44314</v>
      </c>
      <c r="D2768" s="349" t="s">
        <v>1092</v>
      </c>
      <c r="E2768" s="349" t="s">
        <v>392</v>
      </c>
      <c r="F2768" s="349" t="s">
        <v>2224</v>
      </c>
      <c r="G2768" s="349" t="s">
        <v>5618</v>
      </c>
      <c r="H2768" s="349" t="s">
        <v>5620</v>
      </c>
      <c r="I2768" s="350">
        <v>11000</v>
      </c>
    </row>
    <row r="2769" spans="1:9" x14ac:dyDescent="0.2">
      <c r="A2769" s="347">
        <v>2768</v>
      </c>
      <c r="B2769" s="348">
        <v>44294</v>
      </c>
      <c r="C2769" s="348">
        <v>44314</v>
      </c>
      <c r="D2769" s="349" t="s">
        <v>1092</v>
      </c>
      <c r="E2769" s="349" t="s">
        <v>392</v>
      </c>
      <c r="F2769" s="349" t="s">
        <v>1272</v>
      </c>
      <c r="G2769" s="349" t="s">
        <v>5621</v>
      </c>
      <c r="H2769" s="349" t="s">
        <v>5633</v>
      </c>
      <c r="I2769" s="350">
        <v>16000</v>
      </c>
    </row>
    <row r="2770" spans="1:9" x14ac:dyDescent="0.2">
      <c r="A2770" s="347">
        <v>2769</v>
      </c>
      <c r="B2770" s="348">
        <v>44294</v>
      </c>
      <c r="C2770" s="348">
        <v>44312</v>
      </c>
      <c r="D2770" s="349" t="s">
        <v>1092</v>
      </c>
      <c r="E2770" s="349" t="s">
        <v>392</v>
      </c>
      <c r="F2770" s="349" t="s">
        <v>71</v>
      </c>
      <c r="G2770" s="349" t="s">
        <v>5622</v>
      </c>
      <c r="H2770" s="349" t="s">
        <v>5634</v>
      </c>
      <c r="I2770" s="350">
        <v>16908.3</v>
      </c>
    </row>
    <row r="2771" spans="1:9" x14ac:dyDescent="0.2">
      <c r="A2771" s="347">
        <v>2770</v>
      </c>
      <c r="B2771" s="348">
        <v>44294</v>
      </c>
      <c r="C2771" s="348">
        <v>44312</v>
      </c>
      <c r="D2771" s="349" t="s">
        <v>1092</v>
      </c>
      <c r="E2771" s="349" t="s">
        <v>422</v>
      </c>
      <c r="F2771" s="349" t="s">
        <v>701</v>
      </c>
      <c r="G2771" s="349" t="s">
        <v>5623</v>
      </c>
      <c r="H2771" s="349" t="s">
        <v>5635</v>
      </c>
      <c r="I2771" s="350">
        <v>100300</v>
      </c>
    </row>
    <row r="2772" spans="1:9" x14ac:dyDescent="0.2">
      <c r="A2772" s="347">
        <v>2771</v>
      </c>
      <c r="B2772" s="348">
        <v>44294</v>
      </c>
      <c r="C2772" s="348">
        <v>44314</v>
      </c>
      <c r="D2772" s="349" t="s">
        <v>1092</v>
      </c>
      <c r="E2772" s="349" t="s">
        <v>392</v>
      </c>
      <c r="F2772" s="349" t="s">
        <v>71</v>
      </c>
      <c r="G2772" s="349" t="s">
        <v>5624</v>
      </c>
      <c r="H2772" s="349" t="s">
        <v>5636</v>
      </c>
      <c r="I2772" s="350">
        <v>5572.06</v>
      </c>
    </row>
    <row r="2773" spans="1:9" x14ac:dyDescent="0.2">
      <c r="A2773" s="347">
        <v>2772</v>
      </c>
      <c r="B2773" s="348">
        <v>44294</v>
      </c>
      <c r="C2773" s="348">
        <v>44314</v>
      </c>
      <c r="D2773" s="349" t="s">
        <v>1092</v>
      </c>
      <c r="E2773" s="349" t="s">
        <v>392</v>
      </c>
      <c r="F2773" s="349" t="s">
        <v>396</v>
      </c>
      <c r="G2773" s="349" t="s">
        <v>5625</v>
      </c>
      <c r="H2773" s="349" t="s">
        <v>5637</v>
      </c>
      <c r="I2773" s="350">
        <v>19200</v>
      </c>
    </row>
    <row r="2774" spans="1:9" x14ac:dyDescent="0.2">
      <c r="A2774" s="347">
        <v>2773</v>
      </c>
      <c r="B2774" s="348">
        <v>44294</v>
      </c>
      <c r="C2774" s="348">
        <v>44312</v>
      </c>
      <c r="D2774" s="349" t="s">
        <v>1092</v>
      </c>
      <c r="E2774" s="349" t="s">
        <v>392</v>
      </c>
      <c r="F2774" s="349" t="s">
        <v>701</v>
      </c>
      <c r="G2774" s="349" t="s">
        <v>5626</v>
      </c>
      <c r="H2774" s="349" t="s">
        <v>5638</v>
      </c>
      <c r="I2774" s="350">
        <v>33500</v>
      </c>
    </row>
    <row r="2775" spans="1:9" x14ac:dyDescent="0.2">
      <c r="A2775" s="347">
        <v>2774</v>
      </c>
      <c r="B2775" s="348">
        <v>44294</v>
      </c>
      <c r="C2775" s="348">
        <v>44312</v>
      </c>
      <c r="D2775" s="349" t="s">
        <v>1092</v>
      </c>
      <c r="E2775" s="349" t="s">
        <v>422</v>
      </c>
      <c r="F2775" s="349" t="s">
        <v>71</v>
      </c>
      <c r="G2775" s="349" t="s">
        <v>5627</v>
      </c>
      <c r="H2775" s="349" t="s">
        <v>5639</v>
      </c>
      <c r="I2775" s="350">
        <v>43870.19</v>
      </c>
    </row>
    <row r="2776" spans="1:9" x14ac:dyDescent="0.2">
      <c r="A2776" s="347">
        <v>2775</v>
      </c>
      <c r="B2776" s="348">
        <v>44294</v>
      </c>
      <c r="C2776" s="348">
        <v>44312</v>
      </c>
      <c r="D2776" s="349" t="s">
        <v>1092</v>
      </c>
      <c r="E2776" s="349" t="s">
        <v>392</v>
      </c>
      <c r="F2776" s="349" t="s">
        <v>1272</v>
      </c>
      <c r="G2776" s="349" t="s">
        <v>5628</v>
      </c>
      <c r="H2776" s="349" t="s">
        <v>5640</v>
      </c>
      <c r="I2776" s="350">
        <v>41000</v>
      </c>
    </row>
    <row r="2777" spans="1:9" x14ac:dyDescent="0.2">
      <c r="A2777" s="347">
        <v>2776</v>
      </c>
      <c r="B2777" s="348">
        <v>44294</v>
      </c>
      <c r="C2777" s="348">
        <v>44312</v>
      </c>
      <c r="D2777" s="349" t="s">
        <v>1092</v>
      </c>
      <c r="E2777" s="349" t="s">
        <v>422</v>
      </c>
      <c r="F2777" s="349" t="s">
        <v>701</v>
      </c>
      <c r="G2777" s="349" t="s">
        <v>5629</v>
      </c>
      <c r="H2777" s="349" t="s">
        <v>5641</v>
      </c>
      <c r="I2777" s="350">
        <v>38619.32</v>
      </c>
    </row>
    <row r="2778" spans="1:9" x14ac:dyDescent="0.2">
      <c r="A2778" s="347">
        <v>2777</v>
      </c>
      <c r="B2778" s="348">
        <v>44294</v>
      </c>
      <c r="C2778" s="348">
        <v>44312</v>
      </c>
      <c r="D2778" s="349" t="s">
        <v>1092</v>
      </c>
      <c r="E2778" s="349" t="s">
        <v>392</v>
      </c>
      <c r="F2778" s="349" t="s">
        <v>396</v>
      </c>
      <c r="G2778" s="349" t="s">
        <v>5630</v>
      </c>
      <c r="H2778" s="349" t="s">
        <v>5642</v>
      </c>
      <c r="I2778" s="350">
        <v>12300</v>
      </c>
    </row>
    <row r="2779" spans="1:9" x14ac:dyDescent="0.2">
      <c r="A2779" s="347">
        <v>2778</v>
      </c>
      <c r="B2779" s="348">
        <v>44294</v>
      </c>
      <c r="C2779" s="348">
        <v>44312</v>
      </c>
      <c r="D2779" s="349" t="s">
        <v>1092</v>
      </c>
      <c r="E2779" s="349" t="s">
        <v>422</v>
      </c>
      <c r="F2779" s="349" t="s">
        <v>396</v>
      </c>
      <c r="G2779" s="349" t="s">
        <v>5631</v>
      </c>
      <c r="H2779" s="349" t="s">
        <v>5643</v>
      </c>
      <c r="I2779" s="350">
        <v>17554.68</v>
      </c>
    </row>
    <row r="2780" spans="1:9" x14ac:dyDescent="0.2">
      <c r="A2780" s="347">
        <v>2779</v>
      </c>
      <c r="B2780" s="348">
        <v>44294</v>
      </c>
      <c r="C2780" s="348">
        <v>44312</v>
      </c>
      <c r="D2780" s="349" t="s">
        <v>1092</v>
      </c>
      <c r="E2780" s="349" t="s">
        <v>422</v>
      </c>
      <c r="F2780" s="349" t="s">
        <v>396</v>
      </c>
      <c r="G2780" s="349" t="s">
        <v>5632</v>
      </c>
      <c r="H2780" s="349" t="s">
        <v>5644</v>
      </c>
      <c r="I2780" s="350">
        <v>20160</v>
      </c>
    </row>
    <row r="2781" spans="1:9" x14ac:dyDescent="0.2">
      <c r="A2781" s="347">
        <v>2780</v>
      </c>
      <c r="B2781" s="348">
        <v>44295</v>
      </c>
      <c r="C2781" s="348">
        <v>44326</v>
      </c>
      <c r="D2781" s="349" t="s">
        <v>1092</v>
      </c>
      <c r="E2781" s="349" t="s">
        <v>392</v>
      </c>
      <c r="F2781" s="349" t="s">
        <v>9</v>
      </c>
      <c r="G2781" s="349" t="s">
        <v>5645</v>
      </c>
      <c r="H2781" s="349" t="s">
        <v>5646</v>
      </c>
      <c r="I2781" s="350">
        <v>826077.32</v>
      </c>
    </row>
    <row r="2782" spans="1:9" x14ac:dyDescent="0.2">
      <c r="A2782" s="347">
        <v>2781</v>
      </c>
      <c r="B2782" s="348">
        <v>44299</v>
      </c>
      <c r="C2782" s="348">
        <v>44333</v>
      </c>
      <c r="D2782" s="349" t="s">
        <v>1092</v>
      </c>
      <c r="E2782" s="349" t="s">
        <v>392</v>
      </c>
      <c r="F2782" s="349" t="s">
        <v>396</v>
      </c>
      <c r="G2782" s="349" t="s">
        <v>5647</v>
      </c>
      <c r="H2782" s="349" t="s">
        <v>5653</v>
      </c>
      <c r="I2782" s="350">
        <v>439629.37</v>
      </c>
    </row>
    <row r="2783" spans="1:9" x14ac:dyDescent="0.2">
      <c r="A2783" s="347">
        <v>2782</v>
      </c>
      <c r="B2783" s="348">
        <v>44300</v>
      </c>
      <c r="C2783" s="348">
        <v>44319</v>
      </c>
      <c r="D2783" s="349" t="s">
        <v>1092</v>
      </c>
      <c r="E2783" s="349" t="s">
        <v>422</v>
      </c>
      <c r="F2783" s="349" t="s">
        <v>71</v>
      </c>
      <c r="G2783" s="349" t="s">
        <v>5648</v>
      </c>
      <c r="H2783" s="349" t="s">
        <v>5654</v>
      </c>
      <c r="I2783" s="350">
        <v>1621.07</v>
      </c>
    </row>
    <row r="2784" spans="1:9" x14ac:dyDescent="0.2">
      <c r="A2784" s="347">
        <v>2783</v>
      </c>
      <c r="B2784" s="348">
        <v>44300</v>
      </c>
      <c r="C2784" s="348">
        <v>44319</v>
      </c>
      <c r="D2784" s="349" t="s">
        <v>1092</v>
      </c>
      <c r="E2784" s="349" t="s">
        <v>392</v>
      </c>
      <c r="F2784" s="349" t="s">
        <v>71</v>
      </c>
      <c r="G2784" s="349" t="s">
        <v>5649</v>
      </c>
      <c r="H2784" s="349" t="s">
        <v>5655</v>
      </c>
      <c r="I2784" s="350">
        <v>30681.29</v>
      </c>
    </row>
    <row r="2785" spans="1:9" x14ac:dyDescent="0.2">
      <c r="A2785" s="347">
        <v>2784</v>
      </c>
      <c r="B2785" s="348">
        <v>44300</v>
      </c>
      <c r="C2785" s="348">
        <v>44319</v>
      </c>
      <c r="D2785" s="349" t="s">
        <v>1092</v>
      </c>
      <c r="E2785" s="349" t="s">
        <v>422</v>
      </c>
      <c r="F2785" s="349" t="s">
        <v>396</v>
      </c>
      <c r="G2785" s="349" t="s">
        <v>5650</v>
      </c>
      <c r="H2785" s="349" t="s">
        <v>5656</v>
      </c>
      <c r="I2785" s="350">
        <v>3956.42</v>
      </c>
    </row>
    <row r="2786" spans="1:9" x14ac:dyDescent="0.2">
      <c r="A2786" s="347">
        <v>2785</v>
      </c>
      <c r="B2786" s="348">
        <v>44300</v>
      </c>
      <c r="C2786" s="348">
        <v>44319</v>
      </c>
      <c r="D2786" s="349" t="s">
        <v>1092</v>
      </c>
      <c r="E2786" s="349" t="s">
        <v>392</v>
      </c>
      <c r="F2786" s="349" t="s">
        <v>1272</v>
      </c>
      <c r="G2786" s="349" t="s">
        <v>5651</v>
      </c>
      <c r="H2786" s="349" t="s">
        <v>5657</v>
      </c>
      <c r="I2786" s="350">
        <v>98504.51</v>
      </c>
    </row>
    <row r="2787" spans="1:9" x14ac:dyDescent="0.2">
      <c r="A2787" s="347">
        <v>2786</v>
      </c>
      <c r="B2787" s="348">
        <v>44300</v>
      </c>
      <c r="C2787" s="348">
        <v>44319</v>
      </c>
      <c r="D2787" s="349" t="s">
        <v>1092</v>
      </c>
      <c r="E2787" s="349" t="s">
        <v>392</v>
      </c>
      <c r="F2787" s="349" t="s">
        <v>1272</v>
      </c>
      <c r="G2787" s="349" t="s">
        <v>5652</v>
      </c>
      <c r="H2787" s="349" t="s">
        <v>5658</v>
      </c>
      <c r="I2787" s="350">
        <v>29544</v>
      </c>
    </row>
    <row r="2788" spans="1:9" x14ac:dyDescent="0.2">
      <c r="A2788" s="347">
        <v>2787</v>
      </c>
      <c r="B2788" s="348">
        <v>44308</v>
      </c>
      <c r="C2788" s="348">
        <v>44333</v>
      </c>
      <c r="D2788" s="349" t="s">
        <v>1092</v>
      </c>
      <c r="E2788" s="349" t="s">
        <v>422</v>
      </c>
      <c r="F2788" s="349" t="s">
        <v>396</v>
      </c>
      <c r="G2788" s="349" t="s">
        <v>5659</v>
      </c>
      <c r="H2788" s="349" t="s">
        <v>5664</v>
      </c>
      <c r="I2788" s="350">
        <v>11400</v>
      </c>
    </row>
    <row r="2789" spans="1:9" x14ac:dyDescent="0.2">
      <c r="A2789" s="347">
        <v>2788</v>
      </c>
      <c r="B2789" s="348">
        <v>44308</v>
      </c>
      <c r="C2789" s="348">
        <v>44333</v>
      </c>
      <c r="D2789" s="349" t="s">
        <v>1092</v>
      </c>
      <c r="E2789" s="349" t="s">
        <v>422</v>
      </c>
      <c r="F2789" s="349" t="s">
        <v>71</v>
      </c>
      <c r="G2789" s="349" t="s">
        <v>5660</v>
      </c>
      <c r="H2789" s="349" t="s">
        <v>5665</v>
      </c>
      <c r="I2789" s="350">
        <v>30552.93</v>
      </c>
    </row>
    <row r="2790" spans="1:9" x14ac:dyDescent="0.2">
      <c r="A2790" s="347">
        <v>2789</v>
      </c>
      <c r="B2790" s="348">
        <v>44308</v>
      </c>
      <c r="C2790" s="348">
        <v>44326</v>
      </c>
      <c r="D2790" s="349" t="s">
        <v>1092</v>
      </c>
      <c r="E2790" s="349" t="s">
        <v>392</v>
      </c>
      <c r="F2790" s="349" t="s">
        <v>71</v>
      </c>
      <c r="G2790" s="349" t="s">
        <v>5661</v>
      </c>
      <c r="H2790" s="349" t="s">
        <v>5666</v>
      </c>
      <c r="I2790" s="350">
        <v>3951.67</v>
      </c>
    </row>
    <row r="2791" spans="1:9" x14ac:dyDescent="0.2">
      <c r="A2791" s="347">
        <v>2790</v>
      </c>
      <c r="B2791" s="348">
        <v>44308</v>
      </c>
      <c r="C2791" s="348">
        <v>44333</v>
      </c>
      <c r="D2791" s="349" t="s">
        <v>1092</v>
      </c>
      <c r="E2791" s="349" t="s">
        <v>422</v>
      </c>
      <c r="F2791" s="349" t="s">
        <v>396</v>
      </c>
      <c r="G2791" s="349" t="s">
        <v>5662</v>
      </c>
      <c r="H2791" s="349" t="s">
        <v>5667</v>
      </c>
      <c r="I2791" s="350">
        <v>132729.38</v>
      </c>
    </row>
    <row r="2792" spans="1:9" x14ac:dyDescent="0.2">
      <c r="A2792" s="347">
        <v>2791</v>
      </c>
      <c r="B2792" s="348">
        <v>44308</v>
      </c>
      <c r="C2792" s="348">
        <v>44333</v>
      </c>
      <c r="D2792" s="349" t="s">
        <v>1092</v>
      </c>
      <c r="E2792" s="349" t="s">
        <v>422</v>
      </c>
      <c r="F2792" s="349" t="s">
        <v>396</v>
      </c>
      <c r="G2792" s="349" t="s">
        <v>5663</v>
      </c>
      <c r="H2792" s="349" t="s">
        <v>5668</v>
      </c>
      <c r="I2792" s="350">
        <v>14229.96</v>
      </c>
    </row>
    <row r="2793" spans="1:9" x14ac:dyDescent="0.2">
      <c r="A2793" s="347">
        <v>2792</v>
      </c>
      <c r="B2793" s="348">
        <v>44309</v>
      </c>
      <c r="C2793" s="348">
        <v>44326</v>
      </c>
      <c r="D2793" s="349" t="s">
        <v>1092</v>
      </c>
      <c r="E2793" s="349" t="s">
        <v>422</v>
      </c>
      <c r="F2793" s="349" t="s">
        <v>396</v>
      </c>
      <c r="G2793" s="349" t="s">
        <v>5669</v>
      </c>
      <c r="H2793" s="349" t="s">
        <v>5674</v>
      </c>
      <c r="I2793" s="350">
        <v>36306.36</v>
      </c>
    </row>
    <row r="2794" spans="1:9" x14ac:dyDescent="0.2">
      <c r="A2794" s="347">
        <v>2793</v>
      </c>
      <c r="B2794" s="348">
        <v>44309</v>
      </c>
      <c r="C2794" s="348">
        <v>44326</v>
      </c>
      <c r="D2794" s="349" t="s">
        <v>1092</v>
      </c>
      <c r="E2794" s="349" t="s">
        <v>422</v>
      </c>
      <c r="F2794" s="349" t="s">
        <v>396</v>
      </c>
      <c r="G2794" s="349" t="s">
        <v>5670</v>
      </c>
      <c r="H2794" s="349" t="s">
        <v>5675</v>
      </c>
      <c r="I2794" s="350">
        <v>44912.4</v>
      </c>
    </row>
    <row r="2795" spans="1:9" x14ac:dyDescent="0.2">
      <c r="A2795" s="347">
        <v>2794</v>
      </c>
      <c r="B2795" s="348">
        <v>44309</v>
      </c>
      <c r="C2795" s="348">
        <v>44342</v>
      </c>
      <c r="D2795" s="349" t="s">
        <v>1092</v>
      </c>
      <c r="E2795" s="349" t="s">
        <v>422</v>
      </c>
      <c r="F2795" s="349" t="s">
        <v>396</v>
      </c>
      <c r="G2795" s="349" t="s">
        <v>5671</v>
      </c>
      <c r="H2795" s="349" t="s">
        <v>5676</v>
      </c>
      <c r="I2795" s="350">
        <v>367373.76</v>
      </c>
    </row>
    <row r="2796" spans="1:9" x14ac:dyDescent="0.2">
      <c r="A2796" s="347">
        <v>2795</v>
      </c>
      <c r="B2796" s="348">
        <v>44309</v>
      </c>
      <c r="C2796" s="348">
        <v>44326</v>
      </c>
      <c r="D2796" s="349" t="s">
        <v>1092</v>
      </c>
      <c r="E2796" s="349" t="s">
        <v>422</v>
      </c>
      <c r="F2796" s="349" t="s">
        <v>71</v>
      </c>
      <c r="G2796" s="349" t="s">
        <v>5672</v>
      </c>
      <c r="H2796" s="349" t="s">
        <v>5677</v>
      </c>
      <c r="I2796" s="350">
        <v>79842.19</v>
      </c>
    </row>
    <row r="2797" spans="1:9" x14ac:dyDescent="0.2">
      <c r="A2797" s="347">
        <v>2796</v>
      </c>
      <c r="B2797" s="348">
        <v>44309</v>
      </c>
      <c r="C2797" s="348">
        <v>44326</v>
      </c>
      <c r="D2797" s="349" t="s">
        <v>1092</v>
      </c>
      <c r="E2797" s="349" t="s">
        <v>422</v>
      </c>
      <c r="F2797" s="349" t="s">
        <v>701</v>
      </c>
      <c r="G2797" s="349" t="s">
        <v>5673</v>
      </c>
      <c r="H2797" s="349" t="s">
        <v>5678</v>
      </c>
      <c r="I2797" s="350">
        <v>18500</v>
      </c>
    </row>
    <row r="2798" spans="1:9" x14ac:dyDescent="0.2">
      <c r="A2798" s="347">
        <v>2797</v>
      </c>
      <c r="B2798" s="348">
        <v>44313</v>
      </c>
      <c r="C2798" s="348">
        <v>44333</v>
      </c>
      <c r="D2798" s="349" t="s">
        <v>1092</v>
      </c>
      <c r="E2798" s="349" t="s">
        <v>392</v>
      </c>
      <c r="F2798" s="349" t="s">
        <v>1272</v>
      </c>
      <c r="G2798" s="349" t="s">
        <v>5679</v>
      </c>
      <c r="H2798" s="349" t="s">
        <v>5682</v>
      </c>
      <c r="I2798" s="350">
        <v>61157.02</v>
      </c>
    </row>
    <row r="2799" spans="1:9" x14ac:dyDescent="0.2">
      <c r="A2799" s="347">
        <v>2798</v>
      </c>
      <c r="B2799" s="348">
        <v>44313</v>
      </c>
      <c r="C2799" s="348">
        <v>44333</v>
      </c>
      <c r="D2799" s="349" t="s">
        <v>1092</v>
      </c>
      <c r="E2799" s="349" t="s">
        <v>392</v>
      </c>
      <c r="F2799" s="349" t="s">
        <v>1272</v>
      </c>
      <c r="G2799" s="349" t="s">
        <v>5680</v>
      </c>
      <c r="H2799" s="349" t="s">
        <v>5683</v>
      </c>
      <c r="I2799" s="350">
        <v>22152</v>
      </c>
    </row>
    <row r="2800" spans="1:9" x14ac:dyDescent="0.2">
      <c r="A2800" s="347">
        <v>2799</v>
      </c>
      <c r="B2800" s="348">
        <v>44313</v>
      </c>
      <c r="C2800" s="348">
        <v>44333</v>
      </c>
      <c r="D2800" s="349" t="s">
        <v>1092</v>
      </c>
      <c r="E2800" s="349" t="s">
        <v>392</v>
      </c>
      <c r="F2800" s="349" t="s">
        <v>71</v>
      </c>
      <c r="G2800" s="349" t="s">
        <v>5681</v>
      </c>
      <c r="H2800" s="349" t="s">
        <v>5684</v>
      </c>
      <c r="I2800" s="350">
        <v>35503.620000000003</v>
      </c>
    </row>
    <row r="2801" spans="1:10" x14ac:dyDescent="0.2">
      <c r="A2801" s="347">
        <v>2800</v>
      </c>
      <c r="B2801" s="348">
        <v>44315</v>
      </c>
      <c r="C2801" s="348">
        <v>44333</v>
      </c>
      <c r="D2801" s="349" t="s">
        <v>1092</v>
      </c>
      <c r="E2801" s="349" t="s">
        <v>422</v>
      </c>
      <c r="F2801" s="349" t="s">
        <v>71</v>
      </c>
      <c r="G2801" s="349" t="s">
        <v>5685</v>
      </c>
      <c r="H2801" s="349" t="s">
        <v>5691</v>
      </c>
      <c r="I2801" s="350">
        <v>13994.85</v>
      </c>
    </row>
    <row r="2802" spans="1:10" x14ac:dyDescent="0.2">
      <c r="A2802" s="347">
        <v>2801</v>
      </c>
      <c r="B2802" s="348">
        <v>44315</v>
      </c>
      <c r="C2802" s="348">
        <v>44333</v>
      </c>
      <c r="D2802" s="349" t="s">
        <v>1092</v>
      </c>
      <c r="E2802" s="349" t="s">
        <v>392</v>
      </c>
      <c r="F2802" s="349" t="s">
        <v>71</v>
      </c>
      <c r="G2802" s="349" t="s">
        <v>5686</v>
      </c>
      <c r="H2802" s="349" t="s">
        <v>5692</v>
      </c>
      <c r="I2802" s="350">
        <v>6097.01</v>
      </c>
    </row>
    <row r="2803" spans="1:10" x14ac:dyDescent="0.2">
      <c r="A2803" s="347">
        <v>2802</v>
      </c>
      <c r="B2803" s="348">
        <v>44315</v>
      </c>
      <c r="C2803" s="348">
        <v>44333</v>
      </c>
      <c r="D2803" s="349" t="s">
        <v>1092</v>
      </c>
      <c r="E2803" s="349" t="s">
        <v>422</v>
      </c>
      <c r="F2803" s="349" t="s">
        <v>396</v>
      </c>
      <c r="G2803" s="349" t="s">
        <v>5687</v>
      </c>
      <c r="H2803" s="349" t="s">
        <v>5693</v>
      </c>
      <c r="I2803" s="350">
        <v>44545.919999999998</v>
      </c>
    </row>
    <row r="2804" spans="1:10" x14ac:dyDescent="0.2">
      <c r="A2804" s="347">
        <v>2803</v>
      </c>
      <c r="B2804" s="348">
        <v>44315</v>
      </c>
      <c r="C2804" s="348">
        <v>44333</v>
      </c>
      <c r="D2804" s="349" t="s">
        <v>1092</v>
      </c>
      <c r="E2804" s="349" t="s">
        <v>422</v>
      </c>
      <c r="F2804" s="349" t="s">
        <v>396</v>
      </c>
      <c r="G2804" s="349" t="s">
        <v>5688</v>
      </c>
      <c r="H2804" s="349" t="s">
        <v>5694</v>
      </c>
      <c r="I2804" s="350">
        <v>14256</v>
      </c>
    </row>
    <row r="2805" spans="1:10" x14ac:dyDescent="0.2">
      <c r="A2805" s="347">
        <v>2804</v>
      </c>
      <c r="B2805" s="348">
        <v>44315</v>
      </c>
      <c r="C2805" s="348">
        <v>44333</v>
      </c>
      <c r="D2805" s="349" t="s">
        <v>1092</v>
      </c>
      <c r="E2805" s="349" t="s">
        <v>392</v>
      </c>
      <c r="F2805" s="349" t="s">
        <v>1272</v>
      </c>
      <c r="G2805" s="349" t="s">
        <v>5689</v>
      </c>
      <c r="H2805" s="349" t="s">
        <v>5695</v>
      </c>
      <c r="I2805" s="350">
        <v>28000</v>
      </c>
    </row>
    <row r="2806" spans="1:10" x14ac:dyDescent="0.2">
      <c r="A2806" s="347">
        <v>2805</v>
      </c>
      <c r="B2806" s="348">
        <v>44315</v>
      </c>
      <c r="C2806" s="348">
        <v>44333</v>
      </c>
      <c r="D2806" s="349" t="s">
        <v>1092</v>
      </c>
      <c r="E2806" s="349" t="s">
        <v>392</v>
      </c>
      <c r="F2806" s="349" t="s">
        <v>1272</v>
      </c>
      <c r="G2806" s="349" t="s">
        <v>5690</v>
      </c>
      <c r="H2806" s="349" t="s">
        <v>5696</v>
      </c>
      <c r="I2806" s="350">
        <v>8244</v>
      </c>
    </row>
    <row r="2807" spans="1:10" x14ac:dyDescent="0.2">
      <c r="A2807" s="347">
        <v>2806</v>
      </c>
      <c r="B2807" s="348">
        <v>44320</v>
      </c>
      <c r="C2807" s="348">
        <v>44342</v>
      </c>
      <c r="D2807" s="349" t="s">
        <v>1092</v>
      </c>
      <c r="E2807" s="349" t="s">
        <v>422</v>
      </c>
      <c r="F2807" s="349" t="s">
        <v>71</v>
      </c>
      <c r="G2807" s="349" t="s">
        <v>5698</v>
      </c>
      <c r="H2807" s="349" t="s">
        <v>5707</v>
      </c>
      <c r="I2807" s="350">
        <v>2414.12</v>
      </c>
    </row>
    <row r="2808" spans="1:10" x14ac:dyDescent="0.2">
      <c r="A2808" s="347">
        <v>2807</v>
      </c>
      <c r="B2808" s="348">
        <v>44320</v>
      </c>
      <c r="C2808" s="348">
        <v>44349</v>
      </c>
      <c r="D2808" s="349" t="s">
        <v>1092</v>
      </c>
      <c r="E2808" s="349" t="s">
        <v>392</v>
      </c>
      <c r="F2808" s="349" t="s">
        <v>9</v>
      </c>
      <c r="G2808" s="349" t="s">
        <v>5699</v>
      </c>
      <c r="H2808" s="349" t="s">
        <v>5590</v>
      </c>
      <c r="I2808" s="350">
        <v>366412.83</v>
      </c>
    </row>
    <row r="2809" spans="1:10" x14ac:dyDescent="0.2">
      <c r="A2809" s="347">
        <v>2808</v>
      </c>
      <c r="B2809" s="348">
        <v>44320</v>
      </c>
      <c r="C2809" s="348">
        <v>44342</v>
      </c>
      <c r="D2809" s="349" t="s">
        <v>1092</v>
      </c>
      <c r="E2809" s="349" t="s">
        <v>422</v>
      </c>
      <c r="F2809" s="349" t="s">
        <v>1640</v>
      </c>
      <c r="G2809" s="349" t="s">
        <v>5700</v>
      </c>
      <c r="H2809" s="349" t="s">
        <v>5708</v>
      </c>
      <c r="I2809" s="350">
        <v>11703.12</v>
      </c>
    </row>
    <row r="2810" spans="1:10" x14ac:dyDescent="0.2">
      <c r="A2810" s="347">
        <v>2809</v>
      </c>
      <c r="B2810" s="348">
        <v>44321</v>
      </c>
      <c r="C2810" s="348">
        <v>44342</v>
      </c>
      <c r="D2810" s="349" t="s">
        <v>1092</v>
      </c>
      <c r="E2810" s="349" t="s">
        <v>422</v>
      </c>
      <c r="F2810" s="349" t="s">
        <v>1640</v>
      </c>
      <c r="G2810" s="349" t="s">
        <v>5701</v>
      </c>
      <c r="H2810" s="349" t="s">
        <v>5709</v>
      </c>
      <c r="I2810" s="350">
        <v>12396.69</v>
      </c>
    </row>
    <row r="2811" spans="1:10" x14ac:dyDescent="0.2">
      <c r="A2811" s="381">
        <v>2810</v>
      </c>
      <c r="B2811" s="382">
        <v>44321</v>
      </c>
      <c r="C2811" s="382">
        <v>44342</v>
      </c>
      <c r="D2811" s="383" t="s">
        <v>1092</v>
      </c>
      <c r="E2811" s="383" t="s">
        <v>392</v>
      </c>
      <c r="F2811" s="383" t="s">
        <v>701</v>
      </c>
      <c r="G2811" s="383" t="s">
        <v>5702</v>
      </c>
      <c r="H2811" s="383" t="s">
        <v>5710</v>
      </c>
      <c r="I2811" s="384">
        <v>27580</v>
      </c>
      <c r="J2811" s="178" t="s">
        <v>5850</v>
      </c>
    </row>
    <row r="2812" spans="1:10" x14ac:dyDescent="0.2">
      <c r="A2812" s="347">
        <v>2811</v>
      </c>
      <c r="B2812" s="348">
        <v>44321</v>
      </c>
      <c r="C2812" s="348">
        <v>44354</v>
      </c>
      <c r="D2812" s="349" t="s">
        <v>1092</v>
      </c>
      <c r="E2812" s="349" t="s">
        <v>392</v>
      </c>
      <c r="F2812" s="349" t="s">
        <v>9</v>
      </c>
      <c r="G2812" s="349" t="s">
        <v>5703</v>
      </c>
      <c r="H2812" s="349" t="s">
        <v>5711</v>
      </c>
      <c r="I2812" s="350">
        <v>260400.02</v>
      </c>
    </row>
    <row r="2813" spans="1:10" x14ac:dyDescent="0.2">
      <c r="A2813" s="347">
        <v>2812</v>
      </c>
      <c r="B2813" s="348">
        <v>44322</v>
      </c>
      <c r="C2813" s="348">
        <v>44347</v>
      </c>
      <c r="D2813" s="349" t="s">
        <v>1092</v>
      </c>
      <c r="E2813" s="349" t="s">
        <v>422</v>
      </c>
      <c r="F2813" s="349" t="s">
        <v>396</v>
      </c>
      <c r="G2813" s="349" t="s">
        <v>5704</v>
      </c>
      <c r="H2813" s="349" t="s">
        <v>5712</v>
      </c>
      <c r="I2813" s="350">
        <v>32144.42</v>
      </c>
    </row>
    <row r="2814" spans="1:10" x14ac:dyDescent="0.2">
      <c r="A2814" s="347">
        <v>2813</v>
      </c>
      <c r="B2814" s="348">
        <v>44322</v>
      </c>
      <c r="C2814" s="348">
        <v>44347</v>
      </c>
      <c r="D2814" s="349" t="s">
        <v>1092</v>
      </c>
      <c r="E2814" s="349" t="s">
        <v>422</v>
      </c>
      <c r="F2814" s="349" t="s">
        <v>396</v>
      </c>
      <c r="G2814" s="349" t="s">
        <v>5705</v>
      </c>
      <c r="H2814" s="349" t="s">
        <v>5713</v>
      </c>
      <c r="I2814" s="350">
        <v>9038.4</v>
      </c>
    </row>
    <row r="2815" spans="1:10" x14ac:dyDescent="0.2">
      <c r="A2815" s="347">
        <v>2814</v>
      </c>
      <c r="B2815" s="348">
        <v>44322</v>
      </c>
      <c r="C2815" s="348">
        <v>44347</v>
      </c>
      <c r="D2815" s="349" t="s">
        <v>1092</v>
      </c>
      <c r="E2815" s="349" t="s">
        <v>422</v>
      </c>
      <c r="F2815" s="349" t="s">
        <v>71</v>
      </c>
      <c r="G2815" s="349" t="s">
        <v>5706</v>
      </c>
      <c r="H2815" s="349" t="s">
        <v>5714</v>
      </c>
      <c r="I2815" s="350">
        <v>11793.83</v>
      </c>
    </row>
    <row r="2816" spans="1:10" x14ac:dyDescent="0.2">
      <c r="A2816" s="381">
        <v>2815</v>
      </c>
      <c r="B2816" s="382">
        <v>44323</v>
      </c>
      <c r="C2816" s="382">
        <v>44342</v>
      </c>
      <c r="D2816" s="383" t="s">
        <v>1092</v>
      </c>
      <c r="E2816" s="383" t="s">
        <v>392</v>
      </c>
      <c r="F2816" s="383" t="s">
        <v>396</v>
      </c>
      <c r="G2816" s="383" t="s">
        <v>5715</v>
      </c>
      <c r="H2816" s="383" t="s">
        <v>5716</v>
      </c>
      <c r="I2816" s="384">
        <v>190026</v>
      </c>
      <c r="J2816" s="178" t="s">
        <v>5847</v>
      </c>
    </row>
    <row r="2817" spans="1:10" x14ac:dyDescent="0.2">
      <c r="A2817" s="347">
        <v>2816</v>
      </c>
      <c r="B2817" s="348">
        <v>44327</v>
      </c>
      <c r="C2817" s="348">
        <v>44347</v>
      </c>
      <c r="D2817" s="349" t="s">
        <v>1092</v>
      </c>
      <c r="E2817" s="349" t="s">
        <v>422</v>
      </c>
      <c r="F2817" s="349" t="s">
        <v>71</v>
      </c>
      <c r="G2817" s="349" t="s">
        <v>5717</v>
      </c>
      <c r="H2817" s="349" t="s">
        <v>5720</v>
      </c>
      <c r="I2817" s="350">
        <v>20022.830000000002</v>
      </c>
    </row>
    <row r="2818" spans="1:10" x14ac:dyDescent="0.2">
      <c r="A2818" s="347">
        <v>2817</v>
      </c>
      <c r="B2818" s="348">
        <v>44327</v>
      </c>
      <c r="C2818" s="348">
        <v>44347</v>
      </c>
      <c r="D2818" s="349" t="s">
        <v>1092</v>
      </c>
      <c r="E2818" s="349" t="s">
        <v>422</v>
      </c>
      <c r="F2818" s="349" t="s">
        <v>396</v>
      </c>
      <c r="G2818" s="349" t="s">
        <v>5718</v>
      </c>
      <c r="H2818" s="349" t="s">
        <v>5721</v>
      </c>
      <c r="I2818" s="350">
        <v>17448</v>
      </c>
    </row>
    <row r="2819" spans="1:10" x14ac:dyDescent="0.2">
      <c r="A2819" s="347">
        <v>2818</v>
      </c>
      <c r="B2819" s="348">
        <v>44327</v>
      </c>
      <c r="C2819" s="348">
        <v>44347</v>
      </c>
      <c r="D2819" s="349" t="s">
        <v>1092</v>
      </c>
      <c r="E2819" s="349" t="s">
        <v>422</v>
      </c>
      <c r="F2819" s="349" t="s">
        <v>396</v>
      </c>
      <c r="G2819" s="349" t="s">
        <v>5719</v>
      </c>
      <c r="H2819" s="349" t="s">
        <v>5722</v>
      </c>
      <c r="I2819" s="350">
        <v>64596</v>
      </c>
    </row>
    <row r="2820" spans="1:10" x14ac:dyDescent="0.2">
      <c r="A2820" s="347">
        <v>2819</v>
      </c>
      <c r="B2820" s="348">
        <v>44328</v>
      </c>
      <c r="C2820" s="348">
        <v>44354</v>
      </c>
      <c r="D2820" s="349" t="s">
        <v>1092</v>
      </c>
      <c r="E2820" s="349" t="s">
        <v>422</v>
      </c>
      <c r="F2820" s="349" t="s">
        <v>701</v>
      </c>
      <c r="G2820" s="349" t="s">
        <v>5723</v>
      </c>
      <c r="H2820" s="349" t="s">
        <v>5725</v>
      </c>
      <c r="I2820" s="350">
        <v>225000</v>
      </c>
    </row>
    <row r="2821" spans="1:10" x14ac:dyDescent="0.2">
      <c r="A2821" s="347">
        <v>2820</v>
      </c>
      <c r="B2821" s="348">
        <v>44328</v>
      </c>
      <c r="C2821" s="348">
        <v>44347</v>
      </c>
      <c r="D2821" s="349" t="s">
        <v>1092</v>
      </c>
      <c r="E2821" s="349" t="s">
        <v>422</v>
      </c>
      <c r="F2821" s="349" t="s">
        <v>701</v>
      </c>
      <c r="G2821" s="349" t="s">
        <v>5724</v>
      </c>
      <c r="H2821" s="349" t="s">
        <v>5726</v>
      </c>
      <c r="I2821" s="350">
        <v>50500</v>
      </c>
    </row>
    <row r="2822" spans="1:10" x14ac:dyDescent="0.2">
      <c r="A2822" s="347">
        <v>2821</v>
      </c>
      <c r="B2822" s="348">
        <v>44329</v>
      </c>
      <c r="C2822" s="348">
        <v>44347</v>
      </c>
      <c r="D2822" s="349" t="s">
        <v>1092</v>
      </c>
      <c r="E2822" s="349" t="s">
        <v>422</v>
      </c>
      <c r="F2822" s="349" t="s">
        <v>701</v>
      </c>
      <c r="G2822" s="349" t="s">
        <v>5727</v>
      </c>
      <c r="H2822" s="349" t="s">
        <v>5728</v>
      </c>
      <c r="I2822" s="350">
        <v>31500</v>
      </c>
    </row>
    <row r="2823" spans="1:10" x14ac:dyDescent="0.2">
      <c r="A2823" s="347">
        <v>2822</v>
      </c>
      <c r="B2823" s="348">
        <v>44330</v>
      </c>
      <c r="C2823" s="348">
        <v>44354</v>
      </c>
      <c r="D2823" s="349" t="s">
        <v>1092</v>
      </c>
      <c r="E2823" s="349" t="s">
        <v>422</v>
      </c>
      <c r="F2823" s="349" t="s">
        <v>701</v>
      </c>
      <c r="G2823" s="349" t="s">
        <v>5729</v>
      </c>
      <c r="H2823" s="349" t="s">
        <v>5740</v>
      </c>
      <c r="I2823" s="350">
        <v>139042.41</v>
      </c>
    </row>
    <row r="2824" spans="1:10" x14ac:dyDescent="0.2">
      <c r="A2824" s="347">
        <v>2823</v>
      </c>
      <c r="B2824" s="348">
        <v>44330</v>
      </c>
      <c r="C2824" s="348">
        <v>44361</v>
      </c>
      <c r="D2824" s="349" t="s">
        <v>1092</v>
      </c>
      <c r="E2824" s="349" t="s">
        <v>422</v>
      </c>
      <c r="F2824" s="349" t="s">
        <v>701</v>
      </c>
      <c r="G2824" s="349" t="s">
        <v>5730</v>
      </c>
      <c r="H2824" s="349" t="s">
        <v>5741</v>
      </c>
      <c r="I2824" s="350">
        <v>251624.72</v>
      </c>
    </row>
    <row r="2825" spans="1:10" x14ac:dyDescent="0.2">
      <c r="A2825" s="347">
        <v>2824</v>
      </c>
      <c r="B2825" s="348">
        <v>44330</v>
      </c>
      <c r="C2825" s="348">
        <v>44347</v>
      </c>
      <c r="D2825" s="349" t="s">
        <v>1092</v>
      </c>
      <c r="E2825" s="349" t="s">
        <v>422</v>
      </c>
      <c r="F2825" s="349" t="s">
        <v>1276</v>
      </c>
      <c r="G2825" s="349" t="s">
        <v>5731</v>
      </c>
      <c r="H2825" s="349" t="s">
        <v>5742</v>
      </c>
      <c r="I2825" s="350">
        <v>28962.29</v>
      </c>
    </row>
    <row r="2826" spans="1:10" x14ac:dyDescent="0.2">
      <c r="A2826" s="347">
        <v>2825</v>
      </c>
      <c r="B2826" s="348">
        <v>44330</v>
      </c>
      <c r="C2826" s="348">
        <v>44347</v>
      </c>
      <c r="D2826" s="349" t="s">
        <v>1092</v>
      </c>
      <c r="E2826" s="349" t="s">
        <v>422</v>
      </c>
      <c r="F2826" s="349" t="s">
        <v>701</v>
      </c>
      <c r="G2826" s="349" t="s">
        <v>5732</v>
      </c>
      <c r="H2826" s="349" t="s">
        <v>5743</v>
      </c>
      <c r="I2826" s="350">
        <v>40000</v>
      </c>
    </row>
    <row r="2827" spans="1:10" x14ac:dyDescent="0.2">
      <c r="A2827" s="381">
        <v>2826</v>
      </c>
      <c r="B2827" s="382">
        <v>44330</v>
      </c>
      <c r="C2827" s="382">
        <v>44347</v>
      </c>
      <c r="D2827" s="383" t="s">
        <v>1092</v>
      </c>
      <c r="E2827" s="383" t="s">
        <v>422</v>
      </c>
      <c r="F2827" s="383" t="s">
        <v>1276</v>
      </c>
      <c r="G2827" s="383" t="s">
        <v>5733</v>
      </c>
      <c r="H2827" s="383" t="s">
        <v>5744</v>
      </c>
      <c r="I2827" s="384">
        <v>39762.67</v>
      </c>
      <c r="J2827" s="178" t="s">
        <v>5928</v>
      </c>
    </row>
    <row r="2828" spans="1:10" x14ac:dyDescent="0.2">
      <c r="A2828" s="347">
        <v>2827</v>
      </c>
      <c r="B2828" s="348">
        <v>44330</v>
      </c>
      <c r="C2828" s="348">
        <v>44361</v>
      </c>
      <c r="D2828" s="349" t="s">
        <v>1092</v>
      </c>
      <c r="E2828" s="349" t="s">
        <v>422</v>
      </c>
      <c r="F2828" s="349" t="s">
        <v>701</v>
      </c>
      <c r="G2828" s="349" t="s">
        <v>5734</v>
      </c>
      <c r="H2828" s="349" t="s">
        <v>5745</v>
      </c>
      <c r="I2828" s="350">
        <v>216550.45</v>
      </c>
    </row>
    <row r="2829" spans="1:10" x14ac:dyDescent="0.2">
      <c r="A2829" s="347">
        <v>2828</v>
      </c>
      <c r="B2829" s="348">
        <v>44330</v>
      </c>
      <c r="C2829" s="348">
        <v>44347</v>
      </c>
      <c r="D2829" s="349" t="s">
        <v>1092</v>
      </c>
      <c r="E2829" s="349" t="s">
        <v>422</v>
      </c>
      <c r="F2829" s="349" t="s">
        <v>1276</v>
      </c>
      <c r="G2829" s="349" t="s">
        <v>5735</v>
      </c>
      <c r="H2829" s="349" t="s">
        <v>5746</v>
      </c>
      <c r="I2829" s="350">
        <v>39762.67</v>
      </c>
    </row>
    <row r="2830" spans="1:10" x14ac:dyDescent="0.2">
      <c r="A2830" s="347">
        <v>2829</v>
      </c>
      <c r="B2830" s="348">
        <v>44330</v>
      </c>
      <c r="C2830" s="348">
        <v>44347</v>
      </c>
      <c r="D2830" s="349" t="s">
        <v>1092</v>
      </c>
      <c r="E2830" s="349" t="s">
        <v>422</v>
      </c>
      <c r="F2830" s="349" t="s">
        <v>1276</v>
      </c>
      <c r="G2830" s="349" t="s">
        <v>5736</v>
      </c>
      <c r="H2830" s="349" t="s">
        <v>5747</v>
      </c>
      <c r="I2830" s="350">
        <v>75602.8</v>
      </c>
    </row>
    <row r="2831" spans="1:10" x14ac:dyDescent="0.2">
      <c r="A2831" s="347">
        <v>2830</v>
      </c>
      <c r="B2831" s="348">
        <v>44330</v>
      </c>
      <c r="C2831" s="348">
        <v>44347</v>
      </c>
      <c r="D2831" s="349" t="s">
        <v>1092</v>
      </c>
      <c r="E2831" s="349" t="s">
        <v>422</v>
      </c>
      <c r="F2831" s="349" t="s">
        <v>1276</v>
      </c>
      <c r="G2831" s="349" t="s">
        <v>5737</v>
      </c>
      <c r="H2831" s="349" t="s">
        <v>5748</v>
      </c>
      <c r="I2831" s="350">
        <v>29620.51</v>
      </c>
    </row>
    <row r="2832" spans="1:10" x14ac:dyDescent="0.2">
      <c r="A2832" s="347">
        <v>2831</v>
      </c>
      <c r="B2832" s="348">
        <v>44330</v>
      </c>
      <c r="C2832" s="348">
        <v>44347</v>
      </c>
      <c r="D2832" s="349" t="s">
        <v>1092</v>
      </c>
      <c r="E2832" s="349" t="s">
        <v>422</v>
      </c>
      <c r="F2832" s="349" t="s">
        <v>1276</v>
      </c>
      <c r="G2832" s="349" t="s">
        <v>5738</v>
      </c>
      <c r="H2832" s="349" t="s">
        <v>5749</v>
      </c>
      <c r="I2832" s="350">
        <v>99000</v>
      </c>
    </row>
    <row r="2833" spans="1:11" x14ac:dyDescent="0.2">
      <c r="A2833" s="347">
        <v>2832</v>
      </c>
      <c r="B2833" s="348">
        <v>44330</v>
      </c>
      <c r="C2833" s="348">
        <v>44361</v>
      </c>
      <c r="D2833" s="349" t="s">
        <v>1092</v>
      </c>
      <c r="E2833" s="349" t="s">
        <v>422</v>
      </c>
      <c r="F2833" s="349" t="s">
        <v>701</v>
      </c>
      <c r="G2833" s="349" t="s">
        <v>5739</v>
      </c>
      <c r="H2833" s="349" t="s">
        <v>5750</v>
      </c>
      <c r="I2833" s="350">
        <v>216550.45</v>
      </c>
    </row>
    <row r="2834" spans="1:11" x14ac:dyDescent="0.2">
      <c r="A2834" s="347">
        <v>2833</v>
      </c>
      <c r="B2834" s="348">
        <v>44333</v>
      </c>
      <c r="C2834" s="348">
        <v>44361</v>
      </c>
      <c r="D2834" s="349" t="s">
        <v>1092</v>
      </c>
      <c r="E2834" s="349" t="s">
        <v>422</v>
      </c>
      <c r="F2834" s="349" t="s">
        <v>701</v>
      </c>
      <c r="G2834" s="349" t="s">
        <v>5751</v>
      </c>
      <c r="H2834" s="349" t="s">
        <v>5753</v>
      </c>
      <c r="I2834" s="350">
        <v>229508.91</v>
      </c>
    </row>
    <row r="2835" spans="1:11" x14ac:dyDescent="0.2">
      <c r="A2835" s="347">
        <v>2834</v>
      </c>
      <c r="B2835" s="348">
        <v>44333</v>
      </c>
      <c r="C2835" s="348">
        <v>44361</v>
      </c>
      <c r="D2835" s="349" t="s">
        <v>1092</v>
      </c>
      <c r="E2835" s="349" t="s">
        <v>422</v>
      </c>
      <c r="F2835" s="349" t="s">
        <v>701</v>
      </c>
      <c r="G2835" s="349" t="s">
        <v>5752</v>
      </c>
      <c r="H2835" s="349" t="s">
        <v>5754</v>
      </c>
      <c r="I2835" s="350">
        <v>389876.78</v>
      </c>
    </row>
    <row r="2836" spans="1:11" ht="15" x14ac:dyDescent="0.25">
      <c r="A2836" s="375">
        <v>2835</v>
      </c>
      <c r="B2836" s="376">
        <v>44338</v>
      </c>
      <c r="C2836" s="376">
        <v>44354</v>
      </c>
      <c r="D2836" s="377" t="s">
        <v>1092</v>
      </c>
      <c r="E2836" s="377" t="s">
        <v>422</v>
      </c>
      <c r="F2836" s="377" t="s">
        <v>701</v>
      </c>
      <c r="G2836" s="377" t="s">
        <v>5755</v>
      </c>
      <c r="H2836" s="377" t="s">
        <v>5769</v>
      </c>
      <c r="I2836" s="378">
        <v>28700</v>
      </c>
      <c r="K2836" s="351"/>
    </row>
    <row r="2837" spans="1:11" ht="15" x14ac:dyDescent="0.25">
      <c r="A2837" s="375">
        <v>2836</v>
      </c>
      <c r="B2837" s="376">
        <v>44337</v>
      </c>
      <c r="C2837" s="376">
        <v>44354</v>
      </c>
      <c r="D2837" s="377" t="s">
        <v>1092</v>
      </c>
      <c r="E2837" s="377" t="s">
        <v>422</v>
      </c>
      <c r="F2837" s="377" t="s">
        <v>396</v>
      </c>
      <c r="G2837" s="377" t="s">
        <v>5756</v>
      </c>
      <c r="H2837" s="377" t="s">
        <v>5770</v>
      </c>
      <c r="I2837" s="378">
        <v>5400</v>
      </c>
      <c r="K2837" s="351"/>
    </row>
    <row r="2838" spans="1:11" ht="15" x14ac:dyDescent="0.25">
      <c r="A2838" s="375">
        <v>2837</v>
      </c>
      <c r="B2838" s="376">
        <v>44337</v>
      </c>
      <c r="C2838" s="376">
        <v>44354</v>
      </c>
      <c r="D2838" s="377" t="s">
        <v>1092</v>
      </c>
      <c r="E2838" s="377" t="s">
        <v>422</v>
      </c>
      <c r="F2838" s="377" t="s">
        <v>396</v>
      </c>
      <c r="G2838" s="377" t="s">
        <v>5757</v>
      </c>
      <c r="H2838" s="377" t="s">
        <v>5771</v>
      </c>
      <c r="I2838" s="378">
        <v>5400</v>
      </c>
      <c r="K2838" s="351"/>
    </row>
    <row r="2839" spans="1:11" ht="15" x14ac:dyDescent="0.25">
      <c r="A2839" s="375">
        <v>2838</v>
      </c>
      <c r="B2839" s="376">
        <v>44337</v>
      </c>
      <c r="C2839" s="376">
        <v>44354</v>
      </c>
      <c r="D2839" s="377" t="s">
        <v>1092</v>
      </c>
      <c r="E2839" s="377" t="s">
        <v>422</v>
      </c>
      <c r="F2839" s="377" t="s">
        <v>396</v>
      </c>
      <c r="G2839" s="377" t="s">
        <v>5758</v>
      </c>
      <c r="H2839" s="377" t="s">
        <v>5772</v>
      </c>
      <c r="I2839" s="378">
        <v>91900</v>
      </c>
      <c r="K2839" s="351"/>
    </row>
    <row r="2840" spans="1:11" ht="15" x14ac:dyDescent="0.25">
      <c r="A2840" s="375">
        <v>2839</v>
      </c>
      <c r="B2840" s="376">
        <v>44337</v>
      </c>
      <c r="C2840" s="376">
        <v>44354</v>
      </c>
      <c r="D2840" s="377" t="s">
        <v>1092</v>
      </c>
      <c r="E2840" s="377" t="s">
        <v>392</v>
      </c>
      <c r="F2840" s="377" t="s">
        <v>2224</v>
      </c>
      <c r="G2840" s="377" t="s">
        <v>5759</v>
      </c>
      <c r="H2840" s="377" t="s">
        <v>5773</v>
      </c>
      <c r="I2840" s="378">
        <v>56196.35</v>
      </c>
      <c r="K2840" s="351"/>
    </row>
    <row r="2841" spans="1:11" ht="15" x14ac:dyDescent="0.25">
      <c r="A2841" s="375">
        <v>2840</v>
      </c>
      <c r="B2841" s="376">
        <v>44337</v>
      </c>
      <c r="C2841" s="376">
        <v>44354</v>
      </c>
      <c r="D2841" s="377" t="s">
        <v>1092</v>
      </c>
      <c r="E2841" s="377" t="s">
        <v>422</v>
      </c>
      <c r="F2841" s="377" t="s">
        <v>396</v>
      </c>
      <c r="G2841" s="377" t="s">
        <v>5760</v>
      </c>
      <c r="H2841" s="377" t="s">
        <v>5774</v>
      </c>
      <c r="I2841" s="378">
        <v>5400</v>
      </c>
      <c r="K2841" s="351"/>
    </row>
    <row r="2842" spans="1:11" ht="15" x14ac:dyDescent="0.25">
      <c r="A2842" s="375">
        <v>2841</v>
      </c>
      <c r="B2842" s="376">
        <v>44337</v>
      </c>
      <c r="C2842" s="376">
        <v>44354</v>
      </c>
      <c r="D2842" s="377" t="s">
        <v>1092</v>
      </c>
      <c r="E2842" s="377" t="s">
        <v>422</v>
      </c>
      <c r="F2842" s="377" t="s">
        <v>396</v>
      </c>
      <c r="G2842" s="377" t="s">
        <v>5761</v>
      </c>
      <c r="H2842" s="377" t="s">
        <v>5775</v>
      </c>
      <c r="I2842" s="378">
        <v>3780</v>
      </c>
      <c r="K2842" s="351"/>
    </row>
    <row r="2843" spans="1:11" ht="15" x14ac:dyDescent="0.25">
      <c r="A2843" s="375">
        <v>2842</v>
      </c>
      <c r="B2843" s="376">
        <v>44337</v>
      </c>
      <c r="C2843" s="376">
        <v>44354</v>
      </c>
      <c r="D2843" s="377" t="s">
        <v>1092</v>
      </c>
      <c r="E2843" s="377" t="s">
        <v>422</v>
      </c>
      <c r="F2843" s="377" t="s">
        <v>701</v>
      </c>
      <c r="G2843" s="377" t="s">
        <v>5762</v>
      </c>
      <c r="H2843" s="377" t="s">
        <v>5776</v>
      </c>
      <c r="I2843" s="378">
        <v>99400</v>
      </c>
      <c r="K2843" s="351"/>
    </row>
    <row r="2844" spans="1:11" ht="15" x14ac:dyDescent="0.25">
      <c r="A2844" s="375">
        <v>2843</v>
      </c>
      <c r="B2844" s="376">
        <v>44341</v>
      </c>
      <c r="C2844" s="376">
        <v>44361</v>
      </c>
      <c r="D2844" s="377" t="s">
        <v>1092</v>
      </c>
      <c r="E2844" s="377" t="s">
        <v>422</v>
      </c>
      <c r="F2844" s="377" t="s">
        <v>396</v>
      </c>
      <c r="G2844" s="377" t="s">
        <v>5763</v>
      </c>
      <c r="H2844" s="377" t="s">
        <v>5777</v>
      </c>
      <c r="I2844" s="378">
        <v>204139.8</v>
      </c>
      <c r="K2844" s="351"/>
    </row>
    <row r="2845" spans="1:11" ht="15" x14ac:dyDescent="0.25">
      <c r="A2845" s="375">
        <v>2844</v>
      </c>
      <c r="B2845" s="376">
        <v>44341</v>
      </c>
      <c r="C2845" s="376">
        <v>44361</v>
      </c>
      <c r="D2845" s="377" t="s">
        <v>1092</v>
      </c>
      <c r="E2845" s="377" t="s">
        <v>422</v>
      </c>
      <c r="F2845" s="377" t="s">
        <v>71</v>
      </c>
      <c r="G2845" s="377" t="s">
        <v>5764</v>
      </c>
      <c r="H2845" s="377" t="s">
        <v>5778</v>
      </c>
      <c r="I2845" s="378">
        <v>127401.33</v>
      </c>
      <c r="K2845" s="351"/>
    </row>
    <row r="2846" spans="1:11" ht="15" x14ac:dyDescent="0.25">
      <c r="A2846" s="375">
        <v>2845</v>
      </c>
      <c r="B2846" s="376">
        <v>44341</v>
      </c>
      <c r="C2846" s="376">
        <v>44361</v>
      </c>
      <c r="D2846" s="377" t="s">
        <v>1092</v>
      </c>
      <c r="E2846" s="377" t="s">
        <v>422</v>
      </c>
      <c r="F2846" s="377" t="s">
        <v>71</v>
      </c>
      <c r="G2846" s="377" t="s">
        <v>5765</v>
      </c>
      <c r="H2846" s="377" t="s">
        <v>5779</v>
      </c>
      <c r="I2846" s="378">
        <v>68843.23</v>
      </c>
      <c r="K2846" s="351"/>
    </row>
    <row r="2847" spans="1:11" ht="15" x14ac:dyDescent="0.25">
      <c r="A2847" s="375">
        <v>2846</v>
      </c>
      <c r="B2847" s="376">
        <v>44341</v>
      </c>
      <c r="C2847" s="376">
        <v>44368</v>
      </c>
      <c r="D2847" s="377" t="s">
        <v>1092</v>
      </c>
      <c r="E2847" s="377" t="s">
        <v>422</v>
      </c>
      <c r="F2847" s="377" t="s">
        <v>396</v>
      </c>
      <c r="G2847" s="377" t="s">
        <v>5766</v>
      </c>
      <c r="H2847" s="377" t="s">
        <v>5780</v>
      </c>
      <c r="I2847" s="378">
        <v>216906</v>
      </c>
      <c r="K2847" s="351"/>
    </row>
    <row r="2848" spans="1:11" ht="15" x14ac:dyDescent="0.25">
      <c r="A2848" s="375">
        <v>2847</v>
      </c>
      <c r="B2848" s="376">
        <v>44341</v>
      </c>
      <c r="C2848" s="376">
        <v>44368</v>
      </c>
      <c r="D2848" s="377" t="s">
        <v>1092</v>
      </c>
      <c r="E2848" s="377" t="s">
        <v>422</v>
      </c>
      <c r="F2848" s="377" t="s">
        <v>396</v>
      </c>
      <c r="G2848" s="377" t="s">
        <v>5767</v>
      </c>
      <c r="H2848" s="377" t="s">
        <v>5781</v>
      </c>
      <c r="I2848" s="378">
        <v>582738.4</v>
      </c>
      <c r="K2848" s="351"/>
    </row>
    <row r="2849" spans="1:11" ht="15" x14ac:dyDescent="0.25">
      <c r="A2849" s="375">
        <v>2848</v>
      </c>
      <c r="B2849" s="376">
        <v>44341</v>
      </c>
      <c r="C2849" s="376">
        <v>44368</v>
      </c>
      <c r="D2849" s="379" t="s">
        <v>1092</v>
      </c>
      <c r="E2849" s="377" t="s">
        <v>422</v>
      </c>
      <c r="F2849" s="377" t="s">
        <v>396</v>
      </c>
      <c r="G2849" s="377" t="s">
        <v>5768</v>
      </c>
      <c r="H2849" s="377" t="s">
        <v>5782</v>
      </c>
      <c r="I2849" s="378">
        <v>930527.2</v>
      </c>
      <c r="K2849" s="351"/>
    </row>
    <row r="2850" spans="1:11" x14ac:dyDescent="0.2">
      <c r="A2850" s="375">
        <v>2849</v>
      </c>
      <c r="B2850" s="376">
        <v>44342</v>
      </c>
      <c r="C2850" s="376">
        <v>44361</v>
      </c>
      <c r="D2850" s="377" t="s">
        <v>1092</v>
      </c>
      <c r="E2850" s="377" t="s">
        <v>422</v>
      </c>
      <c r="F2850" s="377" t="s">
        <v>701</v>
      </c>
      <c r="G2850" s="377" t="s">
        <v>5783</v>
      </c>
      <c r="H2850" s="377" t="s">
        <v>5785</v>
      </c>
      <c r="I2850" s="380">
        <v>195200</v>
      </c>
    </row>
    <row r="2851" spans="1:11" x14ac:dyDescent="0.2">
      <c r="A2851" s="375">
        <v>2850</v>
      </c>
      <c r="B2851" s="376">
        <v>44342</v>
      </c>
      <c r="C2851" s="376">
        <v>44361</v>
      </c>
      <c r="D2851" s="377" t="s">
        <v>1092</v>
      </c>
      <c r="E2851" s="377" t="s">
        <v>422</v>
      </c>
      <c r="F2851" s="377" t="s">
        <v>701</v>
      </c>
      <c r="G2851" s="377" t="s">
        <v>5784</v>
      </c>
      <c r="H2851" s="377" t="s">
        <v>5786</v>
      </c>
      <c r="I2851" s="380">
        <v>8100</v>
      </c>
    </row>
    <row r="2852" spans="1:11" x14ac:dyDescent="0.2">
      <c r="A2852" s="375">
        <v>2851</v>
      </c>
      <c r="B2852" s="376">
        <v>44344</v>
      </c>
      <c r="C2852" s="376">
        <v>44361</v>
      </c>
      <c r="D2852" s="377" t="s">
        <v>1092</v>
      </c>
      <c r="E2852" s="377" t="s">
        <v>422</v>
      </c>
      <c r="F2852" s="377" t="s">
        <v>701</v>
      </c>
      <c r="G2852" s="377" t="s">
        <v>5787</v>
      </c>
      <c r="H2852" s="377" t="s">
        <v>5796</v>
      </c>
      <c r="I2852" s="380">
        <v>21487.599999999999</v>
      </c>
    </row>
    <row r="2853" spans="1:11" x14ac:dyDescent="0.2">
      <c r="A2853" s="375">
        <v>2852</v>
      </c>
      <c r="B2853" s="376">
        <v>44344</v>
      </c>
      <c r="C2853" s="376">
        <v>44361</v>
      </c>
      <c r="D2853" s="377" t="s">
        <v>1092</v>
      </c>
      <c r="E2853" s="377" t="s">
        <v>422</v>
      </c>
      <c r="F2853" s="377" t="s">
        <v>701</v>
      </c>
      <c r="G2853" s="377" t="s">
        <v>5788</v>
      </c>
      <c r="H2853" s="377" t="s">
        <v>5797</v>
      </c>
      <c r="I2853" s="380">
        <v>25000</v>
      </c>
    </row>
    <row r="2854" spans="1:11" x14ac:dyDescent="0.2">
      <c r="A2854" s="375">
        <v>2853</v>
      </c>
      <c r="B2854" s="376">
        <v>44344</v>
      </c>
      <c r="C2854" s="376">
        <v>44361</v>
      </c>
      <c r="D2854" s="377" t="s">
        <v>1092</v>
      </c>
      <c r="E2854" s="377" t="s">
        <v>392</v>
      </c>
      <c r="F2854" s="377" t="s">
        <v>396</v>
      </c>
      <c r="G2854" s="377" t="s">
        <v>5789</v>
      </c>
      <c r="H2854" s="377" t="s">
        <v>5798</v>
      </c>
      <c r="I2854" s="380">
        <v>22342.34</v>
      </c>
    </row>
    <row r="2855" spans="1:11" x14ac:dyDescent="0.2">
      <c r="A2855" s="375">
        <v>2854</v>
      </c>
      <c r="B2855" s="376">
        <v>44344</v>
      </c>
      <c r="C2855" s="376">
        <v>44361</v>
      </c>
      <c r="D2855" s="377" t="s">
        <v>1092</v>
      </c>
      <c r="E2855" s="377" t="s">
        <v>392</v>
      </c>
      <c r="F2855" s="377" t="s">
        <v>71</v>
      </c>
      <c r="G2855" s="377" t="s">
        <v>5790</v>
      </c>
      <c r="H2855" s="377" t="s">
        <v>5799</v>
      </c>
      <c r="I2855" s="380">
        <v>6719.28</v>
      </c>
    </row>
    <row r="2856" spans="1:11" x14ac:dyDescent="0.2">
      <c r="A2856" s="375">
        <v>2855</v>
      </c>
      <c r="B2856" s="376">
        <v>44344</v>
      </c>
      <c r="C2856" s="376">
        <v>44361</v>
      </c>
      <c r="D2856" s="377" t="s">
        <v>1092</v>
      </c>
      <c r="E2856" s="377" t="s">
        <v>422</v>
      </c>
      <c r="F2856" s="377" t="s">
        <v>701</v>
      </c>
      <c r="G2856" s="377" t="s">
        <v>5791</v>
      </c>
      <c r="H2856" s="377" t="s">
        <v>5800</v>
      </c>
      <c r="I2856" s="380">
        <v>20661.16</v>
      </c>
    </row>
    <row r="2857" spans="1:11" x14ac:dyDescent="0.2">
      <c r="A2857" s="375">
        <v>2856</v>
      </c>
      <c r="B2857" s="376">
        <v>44344</v>
      </c>
      <c r="C2857" s="376">
        <v>44361</v>
      </c>
      <c r="D2857" s="377" t="s">
        <v>1092</v>
      </c>
      <c r="E2857" s="377" t="s">
        <v>422</v>
      </c>
      <c r="F2857" s="377" t="s">
        <v>701</v>
      </c>
      <c r="G2857" s="377" t="s">
        <v>5792</v>
      </c>
      <c r="H2857" s="377" t="s">
        <v>5801</v>
      </c>
      <c r="I2857" s="380">
        <v>100000</v>
      </c>
    </row>
    <row r="2858" spans="1:11" x14ac:dyDescent="0.2">
      <c r="A2858" s="375">
        <v>2857</v>
      </c>
      <c r="B2858" s="376">
        <v>44344</v>
      </c>
      <c r="C2858" s="376">
        <v>44361</v>
      </c>
      <c r="D2858" s="377" t="s">
        <v>1092</v>
      </c>
      <c r="E2858" s="377" t="s">
        <v>422</v>
      </c>
      <c r="F2858" s="377" t="s">
        <v>701</v>
      </c>
      <c r="G2858" s="377" t="s">
        <v>5793</v>
      </c>
      <c r="H2858" s="377" t="s">
        <v>5802</v>
      </c>
      <c r="I2858" s="380">
        <v>45300</v>
      </c>
    </row>
    <row r="2859" spans="1:11" x14ac:dyDescent="0.2">
      <c r="A2859" s="375">
        <v>2858</v>
      </c>
      <c r="B2859" s="376">
        <v>44344</v>
      </c>
      <c r="C2859" s="376">
        <v>44361</v>
      </c>
      <c r="D2859" s="377" t="s">
        <v>1092</v>
      </c>
      <c r="E2859" s="377" t="s">
        <v>422</v>
      </c>
      <c r="F2859" s="377" t="s">
        <v>701</v>
      </c>
      <c r="G2859" s="377" t="s">
        <v>5794</v>
      </c>
      <c r="H2859" s="377" t="s">
        <v>5803</v>
      </c>
      <c r="I2859" s="380">
        <v>12536.4</v>
      </c>
    </row>
    <row r="2860" spans="1:11" x14ac:dyDescent="0.2">
      <c r="A2860" s="375">
        <v>2859</v>
      </c>
      <c r="B2860" s="376">
        <v>44344</v>
      </c>
      <c r="C2860" s="376">
        <v>44361</v>
      </c>
      <c r="D2860" s="377" t="s">
        <v>1092</v>
      </c>
      <c r="E2860" s="377" t="s">
        <v>392</v>
      </c>
      <c r="F2860" s="377" t="s">
        <v>1257</v>
      </c>
      <c r="G2860" s="377" t="s">
        <v>5795</v>
      </c>
      <c r="H2860" s="377" t="s">
        <v>5804</v>
      </c>
      <c r="I2860" s="380">
        <v>4508.3999999999996</v>
      </c>
    </row>
    <row r="2861" spans="1:11" x14ac:dyDescent="0.2">
      <c r="A2861" s="375">
        <v>2860</v>
      </c>
      <c r="B2861" s="376">
        <v>44349</v>
      </c>
      <c r="C2861" s="376">
        <v>44370</v>
      </c>
      <c r="D2861" s="377" t="s">
        <v>1092</v>
      </c>
      <c r="E2861" s="377" t="s">
        <v>422</v>
      </c>
      <c r="F2861" s="377" t="s">
        <v>71</v>
      </c>
      <c r="G2861" s="377" t="s">
        <v>5805</v>
      </c>
      <c r="H2861" s="377" t="s">
        <v>5810</v>
      </c>
      <c r="I2861" s="380">
        <v>39335.629999999997</v>
      </c>
    </row>
    <row r="2862" spans="1:11" x14ac:dyDescent="0.2">
      <c r="A2862" s="375">
        <v>2861</v>
      </c>
      <c r="B2862" s="376">
        <v>44349</v>
      </c>
      <c r="C2862" s="376">
        <v>44370</v>
      </c>
      <c r="D2862" s="377" t="s">
        <v>1092</v>
      </c>
      <c r="E2862" s="377" t="s">
        <v>392</v>
      </c>
      <c r="F2862" s="377" t="s">
        <v>2224</v>
      </c>
      <c r="G2862" s="377" t="s">
        <v>5806</v>
      </c>
      <c r="H2862" s="377" t="s">
        <v>5811</v>
      </c>
      <c r="I2862" s="380">
        <v>29429.19</v>
      </c>
    </row>
    <row r="2863" spans="1:11" x14ac:dyDescent="0.2">
      <c r="A2863" s="375">
        <v>2862</v>
      </c>
      <c r="B2863" s="376">
        <v>44349</v>
      </c>
      <c r="C2863" s="376">
        <v>44368</v>
      </c>
      <c r="D2863" s="377" t="s">
        <v>1092</v>
      </c>
      <c r="E2863" s="377" t="s">
        <v>422</v>
      </c>
      <c r="F2863" s="377" t="s">
        <v>396</v>
      </c>
      <c r="G2863" s="377" t="s">
        <v>5807</v>
      </c>
      <c r="H2863" s="377" t="s">
        <v>5812</v>
      </c>
      <c r="I2863" s="380">
        <v>185122.24</v>
      </c>
    </row>
    <row r="2864" spans="1:11" x14ac:dyDescent="0.2">
      <c r="A2864" s="375">
        <v>2863</v>
      </c>
      <c r="B2864" s="376">
        <v>44349</v>
      </c>
      <c r="C2864" s="376">
        <v>44370</v>
      </c>
      <c r="D2864" s="377" t="s">
        <v>1092</v>
      </c>
      <c r="E2864" s="377" t="s">
        <v>422</v>
      </c>
      <c r="F2864" s="377" t="s">
        <v>396</v>
      </c>
      <c r="G2864" s="377" t="s">
        <v>5808</v>
      </c>
      <c r="H2864" s="377" t="s">
        <v>5813</v>
      </c>
      <c r="I2864" s="380">
        <v>34620</v>
      </c>
    </row>
    <row r="2865" spans="1:9" x14ac:dyDescent="0.2">
      <c r="A2865" s="375">
        <v>2864</v>
      </c>
      <c r="B2865" s="376">
        <v>44349</v>
      </c>
      <c r="C2865" s="376">
        <v>44375</v>
      </c>
      <c r="D2865" s="377" t="s">
        <v>1092</v>
      </c>
      <c r="E2865" s="377" t="s">
        <v>422</v>
      </c>
      <c r="F2865" s="377" t="s">
        <v>396</v>
      </c>
      <c r="G2865" s="377" t="s">
        <v>5809</v>
      </c>
      <c r="H2865" s="377" t="s">
        <v>5814</v>
      </c>
      <c r="I2865" s="380">
        <v>991735.54</v>
      </c>
    </row>
    <row r="2866" spans="1:9" x14ac:dyDescent="0.2">
      <c r="A2866" s="375">
        <v>2865</v>
      </c>
      <c r="B2866" s="376">
        <v>44350</v>
      </c>
      <c r="C2866" s="376">
        <v>44370</v>
      </c>
      <c r="D2866" s="377" t="s">
        <v>1092</v>
      </c>
      <c r="E2866" s="377" t="s">
        <v>422</v>
      </c>
      <c r="F2866" s="377" t="s">
        <v>71</v>
      </c>
      <c r="G2866" s="377" t="s">
        <v>5815</v>
      </c>
      <c r="H2866" s="377" t="s">
        <v>5818</v>
      </c>
      <c r="I2866" s="380">
        <v>6495.19</v>
      </c>
    </row>
    <row r="2867" spans="1:9" x14ac:dyDescent="0.2">
      <c r="A2867" s="375">
        <v>2866</v>
      </c>
      <c r="B2867" s="376">
        <v>44350</v>
      </c>
      <c r="C2867" s="376">
        <v>44370</v>
      </c>
      <c r="D2867" s="377" t="s">
        <v>1092</v>
      </c>
      <c r="E2867" s="377" t="s">
        <v>422</v>
      </c>
      <c r="F2867" s="377" t="s">
        <v>396</v>
      </c>
      <c r="G2867" s="377" t="s">
        <v>5816</v>
      </c>
      <c r="H2867" s="377" t="s">
        <v>5819</v>
      </c>
      <c r="I2867" s="380">
        <v>31900</v>
      </c>
    </row>
    <row r="2868" spans="1:9" x14ac:dyDescent="0.2">
      <c r="A2868" s="375">
        <v>2867</v>
      </c>
      <c r="B2868" s="376">
        <v>44350</v>
      </c>
      <c r="C2868" s="376">
        <v>44370</v>
      </c>
      <c r="D2868" s="377" t="s">
        <v>1092</v>
      </c>
      <c r="E2868" s="377" t="s">
        <v>422</v>
      </c>
      <c r="F2868" s="377" t="s">
        <v>396</v>
      </c>
      <c r="G2868" s="377" t="s">
        <v>5817</v>
      </c>
      <c r="H2868" s="377" t="s">
        <v>5820</v>
      </c>
      <c r="I2868" s="380">
        <v>17478.919999999998</v>
      </c>
    </row>
    <row r="2869" spans="1:9" x14ac:dyDescent="0.2">
      <c r="A2869" s="375">
        <v>2868</v>
      </c>
      <c r="B2869" s="376">
        <v>44354</v>
      </c>
      <c r="C2869" s="376">
        <v>44382</v>
      </c>
      <c r="D2869" s="377" t="s">
        <v>1092</v>
      </c>
      <c r="E2869" s="377" t="s">
        <v>392</v>
      </c>
      <c r="F2869" s="377" t="s">
        <v>9</v>
      </c>
      <c r="G2869" s="377" t="s">
        <v>5821</v>
      </c>
      <c r="H2869" s="377" t="s">
        <v>5834</v>
      </c>
      <c r="I2869" s="380">
        <v>610450.27</v>
      </c>
    </row>
    <row r="2870" spans="1:9" x14ac:dyDescent="0.2">
      <c r="A2870" s="375">
        <v>2869</v>
      </c>
      <c r="B2870" s="376">
        <v>44354</v>
      </c>
      <c r="C2870" s="376">
        <v>44370</v>
      </c>
      <c r="D2870" s="377" t="s">
        <v>1092</v>
      </c>
      <c r="E2870" s="377" t="s">
        <v>422</v>
      </c>
      <c r="F2870" s="377" t="s">
        <v>701</v>
      </c>
      <c r="G2870" s="377" t="s">
        <v>5822</v>
      </c>
      <c r="H2870" s="377" t="s">
        <v>5835</v>
      </c>
      <c r="I2870" s="380">
        <v>100000</v>
      </c>
    </row>
    <row r="2871" spans="1:9" x14ac:dyDescent="0.2">
      <c r="A2871" s="375">
        <v>2870</v>
      </c>
      <c r="B2871" s="376">
        <v>44354</v>
      </c>
      <c r="C2871" s="376">
        <v>44370</v>
      </c>
      <c r="D2871" s="377" t="s">
        <v>1092</v>
      </c>
      <c r="E2871" s="377" t="s">
        <v>422</v>
      </c>
      <c r="F2871" s="377" t="s">
        <v>701</v>
      </c>
      <c r="G2871" s="377" t="s">
        <v>5823</v>
      </c>
      <c r="H2871" s="377" t="s">
        <v>5836</v>
      </c>
      <c r="I2871" s="380">
        <v>16528.93</v>
      </c>
    </row>
    <row r="2872" spans="1:9" x14ac:dyDescent="0.2">
      <c r="A2872" s="375">
        <v>2871</v>
      </c>
      <c r="B2872" s="376">
        <v>44354</v>
      </c>
      <c r="C2872" s="376">
        <v>44384</v>
      </c>
      <c r="D2872" s="377" t="s">
        <v>1092</v>
      </c>
      <c r="E2872" s="377" t="s">
        <v>392</v>
      </c>
      <c r="F2872" s="377" t="s">
        <v>9</v>
      </c>
      <c r="G2872" s="377" t="s">
        <v>5824</v>
      </c>
      <c r="H2872" s="377" t="s">
        <v>5837</v>
      </c>
      <c r="I2872" s="380">
        <v>3901319.98</v>
      </c>
    </row>
    <row r="2873" spans="1:9" x14ac:dyDescent="0.2">
      <c r="A2873" s="375">
        <v>2872</v>
      </c>
      <c r="B2873" s="376">
        <v>44355</v>
      </c>
      <c r="C2873" s="376">
        <v>44375</v>
      </c>
      <c r="D2873" s="377" t="s">
        <v>1092</v>
      </c>
      <c r="E2873" s="377" t="s">
        <v>422</v>
      </c>
      <c r="F2873" s="377" t="s">
        <v>701</v>
      </c>
      <c r="G2873" s="377" t="s">
        <v>5825</v>
      </c>
      <c r="H2873" s="377" t="s">
        <v>5838</v>
      </c>
      <c r="I2873" s="380">
        <v>160000</v>
      </c>
    </row>
    <row r="2874" spans="1:9" x14ac:dyDescent="0.2">
      <c r="A2874" s="375">
        <v>2873</v>
      </c>
      <c r="B2874" s="376">
        <v>44357</v>
      </c>
      <c r="C2874" s="376">
        <v>44375</v>
      </c>
      <c r="D2874" s="377" t="s">
        <v>1092</v>
      </c>
      <c r="E2874" s="377" t="s">
        <v>392</v>
      </c>
      <c r="F2874" s="377" t="s">
        <v>2224</v>
      </c>
      <c r="G2874" s="377" t="s">
        <v>5826</v>
      </c>
      <c r="H2874" s="377" t="s">
        <v>5839</v>
      </c>
      <c r="I2874" s="380">
        <v>54545.45</v>
      </c>
    </row>
    <row r="2875" spans="1:9" x14ac:dyDescent="0.2">
      <c r="A2875" s="375">
        <v>2874</v>
      </c>
      <c r="B2875" s="376">
        <v>44357</v>
      </c>
      <c r="C2875" s="376">
        <v>44375</v>
      </c>
      <c r="D2875" s="377" t="s">
        <v>1092</v>
      </c>
      <c r="E2875" s="377" t="s">
        <v>422</v>
      </c>
      <c r="F2875" s="377" t="s">
        <v>701</v>
      </c>
      <c r="G2875" s="377" t="s">
        <v>5827</v>
      </c>
      <c r="H2875" s="377" t="s">
        <v>5840</v>
      </c>
      <c r="I2875" s="380">
        <v>40000</v>
      </c>
    </row>
    <row r="2876" spans="1:9" x14ac:dyDescent="0.2">
      <c r="A2876" s="375">
        <v>2875</v>
      </c>
      <c r="B2876" s="376">
        <v>44357</v>
      </c>
      <c r="C2876" s="376">
        <v>44382</v>
      </c>
      <c r="D2876" s="377" t="s">
        <v>1092</v>
      </c>
      <c r="E2876" s="377" t="s">
        <v>392</v>
      </c>
      <c r="F2876" s="377" t="s">
        <v>396</v>
      </c>
      <c r="G2876" s="377" t="s">
        <v>5828</v>
      </c>
      <c r="H2876" s="377" t="s">
        <v>5841</v>
      </c>
      <c r="I2876" s="380">
        <v>243288</v>
      </c>
    </row>
    <row r="2877" spans="1:9" x14ac:dyDescent="0.2">
      <c r="A2877" s="375">
        <v>2876</v>
      </c>
      <c r="B2877" s="376">
        <v>44358</v>
      </c>
      <c r="C2877" s="376">
        <v>44375</v>
      </c>
      <c r="D2877" s="377" t="s">
        <v>1092</v>
      </c>
      <c r="E2877" s="377" t="s">
        <v>422</v>
      </c>
      <c r="F2877" s="377" t="s">
        <v>701</v>
      </c>
      <c r="G2877" s="377" t="s">
        <v>5829</v>
      </c>
      <c r="H2877" s="377" t="s">
        <v>5842</v>
      </c>
      <c r="I2877" s="380">
        <v>122120</v>
      </c>
    </row>
    <row r="2878" spans="1:9" x14ac:dyDescent="0.2">
      <c r="A2878" s="375">
        <v>2877</v>
      </c>
      <c r="B2878" s="376">
        <v>44358</v>
      </c>
      <c r="C2878" s="376">
        <v>44375</v>
      </c>
      <c r="D2878" s="377" t="s">
        <v>1092</v>
      </c>
      <c r="E2878" s="377" t="s">
        <v>392</v>
      </c>
      <c r="F2878" s="377" t="s">
        <v>701</v>
      </c>
      <c r="G2878" s="377" t="s">
        <v>5830</v>
      </c>
      <c r="H2878" s="377" t="s">
        <v>5843</v>
      </c>
      <c r="I2878" s="380">
        <v>49280</v>
      </c>
    </row>
    <row r="2879" spans="1:9" x14ac:dyDescent="0.2">
      <c r="A2879" s="375">
        <v>2878</v>
      </c>
      <c r="B2879" s="376">
        <v>44363</v>
      </c>
      <c r="C2879" s="376">
        <v>44389</v>
      </c>
      <c r="D2879" s="377" t="s">
        <v>1092</v>
      </c>
      <c r="E2879" s="377" t="s">
        <v>422</v>
      </c>
      <c r="F2879" s="377" t="s">
        <v>396</v>
      </c>
      <c r="G2879" s="377" t="s">
        <v>5831</v>
      </c>
      <c r="H2879" s="377" t="s">
        <v>5844</v>
      </c>
      <c r="I2879" s="380">
        <v>4703438.5999999996</v>
      </c>
    </row>
    <row r="2880" spans="1:9" x14ac:dyDescent="0.2">
      <c r="A2880" s="375">
        <v>2879</v>
      </c>
      <c r="B2880" s="376">
        <v>44363</v>
      </c>
      <c r="C2880" s="376">
        <v>44389</v>
      </c>
      <c r="D2880" s="377" t="s">
        <v>1092</v>
      </c>
      <c r="E2880" s="377" t="s">
        <v>422</v>
      </c>
      <c r="F2880" s="377" t="s">
        <v>701</v>
      </c>
      <c r="G2880" s="377" t="s">
        <v>5832</v>
      </c>
      <c r="H2880" s="377" t="s">
        <v>5845</v>
      </c>
      <c r="I2880" s="380">
        <v>500000</v>
      </c>
    </row>
    <row r="2881" spans="1:9" x14ac:dyDescent="0.2">
      <c r="A2881" s="375">
        <v>2880</v>
      </c>
      <c r="B2881" s="376">
        <v>44363</v>
      </c>
      <c r="C2881" s="376">
        <v>44389</v>
      </c>
      <c r="D2881" s="377" t="s">
        <v>1092</v>
      </c>
      <c r="E2881" s="377" t="s">
        <v>422</v>
      </c>
      <c r="F2881" s="377" t="s">
        <v>396</v>
      </c>
      <c r="G2881" s="377" t="s">
        <v>5833</v>
      </c>
      <c r="H2881" s="377" t="s">
        <v>5846</v>
      </c>
      <c r="I2881" s="380">
        <v>1149823.44</v>
      </c>
    </row>
    <row r="2882" spans="1:9" x14ac:dyDescent="0.2">
      <c r="A2882" s="375">
        <v>2881</v>
      </c>
      <c r="B2882" s="376">
        <v>44372</v>
      </c>
      <c r="C2882" s="376">
        <v>44396</v>
      </c>
      <c r="D2882" s="377" t="s">
        <v>1092</v>
      </c>
      <c r="E2882" s="377" t="s">
        <v>422</v>
      </c>
      <c r="F2882" s="377" t="s">
        <v>701</v>
      </c>
      <c r="G2882" s="377" t="s">
        <v>5849</v>
      </c>
      <c r="H2882" s="377" t="s">
        <v>5848</v>
      </c>
      <c r="I2882" s="380">
        <v>114980</v>
      </c>
    </row>
    <row r="2883" spans="1:9" x14ac:dyDescent="0.2">
      <c r="A2883" s="375">
        <v>2882</v>
      </c>
      <c r="B2883" s="376">
        <v>44382</v>
      </c>
      <c r="C2883" s="376">
        <v>44398</v>
      </c>
      <c r="D2883" s="377" t="s">
        <v>1092</v>
      </c>
      <c r="E2883" s="377" t="s">
        <v>422</v>
      </c>
      <c r="F2883" s="377" t="s">
        <v>396</v>
      </c>
      <c r="G2883" s="377" t="s">
        <v>5851</v>
      </c>
      <c r="H2883" s="377" t="s">
        <v>5854</v>
      </c>
      <c r="I2883" s="380">
        <v>4285.2</v>
      </c>
    </row>
    <row r="2884" spans="1:9" x14ac:dyDescent="0.2">
      <c r="A2884" s="375">
        <v>2883</v>
      </c>
      <c r="B2884" s="376">
        <v>44382</v>
      </c>
      <c r="C2884" s="376">
        <v>44398</v>
      </c>
      <c r="D2884" s="377" t="s">
        <v>1092</v>
      </c>
      <c r="E2884" s="377" t="s">
        <v>422</v>
      </c>
      <c r="F2884" s="377" t="s">
        <v>396</v>
      </c>
      <c r="G2884" s="377" t="s">
        <v>5852</v>
      </c>
      <c r="H2884" s="377" t="s">
        <v>5855</v>
      </c>
      <c r="I2884" s="380">
        <v>18577.62</v>
      </c>
    </row>
    <row r="2885" spans="1:9" x14ac:dyDescent="0.2">
      <c r="A2885" s="375">
        <v>2884</v>
      </c>
      <c r="B2885" s="376">
        <v>44382</v>
      </c>
      <c r="C2885" s="376">
        <v>44398</v>
      </c>
      <c r="D2885" s="377" t="s">
        <v>1092</v>
      </c>
      <c r="E2885" s="377" t="s">
        <v>422</v>
      </c>
      <c r="F2885" s="377" t="s">
        <v>71</v>
      </c>
      <c r="G2885" s="377" t="s">
        <v>5853</v>
      </c>
      <c r="H2885" s="377" t="s">
        <v>5856</v>
      </c>
      <c r="I2885" s="380">
        <v>3420.68</v>
      </c>
    </row>
    <row r="2886" spans="1:9" x14ac:dyDescent="0.2">
      <c r="A2886" s="375">
        <v>2885</v>
      </c>
      <c r="B2886" s="376">
        <v>44382</v>
      </c>
      <c r="C2886" s="376">
        <v>44398</v>
      </c>
      <c r="D2886" s="377" t="s">
        <v>1092</v>
      </c>
      <c r="E2886" s="377" t="s">
        <v>392</v>
      </c>
      <c r="F2886" s="377" t="s">
        <v>701</v>
      </c>
      <c r="G2886" s="377" t="s">
        <v>5702</v>
      </c>
      <c r="H2886" s="377" t="s">
        <v>5710</v>
      </c>
      <c r="I2886" s="380">
        <v>27580</v>
      </c>
    </row>
    <row r="2887" spans="1:9" x14ac:dyDescent="0.2">
      <c r="A2887" s="375">
        <v>2886</v>
      </c>
      <c r="B2887" s="376">
        <v>44383</v>
      </c>
      <c r="C2887" s="376">
        <v>44440</v>
      </c>
      <c r="D2887" s="377" t="s">
        <v>1092</v>
      </c>
      <c r="E2887" s="377" t="s">
        <v>422</v>
      </c>
      <c r="F2887" s="377" t="s">
        <v>396</v>
      </c>
      <c r="G2887" s="377" t="s">
        <v>5857</v>
      </c>
      <c r="H2887" s="377" t="s">
        <v>5860</v>
      </c>
      <c r="I2887" s="380">
        <v>14755.79</v>
      </c>
    </row>
    <row r="2888" spans="1:9" x14ac:dyDescent="0.2">
      <c r="A2888" s="375">
        <v>2887</v>
      </c>
      <c r="B2888" s="376">
        <v>44383</v>
      </c>
      <c r="C2888" s="376">
        <v>44440</v>
      </c>
      <c r="D2888" s="377" t="s">
        <v>1092</v>
      </c>
      <c r="E2888" s="377" t="s">
        <v>422</v>
      </c>
      <c r="F2888" s="377" t="s">
        <v>396</v>
      </c>
      <c r="G2888" s="377" t="s">
        <v>5858</v>
      </c>
      <c r="H2888" s="377" t="s">
        <v>5861</v>
      </c>
      <c r="I2888" s="380">
        <v>4128</v>
      </c>
    </row>
    <row r="2889" spans="1:9" x14ac:dyDescent="0.2">
      <c r="A2889" s="375">
        <v>2888</v>
      </c>
      <c r="B2889" s="376">
        <v>44383</v>
      </c>
      <c r="C2889" s="376">
        <v>44440</v>
      </c>
      <c r="D2889" s="377" t="s">
        <v>1092</v>
      </c>
      <c r="E2889" s="377" t="s">
        <v>422</v>
      </c>
      <c r="F2889" s="377" t="s">
        <v>71</v>
      </c>
      <c r="G2889" s="377" t="s">
        <v>5859</v>
      </c>
      <c r="H2889" s="377" t="s">
        <v>5862</v>
      </c>
      <c r="I2889" s="380">
        <v>5311.84</v>
      </c>
    </row>
    <row r="2890" spans="1:9" x14ac:dyDescent="0.2">
      <c r="A2890" s="375">
        <v>2889</v>
      </c>
      <c r="B2890" s="376">
        <v>44385</v>
      </c>
      <c r="C2890" s="376">
        <v>44438</v>
      </c>
      <c r="D2890" s="377" t="s">
        <v>1092</v>
      </c>
      <c r="E2890" s="377" t="s">
        <v>392</v>
      </c>
      <c r="F2890" s="377" t="s">
        <v>393</v>
      </c>
      <c r="G2890" s="377" t="s">
        <v>5865</v>
      </c>
      <c r="H2890" s="377" t="s">
        <v>5877</v>
      </c>
      <c r="I2890" s="380">
        <v>98000</v>
      </c>
    </row>
    <row r="2891" spans="1:9" x14ac:dyDescent="0.2">
      <c r="A2891" s="375">
        <v>2890</v>
      </c>
      <c r="B2891" s="376">
        <v>44385</v>
      </c>
      <c r="C2891" s="376">
        <v>44438</v>
      </c>
      <c r="D2891" s="377" t="s">
        <v>1092</v>
      </c>
      <c r="E2891" s="377" t="s">
        <v>392</v>
      </c>
      <c r="F2891" s="377" t="s">
        <v>393</v>
      </c>
      <c r="G2891" s="377" t="s">
        <v>5866</v>
      </c>
      <c r="H2891" s="377" t="s">
        <v>5878</v>
      </c>
      <c r="I2891" s="380">
        <v>29400</v>
      </c>
    </row>
    <row r="2892" spans="1:9" x14ac:dyDescent="0.2">
      <c r="A2892" s="375">
        <v>2891</v>
      </c>
      <c r="B2892" s="376">
        <v>44385</v>
      </c>
      <c r="C2892" s="376">
        <v>44438</v>
      </c>
      <c r="D2892" s="377" t="s">
        <v>1092</v>
      </c>
      <c r="E2892" s="377" t="s">
        <v>422</v>
      </c>
      <c r="F2892" s="377" t="s">
        <v>701</v>
      </c>
      <c r="G2892" s="377" t="s">
        <v>5867</v>
      </c>
      <c r="H2892" s="377" t="s">
        <v>5879</v>
      </c>
      <c r="I2892" s="380">
        <v>130720</v>
      </c>
    </row>
    <row r="2893" spans="1:9" x14ac:dyDescent="0.2">
      <c r="A2893" s="375">
        <v>2892</v>
      </c>
      <c r="B2893" s="376">
        <v>44385</v>
      </c>
      <c r="C2893" s="376">
        <v>44438</v>
      </c>
      <c r="D2893" s="377" t="s">
        <v>1092</v>
      </c>
      <c r="E2893" s="377" t="s">
        <v>392</v>
      </c>
      <c r="F2893" s="377" t="s">
        <v>71</v>
      </c>
      <c r="G2893" s="377" t="s">
        <v>5868</v>
      </c>
      <c r="H2893" s="377" t="s">
        <v>5880</v>
      </c>
      <c r="I2893" s="380">
        <v>41648.089999999997</v>
      </c>
    </row>
    <row r="2894" spans="1:9" x14ac:dyDescent="0.2">
      <c r="A2894" s="375">
        <v>2893</v>
      </c>
      <c r="B2894" s="376">
        <v>44385</v>
      </c>
      <c r="C2894" s="376">
        <v>44438</v>
      </c>
      <c r="D2894" s="377" t="s">
        <v>1092</v>
      </c>
      <c r="E2894" s="377" t="s">
        <v>392</v>
      </c>
      <c r="F2894" s="377" t="s">
        <v>396</v>
      </c>
      <c r="G2894" s="377" t="s">
        <v>5869</v>
      </c>
      <c r="H2894" s="377" t="s">
        <v>5881</v>
      </c>
      <c r="I2894" s="380">
        <v>44000</v>
      </c>
    </row>
    <row r="2895" spans="1:9" x14ac:dyDescent="0.2">
      <c r="A2895" s="375">
        <v>2894</v>
      </c>
      <c r="B2895" s="376">
        <v>44386</v>
      </c>
      <c r="C2895" s="376">
        <v>44440</v>
      </c>
      <c r="D2895" s="377" t="s">
        <v>1092</v>
      </c>
      <c r="E2895" s="377" t="s">
        <v>392</v>
      </c>
      <c r="F2895" s="377" t="s">
        <v>1272</v>
      </c>
      <c r="G2895" s="377" t="s">
        <v>5870</v>
      </c>
      <c r="H2895" s="377" t="s">
        <v>5882</v>
      </c>
      <c r="I2895" s="380">
        <v>90048.53</v>
      </c>
    </row>
    <row r="2896" spans="1:9" x14ac:dyDescent="0.2">
      <c r="A2896" s="375">
        <v>2895</v>
      </c>
      <c r="B2896" s="376">
        <v>44386</v>
      </c>
      <c r="C2896" s="376">
        <v>44440</v>
      </c>
      <c r="D2896" s="377" t="s">
        <v>1092</v>
      </c>
      <c r="E2896" s="377" t="s">
        <v>392</v>
      </c>
      <c r="F2896" s="377" t="s">
        <v>71</v>
      </c>
      <c r="G2896" s="377" t="s">
        <v>5871</v>
      </c>
      <c r="H2896" s="377" t="s">
        <v>5883</v>
      </c>
      <c r="I2896" s="380">
        <v>31271.4</v>
      </c>
    </row>
    <row r="2897" spans="1:9" x14ac:dyDescent="0.2">
      <c r="A2897" s="375">
        <v>2896</v>
      </c>
      <c r="B2897" s="376">
        <v>44386</v>
      </c>
      <c r="C2897" s="376">
        <v>44439</v>
      </c>
      <c r="D2897" s="377" t="s">
        <v>1092</v>
      </c>
      <c r="E2897" s="377" t="s">
        <v>392</v>
      </c>
      <c r="F2897" s="377" t="s">
        <v>9</v>
      </c>
      <c r="G2897" s="377" t="s">
        <v>5872</v>
      </c>
      <c r="H2897" s="377" t="s">
        <v>5884</v>
      </c>
      <c r="I2897" s="380">
        <v>433419.69</v>
      </c>
    </row>
    <row r="2898" spans="1:9" x14ac:dyDescent="0.2">
      <c r="A2898" s="375">
        <v>2897</v>
      </c>
      <c r="B2898" s="376">
        <v>44386</v>
      </c>
      <c r="C2898" s="376">
        <v>44440</v>
      </c>
      <c r="D2898" s="377" t="s">
        <v>1092</v>
      </c>
      <c r="E2898" s="377" t="s">
        <v>392</v>
      </c>
      <c r="F2898" s="377" t="s">
        <v>1272</v>
      </c>
      <c r="G2898" s="377" t="s">
        <v>5873</v>
      </c>
      <c r="H2898" s="377" t="s">
        <v>5885</v>
      </c>
      <c r="I2898" s="380">
        <v>26118</v>
      </c>
    </row>
    <row r="2899" spans="1:9" x14ac:dyDescent="0.2">
      <c r="A2899" s="375">
        <v>2898</v>
      </c>
      <c r="B2899" s="376">
        <v>44389</v>
      </c>
      <c r="C2899" s="376">
        <v>44440</v>
      </c>
      <c r="D2899" s="377" t="s">
        <v>1092</v>
      </c>
      <c r="E2899" s="377" t="s">
        <v>392</v>
      </c>
      <c r="F2899" s="377" t="s">
        <v>9</v>
      </c>
      <c r="G2899" s="377" t="s">
        <v>5874</v>
      </c>
      <c r="H2899" s="377" t="s">
        <v>5886</v>
      </c>
      <c r="I2899" s="380">
        <v>390453.4</v>
      </c>
    </row>
    <row r="2900" spans="1:9" x14ac:dyDescent="0.2">
      <c r="A2900" s="375">
        <v>2899</v>
      </c>
      <c r="B2900" s="376">
        <v>44390</v>
      </c>
      <c r="C2900" s="376">
        <v>44438</v>
      </c>
      <c r="D2900" s="377" t="s">
        <v>1092</v>
      </c>
      <c r="E2900" s="377" t="s">
        <v>422</v>
      </c>
      <c r="F2900" s="377" t="s">
        <v>701</v>
      </c>
      <c r="G2900" s="377" t="s">
        <v>5875</v>
      </c>
      <c r="H2900" s="377" t="s">
        <v>5887</v>
      </c>
      <c r="I2900" s="380">
        <v>55260</v>
      </c>
    </row>
    <row r="2901" spans="1:9" x14ac:dyDescent="0.2">
      <c r="A2901" s="375">
        <v>2900</v>
      </c>
      <c r="B2901" s="376">
        <v>44390</v>
      </c>
      <c r="C2901" s="376">
        <v>44438</v>
      </c>
      <c r="D2901" s="377" t="s">
        <v>1092</v>
      </c>
      <c r="E2901" s="377" t="s">
        <v>422</v>
      </c>
      <c r="F2901" s="377" t="s">
        <v>701</v>
      </c>
      <c r="G2901" s="377" t="s">
        <v>5876</v>
      </c>
      <c r="H2901" s="377" t="s">
        <v>5887</v>
      </c>
      <c r="I2901" s="380">
        <v>56088</v>
      </c>
    </row>
    <row r="2902" spans="1:9" x14ac:dyDescent="0.2">
      <c r="A2902" s="375">
        <v>2901</v>
      </c>
      <c r="B2902" s="376">
        <v>44398</v>
      </c>
      <c r="C2902" s="376">
        <v>44452</v>
      </c>
      <c r="D2902" s="377" t="s">
        <v>1092</v>
      </c>
      <c r="E2902" s="377" t="s">
        <v>422</v>
      </c>
      <c r="F2902" s="377" t="s">
        <v>396</v>
      </c>
      <c r="G2902" s="377" t="s">
        <v>5888</v>
      </c>
      <c r="H2902" s="377" t="s">
        <v>5893</v>
      </c>
      <c r="I2902" s="380">
        <v>29037.86</v>
      </c>
    </row>
    <row r="2903" spans="1:9" x14ac:dyDescent="0.2">
      <c r="A2903" s="375">
        <v>2902</v>
      </c>
      <c r="B2903" s="376">
        <v>44398</v>
      </c>
      <c r="C2903" s="376">
        <v>44452</v>
      </c>
      <c r="D2903" s="377" t="s">
        <v>1092</v>
      </c>
      <c r="E2903" s="377" t="s">
        <v>422</v>
      </c>
      <c r="F2903" s="377" t="s">
        <v>396</v>
      </c>
      <c r="G2903" s="377" t="s">
        <v>5889</v>
      </c>
      <c r="H2903" s="377" t="s">
        <v>5894</v>
      </c>
      <c r="I2903" s="380">
        <v>91500</v>
      </c>
    </row>
    <row r="2904" spans="1:9" x14ac:dyDescent="0.2">
      <c r="A2904" s="375">
        <v>2903</v>
      </c>
      <c r="B2904" s="376">
        <v>44398</v>
      </c>
      <c r="C2904" s="376">
        <v>44452</v>
      </c>
      <c r="D2904" s="377" t="s">
        <v>1092</v>
      </c>
      <c r="E2904" s="377" t="s">
        <v>422</v>
      </c>
      <c r="F2904" s="377" t="s">
        <v>71</v>
      </c>
      <c r="G2904" s="377" t="s">
        <v>5890</v>
      </c>
      <c r="H2904" s="377" t="s">
        <v>5895</v>
      </c>
      <c r="I2904" s="380">
        <v>10085.52</v>
      </c>
    </row>
    <row r="2905" spans="1:9" x14ac:dyDescent="0.2">
      <c r="A2905" s="375">
        <v>2904</v>
      </c>
      <c r="B2905" s="376">
        <v>44398</v>
      </c>
      <c r="C2905" s="376">
        <v>44445</v>
      </c>
      <c r="D2905" s="377" t="s">
        <v>1092</v>
      </c>
      <c r="E2905" s="377" t="s">
        <v>422</v>
      </c>
      <c r="F2905" s="377" t="s">
        <v>396</v>
      </c>
      <c r="G2905" s="377" t="s">
        <v>5891</v>
      </c>
      <c r="H2905" s="377" t="s">
        <v>5896</v>
      </c>
      <c r="I2905" s="380">
        <v>11333.4</v>
      </c>
    </row>
    <row r="2906" spans="1:9" x14ac:dyDescent="0.2">
      <c r="A2906" s="375">
        <v>2905</v>
      </c>
      <c r="B2906" s="376">
        <v>44398</v>
      </c>
      <c r="C2906" s="376">
        <v>44445</v>
      </c>
      <c r="D2906" s="377" t="s">
        <v>1092</v>
      </c>
      <c r="E2906" s="377" t="s">
        <v>422</v>
      </c>
      <c r="F2906" s="377" t="s">
        <v>396</v>
      </c>
      <c r="G2906" s="377" t="s">
        <v>5892</v>
      </c>
      <c r="H2906" s="377" t="s">
        <v>5897</v>
      </c>
      <c r="I2906" s="380">
        <v>100000</v>
      </c>
    </row>
    <row r="2907" spans="1:9" x14ac:dyDescent="0.2">
      <c r="A2907" s="375">
        <v>2906</v>
      </c>
      <c r="B2907" s="376">
        <v>44399</v>
      </c>
      <c r="C2907" s="376">
        <v>44438</v>
      </c>
      <c r="D2907" s="377" t="s">
        <v>1092</v>
      </c>
      <c r="E2907" s="377" t="s">
        <v>422</v>
      </c>
      <c r="F2907" s="377" t="s">
        <v>701</v>
      </c>
      <c r="G2907" s="377" t="s">
        <v>5898</v>
      </c>
      <c r="H2907" s="377" t="s">
        <v>5899</v>
      </c>
      <c r="I2907" s="380">
        <v>45000</v>
      </c>
    </row>
    <row r="2908" spans="1:9" x14ac:dyDescent="0.2">
      <c r="A2908" s="375">
        <v>2907</v>
      </c>
      <c r="B2908" s="376">
        <v>44400</v>
      </c>
      <c r="C2908" s="376">
        <v>44445</v>
      </c>
      <c r="D2908" s="377" t="s">
        <v>1092</v>
      </c>
      <c r="E2908" s="377" t="s">
        <v>422</v>
      </c>
      <c r="F2908" s="377" t="s">
        <v>701</v>
      </c>
      <c r="G2908" s="377" t="s">
        <v>5900</v>
      </c>
      <c r="H2908" s="377" t="s">
        <v>5907</v>
      </c>
      <c r="I2908" s="380">
        <v>380000</v>
      </c>
    </row>
    <row r="2909" spans="1:9" x14ac:dyDescent="0.2">
      <c r="A2909" s="375">
        <v>2908</v>
      </c>
      <c r="B2909" s="376">
        <v>44400</v>
      </c>
      <c r="C2909" s="376">
        <v>44445</v>
      </c>
      <c r="D2909" s="377" t="s">
        <v>1092</v>
      </c>
      <c r="E2909" s="377" t="s">
        <v>422</v>
      </c>
      <c r="F2909" s="377" t="s">
        <v>396</v>
      </c>
      <c r="G2909" s="377" t="s">
        <v>5901</v>
      </c>
      <c r="H2909" s="377" t="s">
        <v>5908</v>
      </c>
      <c r="I2909" s="380">
        <v>26278.48</v>
      </c>
    </row>
    <row r="2910" spans="1:9" x14ac:dyDescent="0.2">
      <c r="A2910" s="375">
        <v>2909</v>
      </c>
      <c r="B2910" s="376">
        <v>44400</v>
      </c>
      <c r="C2910" s="376">
        <v>44447</v>
      </c>
      <c r="D2910" s="377" t="s">
        <v>1092</v>
      </c>
      <c r="E2910" s="377" t="s">
        <v>392</v>
      </c>
      <c r="F2910" s="377" t="s">
        <v>71</v>
      </c>
      <c r="G2910" s="377" t="s">
        <v>5902</v>
      </c>
      <c r="H2910" s="377" t="s">
        <v>5909</v>
      </c>
      <c r="I2910" s="380">
        <v>60308.03</v>
      </c>
    </row>
    <row r="2911" spans="1:9" x14ac:dyDescent="0.2">
      <c r="A2911" s="375">
        <v>2910</v>
      </c>
      <c r="B2911" s="376">
        <v>44400</v>
      </c>
      <c r="C2911" s="376">
        <v>44447</v>
      </c>
      <c r="D2911" s="377" t="s">
        <v>1092</v>
      </c>
      <c r="E2911" s="377" t="s">
        <v>392</v>
      </c>
      <c r="F2911" s="377" t="s">
        <v>396</v>
      </c>
      <c r="G2911" s="377" t="s">
        <v>5903</v>
      </c>
      <c r="H2911" s="377" t="s">
        <v>5910</v>
      </c>
      <c r="I2911" s="380">
        <v>357125.09</v>
      </c>
    </row>
    <row r="2912" spans="1:9" x14ac:dyDescent="0.2">
      <c r="A2912" s="375">
        <v>2911</v>
      </c>
      <c r="B2912" s="376">
        <v>44400</v>
      </c>
      <c r="C2912" s="376">
        <v>44447</v>
      </c>
      <c r="D2912" s="377" t="s">
        <v>1092</v>
      </c>
      <c r="E2912" s="377" t="s">
        <v>392</v>
      </c>
      <c r="F2912" s="377" t="s">
        <v>393</v>
      </c>
      <c r="G2912" s="377" t="s">
        <v>5904</v>
      </c>
      <c r="H2912" s="377" t="s">
        <v>5911</v>
      </c>
      <c r="I2912" s="380">
        <v>45156.14</v>
      </c>
    </row>
    <row r="2913" spans="1:9" x14ac:dyDescent="0.2">
      <c r="A2913" s="375">
        <v>2912</v>
      </c>
      <c r="B2913" s="376">
        <v>44400</v>
      </c>
      <c r="C2913" s="376">
        <v>44445</v>
      </c>
      <c r="D2913" s="377" t="s">
        <v>1092</v>
      </c>
      <c r="E2913" s="377" t="s">
        <v>422</v>
      </c>
      <c r="F2913" s="377" t="s">
        <v>396</v>
      </c>
      <c r="G2913" s="377" t="s">
        <v>5905</v>
      </c>
      <c r="H2913" s="377" t="s">
        <v>5912</v>
      </c>
      <c r="I2913" s="380">
        <v>7368</v>
      </c>
    </row>
    <row r="2914" spans="1:9" x14ac:dyDescent="0.2">
      <c r="A2914" s="375">
        <v>2913</v>
      </c>
      <c r="B2914" s="376">
        <v>44400</v>
      </c>
      <c r="C2914" s="376">
        <v>44445</v>
      </c>
      <c r="D2914" s="377" t="s">
        <v>1092</v>
      </c>
      <c r="E2914" s="377" t="s">
        <v>422</v>
      </c>
      <c r="F2914" s="377" t="s">
        <v>71</v>
      </c>
      <c r="G2914" s="377" t="s">
        <v>5906</v>
      </c>
      <c r="H2914" s="377" t="s">
        <v>5913</v>
      </c>
      <c r="I2914" s="380">
        <v>7092.17</v>
      </c>
    </row>
    <row r="2915" spans="1:9" x14ac:dyDescent="0.2">
      <c r="A2915" s="375">
        <v>2914</v>
      </c>
      <c r="B2915" s="376">
        <v>44406</v>
      </c>
      <c r="C2915" s="376">
        <v>44445</v>
      </c>
      <c r="D2915" s="377" t="s">
        <v>1092</v>
      </c>
      <c r="E2915" s="377" t="s">
        <v>422</v>
      </c>
      <c r="F2915" s="377" t="s">
        <v>71</v>
      </c>
      <c r="G2915" s="377" t="s">
        <v>5914</v>
      </c>
      <c r="H2915" s="377" t="s">
        <v>5915</v>
      </c>
      <c r="I2915" s="380">
        <v>24676.74</v>
      </c>
    </row>
    <row r="2916" spans="1:9" x14ac:dyDescent="0.2">
      <c r="A2916" s="375">
        <v>2915</v>
      </c>
      <c r="B2916" s="376">
        <v>44406</v>
      </c>
      <c r="C2916" s="376">
        <v>44445</v>
      </c>
      <c r="D2916" s="377" t="s">
        <v>1092</v>
      </c>
      <c r="E2916" s="377" t="s">
        <v>422</v>
      </c>
      <c r="F2916" s="377" t="s">
        <v>1640</v>
      </c>
      <c r="G2916" s="377" t="s">
        <v>5916</v>
      </c>
      <c r="H2916" s="377" t="s">
        <v>5917</v>
      </c>
      <c r="I2916" s="380">
        <v>62649.08</v>
      </c>
    </row>
    <row r="2917" spans="1:9" x14ac:dyDescent="0.2">
      <c r="A2917" s="375">
        <v>2916</v>
      </c>
      <c r="B2917" s="376">
        <v>44406</v>
      </c>
      <c r="C2917" s="376">
        <v>44445</v>
      </c>
      <c r="D2917" s="377" t="s">
        <v>1092</v>
      </c>
      <c r="E2917" s="377" t="s">
        <v>422</v>
      </c>
      <c r="F2917" s="377" t="s">
        <v>1640</v>
      </c>
      <c r="G2917" s="377" t="s">
        <v>5918</v>
      </c>
      <c r="H2917" s="377" t="s">
        <v>5919</v>
      </c>
      <c r="I2917" s="380">
        <v>15982.74</v>
      </c>
    </row>
    <row r="2918" spans="1:9" x14ac:dyDescent="0.2">
      <c r="A2918" s="375">
        <v>2917</v>
      </c>
      <c r="B2918" s="376">
        <v>44407</v>
      </c>
      <c r="C2918" s="376">
        <v>44447</v>
      </c>
      <c r="D2918" s="377" t="s">
        <v>1092</v>
      </c>
      <c r="E2918" s="377" t="s">
        <v>422</v>
      </c>
      <c r="F2918" s="377" t="s">
        <v>701</v>
      </c>
      <c r="G2918" s="377" t="s">
        <v>5920</v>
      </c>
      <c r="H2918" s="377" t="s">
        <v>5921</v>
      </c>
      <c r="I2918" s="380">
        <v>107050</v>
      </c>
    </row>
    <row r="2919" spans="1:9" x14ac:dyDescent="0.2">
      <c r="A2919" s="375">
        <v>2918</v>
      </c>
      <c r="B2919" s="376">
        <v>44411</v>
      </c>
      <c r="C2919" s="376">
        <v>44447</v>
      </c>
      <c r="D2919" s="377" t="s">
        <v>1092</v>
      </c>
      <c r="E2919" s="377" t="s">
        <v>422</v>
      </c>
      <c r="F2919" s="377" t="s">
        <v>396</v>
      </c>
      <c r="G2919" s="377" t="s">
        <v>5922</v>
      </c>
      <c r="H2919" s="377" t="s">
        <v>5923</v>
      </c>
      <c r="I2919" s="380">
        <v>243391.84</v>
      </c>
    </row>
    <row r="2920" spans="1:9" x14ac:dyDescent="0.2">
      <c r="A2920" s="375">
        <v>2919</v>
      </c>
      <c r="B2920" s="376">
        <v>44412</v>
      </c>
      <c r="C2920" s="376">
        <v>44452</v>
      </c>
      <c r="D2920" s="377" t="s">
        <v>1092</v>
      </c>
      <c r="E2920" s="377" t="s">
        <v>422</v>
      </c>
      <c r="F2920" s="377" t="s">
        <v>1276</v>
      </c>
      <c r="G2920" s="377" t="s">
        <v>5924</v>
      </c>
      <c r="H2920" s="377" t="s">
        <v>5925</v>
      </c>
      <c r="I2920" s="380">
        <v>39992.400000000001</v>
      </c>
    </row>
    <row r="2921" spans="1:9" x14ac:dyDescent="0.2">
      <c r="A2921" s="375">
        <v>2920</v>
      </c>
      <c r="B2921" s="376">
        <v>44412</v>
      </c>
      <c r="C2921" s="376">
        <v>44452</v>
      </c>
      <c r="D2921" s="377" t="s">
        <v>1092</v>
      </c>
      <c r="E2921" s="377" t="s">
        <v>422</v>
      </c>
      <c r="F2921" s="377" t="s">
        <v>71</v>
      </c>
      <c r="G2921" s="377" t="s">
        <v>5926</v>
      </c>
      <c r="H2921" s="377" t="s">
        <v>5927</v>
      </c>
      <c r="I2921" s="380">
        <v>20089.349999999999</v>
      </c>
    </row>
    <row r="2922" spans="1:9" x14ac:dyDescent="0.2">
      <c r="A2922" s="375">
        <v>2921</v>
      </c>
      <c r="B2922" s="376">
        <v>44414</v>
      </c>
      <c r="C2922" s="376">
        <v>44454</v>
      </c>
      <c r="D2922" s="377" t="s">
        <v>1092</v>
      </c>
      <c r="E2922" s="377" t="s">
        <v>422</v>
      </c>
      <c r="F2922" s="377" t="s">
        <v>71</v>
      </c>
      <c r="G2922" s="377" t="s">
        <v>5929</v>
      </c>
      <c r="H2922" s="377" t="s">
        <v>5930</v>
      </c>
      <c r="I2922" s="380">
        <v>2154.96</v>
      </c>
    </row>
    <row r="2923" spans="1:9" x14ac:dyDescent="0.2">
      <c r="A2923" s="375">
        <v>2922</v>
      </c>
      <c r="B2923" s="376">
        <v>44414</v>
      </c>
      <c r="C2923" s="376">
        <v>44452</v>
      </c>
      <c r="D2923" s="377" t="s">
        <v>1092</v>
      </c>
      <c r="E2923" s="377" t="s">
        <v>422</v>
      </c>
      <c r="F2923" s="377" t="s">
        <v>1285</v>
      </c>
      <c r="G2923" s="377" t="s">
        <v>5931</v>
      </c>
      <c r="H2923" s="377" t="s">
        <v>5932</v>
      </c>
      <c r="I2923" s="380">
        <v>140200</v>
      </c>
    </row>
    <row r="2924" spans="1:9" x14ac:dyDescent="0.2">
      <c r="A2924" s="375">
        <v>2923</v>
      </c>
      <c r="B2924" s="376">
        <v>44414</v>
      </c>
      <c r="C2924" s="376">
        <v>44454</v>
      </c>
      <c r="D2924" s="377" t="s">
        <v>1092</v>
      </c>
      <c r="E2924" s="377" t="s">
        <v>422</v>
      </c>
      <c r="F2924" s="377" t="s">
        <v>396</v>
      </c>
      <c r="G2924" s="377" t="s">
        <v>5933</v>
      </c>
      <c r="H2924" s="377" t="s">
        <v>5934</v>
      </c>
      <c r="I2924" s="380">
        <v>12837.87</v>
      </c>
    </row>
    <row r="2925" spans="1:9" x14ac:dyDescent="0.2">
      <c r="A2925" s="375">
        <v>2924</v>
      </c>
      <c r="B2925" s="376">
        <v>44417</v>
      </c>
      <c r="C2925" s="376">
        <v>44454</v>
      </c>
      <c r="D2925" s="377" t="s">
        <v>1092</v>
      </c>
      <c r="E2925" s="377" t="s">
        <v>422</v>
      </c>
      <c r="F2925" s="377" t="s">
        <v>396</v>
      </c>
      <c r="G2925" s="377" t="s">
        <v>5935</v>
      </c>
      <c r="H2925" s="377" t="s">
        <v>5936</v>
      </c>
      <c r="I2925" s="380">
        <v>8124.83</v>
      </c>
    </row>
    <row r="2926" spans="1:9" x14ac:dyDescent="0.2">
      <c r="A2926" s="375">
        <v>2925</v>
      </c>
      <c r="B2926" s="376">
        <v>44417</v>
      </c>
      <c r="C2926" s="376">
        <v>44454</v>
      </c>
      <c r="D2926" s="377" t="s">
        <v>1092</v>
      </c>
      <c r="E2926" s="377" t="s">
        <v>422</v>
      </c>
      <c r="F2926" s="377" t="s">
        <v>71</v>
      </c>
      <c r="G2926" s="377" t="s">
        <v>5937</v>
      </c>
      <c r="H2926" s="377" t="s">
        <v>5938</v>
      </c>
      <c r="I2926" s="380">
        <v>11434</v>
      </c>
    </row>
    <row r="2927" spans="1:9" x14ac:dyDescent="0.2">
      <c r="A2927" s="375">
        <v>2926</v>
      </c>
      <c r="B2927" s="376">
        <v>44417</v>
      </c>
      <c r="C2927" s="376">
        <v>44454</v>
      </c>
      <c r="D2927" s="377" t="s">
        <v>1092</v>
      </c>
      <c r="E2927" s="377" t="s">
        <v>422</v>
      </c>
      <c r="F2927" s="377" t="s">
        <v>396</v>
      </c>
      <c r="G2927" s="377" t="s">
        <v>5939</v>
      </c>
      <c r="H2927" s="377" t="s">
        <v>5940</v>
      </c>
      <c r="I2927" s="380">
        <v>31416</v>
      </c>
    </row>
    <row r="2928" spans="1:9" x14ac:dyDescent="0.2">
      <c r="A2928" s="375">
        <v>2927</v>
      </c>
      <c r="B2928" s="376">
        <v>44418</v>
      </c>
      <c r="C2928" s="376">
        <v>44438</v>
      </c>
      <c r="D2928" s="377" t="s">
        <v>1092</v>
      </c>
      <c r="E2928" s="377" t="s">
        <v>422</v>
      </c>
      <c r="F2928" s="377" t="s">
        <v>396</v>
      </c>
      <c r="G2928" s="377" t="s">
        <v>5733</v>
      </c>
      <c r="H2928" s="377" t="s">
        <v>5744</v>
      </c>
      <c r="I2928" s="380">
        <v>39762.67</v>
      </c>
    </row>
    <row r="2929" spans="1:10" x14ac:dyDescent="0.2">
      <c r="A2929" s="375">
        <v>2928</v>
      </c>
      <c r="B2929" s="376">
        <v>44419</v>
      </c>
      <c r="C2929" s="376">
        <v>44459</v>
      </c>
      <c r="D2929" s="377" t="s">
        <v>1092</v>
      </c>
      <c r="E2929" s="377" t="s">
        <v>422</v>
      </c>
      <c r="F2929" s="377" t="s">
        <v>71</v>
      </c>
      <c r="G2929" s="377" t="s">
        <v>5941</v>
      </c>
      <c r="H2929" s="377" t="s">
        <v>5942</v>
      </c>
      <c r="I2929" s="380">
        <v>8001.35</v>
      </c>
    </row>
    <row r="2930" spans="1:10" x14ac:dyDescent="0.2">
      <c r="A2930" s="375">
        <v>2929</v>
      </c>
      <c r="B2930" s="376">
        <v>44419</v>
      </c>
      <c r="C2930" s="376">
        <v>44459</v>
      </c>
      <c r="D2930" s="377" t="s">
        <v>1092</v>
      </c>
      <c r="E2930" s="377" t="s">
        <v>422</v>
      </c>
      <c r="F2930" s="377" t="s">
        <v>396</v>
      </c>
      <c r="G2930" s="377" t="s">
        <v>5943</v>
      </c>
      <c r="H2930" s="377" t="s">
        <v>5944</v>
      </c>
      <c r="I2930" s="380">
        <v>33690.879999999997</v>
      </c>
    </row>
    <row r="2931" spans="1:10" x14ac:dyDescent="0.2">
      <c r="A2931" s="375">
        <v>2930</v>
      </c>
      <c r="B2931" s="376">
        <v>44428</v>
      </c>
      <c r="C2931" s="376">
        <v>44459</v>
      </c>
      <c r="D2931" s="377" t="s">
        <v>1092</v>
      </c>
      <c r="E2931" s="377" t="s">
        <v>392</v>
      </c>
      <c r="F2931" s="377" t="s">
        <v>393</v>
      </c>
      <c r="G2931" s="377" t="s">
        <v>5945</v>
      </c>
      <c r="H2931" s="377" t="s">
        <v>5946</v>
      </c>
      <c r="I2931" s="380">
        <v>201125.59</v>
      </c>
    </row>
    <row r="2932" spans="1:10" x14ac:dyDescent="0.2">
      <c r="A2932" s="375">
        <v>2931</v>
      </c>
      <c r="B2932" s="376">
        <v>44428</v>
      </c>
      <c r="C2932" s="376">
        <v>44468</v>
      </c>
      <c r="D2932" s="377" t="s">
        <v>1092</v>
      </c>
      <c r="E2932" s="377" t="s">
        <v>392</v>
      </c>
      <c r="F2932" s="377" t="s">
        <v>71</v>
      </c>
      <c r="G2932" s="377" t="s">
        <v>5947</v>
      </c>
      <c r="H2932" s="377" t="s">
        <v>5948</v>
      </c>
      <c r="I2932" s="380">
        <v>240292.59</v>
      </c>
    </row>
    <row r="2933" spans="1:10" x14ac:dyDescent="0.2">
      <c r="A2933" s="375">
        <v>2932</v>
      </c>
      <c r="B2933" s="376">
        <v>44428</v>
      </c>
      <c r="C2933" s="376">
        <v>44459</v>
      </c>
      <c r="D2933" s="377" t="s">
        <v>1092</v>
      </c>
      <c r="E2933" s="377" t="s">
        <v>392</v>
      </c>
      <c r="F2933" s="377" t="s">
        <v>393</v>
      </c>
      <c r="G2933" s="377" t="s">
        <v>5949</v>
      </c>
      <c r="H2933" s="377" t="s">
        <v>5950</v>
      </c>
      <c r="I2933" s="380">
        <v>40214.400000000001</v>
      </c>
    </row>
    <row r="2934" spans="1:10" x14ac:dyDescent="0.2">
      <c r="A2934" s="375">
        <v>2933</v>
      </c>
      <c r="B2934" s="376">
        <v>44434</v>
      </c>
      <c r="C2934" s="376">
        <v>44452</v>
      </c>
      <c r="D2934" s="377" t="s">
        <v>1092</v>
      </c>
      <c r="E2934" s="377" t="s">
        <v>422</v>
      </c>
      <c r="F2934" s="377" t="s">
        <v>701</v>
      </c>
      <c r="G2934" s="377" t="s">
        <v>5951</v>
      </c>
      <c r="H2934" s="377" t="s">
        <v>5952</v>
      </c>
      <c r="I2934" s="380">
        <v>58400</v>
      </c>
    </row>
    <row r="2935" spans="1:10" x14ac:dyDescent="0.2">
      <c r="A2935" s="375">
        <v>2934</v>
      </c>
      <c r="B2935" s="376">
        <v>44435</v>
      </c>
      <c r="C2935" s="376">
        <v>44452</v>
      </c>
      <c r="D2935" s="377" t="s">
        <v>1092</v>
      </c>
      <c r="E2935" s="377" t="s">
        <v>422</v>
      </c>
      <c r="F2935" s="377" t="s">
        <v>701</v>
      </c>
      <c r="G2935" s="377" t="s">
        <v>5953</v>
      </c>
      <c r="H2935" s="377" t="s">
        <v>5955</v>
      </c>
      <c r="I2935" s="380">
        <v>31500</v>
      </c>
    </row>
    <row r="2936" spans="1:10" x14ac:dyDescent="0.2">
      <c r="A2936" s="375">
        <v>2935</v>
      </c>
      <c r="B2936" s="376">
        <v>44435</v>
      </c>
      <c r="C2936" s="376">
        <v>44454</v>
      </c>
      <c r="D2936" s="377" t="s">
        <v>1092</v>
      </c>
      <c r="E2936" s="377" t="s">
        <v>422</v>
      </c>
      <c r="F2936" s="377" t="s">
        <v>701</v>
      </c>
      <c r="G2936" s="377" t="s">
        <v>5954</v>
      </c>
      <c r="H2936" s="377" t="s">
        <v>5956</v>
      </c>
      <c r="I2936" s="380">
        <v>25500</v>
      </c>
    </row>
    <row r="2937" spans="1:10" x14ac:dyDescent="0.2">
      <c r="A2937" s="389">
        <v>2936</v>
      </c>
      <c r="B2937" s="386">
        <v>44441</v>
      </c>
      <c r="C2937" s="386">
        <v>44459</v>
      </c>
      <c r="D2937" s="387" t="s">
        <v>1092</v>
      </c>
      <c r="E2937" s="387" t="s">
        <v>422</v>
      </c>
      <c r="F2937" s="387" t="s">
        <v>701</v>
      </c>
      <c r="G2937" s="387" t="s">
        <v>5957</v>
      </c>
      <c r="H2937" s="387" t="s">
        <v>5958</v>
      </c>
      <c r="I2937" s="388">
        <v>52375</v>
      </c>
      <c r="J2937" s="178" t="s">
        <v>6188</v>
      </c>
    </row>
    <row r="2938" spans="1:10" x14ac:dyDescent="0.2">
      <c r="A2938" s="375">
        <v>2937</v>
      </c>
      <c r="B2938" s="376">
        <v>44441</v>
      </c>
      <c r="C2938" s="376">
        <v>44459</v>
      </c>
      <c r="D2938" s="377" t="s">
        <v>1092</v>
      </c>
      <c r="E2938" s="377" t="s">
        <v>422</v>
      </c>
      <c r="F2938" s="377" t="s">
        <v>701</v>
      </c>
      <c r="G2938" s="377" t="s">
        <v>5959</v>
      </c>
      <c r="H2938" s="377" t="s">
        <v>5960</v>
      </c>
      <c r="I2938" s="380">
        <v>40100</v>
      </c>
    </row>
    <row r="2939" spans="1:10" x14ac:dyDescent="0.2">
      <c r="A2939" s="375">
        <v>2938</v>
      </c>
      <c r="B2939" s="376">
        <v>44445</v>
      </c>
      <c r="C2939" s="376">
        <v>44473</v>
      </c>
      <c r="D2939" s="377" t="s">
        <v>1092</v>
      </c>
      <c r="E2939" s="377" t="s">
        <v>422</v>
      </c>
      <c r="F2939" s="377" t="s">
        <v>701</v>
      </c>
      <c r="G2939" s="377" t="s">
        <v>5961</v>
      </c>
      <c r="H2939" s="377" t="s">
        <v>5964</v>
      </c>
      <c r="I2939" s="380">
        <v>227170</v>
      </c>
    </row>
    <row r="2940" spans="1:10" x14ac:dyDescent="0.2">
      <c r="A2940" s="375">
        <v>2939</v>
      </c>
      <c r="B2940" s="376">
        <v>44445</v>
      </c>
      <c r="C2940" s="376">
        <v>44461</v>
      </c>
      <c r="D2940" s="377" t="s">
        <v>1092</v>
      </c>
      <c r="E2940" s="377" t="s">
        <v>422</v>
      </c>
      <c r="F2940" s="377" t="s">
        <v>701</v>
      </c>
      <c r="G2940" s="377" t="s">
        <v>5962</v>
      </c>
      <c r="H2940" s="377" t="s">
        <v>5965</v>
      </c>
      <c r="I2940" s="380">
        <v>40000</v>
      </c>
    </row>
    <row r="2941" spans="1:10" x14ac:dyDescent="0.2">
      <c r="A2941" s="375">
        <v>2940</v>
      </c>
      <c r="B2941" s="376">
        <v>44447</v>
      </c>
      <c r="C2941" s="376">
        <v>44466</v>
      </c>
      <c r="D2941" s="377" t="s">
        <v>1092</v>
      </c>
      <c r="E2941" s="377" t="s">
        <v>422</v>
      </c>
      <c r="F2941" s="377" t="s">
        <v>701</v>
      </c>
      <c r="G2941" s="377" t="s">
        <v>5963</v>
      </c>
      <c r="H2941" s="377" t="s">
        <v>5966</v>
      </c>
      <c r="I2941" s="380">
        <v>18000</v>
      </c>
    </row>
    <row r="2942" spans="1:10" x14ac:dyDescent="0.2">
      <c r="A2942" s="375">
        <v>2941</v>
      </c>
      <c r="B2942" s="376">
        <v>44449</v>
      </c>
      <c r="C2942" s="376">
        <v>44480</v>
      </c>
      <c r="D2942" s="377" t="s">
        <v>1092</v>
      </c>
      <c r="E2942" s="377" t="s">
        <v>392</v>
      </c>
      <c r="F2942" s="377" t="s">
        <v>9</v>
      </c>
      <c r="G2942" s="377" t="s">
        <v>5969</v>
      </c>
      <c r="H2942" s="377" t="s">
        <v>5970</v>
      </c>
      <c r="I2942" s="380">
        <v>784684.73</v>
      </c>
    </row>
    <row r="2943" spans="1:10" x14ac:dyDescent="0.2">
      <c r="A2943" s="375">
        <v>2942</v>
      </c>
      <c r="B2943" s="376">
        <v>44459</v>
      </c>
      <c r="C2943" s="376">
        <v>44480</v>
      </c>
      <c r="D2943" s="377" t="s">
        <v>1092</v>
      </c>
      <c r="E2943" s="377" t="s">
        <v>422</v>
      </c>
      <c r="F2943" s="377" t="s">
        <v>1285</v>
      </c>
      <c r="G2943" s="377" t="s">
        <v>5971</v>
      </c>
      <c r="H2943" s="377" t="s">
        <v>5972</v>
      </c>
      <c r="I2943" s="380">
        <v>42000</v>
      </c>
    </row>
    <row r="2944" spans="1:10" x14ac:dyDescent="0.2">
      <c r="A2944" s="375">
        <v>2943</v>
      </c>
      <c r="B2944" s="376">
        <v>44459</v>
      </c>
      <c r="C2944" s="376">
        <v>44480</v>
      </c>
      <c r="D2944" s="377" t="s">
        <v>1092</v>
      </c>
      <c r="E2944" s="377" t="s">
        <v>392</v>
      </c>
      <c r="F2944" s="377" t="s">
        <v>393</v>
      </c>
      <c r="G2944" s="377" t="s">
        <v>5973</v>
      </c>
      <c r="H2944" s="377" t="s">
        <v>5974</v>
      </c>
      <c r="I2944" s="380">
        <v>7350</v>
      </c>
    </row>
    <row r="2945" spans="1:9" x14ac:dyDescent="0.2">
      <c r="A2945" s="375">
        <v>2944</v>
      </c>
      <c r="B2945" s="376">
        <v>44459</v>
      </c>
      <c r="C2945" s="376">
        <v>44475</v>
      </c>
      <c r="D2945" s="377" t="s">
        <v>1092</v>
      </c>
      <c r="E2945" s="377" t="s">
        <v>422</v>
      </c>
      <c r="F2945" s="377" t="s">
        <v>396</v>
      </c>
      <c r="G2945" s="377" t="s">
        <v>5975</v>
      </c>
      <c r="H2945" s="377" t="s">
        <v>5976</v>
      </c>
      <c r="I2945" s="380">
        <v>44374.44</v>
      </c>
    </row>
    <row r="2946" spans="1:9" x14ac:dyDescent="0.2">
      <c r="A2946" s="375">
        <v>2945</v>
      </c>
      <c r="B2946" s="376">
        <v>44459</v>
      </c>
      <c r="C2946" s="376">
        <v>44475</v>
      </c>
      <c r="D2946" s="377" t="s">
        <v>1092</v>
      </c>
      <c r="E2946" s="377" t="s">
        <v>422</v>
      </c>
      <c r="F2946" s="377" t="s">
        <v>396</v>
      </c>
      <c r="G2946" s="377" t="s">
        <v>5977</v>
      </c>
      <c r="H2946" s="377" t="s">
        <v>5978</v>
      </c>
      <c r="I2946" s="380">
        <v>46874.400000000001</v>
      </c>
    </row>
    <row r="2947" spans="1:9" x14ac:dyDescent="0.2">
      <c r="A2947" s="375">
        <v>2946</v>
      </c>
      <c r="B2947" s="376">
        <v>44459</v>
      </c>
      <c r="C2947" s="376">
        <v>44487</v>
      </c>
      <c r="D2947" s="377" t="s">
        <v>1092</v>
      </c>
      <c r="E2947" s="377" t="s">
        <v>422</v>
      </c>
      <c r="F2947" s="377" t="s">
        <v>396</v>
      </c>
      <c r="G2947" s="377" t="s">
        <v>5979</v>
      </c>
      <c r="H2947" s="377" t="s">
        <v>5980</v>
      </c>
      <c r="I2947" s="380">
        <v>286378.32</v>
      </c>
    </row>
    <row r="2948" spans="1:9" x14ac:dyDescent="0.2">
      <c r="A2948" s="375">
        <v>2947</v>
      </c>
      <c r="B2948" s="376">
        <v>44459</v>
      </c>
      <c r="C2948" s="376">
        <v>44475</v>
      </c>
      <c r="D2948" s="377" t="s">
        <v>1092</v>
      </c>
      <c r="E2948" s="377" t="s">
        <v>422</v>
      </c>
      <c r="F2948" s="377" t="s">
        <v>71</v>
      </c>
      <c r="G2948" s="377" t="s">
        <v>5981</v>
      </c>
      <c r="H2948" s="377" t="s">
        <v>5982</v>
      </c>
      <c r="I2948" s="380">
        <v>79160.27</v>
      </c>
    </row>
    <row r="2949" spans="1:9" x14ac:dyDescent="0.2">
      <c r="A2949" s="375">
        <v>2948</v>
      </c>
      <c r="B2949" s="376">
        <v>44459</v>
      </c>
      <c r="C2949" s="376">
        <v>44480</v>
      </c>
      <c r="D2949" s="377" t="s">
        <v>1092</v>
      </c>
      <c r="E2949" s="377" t="s">
        <v>392</v>
      </c>
      <c r="F2949" s="377" t="s">
        <v>393</v>
      </c>
      <c r="G2949" s="377" t="s">
        <v>5983</v>
      </c>
      <c r="H2949" s="377" t="s">
        <v>5984</v>
      </c>
      <c r="I2949" s="380">
        <v>24500</v>
      </c>
    </row>
    <row r="2950" spans="1:9" x14ac:dyDescent="0.2">
      <c r="A2950" s="375">
        <v>2949</v>
      </c>
      <c r="B2950" s="376">
        <v>44462</v>
      </c>
      <c r="C2950" s="376">
        <v>44482</v>
      </c>
      <c r="D2950" s="377" t="s">
        <v>1092</v>
      </c>
      <c r="E2950" s="377" t="s">
        <v>422</v>
      </c>
      <c r="F2950" s="377" t="s">
        <v>701</v>
      </c>
      <c r="G2950" s="377" t="s">
        <v>5985</v>
      </c>
      <c r="H2950" s="377" t="s">
        <v>5994</v>
      </c>
      <c r="I2950" s="380">
        <v>49700</v>
      </c>
    </row>
    <row r="2951" spans="1:9" x14ac:dyDescent="0.2">
      <c r="A2951" s="375">
        <v>2950</v>
      </c>
      <c r="B2951" s="376">
        <v>44462</v>
      </c>
      <c r="C2951" s="376">
        <v>44482</v>
      </c>
      <c r="D2951" s="377" t="s">
        <v>1092</v>
      </c>
      <c r="E2951" s="377" t="s">
        <v>422</v>
      </c>
      <c r="F2951" s="377" t="s">
        <v>701</v>
      </c>
      <c r="G2951" s="377" t="s">
        <v>5986</v>
      </c>
      <c r="H2951" s="377" t="s">
        <v>5995</v>
      </c>
      <c r="I2951" s="380">
        <v>45000</v>
      </c>
    </row>
    <row r="2952" spans="1:9" x14ac:dyDescent="0.2">
      <c r="A2952" s="375">
        <v>2951</v>
      </c>
      <c r="B2952" s="376">
        <v>44462</v>
      </c>
      <c r="C2952" s="376">
        <v>44482</v>
      </c>
      <c r="D2952" s="377" t="s">
        <v>1092</v>
      </c>
      <c r="E2952" s="377" t="s">
        <v>422</v>
      </c>
      <c r="F2952" s="377" t="s">
        <v>701</v>
      </c>
      <c r="G2952" s="377" t="s">
        <v>5987</v>
      </c>
      <c r="H2952" s="377" t="s">
        <v>5996</v>
      </c>
      <c r="I2952" s="380">
        <v>24000</v>
      </c>
    </row>
    <row r="2953" spans="1:9" x14ac:dyDescent="0.2">
      <c r="A2953" s="375">
        <v>2952</v>
      </c>
      <c r="B2953" s="376">
        <v>44462</v>
      </c>
      <c r="C2953" s="376">
        <v>44480</v>
      </c>
      <c r="D2953" s="377" t="s">
        <v>1092</v>
      </c>
      <c r="E2953" s="377" t="s">
        <v>422</v>
      </c>
      <c r="F2953" s="377" t="s">
        <v>701</v>
      </c>
      <c r="G2953" s="377" t="s">
        <v>5988</v>
      </c>
      <c r="H2953" s="377" t="s">
        <v>5997</v>
      </c>
      <c r="I2953" s="380">
        <v>100000</v>
      </c>
    </row>
    <row r="2954" spans="1:9" x14ac:dyDescent="0.2">
      <c r="A2954" s="375">
        <v>2953</v>
      </c>
      <c r="B2954" s="376">
        <v>44462</v>
      </c>
      <c r="C2954" s="376">
        <v>44487</v>
      </c>
      <c r="D2954" s="377" t="s">
        <v>1092</v>
      </c>
      <c r="E2954" s="377" t="s">
        <v>392</v>
      </c>
      <c r="F2954" s="377" t="s">
        <v>2224</v>
      </c>
      <c r="G2954" s="377" t="s">
        <v>5989</v>
      </c>
      <c r="H2954" s="377" t="s">
        <v>5998</v>
      </c>
      <c r="I2954" s="380">
        <v>28760.33</v>
      </c>
    </row>
    <row r="2955" spans="1:9" x14ac:dyDescent="0.2">
      <c r="A2955" s="375">
        <v>2954</v>
      </c>
      <c r="B2955" s="376">
        <v>44462</v>
      </c>
      <c r="C2955" s="376">
        <v>44480</v>
      </c>
      <c r="D2955" s="377" t="s">
        <v>1092</v>
      </c>
      <c r="E2955" s="377" t="s">
        <v>422</v>
      </c>
      <c r="F2955" s="377" t="s">
        <v>701</v>
      </c>
      <c r="G2955" s="377" t="s">
        <v>5990</v>
      </c>
      <c r="H2955" s="377" t="s">
        <v>5999</v>
      </c>
      <c r="I2955" s="380">
        <v>39800</v>
      </c>
    </row>
    <row r="2956" spans="1:9" x14ac:dyDescent="0.2">
      <c r="A2956" s="375">
        <v>2955</v>
      </c>
      <c r="B2956" s="376">
        <v>44462</v>
      </c>
      <c r="C2956" s="376">
        <v>44487</v>
      </c>
      <c r="D2956" s="377" t="s">
        <v>1092</v>
      </c>
      <c r="E2956" s="377" t="s">
        <v>422</v>
      </c>
      <c r="F2956" s="377" t="s">
        <v>701</v>
      </c>
      <c r="G2956" s="377" t="s">
        <v>5991</v>
      </c>
      <c r="H2956" s="377" t="s">
        <v>6000</v>
      </c>
      <c r="I2956" s="380">
        <v>16200</v>
      </c>
    </row>
    <row r="2957" spans="1:9" x14ac:dyDescent="0.2">
      <c r="A2957" s="375">
        <v>2956</v>
      </c>
      <c r="B2957" s="376">
        <v>44462</v>
      </c>
      <c r="C2957" s="376">
        <v>44482</v>
      </c>
      <c r="D2957" s="377" t="s">
        <v>1092</v>
      </c>
      <c r="E2957" s="377" t="s">
        <v>422</v>
      </c>
      <c r="F2957" s="377" t="s">
        <v>701</v>
      </c>
      <c r="G2957" s="377" t="s">
        <v>5992</v>
      </c>
      <c r="H2957" s="377" t="s">
        <v>6001</v>
      </c>
      <c r="I2957" s="380">
        <v>42030</v>
      </c>
    </row>
    <row r="2958" spans="1:9" x14ac:dyDescent="0.2">
      <c r="A2958" s="375">
        <v>2957</v>
      </c>
      <c r="B2958" s="376">
        <v>44462</v>
      </c>
      <c r="C2958" s="376">
        <v>44487</v>
      </c>
      <c r="D2958" s="377" t="s">
        <v>1092</v>
      </c>
      <c r="E2958" s="377" t="s">
        <v>422</v>
      </c>
      <c r="F2958" s="377" t="s">
        <v>701</v>
      </c>
      <c r="G2958" s="377" t="s">
        <v>5993</v>
      </c>
      <c r="H2958" s="377" t="s">
        <v>6002</v>
      </c>
      <c r="I2958" s="380">
        <v>55800</v>
      </c>
    </row>
    <row r="2959" spans="1:9" x14ac:dyDescent="0.2">
      <c r="A2959" s="375">
        <v>2958</v>
      </c>
      <c r="B2959" s="376">
        <v>44466</v>
      </c>
      <c r="C2959" s="376">
        <v>44494</v>
      </c>
      <c r="D2959" s="377" t="s">
        <v>1092</v>
      </c>
      <c r="E2959" s="377" t="s">
        <v>392</v>
      </c>
      <c r="F2959" s="377" t="s">
        <v>701</v>
      </c>
      <c r="G2959" s="377" t="s">
        <v>6004</v>
      </c>
      <c r="H2959" s="377" t="s">
        <v>5587</v>
      </c>
      <c r="I2959" s="380">
        <v>515000</v>
      </c>
    </row>
    <row r="2960" spans="1:9" x14ac:dyDescent="0.2">
      <c r="A2960" s="375">
        <v>2959</v>
      </c>
      <c r="B2960" s="376">
        <v>44466</v>
      </c>
      <c r="C2960" s="376">
        <v>44487</v>
      </c>
      <c r="D2960" s="377" t="s">
        <v>1092</v>
      </c>
      <c r="E2960" s="377" t="s">
        <v>422</v>
      </c>
      <c r="F2960" s="377" t="s">
        <v>701</v>
      </c>
      <c r="G2960" s="377" t="s">
        <v>6005</v>
      </c>
      <c r="H2960" s="377" t="s">
        <v>6006</v>
      </c>
      <c r="I2960" s="380">
        <v>132222.65</v>
      </c>
    </row>
    <row r="2961" spans="1:10" x14ac:dyDescent="0.2">
      <c r="A2961" s="375">
        <v>2960</v>
      </c>
      <c r="B2961" s="376">
        <v>44469</v>
      </c>
      <c r="C2961" s="376">
        <v>44487</v>
      </c>
      <c r="D2961" s="377" t="s">
        <v>1092</v>
      </c>
      <c r="E2961" s="377" t="s">
        <v>422</v>
      </c>
      <c r="F2961" s="377" t="s">
        <v>396</v>
      </c>
      <c r="G2961" s="377" t="s">
        <v>6008</v>
      </c>
      <c r="H2961" s="377" t="s">
        <v>6017</v>
      </c>
      <c r="I2961" s="380">
        <v>4014.46</v>
      </c>
    </row>
    <row r="2962" spans="1:10" x14ac:dyDescent="0.2">
      <c r="A2962" s="375">
        <v>2961</v>
      </c>
      <c r="B2962" s="376">
        <v>44469</v>
      </c>
      <c r="C2962" s="376">
        <v>44487</v>
      </c>
      <c r="D2962" s="377" t="s">
        <v>1092</v>
      </c>
      <c r="E2962" s="377" t="s">
        <v>422</v>
      </c>
      <c r="F2962" s="377" t="s">
        <v>71</v>
      </c>
      <c r="G2962" s="377" t="s">
        <v>6009</v>
      </c>
      <c r="H2962" s="377" t="s">
        <v>6018</v>
      </c>
      <c r="I2962" s="380">
        <v>2342.9</v>
      </c>
    </row>
    <row r="2963" spans="1:10" x14ac:dyDescent="0.2">
      <c r="A2963" s="375">
        <v>2962</v>
      </c>
      <c r="B2963" s="376">
        <v>44469</v>
      </c>
      <c r="C2963" s="376">
        <v>44489</v>
      </c>
      <c r="D2963" s="377" t="s">
        <v>1092</v>
      </c>
      <c r="E2963" s="377" t="s">
        <v>422</v>
      </c>
      <c r="F2963" s="377" t="s">
        <v>701</v>
      </c>
      <c r="G2963" s="377" t="s">
        <v>6010</v>
      </c>
      <c r="H2963" s="377" t="s">
        <v>6019</v>
      </c>
      <c r="I2963" s="380">
        <v>35350</v>
      </c>
    </row>
    <row r="2964" spans="1:10" x14ac:dyDescent="0.2">
      <c r="A2964" s="375">
        <v>2963</v>
      </c>
      <c r="B2964" s="376">
        <v>44469</v>
      </c>
      <c r="C2964" s="376">
        <v>44487</v>
      </c>
      <c r="D2964" s="377" t="s">
        <v>1092</v>
      </c>
      <c r="E2964" s="377" t="s">
        <v>422</v>
      </c>
      <c r="F2964" s="377" t="s">
        <v>396</v>
      </c>
      <c r="G2964" s="377" t="s">
        <v>6011</v>
      </c>
      <c r="H2964" s="377" t="s">
        <v>6018</v>
      </c>
      <c r="I2964" s="380">
        <v>15185.6</v>
      </c>
    </row>
    <row r="2965" spans="1:10" x14ac:dyDescent="0.2">
      <c r="A2965" s="375">
        <v>2964</v>
      </c>
      <c r="B2965" s="376">
        <v>44470</v>
      </c>
      <c r="C2965" s="376">
        <v>44489</v>
      </c>
      <c r="D2965" s="377" t="s">
        <v>1092</v>
      </c>
      <c r="E2965" s="377" t="s">
        <v>422</v>
      </c>
      <c r="F2965" s="377" t="s">
        <v>701</v>
      </c>
      <c r="G2965" s="377" t="s">
        <v>6012</v>
      </c>
      <c r="H2965" s="377" t="s">
        <v>6020</v>
      </c>
      <c r="I2965" s="380">
        <v>35500</v>
      </c>
    </row>
    <row r="2966" spans="1:10" x14ac:dyDescent="0.2">
      <c r="A2966" s="375">
        <v>2965</v>
      </c>
      <c r="B2966" s="376">
        <v>44470</v>
      </c>
      <c r="C2966" s="376">
        <v>44489</v>
      </c>
      <c r="D2966" s="377" t="s">
        <v>1092</v>
      </c>
      <c r="E2966" s="377" t="s">
        <v>392</v>
      </c>
      <c r="F2966" s="377" t="s">
        <v>393</v>
      </c>
      <c r="G2966" s="377" t="s">
        <v>5689</v>
      </c>
      <c r="H2966" s="377" t="s">
        <v>6021</v>
      </c>
      <c r="I2966" s="380">
        <v>36400</v>
      </c>
    </row>
    <row r="2967" spans="1:10" x14ac:dyDescent="0.2">
      <c r="A2967" s="375">
        <v>2966</v>
      </c>
      <c r="B2967" s="376">
        <v>44470</v>
      </c>
      <c r="C2967" s="376">
        <v>44489</v>
      </c>
      <c r="D2967" s="377" t="s">
        <v>1092</v>
      </c>
      <c r="E2967" s="377" t="s">
        <v>422</v>
      </c>
      <c r="F2967" s="377" t="s">
        <v>396</v>
      </c>
      <c r="G2967" s="377" t="s">
        <v>6013</v>
      </c>
      <c r="H2967" s="377" t="s">
        <v>6022</v>
      </c>
      <c r="I2967" s="380">
        <v>14785.6</v>
      </c>
    </row>
    <row r="2968" spans="1:10" x14ac:dyDescent="0.2">
      <c r="A2968" s="375">
        <v>2967</v>
      </c>
      <c r="B2968" s="376">
        <v>44470</v>
      </c>
      <c r="C2968" s="376">
        <v>44489</v>
      </c>
      <c r="D2968" s="377" t="s">
        <v>1092</v>
      </c>
      <c r="E2968" s="377" t="s">
        <v>422</v>
      </c>
      <c r="F2968" s="377" t="s">
        <v>71</v>
      </c>
      <c r="G2968" s="377" t="s">
        <v>6014</v>
      </c>
      <c r="H2968" s="377" t="s">
        <v>6023</v>
      </c>
      <c r="I2968" s="380">
        <v>2301.65</v>
      </c>
    </row>
    <row r="2969" spans="1:10" x14ac:dyDescent="0.2">
      <c r="A2969" s="375">
        <v>2968</v>
      </c>
      <c r="B2969" s="376">
        <v>44470</v>
      </c>
      <c r="C2969" s="376">
        <v>44489</v>
      </c>
      <c r="D2969" s="377" t="s">
        <v>1092</v>
      </c>
      <c r="E2969" s="377" t="s">
        <v>422</v>
      </c>
      <c r="F2969" s="377" t="s">
        <v>396</v>
      </c>
      <c r="G2969" s="377" t="s">
        <v>6015</v>
      </c>
      <c r="H2969" s="377" t="s">
        <v>6024</v>
      </c>
      <c r="I2969" s="380">
        <v>4014.46</v>
      </c>
    </row>
    <row r="2970" spans="1:10" x14ac:dyDescent="0.2">
      <c r="A2970" s="375">
        <v>2969</v>
      </c>
      <c r="B2970" s="376">
        <v>44473</v>
      </c>
      <c r="C2970" s="376">
        <v>44489</v>
      </c>
      <c r="D2970" s="377" t="s">
        <v>1092</v>
      </c>
      <c r="E2970" s="377" t="s">
        <v>422</v>
      </c>
      <c r="F2970" s="377" t="s">
        <v>701</v>
      </c>
      <c r="G2970" s="377" t="s">
        <v>6016</v>
      </c>
      <c r="H2970" s="377" t="s">
        <v>5509</v>
      </c>
      <c r="I2970" s="380">
        <v>50500</v>
      </c>
    </row>
    <row r="2971" spans="1:10" x14ac:dyDescent="0.2">
      <c r="A2971" s="375">
        <v>2970</v>
      </c>
      <c r="B2971" s="376">
        <v>44474</v>
      </c>
      <c r="C2971" s="376">
        <v>44494</v>
      </c>
      <c r="D2971" s="377" t="s">
        <v>1092</v>
      </c>
      <c r="E2971" s="377" t="s">
        <v>422</v>
      </c>
      <c r="F2971" s="377" t="s">
        <v>701</v>
      </c>
      <c r="G2971" s="377" t="s">
        <v>6025</v>
      </c>
      <c r="H2971" s="377" t="s">
        <v>6026</v>
      </c>
      <c r="I2971" s="380">
        <v>40500</v>
      </c>
    </row>
    <row r="2972" spans="1:10" x14ac:dyDescent="0.2">
      <c r="A2972" s="375">
        <v>2971</v>
      </c>
      <c r="B2972" s="376">
        <v>44475</v>
      </c>
      <c r="C2972" s="376">
        <v>44494</v>
      </c>
      <c r="D2972" s="377" t="s">
        <v>1092</v>
      </c>
      <c r="E2972" s="377" t="s">
        <v>392</v>
      </c>
      <c r="F2972" s="377" t="s">
        <v>393</v>
      </c>
      <c r="G2972" s="377" t="s">
        <v>6027</v>
      </c>
      <c r="H2972" s="377" t="s">
        <v>6030</v>
      </c>
      <c r="I2972" s="380">
        <v>8381.4</v>
      </c>
    </row>
    <row r="2973" spans="1:10" x14ac:dyDescent="0.2">
      <c r="A2973" s="375">
        <v>2972</v>
      </c>
      <c r="B2973" s="376">
        <v>44475</v>
      </c>
      <c r="C2973" s="376">
        <v>44494</v>
      </c>
      <c r="D2973" s="377" t="s">
        <v>1092</v>
      </c>
      <c r="E2973" s="377" t="s">
        <v>392</v>
      </c>
      <c r="F2973" s="377" t="s">
        <v>71</v>
      </c>
      <c r="G2973" s="377" t="s">
        <v>6028</v>
      </c>
      <c r="H2973" s="377" t="s">
        <v>6031</v>
      </c>
      <c r="I2973" s="380">
        <v>13345.09</v>
      </c>
    </row>
    <row r="2974" spans="1:10" x14ac:dyDescent="0.2">
      <c r="A2974" s="389">
        <v>2973</v>
      </c>
      <c r="B2974" s="386">
        <v>44475</v>
      </c>
      <c r="C2974" s="386">
        <v>44494</v>
      </c>
      <c r="D2974" s="387" t="s">
        <v>1092</v>
      </c>
      <c r="E2974" s="387" t="s">
        <v>392</v>
      </c>
      <c r="F2974" s="387" t="s">
        <v>396</v>
      </c>
      <c r="G2974" s="387" t="s">
        <v>6029</v>
      </c>
      <c r="H2974" s="387" t="s">
        <v>6032</v>
      </c>
      <c r="I2974" s="388">
        <v>91553.56</v>
      </c>
      <c r="J2974" s="178" t="s">
        <v>6189</v>
      </c>
    </row>
    <row r="2975" spans="1:10" x14ac:dyDescent="0.2">
      <c r="A2975" s="375">
        <v>2974</v>
      </c>
      <c r="B2975" s="376">
        <v>44476</v>
      </c>
      <c r="C2975" s="376">
        <v>44496</v>
      </c>
      <c r="D2975" s="377" t="s">
        <v>1092</v>
      </c>
      <c r="E2975" s="377" t="s">
        <v>422</v>
      </c>
      <c r="F2975" s="377" t="s">
        <v>701</v>
      </c>
      <c r="G2975" s="377" t="s">
        <v>6033</v>
      </c>
      <c r="H2975" s="377" t="s">
        <v>6038</v>
      </c>
      <c r="I2975" s="380">
        <v>29500</v>
      </c>
    </row>
    <row r="2976" spans="1:10" x14ac:dyDescent="0.2">
      <c r="A2976" s="375">
        <v>2975</v>
      </c>
      <c r="B2976" s="376">
        <v>44476</v>
      </c>
      <c r="C2976" s="376">
        <v>44494</v>
      </c>
      <c r="D2976" s="377" t="s">
        <v>1092</v>
      </c>
      <c r="E2976" s="377" t="s">
        <v>392</v>
      </c>
      <c r="F2976" s="377" t="s">
        <v>71</v>
      </c>
      <c r="G2976" s="377" t="s">
        <v>6034</v>
      </c>
      <c r="H2976" s="377" t="s">
        <v>6039</v>
      </c>
      <c r="I2976" s="380">
        <v>54959.86</v>
      </c>
    </row>
    <row r="2977" spans="1:9" x14ac:dyDescent="0.2">
      <c r="A2977" s="375">
        <v>2976</v>
      </c>
      <c r="B2977" s="376">
        <v>44476</v>
      </c>
      <c r="C2977" s="376">
        <v>44494</v>
      </c>
      <c r="D2977" s="377" t="s">
        <v>1092</v>
      </c>
      <c r="E2977" s="377" t="s">
        <v>392</v>
      </c>
      <c r="F2977" s="377" t="s">
        <v>393</v>
      </c>
      <c r="G2977" s="377" t="s">
        <v>6035</v>
      </c>
      <c r="H2977" s="377" t="s">
        <v>6040</v>
      </c>
      <c r="I2977" s="380">
        <v>23105.94</v>
      </c>
    </row>
    <row r="2978" spans="1:9" x14ac:dyDescent="0.2">
      <c r="A2978" s="375">
        <v>2977</v>
      </c>
      <c r="B2978" s="376">
        <v>44476</v>
      </c>
      <c r="C2978" s="376">
        <v>44494</v>
      </c>
      <c r="D2978" s="377" t="s">
        <v>1092</v>
      </c>
      <c r="E2978" s="377" t="s">
        <v>392</v>
      </c>
      <c r="F2978" s="377" t="s">
        <v>396</v>
      </c>
      <c r="G2978" s="377" t="s">
        <v>6036</v>
      </c>
      <c r="H2978" s="377" t="s">
        <v>6041</v>
      </c>
      <c r="I2978" s="380">
        <v>74479.149999999994</v>
      </c>
    </row>
    <row r="2979" spans="1:9" x14ac:dyDescent="0.2">
      <c r="A2979" s="375">
        <v>2978</v>
      </c>
      <c r="B2979" s="376">
        <v>44476</v>
      </c>
      <c r="C2979" s="376">
        <v>44494</v>
      </c>
      <c r="D2979" s="377" t="s">
        <v>1092</v>
      </c>
      <c r="E2979" s="377" t="s">
        <v>392</v>
      </c>
      <c r="F2979" s="377" t="s">
        <v>393</v>
      </c>
      <c r="G2979" s="377" t="s">
        <v>6037</v>
      </c>
      <c r="H2979" s="377" t="s">
        <v>6042</v>
      </c>
      <c r="I2979" s="380">
        <v>91735.61</v>
      </c>
    </row>
    <row r="2980" spans="1:9" x14ac:dyDescent="0.2">
      <c r="A2980" s="375">
        <v>2979</v>
      </c>
      <c r="B2980" s="376">
        <v>44477</v>
      </c>
      <c r="C2980" s="376">
        <v>44508</v>
      </c>
      <c r="D2980" s="377" t="s">
        <v>1092</v>
      </c>
      <c r="E2980" s="377" t="s">
        <v>422</v>
      </c>
      <c r="F2980" s="377" t="s">
        <v>701</v>
      </c>
      <c r="G2980" s="377" t="s">
        <v>6043</v>
      </c>
      <c r="H2980" s="377" t="s">
        <v>6045</v>
      </c>
      <c r="I2980" s="380">
        <v>325280.17</v>
      </c>
    </row>
    <row r="2981" spans="1:9" x14ac:dyDescent="0.2">
      <c r="A2981" s="375">
        <v>2980</v>
      </c>
      <c r="B2981" s="376">
        <v>44480</v>
      </c>
      <c r="C2981" s="376">
        <v>44503</v>
      </c>
      <c r="D2981" s="377" t="s">
        <v>1092</v>
      </c>
      <c r="E2981" s="377" t="s">
        <v>422</v>
      </c>
      <c r="F2981" s="377" t="s">
        <v>701</v>
      </c>
      <c r="G2981" s="377" t="s">
        <v>6044</v>
      </c>
      <c r="H2981" s="377" t="s">
        <v>6046</v>
      </c>
      <c r="I2981" s="380">
        <v>27500</v>
      </c>
    </row>
    <row r="2982" spans="1:9" x14ac:dyDescent="0.2">
      <c r="A2982" s="375">
        <v>2981</v>
      </c>
      <c r="B2982" s="376">
        <v>44484</v>
      </c>
      <c r="C2982" s="376">
        <v>44503</v>
      </c>
      <c r="D2982" s="377" t="s">
        <v>1092</v>
      </c>
      <c r="E2982" s="377" t="s">
        <v>392</v>
      </c>
      <c r="F2982" s="377" t="s">
        <v>396</v>
      </c>
      <c r="G2982" s="377" t="s">
        <v>6047</v>
      </c>
      <c r="H2982" s="377" t="s">
        <v>6052</v>
      </c>
      <c r="I2982" s="380">
        <v>24769.33</v>
      </c>
    </row>
    <row r="2983" spans="1:9" x14ac:dyDescent="0.2">
      <c r="A2983" s="375">
        <v>2982</v>
      </c>
      <c r="B2983" s="376">
        <v>44484</v>
      </c>
      <c r="C2983" s="376">
        <v>44503</v>
      </c>
      <c r="D2983" s="377" t="s">
        <v>1092</v>
      </c>
      <c r="E2983" s="377" t="s">
        <v>392</v>
      </c>
      <c r="F2983" s="377" t="s">
        <v>71</v>
      </c>
      <c r="G2983" s="377" t="s">
        <v>6048</v>
      </c>
      <c r="H2983" s="377" t="s">
        <v>6053</v>
      </c>
      <c r="I2983" s="380">
        <v>17303.39</v>
      </c>
    </row>
    <row r="2984" spans="1:9" x14ac:dyDescent="0.2">
      <c r="A2984" s="375">
        <v>2983</v>
      </c>
      <c r="B2984" s="376">
        <v>44484</v>
      </c>
      <c r="C2984" s="376">
        <v>44515</v>
      </c>
      <c r="D2984" s="377" t="s">
        <v>1092</v>
      </c>
      <c r="E2984" s="377" t="s">
        <v>422</v>
      </c>
      <c r="F2984" s="377" t="s">
        <v>701</v>
      </c>
      <c r="G2984" s="377" t="s">
        <v>6049</v>
      </c>
      <c r="H2984" s="377" t="s">
        <v>6054</v>
      </c>
      <c r="I2984" s="380">
        <v>270960</v>
      </c>
    </row>
    <row r="2985" spans="1:9" x14ac:dyDescent="0.2">
      <c r="A2985" s="375">
        <v>2984</v>
      </c>
      <c r="B2985" s="376">
        <v>44484</v>
      </c>
      <c r="C2985" s="376">
        <v>44503</v>
      </c>
      <c r="D2985" s="377" t="s">
        <v>1092</v>
      </c>
      <c r="E2985" s="377" t="s">
        <v>392</v>
      </c>
      <c r="F2985" s="377" t="s">
        <v>393</v>
      </c>
      <c r="G2985" s="377" t="s">
        <v>6050</v>
      </c>
      <c r="H2985" s="377" t="s">
        <v>6055</v>
      </c>
      <c r="I2985" s="380">
        <v>29982.27</v>
      </c>
    </row>
    <row r="2986" spans="1:9" x14ac:dyDescent="0.2">
      <c r="A2986" s="375">
        <v>2985</v>
      </c>
      <c r="B2986" s="376">
        <v>44484</v>
      </c>
      <c r="C2986" s="376">
        <v>44503</v>
      </c>
      <c r="D2986" s="377" t="s">
        <v>1092</v>
      </c>
      <c r="E2986" s="377" t="s">
        <v>392</v>
      </c>
      <c r="F2986" s="377" t="s">
        <v>393</v>
      </c>
      <c r="G2986" s="377" t="s">
        <v>6051</v>
      </c>
      <c r="H2986" s="377" t="s">
        <v>6056</v>
      </c>
      <c r="I2986" s="380">
        <v>8434.5</v>
      </c>
    </row>
    <row r="2987" spans="1:9" x14ac:dyDescent="0.2">
      <c r="A2987" s="375">
        <v>2986</v>
      </c>
      <c r="B2987" s="376">
        <v>44487</v>
      </c>
      <c r="C2987" s="376">
        <v>44508</v>
      </c>
      <c r="D2987" s="377" t="s">
        <v>1092</v>
      </c>
      <c r="E2987" s="377" t="s">
        <v>392</v>
      </c>
      <c r="F2987" s="377" t="s">
        <v>71</v>
      </c>
      <c r="G2987" s="377" t="s">
        <v>6057</v>
      </c>
      <c r="H2987" s="377" t="s">
        <v>6061</v>
      </c>
      <c r="I2987" s="380">
        <v>17702.68</v>
      </c>
    </row>
    <row r="2988" spans="1:9" x14ac:dyDescent="0.2">
      <c r="A2988" s="375">
        <v>2987</v>
      </c>
      <c r="B2988" s="376">
        <v>44487</v>
      </c>
      <c r="C2988" s="376">
        <v>44508</v>
      </c>
      <c r="D2988" s="377" t="s">
        <v>1092</v>
      </c>
      <c r="E2988" s="377" t="s">
        <v>392</v>
      </c>
      <c r="F2988" s="377" t="s">
        <v>393</v>
      </c>
      <c r="G2988" s="377" t="s">
        <v>6058</v>
      </c>
      <c r="H2988" s="377" t="s">
        <v>6062</v>
      </c>
      <c r="I2988" s="380">
        <v>48000</v>
      </c>
    </row>
    <row r="2989" spans="1:9" x14ac:dyDescent="0.2">
      <c r="A2989" s="375">
        <v>2988</v>
      </c>
      <c r="B2989" s="376">
        <v>44487</v>
      </c>
      <c r="C2989" s="376">
        <v>44515</v>
      </c>
      <c r="D2989" s="377" t="s">
        <v>1092</v>
      </c>
      <c r="E2989" s="377" t="s">
        <v>422</v>
      </c>
      <c r="F2989" s="377" t="s">
        <v>396</v>
      </c>
      <c r="G2989" s="377" t="s">
        <v>6059</v>
      </c>
      <c r="H2989" s="377" t="s">
        <v>6063</v>
      </c>
      <c r="I2989" s="380">
        <v>242594.9</v>
      </c>
    </row>
    <row r="2990" spans="1:9" x14ac:dyDescent="0.2">
      <c r="A2990" s="375">
        <v>2989</v>
      </c>
      <c r="B2990" s="376">
        <v>44487</v>
      </c>
      <c r="C2990" s="376">
        <v>44508</v>
      </c>
      <c r="D2990" s="377" t="s">
        <v>1092</v>
      </c>
      <c r="E2990" s="377" t="s">
        <v>392</v>
      </c>
      <c r="F2990" s="377" t="s">
        <v>393</v>
      </c>
      <c r="G2990" s="377" t="s">
        <v>6060</v>
      </c>
      <c r="H2990" s="377" t="s">
        <v>6064</v>
      </c>
      <c r="I2990" s="380">
        <v>10966.58</v>
      </c>
    </row>
    <row r="2991" spans="1:9" x14ac:dyDescent="0.2">
      <c r="A2991" s="375">
        <v>2990</v>
      </c>
      <c r="B2991" s="376">
        <v>44488</v>
      </c>
      <c r="C2991" s="376">
        <v>44515</v>
      </c>
      <c r="D2991" s="377" t="s">
        <v>1092</v>
      </c>
      <c r="E2991" s="377" t="s">
        <v>422</v>
      </c>
      <c r="F2991" s="377" t="s">
        <v>396</v>
      </c>
      <c r="G2991" s="377" t="s">
        <v>6065</v>
      </c>
      <c r="H2991" s="377" t="s">
        <v>6067</v>
      </c>
      <c r="I2991" s="380">
        <v>36306.36</v>
      </c>
    </row>
    <row r="2992" spans="1:9" x14ac:dyDescent="0.2">
      <c r="A2992" s="375">
        <v>2991</v>
      </c>
      <c r="B2992" s="376">
        <v>44488</v>
      </c>
      <c r="C2992" s="376">
        <v>44515</v>
      </c>
      <c r="D2992" s="377" t="s">
        <v>1092</v>
      </c>
      <c r="E2992" s="377" t="s">
        <v>422</v>
      </c>
      <c r="F2992" s="377" t="s">
        <v>71</v>
      </c>
      <c r="G2992" s="377" t="s">
        <v>6066</v>
      </c>
      <c r="H2992" s="377" t="s">
        <v>6068</v>
      </c>
      <c r="I2992" s="380">
        <v>90214.16</v>
      </c>
    </row>
    <row r="2993" spans="1:10" x14ac:dyDescent="0.2">
      <c r="A2993" s="375">
        <v>2992</v>
      </c>
      <c r="B2993" s="376">
        <v>44489</v>
      </c>
      <c r="C2993" s="376">
        <v>44515</v>
      </c>
      <c r="D2993" s="377" t="s">
        <v>1092</v>
      </c>
      <c r="E2993" s="377" t="s">
        <v>422</v>
      </c>
      <c r="F2993" s="377" t="s">
        <v>701</v>
      </c>
      <c r="G2993" s="377" t="s">
        <v>6069</v>
      </c>
      <c r="H2993" s="377" t="s">
        <v>6071</v>
      </c>
      <c r="I2993" s="380">
        <v>225800</v>
      </c>
    </row>
    <row r="2994" spans="1:10" x14ac:dyDescent="0.2">
      <c r="A2994" s="375">
        <v>2993</v>
      </c>
      <c r="B2994" s="376">
        <v>44489</v>
      </c>
      <c r="C2994" s="376">
        <v>44508</v>
      </c>
      <c r="D2994" s="377" t="s">
        <v>1092</v>
      </c>
      <c r="E2994" s="377" t="s">
        <v>422</v>
      </c>
      <c r="F2994" s="377" t="s">
        <v>701</v>
      </c>
      <c r="G2994" s="377" t="s">
        <v>6070</v>
      </c>
      <c r="H2994" s="377" t="s">
        <v>6072</v>
      </c>
      <c r="I2994" s="380">
        <v>31500</v>
      </c>
    </row>
    <row r="2995" spans="1:10" x14ac:dyDescent="0.2">
      <c r="A2995" s="375">
        <v>2994</v>
      </c>
      <c r="B2995" s="376">
        <v>44491</v>
      </c>
      <c r="C2995" s="376">
        <v>44510</v>
      </c>
      <c r="D2995" s="377" t="s">
        <v>1092</v>
      </c>
      <c r="E2995" s="377" t="s">
        <v>422</v>
      </c>
      <c r="F2995" s="377" t="s">
        <v>396</v>
      </c>
      <c r="G2995" s="377" t="s">
        <v>6073</v>
      </c>
      <c r="H2995" s="377" t="s">
        <v>6083</v>
      </c>
      <c r="I2995" s="380">
        <v>46398.64</v>
      </c>
    </row>
    <row r="2996" spans="1:10" x14ac:dyDescent="0.2">
      <c r="A2996" s="375">
        <v>2995</v>
      </c>
      <c r="B2996" s="376">
        <v>44491</v>
      </c>
      <c r="C2996" s="376">
        <v>44508</v>
      </c>
      <c r="D2996" s="377" t="s">
        <v>1092</v>
      </c>
      <c r="E2996" s="377" t="s">
        <v>422</v>
      </c>
      <c r="F2996" s="377" t="s">
        <v>71</v>
      </c>
      <c r="G2996" s="377" t="s">
        <v>6074</v>
      </c>
      <c r="H2996" s="377" t="s">
        <v>6084</v>
      </c>
      <c r="I2996" s="380">
        <v>2119.15</v>
      </c>
    </row>
    <row r="2997" spans="1:10" x14ac:dyDescent="0.2">
      <c r="A2997" s="375">
        <v>2996</v>
      </c>
      <c r="B2997" s="376">
        <v>44491</v>
      </c>
      <c r="C2997" s="376">
        <v>44522</v>
      </c>
      <c r="D2997" s="377" t="s">
        <v>1092</v>
      </c>
      <c r="E2997" s="377" t="s">
        <v>422</v>
      </c>
      <c r="F2997" s="377" t="s">
        <v>701</v>
      </c>
      <c r="G2997" s="377" t="s">
        <v>6075</v>
      </c>
      <c r="H2997" s="377" t="s">
        <v>6085</v>
      </c>
      <c r="I2997" s="380">
        <v>339500</v>
      </c>
    </row>
    <row r="2998" spans="1:10" x14ac:dyDescent="0.2">
      <c r="A2998" s="375">
        <v>2997</v>
      </c>
      <c r="B2998" s="376">
        <v>44491</v>
      </c>
      <c r="C2998" s="376">
        <v>44508</v>
      </c>
      <c r="D2998" s="377" t="s">
        <v>1092</v>
      </c>
      <c r="E2998" s="377" t="s">
        <v>422</v>
      </c>
      <c r="F2998" s="377" t="s">
        <v>701</v>
      </c>
      <c r="G2998" s="377" t="s">
        <v>6076</v>
      </c>
      <c r="H2998" s="377" t="s">
        <v>6086</v>
      </c>
      <c r="I2998" s="380">
        <v>82000</v>
      </c>
    </row>
    <row r="2999" spans="1:10" x14ac:dyDescent="0.2">
      <c r="A2999" s="375">
        <v>2998</v>
      </c>
      <c r="B2999" s="376">
        <v>44491</v>
      </c>
      <c r="C2999" s="376">
        <v>44510</v>
      </c>
      <c r="D2999" s="377" t="s">
        <v>1092</v>
      </c>
      <c r="E2999" s="377" t="s">
        <v>422</v>
      </c>
      <c r="F2999" s="377" t="s">
        <v>71</v>
      </c>
      <c r="G2999" s="377" t="s">
        <v>6077</v>
      </c>
      <c r="H2999" s="377" t="s">
        <v>6087</v>
      </c>
      <c r="I2999" s="380">
        <v>9488.01</v>
      </c>
    </row>
    <row r="3000" spans="1:10" x14ac:dyDescent="0.2">
      <c r="A3000" s="375">
        <v>2999</v>
      </c>
      <c r="B3000" s="376">
        <v>44491</v>
      </c>
      <c r="C3000" s="376">
        <v>44510</v>
      </c>
      <c r="D3000" s="377" t="s">
        <v>1092</v>
      </c>
      <c r="E3000" s="377" t="s">
        <v>422</v>
      </c>
      <c r="F3000" s="377" t="s">
        <v>396</v>
      </c>
      <c r="G3000" s="377" t="s">
        <v>6078</v>
      </c>
      <c r="H3000" s="377" t="s">
        <v>6087</v>
      </c>
      <c r="I3000" s="380">
        <v>8870.59</v>
      </c>
    </row>
    <row r="3001" spans="1:10" x14ac:dyDescent="0.2">
      <c r="A3001" s="375">
        <v>3000</v>
      </c>
      <c r="B3001" s="386">
        <v>44491</v>
      </c>
      <c r="C3001" s="386">
        <v>44508</v>
      </c>
      <c r="D3001" s="387" t="s">
        <v>1092</v>
      </c>
      <c r="E3001" s="387" t="s">
        <v>422</v>
      </c>
      <c r="F3001" s="387" t="s">
        <v>396</v>
      </c>
      <c r="G3001" s="387" t="s">
        <v>6079</v>
      </c>
      <c r="H3001" s="387" t="s">
        <v>6088</v>
      </c>
      <c r="I3001" s="388">
        <v>35974.11</v>
      </c>
      <c r="J3001" s="178" t="s">
        <v>6125</v>
      </c>
    </row>
    <row r="3002" spans="1:10" x14ac:dyDescent="0.2">
      <c r="A3002" s="375">
        <v>3001</v>
      </c>
      <c r="B3002" s="376">
        <v>44491</v>
      </c>
      <c r="C3002" s="376">
        <v>44508</v>
      </c>
      <c r="D3002" s="377" t="s">
        <v>1092</v>
      </c>
      <c r="E3002" s="377" t="s">
        <v>422</v>
      </c>
      <c r="F3002" s="377" t="s">
        <v>396</v>
      </c>
      <c r="G3002" s="377" t="s">
        <v>6080</v>
      </c>
      <c r="H3002" s="377" t="s">
        <v>6089</v>
      </c>
      <c r="I3002" s="380">
        <v>6687.22</v>
      </c>
    </row>
    <row r="3003" spans="1:10" x14ac:dyDescent="0.2">
      <c r="A3003" s="375">
        <v>3002</v>
      </c>
      <c r="B3003" s="376">
        <v>44491</v>
      </c>
      <c r="C3003" s="376">
        <v>44531</v>
      </c>
      <c r="D3003" s="377" t="s">
        <v>1092</v>
      </c>
      <c r="E3003" s="377" t="s">
        <v>422</v>
      </c>
      <c r="F3003" s="377" t="s">
        <v>701</v>
      </c>
      <c r="G3003" s="377" t="s">
        <v>6081</v>
      </c>
      <c r="H3003" s="377" t="s">
        <v>6090</v>
      </c>
      <c r="I3003" s="380">
        <v>270130</v>
      </c>
    </row>
    <row r="3004" spans="1:10" x14ac:dyDescent="0.2">
      <c r="A3004" s="375">
        <v>3003</v>
      </c>
      <c r="B3004" s="376">
        <v>44491</v>
      </c>
      <c r="C3004" s="376">
        <v>44510</v>
      </c>
      <c r="D3004" s="377" t="s">
        <v>1092</v>
      </c>
      <c r="E3004" s="377" t="s">
        <v>422</v>
      </c>
      <c r="F3004" s="377" t="s">
        <v>701</v>
      </c>
      <c r="G3004" s="377" t="s">
        <v>6082</v>
      </c>
      <c r="H3004" s="377" t="s">
        <v>6091</v>
      </c>
      <c r="I3004" s="380">
        <v>31500</v>
      </c>
    </row>
    <row r="3005" spans="1:10" x14ac:dyDescent="0.2">
      <c r="A3005" s="375">
        <v>3004</v>
      </c>
      <c r="B3005" s="376">
        <v>44494</v>
      </c>
      <c r="C3005" s="376">
        <v>44510</v>
      </c>
      <c r="D3005" s="377" t="s">
        <v>1092</v>
      </c>
      <c r="E3005" s="377" t="s">
        <v>422</v>
      </c>
      <c r="F3005" s="377" t="s">
        <v>701</v>
      </c>
      <c r="G3005" s="377" t="s">
        <v>6092</v>
      </c>
      <c r="H3005" s="377" t="s">
        <v>6094</v>
      </c>
      <c r="I3005" s="380">
        <v>46200</v>
      </c>
    </row>
    <row r="3006" spans="1:10" x14ac:dyDescent="0.2">
      <c r="A3006" s="375">
        <v>3005</v>
      </c>
      <c r="B3006" s="376">
        <v>44494</v>
      </c>
      <c r="C3006" s="376">
        <v>44510</v>
      </c>
      <c r="D3006" s="377" t="s">
        <v>1092</v>
      </c>
      <c r="E3006" s="377" t="s">
        <v>422</v>
      </c>
      <c r="F3006" s="377" t="s">
        <v>701</v>
      </c>
      <c r="G3006" s="377" t="s">
        <v>6093</v>
      </c>
      <c r="H3006" s="377" t="s">
        <v>6095</v>
      </c>
      <c r="I3006" s="380">
        <v>67450</v>
      </c>
    </row>
    <row r="3007" spans="1:10" x14ac:dyDescent="0.2">
      <c r="A3007" s="375">
        <v>3006</v>
      </c>
      <c r="B3007" s="376">
        <v>44496</v>
      </c>
      <c r="C3007" s="376">
        <v>44517</v>
      </c>
      <c r="D3007" s="377" t="s">
        <v>1092</v>
      </c>
      <c r="E3007" s="377" t="s">
        <v>422</v>
      </c>
      <c r="F3007" s="377" t="s">
        <v>701</v>
      </c>
      <c r="G3007" s="377" t="s">
        <v>6096</v>
      </c>
      <c r="H3007" s="377" t="s">
        <v>6098</v>
      </c>
      <c r="I3007" s="380">
        <v>36840</v>
      </c>
    </row>
    <row r="3008" spans="1:10" x14ac:dyDescent="0.2">
      <c r="A3008" s="375">
        <v>3007</v>
      </c>
      <c r="B3008" s="376">
        <v>44496</v>
      </c>
      <c r="C3008" s="376">
        <v>44522</v>
      </c>
      <c r="D3008" s="377" t="s">
        <v>1092</v>
      </c>
      <c r="E3008" s="377" t="s">
        <v>422</v>
      </c>
      <c r="F3008" s="377" t="s">
        <v>701</v>
      </c>
      <c r="G3008" s="377" t="s">
        <v>6097</v>
      </c>
      <c r="H3008" s="377" t="s">
        <v>5545</v>
      </c>
      <c r="I3008" s="380">
        <v>190000</v>
      </c>
    </row>
    <row r="3009" spans="1:9" x14ac:dyDescent="0.2">
      <c r="A3009" s="375">
        <v>3008</v>
      </c>
      <c r="B3009" s="376">
        <v>44497</v>
      </c>
      <c r="C3009" s="376">
        <v>44515</v>
      </c>
      <c r="D3009" s="377" t="s">
        <v>1092</v>
      </c>
      <c r="E3009" s="377" t="s">
        <v>422</v>
      </c>
      <c r="F3009" s="377" t="s">
        <v>701</v>
      </c>
      <c r="G3009" s="377" t="s">
        <v>6099</v>
      </c>
      <c r="H3009" s="377" t="s">
        <v>6101</v>
      </c>
      <c r="I3009" s="380">
        <v>46000</v>
      </c>
    </row>
    <row r="3010" spans="1:9" x14ac:dyDescent="0.2">
      <c r="A3010" s="375">
        <v>3009</v>
      </c>
      <c r="B3010" s="376">
        <v>44497</v>
      </c>
      <c r="C3010" s="376">
        <v>44515</v>
      </c>
      <c r="D3010" s="377" t="s">
        <v>1092</v>
      </c>
      <c r="E3010" s="377" t="s">
        <v>422</v>
      </c>
      <c r="F3010" s="377" t="s">
        <v>701</v>
      </c>
      <c r="G3010" s="377" t="s">
        <v>6100</v>
      </c>
      <c r="H3010" s="377" t="s">
        <v>6102</v>
      </c>
      <c r="I3010" s="380">
        <v>46850</v>
      </c>
    </row>
    <row r="3011" spans="1:9" x14ac:dyDescent="0.2">
      <c r="A3011" s="375">
        <v>3010</v>
      </c>
      <c r="B3011" s="376">
        <v>44498</v>
      </c>
      <c r="C3011" s="376">
        <v>44524</v>
      </c>
      <c r="D3011" s="377" t="s">
        <v>1092</v>
      </c>
      <c r="E3011" s="377" t="s">
        <v>422</v>
      </c>
      <c r="F3011" s="377" t="s">
        <v>701</v>
      </c>
      <c r="G3011" s="377" t="s">
        <v>6103</v>
      </c>
      <c r="H3011" s="377" t="s">
        <v>6104</v>
      </c>
      <c r="I3011" s="380">
        <v>60840</v>
      </c>
    </row>
    <row r="3012" spans="1:9" x14ac:dyDescent="0.2">
      <c r="A3012" s="375">
        <v>3011</v>
      </c>
      <c r="B3012" s="376">
        <v>44502</v>
      </c>
      <c r="C3012" s="376">
        <v>44529</v>
      </c>
      <c r="D3012" s="377" t="s">
        <v>1092</v>
      </c>
      <c r="E3012" s="377" t="s">
        <v>422</v>
      </c>
      <c r="F3012" s="377" t="s">
        <v>701</v>
      </c>
      <c r="G3012" s="377" t="s">
        <v>6105</v>
      </c>
      <c r="H3012" s="377" t="s">
        <v>6106</v>
      </c>
      <c r="I3012" s="380">
        <v>216500</v>
      </c>
    </row>
    <row r="3013" spans="1:9" x14ac:dyDescent="0.2">
      <c r="A3013" s="375">
        <v>3012</v>
      </c>
      <c r="B3013" s="376">
        <v>44503</v>
      </c>
      <c r="C3013" s="376">
        <v>44522</v>
      </c>
      <c r="D3013" s="377" t="s">
        <v>1092</v>
      </c>
      <c r="E3013" s="377" t="s">
        <v>422</v>
      </c>
      <c r="F3013" s="377" t="s">
        <v>396</v>
      </c>
      <c r="G3013" s="377" t="s">
        <v>6107</v>
      </c>
      <c r="H3013" s="377" t="s">
        <v>6110</v>
      </c>
      <c r="I3013" s="380">
        <v>2632.8</v>
      </c>
    </row>
    <row r="3014" spans="1:9" x14ac:dyDescent="0.2">
      <c r="A3014" s="375">
        <v>3013</v>
      </c>
      <c r="B3014" s="376">
        <v>44503</v>
      </c>
      <c r="C3014" s="376">
        <v>44522</v>
      </c>
      <c r="D3014" s="377" t="s">
        <v>1092</v>
      </c>
      <c r="E3014" s="377" t="s">
        <v>422</v>
      </c>
      <c r="F3014" s="377" t="s">
        <v>71</v>
      </c>
      <c r="G3014" s="377" t="s">
        <v>6108</v>
      </c>
      <c r="H3014" s="377" t="s">
        <v>6111</v>
      </c>
      <c r="I3014" s="380">
        <v>2523.23</v>
      </c>
    </row>
    <row r="3015" spans="1:9" x14ac:dyDescent="0.2">
      <c r="A3015" s="375">
        <v>3014</v>
      </c>
      <c r="B3015" s="376">
        <v>44503</v>
      </c>
      <c r="C3015" s="376">
        <v>44522</v>
      </c>
      <c r="D3015" s="377" t="s">
        <v>1092</v>
      </c>
      <c r="E3015" s="377" t="s">
        <v>422</v>
      </c>
      <c r="F3015" s="377" t="s">
        <v>396</v>
      </c>
      <c r="G3015" s="377" t="s">
        <v>6109</v>
      </c>
      <c r="H3015" s="377" t="s">
        <v>6112</v>
      </c>
      <c r="I3015" s="380">
        <v>7781.12</v>
      </c>
    </row>
    <row r="3016" spans="1:9" x14ac:dyDescent="0.2">
      <c r="A3016" s="375">
        <v>3015</v>
      </c>
      <c r="B3016" s="376">
        <v>44508</v>
      </c>
      <c r="C3016" s="376">
        <v>44529</v>
      </c>
      <c r="D3016" s="377" t="s">
        <v>1092</v>
      </c>
      <c r="E3016" s="377" t="s">
        <v>422</v>
      </c>
      <c r="F3016" s="377" t="s">
        <v>701</v>
      </c>
      <c r="G3016" s="377" t="s">
        <v>6114</v>
      </c>
      <c r="H3016" s="377" t="s">
        <v>6113</v>
      </c>
      <c r="I3016" s="380">
        <v>99906.1</v>
      </c>
    </row>
    <row r="3017" spans="1:9" x14ac:dyDescent="0.2">
      <c r="A3017" s="375">
        <v>3016</v>
      </c>
      <c r="B3017" s="376">
        <v>44508</v>
      </c>
      <c r="C3017" s="376">
        <v>44529</v>
      </c>
      <c r="D3017" s="377" t="s">
        <v>1092</v>
      </c>
      <c r="E3017" s="377" t="s">
        <v>422</v>
      </c>
      <c r="F3017" s="377" t="s">
        <v>701</v>
      </c>
      <c r="G3017" s="377" t="s">
        <v>6115</v>
      </c>
      <c r="H3017" s="377" t="s">
        <v>6120</v>
      </c>
      <c r="I3017" s="380">
        <v>99906.1</v>
      </c>
    </row>
    <row r="3018" spans="1:9" x14ac:dyDescent="0.2">
      <c r="A3018" s="375">
        <v>3017</v>
      </c>
      <c r="B3018" s="376">
        <v>44508</v>
      </c>
      <c r="C3018" s="376">
        <v>44529</v>
      </c>
      <c r="D3018" s="377" t="s">
        <v>1092</v>
      </c>
      <c r="E3018" s="377" t="s">
        <v>422</v>
      </c>
      <c r="F3018" s="377" t="s">
        <v>701</v>
      </c>
      <c r="G3018" s="377" t="s">
        <v>6116</v>
      </c>
      <c r="H3018" s="377" t="s">
        <v>6121</v>
      </c>
      <c r="I3018" s="380">
        <v>99906.1</v>
      </c>
    </row>
    <row r="3019" spans="1:9" x14ac:dyDescent="0.2">
      <c r="A3019" s="375">
        <v>3018</v>
      </c>
      <c r="B3019" s="376">
        <v>44508</v>
      </c>
      <c r="C3019" s="376">
        <v>44529</v>
      </c>
      <c r="D3019" s="377" t="s">
        <v>1092</v>
      </c>
      <c r="E3019" s="377" t="s">
        <v>422</v>
      </c>
      <c r="F3019" s="377" t="s">
        <v>701</v>
      </c>
      <c r="G3019" s="377" t="s">
        <v>6117</v>
      </c>
      <c r="H3019" s="377" t="s">
        <v>6122</v>
      </c>
      <c r="I3019" s="380">
        <v>99906.1</v>
      </c>
    </row>
    <row r="3020" spans="1:9" x14ac:dyDescent="0.2">
      <c r="A3020" s="375">
        <v>3019</v>
      </c>
      <c r="B3020" s="376">
        <v>44508</v>
      </c>
      <c r="C3020" s="376">
        <v>44529</v>
      </c>
      <c r="D3020" s="377" t="s">
        <v>1092</v>
      </c>
      <c r="E3020" s="377" t="s">
        <v>422</v>
      </c>
      <c r="F3020" s="377" t="s">
        <v>701</v>
      </c>
      <c r="G3020" s="377" t="s">
        <v>6118</v>
      </c>
      <c r="H3020" s="377" t="s">
        <v>6123</v>
      </c>
      <c r="I3020" s="380">
        <v>99906.1</v>
      </c>
    </row>
    <row r="3021" spans="1:9" x14ac:dyDescent="0.2">
      <c r="A3021" s="375">
        <v>3020</v>
      </c>
      <c r="B3021" s="376">
        <v>44508</v>
      </c>
      <c r="C3021" s="376">
        <v>44529</v>
      </c>
      <c r="D3021" s="377" t="s">
        <v>1092</v>
      </c>
      <c r="E3021" s="377" t="s">
        <v>422</v>
      </c>
      <c r="F3021" s="377" t="s">
        <v>701</v>
      </c>
      <c r="G3021" s="377" t="s">
        <v>6119</v>
      </c>
      <c r="H3021" s="377" t="s">
        <v>6124</v>
      </c>
      <c r="I3021" s="380">
        <v>99906.1</v>
      </c>
    </row>
    <row r="3022" spans="1:9" x14ac:dyDescent="0.2">
      <c r="A3022" s="375">
        <v>3021</v>
      </c>
      <c r="B3022" s="376">
        <v>44512</v>
      </c>
      <c r="C3022" s="376">
        <v>44531</v>
      </c>
      <c r="D3022" s="377" t="s">
        <v>1092</v>
      </c>
      <c r="E3022" s="377" t="s">
        <v>422</v>
      </c>
      <c r="F3022" s="377" t="s">
        <v>701</v>
      </c>
      <c r="G3022" s="377" t="s">
        <v>6126</v>
      </c>
      <c r="H3022" s="377" t="s">
        <v>6129</v>
      </c>
      <c r="I3022" s="380">
        <v>74700</v>
      </c>
    </row>
    <row r="3023" spans="1:9" x14ac:dyDescent="0.2">
      <c r="A3023" s="375">
        <v>3022</v>
      </c>
      <c r="B3023" s="376">
        <v>44512</v>
      </c>
      <c r="C3023" s="376">
        <v>44531</v>
      </c>
      <c r="D3023" s="377" t="s">
        <v>1092</v>
      </c>
      <c r="E3023" s="377" t="s">
        <v>422</v>
      </c>
      <c r="F3023" s="377" t="s">
        <v>701</v>
      </c>
      <c r="G3023" s="377" t="s">
        <v>6127</v>
      </c>
      <c r="H3023" s="377" t="s">
        <v>6130</v>
      </c>
      <c r="I3023" s="380">
        <v>70250</v>
      </c>
    </row>
    <row r="3024" spans="1:9" x14ac:dyDescent="0.2">
      <c r="A3024" s="375">
        <v>3023</v>
      </c>
      <c r="B3024" s="376">
        <v>44512</v>
      </c>
      <c r="C3024" s="376">
        <v>44529</v>
      </c>
      <c r="D3024" s="377" t="s">
        <v>1092</v>
      </c>
      <c r="E3024" s="377" t="s">
        <v>422</v>
      </c>
      <c r="F3024" s="377" t="s">
        <v>701</v>
      </c>
      <c r="G3024" s="377" t="s">
        <v>6128</v>
      </c>
      <c r="H3024" s="377" t="s">
        <v>6131</v>
      </c>
      <c r="I3024" s="380">
        <v>203420</v>
      </c>
    </row>
    <row r="3025" spans="1:9" x14ac:dyDescent="0.2">
      <c r="A3025" s="375">
        <v>3024</v>
      </c>
      <c r="B3025" s="376">
        <v>44515</v>
      </c>
      <c r="C3025" s="376">
        <v>44531</v>
      </c>
      <c r="D3025" s="377" t="s">
        <v>1092</v>
      </c>
      <c r="E3025" s="377" t="s">
        <v>422</v>
      </c>
      <c r="F3025" s="377" t="s">
        <v>701</v>
      </c>
      <c r="G3025" s="377" t="s">
        <v>6132</v>
      </c>
      <c r="H3025" s="377" t="s">
        <v>6135</v>
      </c>
      <c r="I3025" s="380">
        <v>178081.5</v>
      </c>
    </row>
    <row r="3026" spans="1:9" x14ac:dyDescent="0.2">
      <c r="A3026" s="375">
        <v>3025</v>
      </c>
      <c r="B3026" s="376">
        <v>44515</v>
      </c>
      <c r="C3026" s="376">
        <v>44531</v>
      </c>
      <c r="D3026" s="377" t="s">
        <v>1092</v>
      </c>
      <c r="E3026" s="377" t="s">
        <v>422</v>
      </c>
      <c r="F3026" s="377" t="s">
        <v>701</v>
      </c>
      <c r="G3026" s="377" t="s">
        <v>6133</v>
      </c>
      <c r="H3026" s="377" t="s">
        <v>6136</v>
      </c>
      <c r="I3026" s="380">
        <v>37500</v>
      </c>
    </row>
    <row r="3027" spans="1:9" x14ac:dyDescent="0.2">
      <c r="A3027" s="375">
        <v>3026</v>
      </c>
      <c r="B3027" s="376">
        <v>44515</v>
      </c>
      <c r="C3027" s="376">
        <v>44531</v>
      </c>
      <c r="D3027" s="377" t="s">
        <v>1092</v>
      </c>
      <c r="E3027" s="377" t="s">
        <v>422</v>
      </c>
      <c r="F3027" s="377" t="s">
        <v>701</v>
      </c>
      <c r="G3027" s="377" t="s">
        <v>6134</v>
      </c>
      <c r="H3027" s="377" t="s">
        <v>6137</v>
      </c>
      <c r="I3027" s="380">
        <v>196746.92</v>
      </c>
    </row>
    <row r="3028" spans="1:9" x14ac:dyDescent="0.2">
      <c r="A3028" s="375">
        <v>3027</v>
      </c>
      <c r="B3028" s="376">
        <v>44519</v>
      </c>
      <c r="C3028" s="376">
        <v>44552</v>
      </c>
      <c r="D3028" s="377" t="s">
        <v>1092</v>
      </c>
      <c r="E3028" s="377" t="s">
        <v>422</v>
      </c>
      <c r="F3028" s="377" t="s">
        <v>396</v>
      </c>
      <c r="G3028" s="377" t="s">
        <v>6138</v>
      </c>
      <c r="H3028" s="377" t="s">
        <v>6143</v>
      </c>
      <c r="I3028" s="380">
        <v>430000</v>
      </c>
    </row>
    <row r="3029" spans="1:9" x14ac:dyDescent="0.2">
      <c r="A3029" s="375">
        <v>3028</v>
      </c>
      <c r="B3029" s="376">
        <v>44519</v>
      </c>
      <c r="C3029" s="376">
        <v>44543</v>
      </c>
      <c r="D3029" s="377" t="s">
        <v>1092</v>
      </c>
      <c r="E3029" s="377" t="s">
        <v>422</v>
      </c>
      <c r="F3029" s="377" t="s">
        <v>701</v>
      </c>
      <c r="G3029" s="377" t="s">
        <v>6139</v>
      </c>
      <c r="H3029" s="377" t="s">
        <v>6144</v>
      </c>
      <c r="I3029" s="380">
        <v>37290</v>
      </c>
    </row>
    <row r="3030" spans="1:9" x14ac:dyDescent="0.2">
      <c r="A3030" s="375">
        <v>3029</v>
      </c>
      <c r="B3030" s="376">
        <v>44519</v>
      </c>
      <c r="C3030" s="376">
        <v>44552</v>
      </c>
      <c r="D3030" s="377" t="s">
        <v>1092</v>
      </c>
      <c r="E3030" s="377" t="s">
        <v>422</v>
      </c>
      <c r="F3030" s="377" t="s">
        <v>701</v>
      </c>
      <c r="G3030" s="377" t="s">
        <v>6140</v>
      </c>
      <c r="H3030" s="377" t="s">
        <v>6145</v>
      </c>
      <c r="I3030" s="380">
        <v>341900</v>
      </c>
    </row>
    <row r="3031" spans="1:9" x14ac:dyDescent="0.2">
      <c r="A3031" s="375">
        <v>3030</v>
      </c>
      <c r="B3031" s="376">
        <v>44519</v>
      </c>
      <c r="C3031" s="376">
        <v>44552</v>
      </c>
      <c r="D3031" s="377" t="s">
        <v>1092</v>
      </c>
      <c r="E3031" s="377" t="s">
        <v>422</v>
      </c>
      <c r="F3031" s="377" t="s">
        <v>701</v>
      </c>
      <c r="G3031" s="377" t="s">
        <v>6141</v>
      </c>
      <c r="H3031" s="377" t="s">
        <v>6146</v>
      </c>
      <c r="I3031" s="380">
        <v>249400</v>
      </c>
    </row>
    <row r="3032" spans="1:9" x14ac:dyDescent="0.2">
      <c r="A3032" s="375">
        <v>3031</v>
      </c>
      <c r="B3032" s="376">
        <v>44519</v>
      </c>
      <c r="C3032" s="376">
        <v>44543</v>
      </c>
      <c r="D3032" s="377" t="s">
        <v>1092</v>
      </c>
      <c r="E3032" s="377" t="s">
        <v>422</v>
      </c>
      <c r="F3032" s="377" t="s">
        <v>701</v>
      </c>
      <c r="G3032" s="377" t="s">
        <v>6142</v>
      </c>
      <c r="H3032" s="377" t="s">
        <v>6147</v>
      </c>
      <c r="I3032" s="380">
        <v>139970</v>
      </c>
    </row>
    <row r="3033" spans="1:9" x14ac:dyDescent="0.2">
      <c r="A3033" s="375">
        <v>3032</v>
      </c>
      <c r="B3033" s="376">
        <v>44522</v>
      </c>
      <c r="C3033" s="376">
        <v>44571</v>
      </c>
      <c r="D3033" s="377" t="s">
        <v>1092</v>
      </c>
      <c r="E3033" s="377" t="s">
        <v>392</v>
      </c>
      <c r="F3033" s="377" t="s">
        <v>393</v>
      </c>
      <c r="G3033" s="377" t="s">
        <v>6148</v>
      </c>
      <c r="H3033" s="377" t="s">
        <v>6151</v>
      </c>
      <c r="I3033" s="380">
        <v>99136.71</v>
      </c>
    </row>
    <row r="3034" spans="1:9" x14ac:dyDescent="0.2">
      <c r="A3034" s="375">
        <v>3033</v>
      </c>
      <c r="B3034" s="376">
        <v>44522</v>
      </c>
      <c r="C3034" s="376">
        <v>44571</v>
      </c>
      <c r="D3034" s="377" t="s">
        <v>1092</v>
      </c>
      <c r="E3034" s="377" t="s">
        <v>392</v>
      </c>
      <c r="F3034" s="377" t="s">
        <v>71</v>
      </c>
      <c r="G3034" s="377" t="s">
        <v>6149</v>
      </c>
      <c r="H3034" s="377" t="s">
        <v>6152</v>
      </c>
      <c r="I3034" s="380">
        <v>56073.27</v>
      </c>
    </row>
    <row r="3035" spans="1:9" x14ac:dyDescent="0.2">
      <c r="A3035" s="375">
        <v>3034</v>
      </c>
      <c r="B3035" s="376">
        <v>44522</v>
      </c>
      <c r="C3035" s="376">
        <v>44571</v>
      </c>
      <c r="D3035" s="377" t="s">
        <v>1092</v>
      </c>
      <c r="E3035" s="377" t="s">
        <v>392</v>
      </c>
      <c r="F3035" s="377" t="s">
        <v>393</v>
      </c>
      <c r="G3035" s="377" t="s">
        <v>6150</v>
      </c>
      <c r="H3035" s="377" t="s">
        <v>6153</v>
      </c>
      <c r="I3035" s="380">
        <v>24091.919999999998</v>
      </c>
    </row>
    <row r="3036" spans="1:9" x14ac:dyDescent="0.2">
      <c r="A3036" s="375">
        <v>3035</v>
      </c>
      <c r="B3036" s="376">
        <v>44524</v>
      </c>
      <c r="C3036" s="376">
        <v>44543</v>
      </c>
      <c r="D3036" s="377" t="s">
        <v>1092</v>
      </c>
      <c r="E3036" s="377" t="s">
        <v>422</v>
      </c>
      <c r="F3036" s="377" t="s">
        <v>396</v>
      </c>
      <c r="G3036" s="377" t="s">
        <v>6154</v>
      </c>
      <c r="H3036" s="377" t="s">
        <v>6159</v>
      </c>
      <c r="I3036" s="380">
        <v>39598.870000000003</v>
      </c>
    </row>
    <row r="3037" spans="1:9" x14ac:dyDescent="0.2">
      <c r="A3037" s="375">
        <v>3036</v>
      </c>
      <c r="B3037" s="376">
        <v>44524</v>
      </c>
      <c r="C3037" s="376">
        <v>44543</v>
      </c>
      <c r="D3037" s="377" t="s">
        <v>1092</v>
      </c>
      <c r="E3037" s="377" t="s">
        <v>422</v>
      </c>
      <c r="F3037" s="377" t="s">
        <v>396</v>
      </c>
      <c r="G3037" s="377" t="s">
        <v>6155</v>
      </c>
      <c r="H3037" s="377" t="s">
        <v>6159</v>
      </c>
      <c r="I3037" s="380">
        <v>3303.11</v>
      </c>
    </row>
    <row r="3038" spans="1:9" x14ac:dyDescent="0.2">
      <c r="A3038" s="375">
        <v>3037</v>
      </c>
      <c r="B3038" s="376">
        <v>44524</v>
      </c>
      <c r="C3038" s="376">
        <v>44543</v>
      </c>
      <c r="D3038" s="377" t="s">
        <v>1092</v>
      </c>
      <c r="E3038" s="377" t="s">
        <v>422</v>
      </c>
      <c r="F3038" s="377" t="s">
        <v>71</v>
      </c>
      <c r="G3038" s="377" t="s">
        <v>6156</v>
      </c>
      <c r="H3038" s="377" t="s">
        <v>6160</v>
      </c>
      <c r="I3038" s="380">
        <v>1204.49</v>
      </c>
    </row>
    <row r="3039" spans="1:9" x14ac:dyDescent="0.2">
      <c r="A3039" s="375">
        <v>3038</v>
      </c>
      <c r="B3039" s="376">
        <v>44524</v>
      </c>
      <c r="C3039" s="376">
        <v>44543</v>
      </c>
      <c r="D3039" s="377" t="s">
        <v>1092</v>
      </c>
      <c r="E3039" s="377" t="s">
        <v>422</v>
      </c>
      <c r="F3039" s="377" t="s">
        <v>71</v>
      </c>
      <c r="G3039" s="377" t="s">
        <v>6157</v>
      </c>
      <c r="H3039" s="377" t="s">
        <v>6160</v>
      </c>
      <c r="I3039" s="380">
        <v>14638.48</v>
      </c>
    </row>
    <row r="3040" spans="1:9" x14ac:dyDescent="0.2">
      <c r="A3040" s="375">
        <v>3039</v>
      </c>
      <c r="B3040" s="376">
        <v>44524</v>
      </c>
      <c r="C3040" s="376">
        <v>44543</v>
      </c>
      <c r="D3040" s="377" t="s">
        <v>1092</v>
      </c>
      <c r="E3040" s="377" t="s">
        <v>422</v>
      </c>
      <c r="F3040" s="377" t="s">
        <v>396</v>
      </c>
      <c r="G3040" s="377" t="s">
        <v>6158</v>
      </c>
      <c r="H3040" s="377" t="s">
        <v>6161</v>
      </c>
      <c r="I3040" s="380">
        <v>11431.06</v>
      </c>
    </row>
    <row r="3041" spans="1:9" x14ac:dyDescent="0.2">
      <c r="A3041" s="375">
        <v>3040</v>
      </c>
      <c r="B3041" s="376">
        <v>44525</v>
      </c>
      <c r="C3041" s="376">
        <v>44543</v>
      </c>
      <c r="D3041" s="377" t="s">
        <v>1092</v>
      </c>
      <c r="E3041" s="377" t="s">
        <v>422</v>
      </c>
      <c r="F3041" s="377" t="s">
        <v>396</v>
      </c>
      <c r="G3041" s="377" t="s">
        <v>6079</v>
      </c>
      <c r="H3041" s="377" t="s">
        <v>6088</v>
      </c>
      <c r="I3041" s="380">
        <v>29730.67</v>
      </c>
    </row>
    <row r="3042" spans="1:9" x14ac:dyDescent="0.2">
      <c r="A3042" s="375">
        <v>3041</v>
      </c>
      <c r="B3042" s="376">
        <v>44527</v>
      </c>
      <c r="C3042" s="376">
        <v>44543</v>
      </c>
      <c r="D3042" s="377" t="s">
        <v>1092</v>
      </c>
      <c r="E3042" s="377" t="s">
        <v>392</v>
      </c>
      <c r="F3042" s="377" t="s">
        <v>71</v>
      </c>
      <c r="G3042" s="377" t="s">
        <v>6162</v>
      </c>
      <c r="H3042" s="377" t="s">
        <v>6163</v>
      </c>
      <c r="I3042" s="380">
        <v>71871.45</v>
      </c>
    </row>
    <row r="3043" spans="1:9" x14ac:dyDescent="0.2">
      <c r="A3043" s="375">
        <v>3042</v>
      </c>
      <c r="B3043" s="376">
        <v>44526</v>
      </c>
      <c r="C3043" s="376">
        <v>44543</v>
      </c>
      <c r="D3043" s="377" t="s">
        <v>1092</v>
      </c>
      <c r="E3043" s="377" t="s">
        <v>392</v>
      </c>
      <c r="F3043" s="377" t="s">
        <v>393</v>
      </c>
      <c r="G3043" s="377" t="s">
        <v>6164</v>
      </c>
      <c r="H3043" s="377" t="s">
        <v>6166</v>
      </c>
      <c r="I3043" s="380">
        <v>29281.74</v>
      </c>
    </row>
    <row r="3044" spans="1:9" x14ac:dyDescent="0.2">
      <c r="A3044" s="375">
        <v>3043</v>
      </c>
      <c r="B3044" s="376">
        <v>44526</v>
      </c>
      <c r="C3044" s="376">
        <v>44543</v>
      </c>
      <c r="D3044" s="377" t="s">
        <v>1092</v>
      </c>
      <c r="E3044" s="377" t="s">
        <v>392</v>
      </c>
      <c r="F3044" s="377" t="s">
        <v>393</v>
      </c>
      <c r="G3044" s="377" t="s">
        <v>6165</v>
      </c>
      <c r="H3044" s="377" t="s">
        <v>6167</v>
      </c>
      <c r="I3044" s="380">
        <v>131377.70000000001</v>
      </c>
    </row>
    <row r="3045" spans="1:9" x14ac:dyDescent="0.2">
      <c r="A3045" s="375">
        <v>3044</v>
      </c>
      <c r="B3045" s="376">
        <v>44529</v>
      </c>
      <c r="C3045" s="376">
        <v>44571</v>
      </c>
      <c r="D3045" s="377" t="s">
        <v>1092</v>
      </c>
      <c r="E3045" s="377" t="s">
        <v>422</v>
      </c>
      <c r="F3045" s="377" t="s">
        <v>701</v>
      </c>
      <c r="G3045" s="377" t="s">
        <v>6168</v>
      </c>
      <c r="H3045" s="377" t="s">
        <v>6171</v>
      </c>
      <c r="I3045" s="380">
        <v>32131.040000000001</v>
      </c>
    </row>
    <row r="3046" spans="1:9" x14ac:dyDescent="0.2">
      <c r="A3046" s="375">
        <v>3045</v>
      </c>
      <c r="B3046" s="376">
        <v>44529</v>
      </c>
      <c r="C3046" s="376">
        <v>44571</v>
      </c>
      <c r="D3046" s="377" t="s">
        <v>1092</v>
      </c>
      <c r="E3046" s="377" t="s">
        <v>392</v>
      </c>
      <c r="F3046" s="377" t="s">
        <v>393</v>
      </c>
      <c r="G3046" s="377" t="s">
        <v>6169</v>
      </c>
      <c r="H3046" s="377" t="s">
        <v>6172</v>
      </c>
      <c r="I3046" s="380">
        <v>29500</v>
      </c>
    </row>
    <row r="3047" spans="1:9" x14ac:dyDescent="0.2">
      <c r="A3047" s="375">
        <v>3046</v>
      </c>
      <c r="B3047" s="376">
        <v>44529</v>
      </c>
      <c r="C3047" s="376">
        <v>44550</v>
      </c>
      <c r="D3047" s="377" t="s">
        <v>1092</v>
      </c>
      <c r="E3047" s="377" t="s">
        <v>392</v>
      </c>
      <c r="F3047" s="377" t="s">
        <v>701</v>
      </c>
      <c r="G3047" s="377" t="s">
        <v>6170</v>
      </c>
      <c r="H3047" s="377" t="s">
        <v>6173</v>
      </c>
      <c r="I3047" s="380">
        <v>100000</v>
      </c>
    </row>
    <row r="3048" spans="1:9" x14ac:dyDescent="0.2">
      <c r="A3048" s="375">
        <v>3047</v>
      </c>
      <c r="B3048" s="376">
        <v>44533</v>
      </c>
      <c r="C3048" s="376">
        <v>44566</v>
      </c>
      <c r="D3048" s="377" t="s">
        <v>1092</v>
      </c>
      <c r="E3048" s="377" t="s">
        <v>422</v>
      </c>
      <c r="F3048" s="377" t="s">
        <v>396</v>
      </c>
      <c r="G3048" s="377" t="s">
        <v>6174</v>
      </c>
      <c r="H3048" s="377" t="s">
        <v>6181</v>
      </c>
      <c r="I3048" s="380">
        <v>10654.25</v>
      </c>
    </row>
    <row r="3049" spans="1:9" x14ac:dyDescent="0.2">
      <c r="A3049" s="375">
        <v>3048</v>
      </c>
      <c r="B3049" s="376">
        <v>44533</v>
      </c>
      <c r="C3049" s="376">
        <v>44566</v>
      </c>
      <c r="D3049" s="377" t="s">
        <v>1092</v>
      </c>
      <c r="E3049" s="377" t="s">
        <v>422</v>
      </c>
      <c r="F3049" s="377" t="s">
        <v>71</v>
      </c>
      <c r="G3049" s="377" t="s">
        <v>6175</v>
      </c>
      <c r="H3049" s="377" t="s">
        <v>6182</v>
      </c>
      <c r="I3049" s="380">
        <v>21305.99</v>
      </c>
    </row>
    <row r="3050" spans="1:9" x14ac:dyDescent="0.2">
      <c r="A3050" s="375">
        <v>3049</v>
      </c>
      <c r="B3050" s="376">
        <v>44533</v>
      </c>
      <c r="C3050" s="376">
        <v>44566</v>
      </c>
      <c r="D3050" s="377" t="s">
        <v>1092</v>
      </c>
      <c r="E3050" s="377" t="s">
        <v>422</v>
      </c>
      <c r="F3050" s="377" t="s">
        <v>1285</v>
      </c>
      <c r="G3050" s="377" t="s">
        <v>6176</v>
      </c>
      <c r="H3050" s="377" t="s">
        <v>6183</v>
      </c>
      <c r="I3050" s="380">
        <v>84190</v>
      </c>
    </row>
    <row r="3051" spans="1:9" x14ac:dyDescent="0.2">
      <c r="A3051" s="375">
        <v>3050</v>
      </c>
      <c r="B3051" s="376">
        <v>44533</v>
      </c>
      <c r="C3051" s="376">
        <v>44566</v>
      </c>
      <c r="D3051" s="377" t="s">
        <v>1092</v>
      </c>
      <c r="E3051" s="377" t="s">
        <v>422</v>
      </c>
      <c r="F3051" s="377" t="s">
        <v>396</v>
      </c>
      <c r="G3051" s="377" t="s">
        <v>6177</v>
      </c>
      <c r="H3051" s="377" t="s">
        <v>6184</v>
      </c>
      <c r="I3051" s="380">
        <v>70540.3</v>
      </c>
    </row>
    <row r="3052" spans="1:9" x14ac:dyDescent="0.2">
      <c r="A3052" s="375">
        <v>3051</v>
      </c>
      <c r="B3052" s="376">
        <v>44537</v>
      </c>
      <c r="C3052" s="376">
        <v>44564</v>
      </c>
      <c r="D3052" s="377" t="s">
        <v>1092</v>
      </c>
      <c r="E3052" s="377" t="s">
        <v>392</v>
      </c>
      <c r="F3052" s="377" t="s">
        <v>2224</v>
      </c>
      <c r="G3052" s="377" t="s">
        <v>6178</v>
      </c>
      <c r="H3052" s="377" t="s">
        <v>6185</v>
      </c>
      <c r="I3052" s="380">
        <v>1477951.6</v>
      </c>
    </row>
    <row r="3053" spans="1:9" x14ac:dyDescent="0.2">
      <c r="A3053" s="375">
        <v>3052</v>
      </c>
      <c r="B3053" s="376">
        <v>44539</v>
      </c>
      <c r="C3053" s="376">
        <v>44571</v>
      </c>
      <c r="D3053" s="377" t="s">
        <v>1092</v>
      </c>
      <c r="E3053" s="377" t="s">
        <v>422</v>
      </c>
      <c r="F3053" s="377" t="s">
        <v>396</v>
      </c>
      <c r="G3053" s="377" t="s">
        <v>6179</v>
      </c>
      <c r="H3053" s="377" t="s">
        <v>6186</v>
      </c>
      <c r="I3053" s="380">
        <v>288413.59999999998</v>
      </c>
    </row>
    <row r="3054" spans="1:9" x14ac:dyDescent="0.2">
      <c r="A3054" s="375">
        <v>3053</v>
      </c>
      <c r="B3054" s="376">
        <v>44539</v>
      </c>
      <c r="C3054" s="376">
        <v>44566</v>
      </c>
      <c r="D3054" s="377" t="s">
        <v>1092</v>
      </c>
      <c r="E3054" s="377" t="s">
        <v>422</v>
      </c>
      <c r="F3054" s="377" t="s">
        <v>701</v>
      </c>
      <c r="G3054" s="377" t="s">
        <v>6180</v>
      </c>
      <c r="H3054" s="377" t="s">
        <v>6187</v>
      </c>
      <c r="I3054" s="380">
        <v>52375</v>
      </c>
    </row>
    <row r="3055" spans="1:9" x14ac:dyDescent="0.2">
      <c r="A3055" s="375">
        <v>3054</v>
      </c>
      <c r="B3055" s="376">
        <v>44543</v>
      </c>
      <c r="C3055" s="376">
        <v>44573</v>
      </c>
      <c r="D3055" s="377" t="s">
        <v>1092</v>
      </c>
      <c r="E3055" s="377" t="s">
        <v>392</v>
      </c>
      <c r="F3055" s="377" t="s">
        <v>396</v>
      </c>
      <c r="G3055" s="377" t="s">
        <v>6190</v>
      </c>
      <c r="H3055" s="377" t="s">
        <v>6032</v>
      </c>
      <c r="I3055" s="380">
        <v>91553.47</v>
      </c>
    </row>
    <row r="3056" spans="1:9" x14ac:dyDescent="0.2">
      <c r="A3056" s="375">
        <v>3055</v>
      </c>
      <c r="B3056" s="376">
        <v>44545</v>
      </c>
      <c r="C3056" s="376">
        <v>44571</v>
      </c>
      <c r="D3056" s="377" t="s">
        <v>1092</v>
      </c>
      <c r="E3056" s="377" t="s">
        <v>422</v>
      </c>
      <c r="F3056" s="377" t="s">
        <v>396</v>
      </c>
      <c r="G3056" s="377" t="s">
        <v>6191</v>
      </c>
      <c r="H3056" s="377" t="s">
        <v>6195</v>
      </c>
      <c r="I3056" s="380">
        <v>41247.11</v>
      </c>
    </row>
    <row r="3057" spans="1:9" x14ac:dyDescent="0.2">
      <c r="A3057" s="375">
        <v>3056</v>
      </c>
      <c r="B3057" s="376">
        <v>44545</v>
      </c>
      <c r="C3057" s="376">
        <v>44578</v>
      </c>
      <c r="D3057" s="377" t="s">
        <v>1092</v>
      </c>
      <c r="E3057" s="377" t="s">
        <v>422</v>
      </c>
      <c r="F3057" s="377" t="s">
        <v>396</v>
      </c>
      <c r="G3057" s="377" t="s">
        <v>6192</v>
      </c>
      <c r="H3057" s="377" t="s">
        <v>6196</v>
      </c>
      <c r="I3057" s="380">
        <v>11241.62</v>
      </c>
    </row>
    <row r="3058" spans="1:9" x14ac:dyDescent="0.2">
      <c r="A3058" s="375">
        <v>3057</v>
      </c>
      <c r="B3058" s="376">
        <v>44545</v>
      </c>
      <c r="C3058" s="376">
        <v>44578</v>
      </c>
      <c r="D3058" s="377" t="s">
        <v>1092</v>
      </c>
      <c r="E3058" s="377" t="s">
        <v>422</v>
      </c>
      <c r="F3058" s="377" t="s">
        <v>71</v>
      </c>
      <c r="G3058" s="377" t="s">
        <v>6193</v>
      </c>
      <c r="H3058" s="377" t="s">
        <v>6197</v>
      </c>
      <c r="I3058" s="380">
        <v>8439.06</v>
      </c>
    </row>
    <row r="3059" spans="1:9" x14ac:dyDescent="0.2">
      <c r="A3059" s="375">
        <v>3058</v>
      </c>
      <c r="B3059" s="376">
        <v>44545</v>
      </c>
      <c r="C3059" s="376">
        <v>44578</v>
      </c>
      <c r="D3059" s="377" t="s">
        <v>1092</v>
      </c>
      <c r="E3059" s="377" t="s">
        <v>422</v>
      </c>
      <c r="F3059" s="377" t="s">
        <v>396</v>
      </c>
      <c r="G3059" s="377" t="s">
        <v>6194</v>
      </c>
      <c r="H3059" s="377" t="s">
        <v>6198</v>
      </c>
      <c r="I3059" s="380">
        <v>29528</v>
      </c>
    </row>
    <row r="3060" spans="1:9" x14ac:dyDescent="0.2">
      <c r="A3060" s="375">
        <v>3059</v>
      </c>
      <c r="B3060" s="376">
        <v>44547</v>
      </c>
      <c r="C3060" s="376">
        <v>44573</v>
      </c>
      <c r="D3060" s="377" t="s">
        <v>1092</v>
      </c>
      <c r="E3060" s="377" t="s">
        <v>422</v>
      </c>
      <c r="F3060" s="377" t="s">
        <v>701</v>
      </c>
      <c r="G3060" s="377" t="s">
        <v>6199</v>
      </c>
      <c r="H3060" s="377" t="s">
        <v>6202</v>
      </c>
      <c r="I3060" s="380">
        <v>52500</v>
      </c>
    </row>
    <row r="3061" spans="1:9" x14ac:dyDescent="0.2">
      <c r="A3061" s="375">
        <v>3060</v>
      </c>
      <c r="B3061" s="376">
        <v>44547</v>
      </c>
      <c r="C3061" s="376">
        <v>44573</v>
      </c>
      <c r="D3061" s="377" t="s">
        <v>1092</v>
      </c>
      <c r="E3061" s="377" t="s">
        <v>422</v>
      </c>
      <c r="F3061" s="377" t="s">
        <v>396</v>
      </c>
      <c r="G3061" s="377" t="s">
        <v>6200</v>
      </c>
      <c r="H3061" s="377" t="s">
        <v>6203</v>
      </c>
      <c r="I3061" s="380">
        <v>98940.46</v>
      </c>
    </row>
    <row r="3062" spans="1:9" x14ac:dyDescent="0.2">
      <c r="A3062" s="375">
        <v>3061</v>
      </c>
      <c r="B3062" s="376">
        <v>44547</v>
      </c>
      <c r="C3062" s="376">
        <v>44573</v>
      </c>
      <c r="D3062" s="377" t="s">
        <v>1092</v>
      </c>
      <c r="E3062" s="377" t="s">
        <v>422</v>
      </c>
      <c r="F3062" s="377" t="s">
        <v>396</v>
      </c>
      <c r="G3062" s="377" t="s">
        <v>6201</v>
      </c>
      <c r="H3062" s="377" t="s">
        <v>6204</v>
      </c>
      <c r="I3062" s="380">
        <v>71646.539999999994</v>
      </c>
    </row>
    <row r="3063" spans="1:9" x14ac:dyDescent="0.2">
      <c r="A3063" s="375">
        <v>3062</v>
      </c>
      <c r="B3063" s="376">
        <v>44550</v>
      </c>
      <c r="C3063" s="376">
        <v>44220</v>
      </c>
      <c r="D3063" s="377" t="s">
        <v>1092</v>
      </c>
      <c r="E3063" s="377" t="s">
        <v>392</v>
      </c>
      <c r="F3063" s="377" t="s">
        <v>71</v>
      </c>
      <c r="G3063" s="377" t="s">
        <v>6205</v>
      </c>
      <c r="H3063" s="377" t="s">
        <v>6211</v>
      </c>
      <c r="I3063" s="380">
        <v>276467.67</v>
      </c>
    </row>
    <row r="3064" spans="1:9" x14ac:dyDescent="0.2">
      <c r="A3064" s="375">
        <v>3063</v>
      </c>
      <c r="B3064" s="376">
        <v>44550</v>
      </c>
      <c r="C3064" s="376">
        <v>44578</v>
      </c>
      <c r="D3064" s="377" t="s">
        <v>1092</v>
      </c>
      <c r="E3064" s="377" t="s">
        <v>422</v>
      </c>
      <c r="F3064" s="377" t="s">
        <v>701</v>
      </c>
      <c r="G3064" s="377" t="s">
        <v>6206</v>
      </c>
      <c r="H3064" s="377" t="s">
        <v>6212</v>
      </c>
      <c r="I3064" s="380">
        <v>14350</v>
      </c>
    </row>
    <row r="3065" spans="1:9" x14ac:dyDescent="0.2">
      <c r="A3065" s="375">
        <v>3064</v>
      </c>
      <c r="B3065" s="376">
        <v>44550</v>
      </c>
      <c r="C3065" s="376">
        <v>44585</v>
      </c>
      <c r="D3065" s="377" t="s">
        <v>1092</v>
      </c>
      <c r="E3065" s="377" t="s">
        <v>392</v>
      </c>
      <c r="F3065" s="377" t="s">
        <v>393</v>
      </c>
      <c r="G3065" s="377" t="s">
        <v>6207</v>
      </c>
      <c r="H3065" s="377" t="s">
        <v>6213</v>
      </c>
      <c r="I3065" s="380">
        <v>610000</v>
      </c>
    </row>
    <row r="3066" spans="1:9" x14ac:dyDescent="0.2">
      <c r="A3066" s="375">
        <v>3065</v>
      </c>
      <c r="B3066" s="376">
        <v>44550</v>
      </c>
      <c r="C3066" s="376">
        <v>44578</v>
      </c>
      <c r="D3066" s="377" t="s">
        <v>1092</v>
      </c>
      <c r="E3066" s="377" t="s">
        <v>392</v>
      </c>
      <c r="F3066" s="377" t="s">
        <v>393</v>
      </c>
      <c r="G3066" s="377" t="s">
        <v>6208</v>
      </c>
      <c r="H3066" s="377" t="s">
        <v>6214</v>
      </c>
      <c r="I3066" s="380">
        <v>135360.78</v>
      </c>
    </row>
    <row r="3067" spans="1:9" x14ac:dyDescent="0.2">
      <c r="A3067" s="375">
        <v>3066</v>
      </c>
      <c r="B3067" s="376">
        <v>44550</v>
      </c>
      <c r="C3067" s="376">
        <v>44578</v>
      </c>
      <c r="D3067" s="377" t="s">
        <v>1092</v>
      </c>
      <c r="E3067" s="377" t="s">
        <v>422</v>
      </c>
      <c r="F3067" s="377" t="s">
        <v>701</v>
      </c>
      <c r="G3067" s="377" t="s">
        <v>6209</v>
      </c>
      <c r="H3067" s="377" t="s">
        <v>6215</v>
      </c>
      <c r="I3067" s="380">
        <v>16750</v>
      </c>
    </row>
    <row r="3068" spans="1:9" x14ac:dyDescent="0.2">
      <c r="A3068" s="375">
        <v>3067</v>
      </c>
      <c r="B3068" s="376">
        <v>44550</v>
      </c>
      <c r="C3068" s="376">
        <v>44578</v>
      </c>
      <c r="D3068" s="377" t="s">
        <v>1092</v>
      </c>
      <c r="E3068" s="377" t="s">
        <v>422</v>
      </c>
      <c r="F3068" s="377" t="s">
        <v>701</v>
      </c>
      <c r="G3068" s="377" t="s">
        <v>6210</v>
      </c>
      <c r="H3068" s="377" t="s">
        <v>6216</v>
      </c>
      <c r="I3068" s="380">
        <v>31000</v>
      </c>
    </row>
    <row r="3069" spans="1:9" x14ac:dyDescent="0.2">
      <c r="A3069" s="375">
        <v>3068</v>
      </c>
      <c r="B3069" s="376">
        <v>44551</v>
      </c>
      <c r="C3069" s="376">
        <v>44578</v>
      </c>
      <c r="D3069" s="377" t="s">
        <v>1092</v>
      </c>
      <c r="E3069" s="377" t="s">
        <v>422</v>
      </c>
      <c r="F3069" s="377" t="s">
        <v>701</v>
      </c>
      <c r="G3069" s="377" t="s">
        <v>6217</v>
      </c>
      <c r="H3069" s="377" t="s">
        <v>6220</v>
      </c>
      <c r="I3069" s="380">
        <v>108000</v>
      </c>
    </row>
    <row r="3070" spans="1:9" x14ac:dyDescent="0.2">
      <c r="A3070" s="375">
        <v>3069</v>
      </c>
      <c r="B3070" s="376">
        <v>44551</v>
      </c>
      <c r="C3070" s="376">
        <v>44580</v>
      </c>
      <c r="D3070" s="377" t="s">
        <v>1092</v>
      </c>
      <c r="E3070" s="377" t="s">
        <v>392</v>
      </c>
      <c r="F3070" s="377" t="s">
        <v>2224</v>
      </c>
      <c r="G3070" s="377" t="s">
        <v>6218</v>
      </c>
      <c r="H3070" s="377" t="s">
        <v>6221</v>
      </c>
      <c r="I3070" s="380">
        <v>68000</v>
      </c>
    </row>
    <row r="3071" spans="1:9" x14ac:dyDescent="0.2">
      <c r="A3071" s="375">
        <v>3070</v>
      </c>
      <c r="B3071" s="376">
        <v>44551</v>
      </c>
      <c r="C3071" s="376">
        <v>44580</v>
      </c>
      <c r="D3071" s="377" t="s">
        <v>1092</v>
      </c>
      <c r="E3071" s="377" t="s">
        <v>422</v>
      </c>
      <c r="F3071" s="377" t="s">
        <v>701</v>
      </c>
      <c r="G3071" s="377" t="s">
        <v>6219</v>
      </c>
      <c r="H3071" s="377" t="s">
        <v>6222</v>
      </c>
      <c r="I3071" s="380">
        <v>42440</v>
      </c>
    </row>
    <row r="3072" spans="1:9" x14ac:dyDescent="0.2">
      <c r="A3072" s="375">
        <v>3071</v>
      </c>
      <c r="B3072" s="376">
        <v>44553</v>
      </c>
      <c r="C3072" s="376">
        <v>44580</v>
      </c>
      <c r="D3072" s="377" t="s">
        <v>1092</v>
      </c>
      <c r="E3072" s="377" t="s">
        <v>422</v>
      </c>
      <c r="F3072" s="377" t="s">
        <v>701</v>
      </c>
      <c r="G3072" s="377" t="s">
        <v>6223</v>
      </c>
      <c r="H3072" s="377" t="s">
        <v>6236</v>
      </c>
      <c r="I3072" s="380">
        <v>14500</v>
      </c>
    </row>
    <row r="3073" spans="1:9" x14ac:dyDescent="0.2">
      <c r="A3073" s="375">
        <v>3072</v>
      </c>
      <c r="B3073" s="376">
        <v>44553</v>
      </c>
      <c r="C3073" s="376">
        <v>44580</v>
      </c>
      <c r="D3073" s="377" t="s">
        <v>1092</v>
      </c>
      <c r="E3073" s="377" t="s">
        <v>422</v>
      </c>
      <c r="F3073" s="377" t="s">
        <v>701</v>
      </c>
      <c r="G3073" s="377" t="s">
        <v>6224</v>
      </c>
      <c r="H3073" s="377" t="s">
        <v>6237</v>
      </c>
      <c r="I3073" s="380">
        <v>32900</v>
      </c>
    </row>
    <row r="3074" spans="1:9" x14ac:dyDescent="0.2">
      <c r="A3074" s="375">
        <v>3073</v>
      </c>
      <c r="B3074" s="376">
        <v>44554</v>
      </c>
      <c r="C3074" s="376">
        <v>44573</v>
      </c>
      <c r="D3074" s="377" t="s">
        <v>1092</v>
      </c>
      <c r="E3074" s="377" t="s">
        <v>422</v>
      </c>
      <c r="F3074" s="377" t="s">
        <v>701</v>
      </c>
      <c r="G3074" s="377" t="s">
        <v>6225</v>
      </c>
      <c r="H3074" s="377" t="s">
        <v>6238</v>
      </c>
      <c r="I3074" s="380">
        <v>44890</v>
      </c>
    </row>
    <row r="3075" spans="1:9" x14ac:dyDescent="0.2">
      <c r="A3075" s="375">
        <v>3074</v>
      </c>
      <c r="B3075" s="376">
        <v>44554</v>
      </c>
      <c r="C3075" s="376">
        <v>44573</v>
      </c>
      <c r="D3075" s="377" t="s">
        <v>1092</v>
      </c>
      <c r="E3075" s="377" t="s">
        <v>392</v>
      </c>
      <c r="F3075" s="377" t="s">
        <v>701</v>
      </c>
      <c r="G3075" s="377" t="s">
        <v>6226</v>
      </c>
      <c r="H3075" s="377" t="s">
        <v>6239</v>
      </c>
      <c r="I3075" s="380">
        <v>21780</v>
      </c>
    </row>
    <row r="3076" spans="1:9" x14ac:dyDescent="0.2">
      <c r="A3076" s="375">
        <v>3075</v>
      </c>
      <c r="B3076" s="376">
        <v>44554</v>
      </c>
      <c r="C3076" s="376">
        <v>44573</v>
      </c>
      <c r="D3076" s="377" t="s">
        <v>1092</v>
      </c>
      <c r="E3076" s="377" t="s">
        <v>422</v>
      </c>
      <c r="F3076" s="377" t="s">
        <v>701</v>
      </c>
      <c r="G3076" s="377" t="s">
        <v>6227</v>
      </c>
      <c r="H3076" s="377" t="s">
        <v>6240</v>
      </c>
      <c r="I3076" s="380">
        <v>53645.8</v>
      </c>
    </row>
    <row r="3077" spans="1:9" x14ac:dyDescent="0.2">
      <c r="A3077" s="375">
        <v>3076</v>
      </c>
      <c r="B3077" s="376">
        <v>44554</v>
      </c>
      <c r="C3077" s="376">
        <v>44573</v>
      </c>
      <c r="D3077" s="377" t="s">
        <v>1092</v>
      </c>
      <c r="E3077" s="377" t="s">
        <v>422</v>
      </c>
      <c r="F3077" s="377" t="s">
        <v>701</v>
      </c>
      <c r="G3077" s="377" t="s">
        <v>6228</v>
      </c>
      <c r="H3077" s="377" t="s">
        <v>6241</v>
      </c>
      <c r="I3077" s="380">
        <v>14721.94</v>
      </c>
    </row>
    <row r="3078" spans="1:9" x14ac:dyDescent="0.2">
      <c r="A3078" s="375">
        <v>3077</v>
      </c>
      <c r="B3078" s="376">
        <v>44554</v>
      </c>
      <c r="C3078" s="376">
        <v>44571</v>
      </c>
      <c r="D3078" s="377" t="s">
        <v>1092</v>
      </c>
      <c r="E3078" s="377" t="s">
        <v>392</v>
      </c>
      <c r="F3078" s="377" t="s">
        <v>2224</v>
      </c>
      <c r="G3078" s="377" t="s">
        <v>6229</v>
      </c>
      <c r="H3078" s="377" t="s">
        <v>6242</v>
      </c>
      <c r="I3078" s="380">
        <v>49980</v>
      </c>
    </row>
    <row r="3079" spans="1:9" x14ac:dyDescent="0.2">
      <c r="A3079" s="375">
        <v>3078</v>
      </c>
      <c r="B3079" s="376">
        <v>44558</v>
      </c>
      <c r="C3079" s="376">
        <v>44592</v>
      </c>
      <c r="D3079" s="377" t="s">
        <v>1092</v>
      </c>
      <c r="E3079" s="377" t="s">
        <v>422</v>
      </c>
      <c r="F3079" s="377" t="s">
        <v>701</v>
      </c>
      <c r="G3079" s="377" t="s">
        <v>6230</v>
      </c>
      <c r="H3079" s="377" t="s">
        <v>6243</v>
      </c>
      <c r="I3079" s="380">
        <v>251432</v>
      </c>
    </row>
    <row r="3080" spans="1:9" x14ac:dyDescent="0.2">
      <c r="A3080" s="375">
        <v>3079</v>
      </c>
      <c r="B3080" s="376">
        <v>44561</v>
      </c>
      <c r="C3080" s="376">
        <v>44585</v>
      </c>
      <c r="D3080" s="377" t="s">
        <v>1092</v>
      </c>
      <c r="E3080" s="377" t="s">
        <v>422</v>
      </c>
      <c r="F3080" s="377" t="s">
        <v>396</v>
      </c>
      <c r="G3080" s="377" t="s">
        <v>6231</v>
      </c>
      <c r="H3080" s="377" t="s">
        <v>6244</v>
      </c>
      <c r="I3080" s="380">
        <v>10046.709999999999</v>
      </c>
    </row>
    <row r="3081" spans="1:9" x14ac:dyDescent="0.2">
      <c r="A3081" s="375">
        <v>3080</v>
      </c>
      <c r="B3081" s="376">
        <v>44561</v>
      </c>
      <c r="C3081" s="376">
        <v>44585</v>
      </c>
      <c r="D3081" s="377" t="s">
        <v>1092</v>
      </c>
      <c r="E3081" s="377" t="s">
        <v>422</v>
      </c>
      <c r="F3081" s="377" t="s">
        <v>71</v>
      </c>
      <c r="G3081" s="377" t="s">
        <v>6232</v>
      </c>
      <c r="H3081" s="377" t="s">
        <v>6245</v>
      </c>
      <c r="I3081" s="380">
        <v>11964.3</v>
      </c>
    </row>
    <row r="3082" spans="1:9" x14ac:dyDescent="0.2">
      <c r="A3082" s="375">
        <v>3081</v>
      </c>
      <c r="B3082" s="376">
        <v>44561</v>
      </c>
      <c r="C3082" s="376">
        <v>44594</v>
      </c>
      <c r="D3082" s="377" t="s">
        <v>1092</v>
      </c>
      <c r="E3082" s="377" t="s">
        <v>422</v>
      </c>
      <c r="F3082" s="377" t="s">
        <v>396</v>
      </c>
      <c r="G3082" s="377" t="s">
        <v>6233</v>
      </c>
      <c r="H3082" s="377" t="s">
        <v>6246</v>
      </c>
      <c r="I3082" s="380">
        <v>351343.33</v>
      </c>
    </row>
    <row r="3083" spans="1:9" x14ac:dyDescent="0.2">
      <c r="A3083" s="375">
        <v>3082</v>
      </c>
      <c r="B3083" s="376">
        <v>44561</v>
      </c>
      <c r="C3083" s="376">
        <v>44585</v>
      </c>
      <c r="D3083" s="377" t="s">
        <v>1092</v>
      </c>
      <c r="E3083" s="377" t="s">
        <v>422</v>
      </c>
      <c r="F3083" s="377" t="s">
        <v>396</v>
      </c>
      <c r="G3083" s="377" t="s">
        <v>6234</v>
      </c>
      <c r="H3083" s="377" t="s">
        <v>6247</v>
      </c>
      <c r="I3083" s="380">
        <v>53943.73</v>
      </c>
    </row>
    <row r="3084" spans="1:9" x14ac:dyDescent="0.2">
      <c r="A3084" s="375">
        <v>3083</v>
      </c>
      <c r="B3084" s="376">
        <v>44565</v>
      </c>
      <c r="C3084" s="376">
        <v>44592</v>
      </c>
      <c r="D3084" s="377" t="s">
        <v>1092</v>
      </c>
      <c r="E3084" s="377" t="s">
        <v>392</v>
      </c>
      <c r="F3084" s="377" t="s">
        <v>701</v>
      </c>
      <c r="G3084" s="377" t="s">
        <v>6235</v>
      </c>
      <c r="H3084" s="377" t="s">
        <v>6248</v>
      </c>
      <c r="I3084" s="380">
        <v>321019</v>
      </c>
    </row>
    <row r="3085" spans="1:9" x14ac:dyDescent="0.2">
      <c r="A3085" s="375">
        <v>3084</v>
      </c>
      <c r="B3085" s="376">
        <v>44571</v>
      </c>
      <c r="C3085" s="376">
        <v>44587</v>
      </c>
      <c r="D3085" s="377" t="s">
        <v>1092</v>
      </c>
      <c r="E3085" s="377" t="s">
        <v>422</v>
      </c>
      <c r="F3085" s="377" t="s">
        <v>701</v>
      </c>
      <c r="G3085" s="377" t="s">
        <v>6251</v>
      </c>
      <c r="H3085" s="377" t="s">
        <v>6252</v>
      </c>
      <c r="I3085" s="380">
        <v>100000</v>
      </c>
    </row>
    <row r="3086" spans="1:9" x14ac:dyDescent="0.2">
      <c r="A3086" s="375">
        <v>3085</v>
      </c>
      <c r="B3086" s="376">
        <v>44573</v>
      </c>
      <c r="C3086" s="376">
        <v>44592</v>
      </c>
      <c r="D3086" s="377" t="s">
        <v>1092</v>
      </c>
      <c r="E3086" s="377" t="s">
        <v>392</v>
      </c>
      <c r="F3086" s="377" t="s">
        <v>701</v>
      </c>
      <c r="G3086" s="377" t="s">
        <v>6253</v>
      </c>
      <c r="H3086" s="377" t="s">
        <v>6256</v>
      </c>
      <c r="I3086" s="380">
        <v>56000</v>
      </c>
    </row>
    <row r="3087" spans="1:9" x14ac:dyDescent="0.2">
      <c r="A3087" s="375">
        <v>3086</v>
      </c>
      <c r="B3087" s="376">
        <v>44573</v>
      </c>
      <c r="C3087" s="376">
        <v>44599</v>
      </c>
      <c r="D3087" s="377" t="s">
        <v>1092</v>
      </c>
      <c r="E3087" s="377" t="s">
        <v>422</v>
      </c>
      <c r="F3087" s="377" t="s">
        <v>71</v>
      </c>
      <c r="G3087" s="377" t="s">
        <v>6254</v>
      </c>
      <c r="H3087" s="377" t="s">
        <v>6257</v>
      </c>
      <c r="I3087" s="380">
        <v>106460.79</v>
      </c>
    </row>
    <row r="3088" spans="1:9" x14ac:dyDescent="0.2">
      <c r="A3088" s="375">
        <v>3087</v>
      </c>
      <c r="B3088" s="376">
        <v>44573</v>
      </c>
      <c r="C3088" s="376">
        <v>44599</v>
      </c>
      <c r="D3088" s="377" t="s">
        <v>1092</v>
      </c>
      <c r="E3088" s="377" t="s">
        <v>422</v>
      </c>
      <c r="F3088" s="377" t="s">
        <v>396</v>
      </c>
      <c r="G3088" s="377" t="s">
        <v>6255</v>
      </c>
      <c r="H3088" s="377" t="s">
        <v>6258</v>
      </c>
      <c r="I3088" s="380">
        <v>35666.410000000003</v>
      </c>
    </row>
    <row r="3089" spans="1:10" x14ac:dyDescent="0.2">
      <c r="A3089" s="375">
        <v>3088</v>
      </c>
      <c r="B3089" s="376">
        <v>44581</v>
      </c>
      <c r="C3089" s="376">
        <v>44599</v>
      </c>
      <c r="D3089" s="377" t="s">
        <v>1092</v>
      </c>
      <c r="E3089" s="377" t="s">
        <v>422</v>
      </c>
      <c r="F3089" s="377" t="s">
        <v>396</v>
      </c>
      <c r="G3089" s="377" t="s">
        <v>6259</v>
      </c>
      <c r="H3089" s="377" t="s">
        <v>6262</v>
      </c>
      <c r="I3089" s="380">
        <v>148948.91</v>
      </c>
    </row>
    <row r="3090" spans="1:10" x14ac:dyDescent="0.2">
      <c r="A3090" s="375">
        <v>3089</v>
      </c>
      <c r="B3090" s="376">
        <v>44581</v>
      </c>
      <c r="C3090" s="376">
        <v>44599</v>
      </c>
      <c r="D3090" s="377" t="s">
        <v>1092</v>
      </c>
      <c r="E3090" s="377" t="s">
        <v>422</v>
      </c>
      <c r="F3090" s="377" t="s">
        <v>71</v>
      </c>
      <c r="G3090" s="377" t="s">
        <v>6260</v>
      </c>
      <c r="H3090" s="377" t="s">
        <v>6263</v>
      </c>
      <c r="I3090" s="380">
        <v>33773.9</v>
      </c>
    </row>
    <row r="3091" spans="1:10" x14ac:dyDescent="0.2">
      <c r="A3091" s="375">
        <v>3090</v>
      </c>
      <c r="B3091" s="376">
        <v>44581</v>
      </c>
      <c r="C3091" s="376">
        <v>44599</v>
      </c>
      <c r="D3091" s="377" t="s">
        <v>1092</v>
      </c>
      <c r="E3091" s="377" t="s">
        <v>422</v>
      </c>
      <c r="F3091" s="377" t="s">
        <v>396</v>
      </c>
      <c r="G3091" s="377" t="s">
        <v>6261</v>
      </c>
      <c r="H3091" s="377" t="s">
        <v>6264</v>
      </c>
      <c r="I3091" s="380">
        <v>8618.6200000000008</v>
      </c>
    </row>
    <row r="3092" spans="1:10" x14ac:dyDescent="0.2">
      <c r="A3092" s="375">
        <v>3091</v>
      </c>
      <c r="B3092" s="376">
        <v>44582</v>
      </c>
      <c r="C3092" s="376">
        <v>44599</v>
      </c>
      <c r="D3092" s="377" t="s">
        <v>1092</v>
      </c>
      <c r="E3092" s="377" t="s">
        <v>392</v>
      </c>
      <c r="F3092" s="377" t="s">
        <v>2224</v>
      </c>
      <c r="G3092" s="377" t="s">
        <v>6265</v>
      </c>
      <c r="H3092" s="377" t="s">
        <v>6266</v>
      </c>
      <c r="I3092" s="380">
        <v>43388.42</v>
      </c>
    </row>
    <row r="3093" spans="1:10" x14ac:dyDescent="0.2">
      <c r="A3093" s="375">
        <v>3092</v>
      </c>
      <c r="B3093" s="376">
        <v>44589</v>
      </c>
      <c r="C3093" s="376">
        <v>44606</v>
      </c>
      <c r="D3093" s="377" t="s">
        <v>1092</v>
      </c>
      <c r="E3093" s="377" t="s">
        <v>422</v>
      </c>
      <c r="F3093" s="377" t="s">
        <v>396</v>
      </c>
      <c r="G3093" s="377" t="s">
        <v>6267</v>
      </c>
      <c r="H3093" s="377" t="s">
        <v>6270</v>
      </c>
      <c r="I3093" s="380">
        <v>36750.83</v>
      </c>
    </row>
    <row r="3094" spans="1:10" x14ac:dyDescent="0.2">
      <c r="A3094" s="375">
        <v>3093</v>
      </c>
      <c r="B3094" s="376">
        <v>44589</v>
      </c>
      <c r="C3094" s="376">
        <v>44606</v>
      </c>
      <c r="D3094" s="377" t="s">
        <v>1092</v>
      </c>
      <c r="E3094" s="377" t="s">
        <v>422</v>
      </c>
      <c r="F3094" s="377" t="s">
        <v>71</v>
      </c>
      <c r="G3094" s="377" t="s">
        <v>6268</v>
      </c>
      <c r="H3094" s="377" t="s">
        <v>6271</v>
      </c>
      <c r="I3094" s="380">
        <v>8233.42</v>
      </c>
    </row>
    <row r="3095" spans="1:10" x14ac:dyDescent="0.2">
      <c r="A3095" s="375">
        <v>3094</v>
      </c>
      <c r="B3095" s="376">
        <v>44589</v>
      </c>
      <c r="C3095" s="376">
        <v>44606</v>
      </c>
      <c r="D3095" s="377" t="s">
        <v>1092</v>
      </c>
      <c r="E3095" s="377" t="s">
        <v>422</v>
      </c>
      <c r="F3095" s="377" t="s">
        <v>396</v>
      </c>
      <c r="G3095" s="377" t="s">
        <v>6269</v>
      </c>
      <c r="H3095" s="377" t="s">
        <v>6272</v>
      </c>
      <c r="I3095" s="380">
        <v>9598.42</v>
      </c>
    </row>
    <row r="3096" spans="1:10" x14ac:dyDescent="0.2">
      <c r="A3096" s="375">
        <v>3095</v>
      </c>
      <c r="B3096" s="376">
        <v>44595</v>
      </c>
      <c r="C3096" s="376">
        <v>44613</v>
      </c>
      <c r="D3096" s="377" t="s">
        <v>1092</v>
      </c>
      <c r="E3096" s="377" t="s">
        <v>422</v>
      </c>
      <c r="F3096" s="377" t="s">
        <v>71</v>
      </c>
      <c r="G3096" s="377" t="s">
        <v>6273</v>
      </c>
      <c r="H3096" s="377" t="s">
        <v>6276</v>
      </c>
      <c r="I3096" s="380">
        <v>7230.67</v>
      </c>
    </row>
    <row r="3097" spans="1:10" x14ac:dyDescent="0.2">
      <c r="A3097" s="375">
        <v>3096</v>
      </c>
      <c r="B3097" s="376">
        <v>44595</v>
      </c>
      <c r="C3097" s="376">
        <v>44613</v>
      </c>
      <c r="D3097" s="377" t="s">
        <v>1092</v>
      </c>
      <c r="E3097" s="377" t="s">
        <v>422</v>
      </c>
      <c r="F3097" s="377" t="s">
        <v>396</v>
      </c>
      <c r="G3097" s="377" t="s">
        <v>6274</v>
      </c>
      <c r="H3097" s="377" t="s">
        <v>6277</v>
      </c>
      <c r="I3097" s="380">
        <v>6253.2</v>
      </c>
    </row>
    <row r="3098" spans="1:10" x14ac:dyDescent="0.2">
      <c r="A3098" s="375">
        <v>3097</v>
      </c>
      <c r="B3098" s="376">
        <v>44595</v>
      </c>
      <c r="C3098" s="376">
        <v>44613</v>
      </c>
      <c r="D3098" s="377" t="s">
        <v>1092</v>
      </c>
      <c r="E3098" s="377" t="s">
        <v>422</v>
      </c>
      <c r="F3098" s="377" t="s">
        <v>396</v>
      </c>
      <c r="G3098" s="377" t="s">
        <v>6275</v>
      </c>
      <c r="H3098" s="377" t="s">
        <v>6278</v>
      </c>
      <c r="I3098" s="380">
        <v>17890.43</v>
      </c>
    </row>
    <row r="3099" spans="1:10" x14ac:dyDescent="0.2">
      <c r="A3099" s="375">
        <v>3098</v>
      </c>
      <c r="B3099" s="376">
        <v>44599</v>
      </c>
      <c r="C3099" s="376">
        <v>44627</v>
      </c>
      <c r="D3099" s="377" t="s">
        <v>1092</v>
      </c>
      <c r="E3099" s="377" t="s">
        <v>392</v>
      </c>
      <c r="F3099" s="377" t="s">
        <v>9</v>
      </c>
      <c r="G3099" s="377" t="s">
        <v>6279</v>
      </c>
      <c r="H3099" s="377" t="s">
        <v>6280</v>
      </c>
      <c r="I3099" s="380">
        <v>655608.41</v>
      </c>
    </row>
    <row r="3100" spans="1:10" x14ac:dyDescent="0.2">
      <c r="A3100" s="393">
        <v>3099</v>
      </c>
      <c r="B3100" s="394">
        <v>44600</v>
      </c>
      <c r="C3100" s="394">
        <v>44634</v>
      </c>
      <c r="D3100" s="395" t="s">
        <v>1092</v>
      </c>
      <c r="E3100" s="395" t="s">
        <v>422</v>
      </c>
      <c r="F3100" s="395" t="s">
        <v>396</v>
      </c>
      <c r="G3100" s="395" t="s">
        <v>6282</v>
      </c>
      <c r="H3100" s="395" t="s">
        <v>6283</v>
      </c>
      <c r="I3100" s="396">
        <v>930841.38</v>
      </c>
      <c r="J3100" s="178" t="s">
        <v>6315</v>
      </c>
    </row>
    <row r="3101" spans="1:10" x14ac:dyDescent="0.2">
      <c r="A3101" s="393">
        <v>3100</v>
      </c>
      <c r="B3101" s="394">
        <v>44603</v>
      </c>
      <c r="C3101" s="394">
        <v>44622</v>
      </c>
      <c r="D3101" s="395" t="s">
        <v>1092</v>
      </c>
      <c r="E3101" s="395" t="s">
        <v>422</v>
      </c>
      <c r="F3101" s="395" t="s">
        <v>701</v>
      </c>
      <c r="G3101" s="395" t="s">
        <v>6287</v>
      </c>
      <c r="H3101" s="395" t="s">
        <v>6289</v>
      </c>
      <c r="I3101" s="396">
        <v>132100</v>
      </c>
    </row>
    <row r="3102" spans="1:10" x14ac:dyDescent="0.2">
      <c r="A3102" s="393">
        <v>3101</v>
      </c>
      <c r="B3102" s="394">
        <v>44603</v>
      </c>
      <c r="C3102" s="394">
        <v>44620</v>
      </c>
      <c r="D3102" s="395" t="s">
        <v>1092</v>
      </c>
      <c r="E3102" s="395" t="s">
        <v>422</v>
      </c>
      <c r="F3102" s="395" t="s">
        <v>701</v>
      </c>
      <c r="G3102" s="395" t="s">
        <v>6288</v>
      </c>
      <c r="H3102" s="395" t="s">
        <v>6290</v>
      </c>
      <c r="I3102" s="396">
        <v>28000</v>
      </c>
    </row>
    <row r="3103" spans="1:10" x14ac:dyDescent="0.2">
      <c r="A3103" s="393">
        <v>3102</v>
      </c>
      <c r="B3103" s="394">
        <v>44607</v>
      </c>
      <c r="C3103" s="394">
        <v>44627</v>
      </c>
      <c r="D3103" s="395" t="s">
        <v>1092</v>
      </c>
      <c r="E3103" s="395" t="s">
        <v>422</v>
      </c>
      <c r="F3103" s="395" t="s">
        <v>701</v>
      </c>
      <c r="G3103" s="395" t="s">
        <v>6291</v>
      </c>
      <c r="H3103" s="395" t="s">
        <v>6292</v>
      </c>
      <c r="I3103" s="396">
        <v>81500</v>
      </c>
    </row>
    <row r="3104" spans="1:10" x14ac:dyDescent="0.2">
      <c r="A3104" s="393">
        <v>3103</v>
      </c>
      <c r="B3104" s="394">
        <v>44613</v>
      </c>
      <c r="C3104" s="394">
        <v>44629</v>
      </c>
      <c r="D3104" s="395" t="s">
        <v>1092</v>
      </c>
      <c r="E3104" s="395" t="s">
        <v>392</v>
      </c>
      <c r="F3104" s="395" t="s">
        <v>71</v>
      </c>
      <c r="G3104" s="395" t="s">
        <v>6293</v>
      </c>
      <c r="H3104" s="395" t="s">
        <v>6295</v>
      </c>
      <c r="I3104" s="396">
        <v>75612.289999999994</v>
      </c>
    </row>
    <row r="3105" spans="1:10" x14ac:dyDescent="0.2">
      <c r="A3105" s="393">
        <v>3104</v>
      </c>
      <c r="B3105" s="394">
        <v>44613</v>
      </c>
      <c r="C3105" s="394">
        <v>44641</v>
      </c>
      <c r="D3105" s="395" t="s">
        <v>1092</v>
      </c>
      <c r="E3105" s="395" t="s">
        <v>422</v>
      </c>
      <c r="F3105" s="395" t="s">
        <v>701</v>
      </c>
      <c r="G3105" s="395" t="s">
        <v>6294</v>
      </c>
      <c r="H3105" s="395" t="s">
        <v>6296</v>
      </c>
      <c r="I3105" s="396">
        <v>250840</v>
      </c>
    </row>
    <row r="3106" spans="1:10" x14ac:dyDescent="0.2">
      <c r="A3106" s="393">
        <v>3105</v>
      </c>
      <c r="B3106" s="394">
        <v>44614</v>
      </c>
      <c r="C3106" s="394">
        <v>44634</v>
      </c>
      <c r="D3106" s="395" t="s">
        <v>1092</v>
      </c>
      <c r="E3106" s="395" t="s">
        <v>422</v>
      </c>
      <c r="F3106" s="395" t="s">
        <v>701</v>
      </c>
      <c r="G3106" s="395" t="s">
        <v>6297</v>
      </c>
      <c r="H3106" s="395" t="s">
        <v>6303</v>
      </c>
      <c r="I3106" s="396">
        <v>25591.94</v>
      </c>
    </row>
    <row r="3107" spans="1:10" x14ac:dyDescent="0.2">
      <c r="A3107" s="393">
        <v>3106</v>
      </c>
      <c r="B3107" s="394">
        <v>44614</v>
      </c>
      <c r="C3107" s="394">
        <v>44634</v>
      </c>
      <c r="D3107" s="395" t="s">
        <v>1092</v>
      </c>
      <c r="E3107" s="395" t="s">
        <v>422</v>
      </c>
      <c r="F3107" s="395" t="s">
        <v>701</v>
      </c>
      <c r="G3107" s="395" t="s">
        <v>6298</v>
      </c>
      <c r="H3107" s="395" t="s">
        <v>6304</v>
      </c>
      <c r="I3107" s="396">
        <v>23580.2</v>
      </c>
    </row>
    <row r="3108" spans="1:10" x14ac:dyDescent="0.2">
      <c r="A3108" s="393">
        <v>3107</v>
      </c>
      <c r="B3108" s="394">
        <v>44614</v>
      </c>
      <c r="C3108" s="394">
        <v>44634</v>
      </c>
      <c r="D3108" s="395" t="s">
        <v>1092</v>
      </c>
      <c r="E3108" s="395" t="s">
        <v>422</v>
      </c>
      <c r="F3108" s="395" t="s">
        <v>701</v>
      </c>
      <c r="G3108" s="395" t="s">
        <v>6299</v>
      </c>
      <c r="H3108" s="395" t="s">
        <v>6305</v>
      </c>
      <c r="I3108" s="396">
        <v>23480.07</v>
      </c>
    </row>
    <row r="3109" spans="1:10" x14ac:dyDescent="0.2">
      <c r="A3109" s="393">
        <v>3108</v>
      </c>
      <c r="B3109" s="394">
        <v>44614</v>
      </c>
      <c r="C3109" s="394">
        <v>44634</v>
      </c>
      <c r="D3109" s="395" t="s">
        <v>1092</v>
      </c>
      <c r="E3109" s="395" t="s">
        <v>422</v>
      </c>
      <c r="F3109" s="395" t="s">
        <v>701</v>
      </c>
      <c r="G3109" s="395" t="s">
        <v>6300</v>
      </c>
      <c r="H3109" s="395" t="s">
        <v>6306</v>
      </c>
      <c r="I3109" s="396">
        <v>35875.089999999997</v>
      </c>
    </row>
    <row r="3110" spans="1:10" x14ac:dyDescent="0.2">
      <c r="A3110" s="393">
        <v>3109</v>
      </c>
      <c r="B3110" s="394">
        <v>44614</v>
      </c>
      <c r="C3110" s="394">
        <v>44634</v>
      </c>
      <c r="D3110" s="395" t="s">
        <v>1092</v>
      </c>
      <c r="E3110" s="395" t="s">
        <v>422</v>
      </c>
      <c r="F3110" s="395" t="s">
        <v>701</v>
      </c>
      <c r="G3110" s="395" t="s">
        <v>6301</v>
      </c>
      <c r="H3110" s="395" t="s">
        <v>6307</v>
      </c>
      <c r="I3110" s="396">
        <v>25827.96</v>
      </c>
    </row>
    <row r="3111" spans="1:10" x14ac:dyDescent="0.2">
      <c r="A3111" s="393">
        <v>3110</v>
      </c>
      <c r="B3111" s="394">
        <v>44614</v>
      </c>
      <c r="C3111" s="394">
        <v>44634</v>
      </c>
      <c r="D3111" s="395" t="s">
        <v>1092</v>
      </c>
      <c r="E3111" s="395" t="s">
        <v>422</v>
      </c>
      <c r="F3111" s="395" t="s">
        <v>701</v>
      </c>
      <c r="G3111" s="395" t="s">
        <v>6302</v>
      </c>
      <c r="H3111" s="395" t="s">
        <v>6308</v>
      </c>
      <c r="I3111" s="396">
        <v>42861.42</v>
      </c>
    </row>
    <row r="3112" spans="1:10" x14ac:dyDescent="0.2">
      <c r="A3112" s="393">
        <v>3111</v>
      </c>
      <c r="B3112" s="394">
        <v>44615</v>
      </c>
      <c r="C3112" s="394">
        <v>44641</v>
      </c>
      <c r="D3112" s="395" t="s">
        <v>1092</v>
      </c>
      <c r="E3112" s="395" t="s">
        <v>422</v>
      </c>
      <c r="F3112" s="395" t="s">
        <v>701</v>
      </c>
      <c r="G3112" s="395" t="s">
        <v>6309</v>
      </c>
      <c r="H3112" s="395" t="s">
        <v>6310</v>
      </c>
      <c r="I3112" s="396">
        <v>2193885</v>
      </c>
    </row>
    <row r="3113" spans="1:10" x14ac:dyDescent="0.2">
      <c r="A3113" s="393">
        <v>3112</v>
      </c>
      <c r="B3113" s="394">
        <v>44617</v>
      </c>
      <c r="C3113" s="394">
        <v>44634</v>
      </c>
      <c r="D3113" s="395" t="s">
        <v>1092</v>
      </c>
      <c r="E3113" s="395" t="s">
        <v>422</v>
      </c>
      <c r="F3113" s="395" t="s">
        <v>701</v>
      </c>
      <c r="G3113" s="395" t="s">
        <v>6311</v>
      </c>
      <c r="H3113" s="395" t="s">
        <v>6312</v>
      </c>
      <c r="I3113" s="396">
        <v>38400</v>
      </c>
    </row>
    <row r="3114" spans="1:10" x14ac:dyDescent="0.2">
      <c r="A3114" s="393">
        <v>3113</v>
      </c>
      <c r="B3114" s="394">
        <v>44620</v>
      </c>
      <c r="C3114" s="394">
        <v>44650</v>
      </c>
      <c r="D3114" s="395" t="s">
        <v>1092</v>
      </c>
      <c r="E3114" s="395" t="s">
        <v>392</v>
      </c>
      <c r="F3114" s="395" t="s">
        <v>9</v>
      </c>
      <c r="G3114" s="395" t="s">
        <v>6313</v>
      </c>
      <c r="H3114" s="395" t="s">
        <v>6314</v>
      </c>
      <c r="I3114" s="396">
        <v>212956.04</v>
      </c>
    </row>
    <row r="3115" spans="1:10" x14ac:dyDescent="0.2">
      <c r="A3115" s="393">
        <v>3114</v>
      </c>
      <c r="B3115" s="394">
        <v>44623</v>
      </c>
      <c r="C3115" s="394">
        <v>44641</v>
      </c>
      <c r="D3115" s="395" t="s">
        <v>1092</v>
      </c>
      <c r="E3115" s="395" t="s">
        <v>422</v>
      </c>
      <c r="F3115" s="395" t="s">
        <v>701</v>
      </c>
      <c r="G3115" s="395" t="s">
        <v>6316</v>
      </c>
      <c r="H3115" s="395" t="s">
        <v>6317</v>
      </c>
      <c r="I3115" s="396">
        <v>94875</v>
      </c>
    </row>
    <row r="3116" spans="1:10" x14ac:dyDescent="0.2">
      <c r="A3116" s="393">
        <v>3115</v>
      </c>
      <c r="B3116" s="394">
        <v>44624</v>
      </c>
      <c r="C3116" s="394">
        <v>44643</v>
      </c>
      <c r="D3116" s="395" t="s">
        <v>1092</v>
      </c>
      <c r="E3116" s="395" t="s">
        <v>422</v>
      </c>
      <c r="F3116" s="395" t="s">
        <v>701</v>
      </c>
      <c r="G3116" s="395" t="s">
        <v>6318</v>
      </c>
      <c r="H3116" s="395" t="s">
        <v>6322</v>
      </c>
      <c r="I3116" s="396">
        <v>84750</v>
      </c>
    </row>
    <row r="3117" spans="1:10" x14ac:dyDescent="0.2">
      <c r="A3117" s="393">
        <v>3116</v>
      </c>
      <c r="B3117" s="394">
        <v>44624</v>
      </c>
      <c r="C3117" s="394">
        <v>44641</v>
      </c>
      <c r="D3117" s="395" t="s">
        <v>1092</v>
      </c>
      <c r="E3117" s="395" t="s">
        <v>422</v>
      </c>
      <c r="F3117" s="395" t="s">
        <v>701</v>
      </c>
      <c r="G3117" s="395" t="s">
        <v>6319</v>
      </c>
      <c r="H3117" s="395" t="s">
        <v>6323</v>
      </c>
      <c r="I3117" s="396">
        <v>41400</v>
      </c>
    </row>
    <row r="3118" spans="1:10" x14ac:dyDescent="0.2">
      <c r="A3118" s="408">
        <v>3117</v>
      </c>
      <c r="B3118" s="409">
        <v>44624</v>
      </c>
      <c r="C3118" s="409">
        <v>44641</v>
      </c>
      <c r="D3118" s="410" t="s">
        <v>1092</v>
      </c>
      <c r="E3118" s="410" t="s">
        <v>422</v>
      </c>
      <c r="F3118" s="410" t="s">
        <v>701</v>
      </c>
      <c r="G3118" s="410" t="s">
        <v>6320</v>
      </c>
      <c r="H3118" s="410" t="s">
        <v>6324</v>
      </c>
      <c r="I3118" s="411">
        <v>110600</v>
      </c>
      <c r="J3118" s="178" t="s">
        <v>6742</v>
      </c>
    </row>
    <row r="3119" spans="1:10" x14ac:dyDescent="0.2">
      <c r="A3119" s="393">
        <v>3118</v>
      </c>
      <c r="B3119" s="394">
        <v>44624</v>
      </c>
      <c r="C3119" s="394">
        <v>44643</v>
      </c>
      <c r="D3119" s="395" t="s">
        <v>1092</v>
      </c>
      <c r="E3119" s="395" t="s">
        <v>422</v>
      </c>
      <c r="F3119" s="395" t="s">
        <v>701</v>
      </c>
      <c r="G3119" s="395" t="s">
        <v>6321</v>
      </c>
      <c r="H3119" s="395" t="s">
        <v>6325</v>
      </c>
      <c r="I3119" s="396">
        <v>48500</v>
      </c>
    </row>
    <row r="3120" spans="1:10" x14ac:dyDescent="0.2">
      <c r="A3120" s="393">
        <v>3119</v>
      </c>
      <c r="B3120" s="394">
        <v>44627</v>
      </c>
      <c r="C3120" s="394">
        <v>44655</v>
      </c>
      <c r="D3120" s="395" t="s">
        <v>1092</v>
      </c>
      <c r="E3120" s="395" t="s">
        <v>422</v>
      </c>
      <c r="F3120" s="395" t="s">
        <v>396</v>
      </c>
      <c r="G3120" s="395" t="s">
        <v>809</v>
      </c>
      <c r="H3120" s="395" t="s">
        <v>6327</v>
      </c>
      <c r="I3120" s="396">
        <v>2342155.2000000002</v>
      </c>
    </row>
    <row r="3121" spans="1:10" x14ac:dyDescent="0.2">
      <c r="A3121" s="393">
        <v>3120</v>
      </c>
      <c r="B3121" s="394">
        <v>44627</v>
      </c>
      <c r="C3121" s="394">
        <v>44648</v>
      </c>
      <c r="D3121" s="395" t="s">
        <v>1092</v>
      </c>
      <c r="E3121" s="395" t="s">
        <v>392</v>
      </c>
      <c r="F3121" s="395" t="s">
        <v>701</v>
      </c>
      <c r="G3121" s="395" t="s">
        <v>6326</v>
      </c>
      <c r="H3121" s="395" t="s">
        <v>6239</v>
      </c>
      <c r="I3121" s="396">
        <v>21780</v>
      </c>
    </row>
    <row r="3122" spans="1:10" x14ac:dyDescent="0.2">
      <c r="A3122" s="393">
        <v>3121</v>
      </c>
      <c r="B3122" s="394">
        <v>44630</v>
      </c>
      <c r="C3122" s="394">
        <v>44648</v>
      </c>
      <c r="D3122" s="395" t="s">
        <v>1092</v>
      </c>
      <c r="E3122" s="395" t="s">
        <v>422</v>
      </c>
      <c r="F3122" s="395" t="s">
        <v>701</v>
      </c>
      <c r="G3122" s="395" t="s">
        <v>6328</v>
      </c>
      <c r="H3122" s="395" t="s">
        <v>6332</v>
      </c>
      <c r="I3122" s="396">
        <v>129180</v>
      </c>
    </row>
    <row r="3123" spans="1:10" x14ac:dyDescent="0.2">
      <c r="A3123" s="393">
        <v>3122</v>
      </c>
      <c r="B3123" s="394">
        <v>44630</v>
      </c>
      <c r="C3123" s="394">
        <v>44648</v>
      </c>
      <c r="D3123" s="395" t="s">
        <v>1092</v>
      </c>
      <c r="E3123" s="395" t="s">
        <v>422</v>
      </c>
      <c r="F3123" s="395" t="s">
        <v>71</v>
      </c>
      <c r="G3123" s="395" t="s">
        <v>6329</v>
      </c>
      <c r="H3123" s="395" t="s">
        <v>6333</v>
      </c>
      <c r="I3123" s="396">
        <v>16129.77</v>
      </c>
    </row>
    <row r="3124" spans="1:10" x14ac:dyDescent="0.2">
      <c r="A3124" s="393">
        <v>3123</v>
      </c>
      <c r="B3124" s="394">
        <v>44630</v>
      </c>
      <c r="C3124" s="394">
        <v>44648</v>
      </c>
      <c r="D3124" s="395" t="s">
        <v>1092</v>
      </c>
      <c r="E3124" s="395" t="s">
        <v>422</v>
      </c>
      <c r="F3124" s="395" t="s">
        <v>396</v>
      </c>
      <c r="G3124" s="395" t="s">
        <v>6330</v>
      </c>
      <c r="H3124" s="395" t="s">
        <v>6334</v>
      </c>
      <c r="I3124" s="396">
        <v>116365.3</v>
      </c>
    </row>
    <row r="3125" spans="1:10" x14ac:dyDescent="0.2">
      <c r="A3125" s="393">
        <v>3124</v>
      </c>
      <c r="B3125" s="394">
        <v>44630</v>
      </c>
      <c r="C3125" s="394">
        <v>44648</v>
      </c>
      <c r="D3125" s="395" t="s">
        <v>1092</v>
      </c>
      <c r="E3125" s="395" t="s">
        <v>422</v>
      </c>
      <c r="F3125" s="395" t="s">
        <v>701</v>
      </c>
      <c r="G3125" s="395" t="s">
        <v>6331</v>
      </c>
      <c r="H3125" s="395" t="s">
        <v>6335</v>
      </c>
      <c r="I3125" s="396">
        <v>49350</v>
      </c>
    </row>
    <row r="3126" spans="1:10" x14ac:dyDescent="0.2">
      <c r="A3126" s="393">
        <v>3125</v>
      </c>
      <c r="B3126" s="394">
        <v>44631</v>
      </c>
      <c r="C3126" s="394">
        <v>44648</v>
      </c>
      <c r="D3126" s="395" t="s">
        <v>1092</v>
      </c>
      <c r="E3126" s="395" t="s">
        <v>392</v>
      </c>
      <c r="F3126" s="395" t="s">
        <v>393</v>
      </c>
      <c r="G3126" s="395" t="s">
        <v>6336</v>
      </c>
      <c r="H3126" s="395" t="s">
        <v>6337</v>
      </c>
      <c r="I3126" s="396">
        <v>27000</v>
      </c>
    </row>
    <row r="3127" spans="1:10" x14ac:dyDescent="0.2">
      <c r="A3127" s="393">
        <v>3126</v>
      </c>
      <c r="B3127" s="394">
        <v>44631</v>
      </c>
      <c r="C3127" s="394">
        <v>44648</v>
      </c>
      <c r="D3127" s="395" t="s">
        <v>1092</v>
      </c>
      <c r="E3127" s="395" t="s">
        <v>392</v>
      </c>
      <c r="F3127" s="395" t="s">
        <v>393</v>
      </c>
      <c r="G3127" s="395" t="s">
        <v>6338</v>
      </c>
      <c r="H3127" s="395" t="s">
        <v>6339</v>
      </c>
      <c r="I3127" s="396">
        <v>8100</v>
      </c>
    </row>
    <row r="3128" spans="1:10" x14ac:dyDescent="0.2">
      <c r="A3128" s="393">
        <v>3127</v>
      </c>
      <c r="B3128" s="394">
        <v>44631</v>
      </c>
      <c r="C3128" s="394">
        <v>44676</v>
      </c>
      <c r="D3128" s="395" t="s">
        <v>1092</v>
      </c>
      <c r="E3128" s="395" t="s">
        <v>392</v>
      </c>
      <c r="F3128" s="395" t="s">
        <v>71</v>
      </c>
      <c r="G3128" s="395" t="s">
        <v>6340</v>
      </c>
      <c r="H3128" s="395" t="s">
        <v>6341</v>
      </c>
      <c r="I3128" s="396">
        <v>11129.56</v>
      </c>
      <c r="J3128" s="178" t="s">
        <v>6404</v>
      </c>
    </row>
    <row r="3129" spans="1:10" x14ac:dyDescent="0.2">
      <c r="A3129" s="393">
        <v>3128</v>
      </c>
      <c r="B3129" s="394">
        <v>44635</v>
      </c>
      <c r="C3129" s="394">
        <v>44664</v>
      </c>
      <c r="D3129" s="395" t="s">
        <v>1092</v>
      </c>
      <c r="E3129" s="395" t="s">
        <v>422</v>
      </c>
      <c r="F3129" s="395" t="s">
        <v>701</v>
      </c>
      <c r="G3129" s="395" t="s">
        <v>6342</v>
      </c>
      <c r="H3129" s="395" t="s">
        <v>6344</v>
      </c>
      <c r="I3129" s="396">
        <v>264300</v>
      </c>
    </row>
    <row r="3130" spans="1:10" x14ac:dyDescent="0.2">
      <c r="A3130" s="393">
        <v>3129</v>
      </c>
      <c r="B3130" s="394">
        <v>44635</v>
      </c>
      <c r="C3130" s="394">
        <v>44655</v>
      </c>
      <c r="D3130" s="395" t="s">
        <v>1092</v>
      </c>
      <c r="E3130" s="395" t="s">
        <v>422</v>
      </c>
      <c r="F3130" s="395" t="s">
        <v>396</v>
      </c>
      <c r="G3130" s="395" t="s">
        <v>6343</v>
      </c>
      <c r="H3130" s="395" t="s">
        <v>6345</v>
      </c>
      <c r="I3130" s="396">
        <v>6379.82</v>
      </c>
    </row>
    <row r="3131" spans="1:10" x14ac:dyDescent="0.2">
      <c r="A3131" s="393">
        <v>3130</v>
      </c>
      <c r="B3131" s="394">
        <v>44636</v>
      </c>
      <c r="C3131" s="394">
        <v>44655</v>
      </c>
      <c r="D3131" s="395" t="s">
        <v>1092</v>
      </c>
      <c r="E3131" s="395" t="s">
        <v>422</v>
      </c>
      <c r="F3131" s="395" t="s">
        <v>701</v>
      </c>
      <c r="G3131" s="395" t="s">
        <v>6346</v>
      </c>
      <c r="H3131" s="395" t="s">
        <v>6347</v>
      </c>
      <c r="I3131" s="396">
        <v>203100</v>
      </c>
    </row>
    <row r="3132" spans="1:10" x14ac:dyDescent="0.2">
      <c r="A3132" s="393">
        <v>3131</v>
      </c>
      <c r="B3132" s="394">
        <v>44637</v>
      </c>
      <c r="C3132" s="394">
        <v>44655</v>
      </c>
      <c r="D3132" s="395" t="s">
        <v>1092</v>
      </c>
      <c r="E3132" s="395" t="s">
        <v>422</v>
      </c>
      <c r="F3132" s="395" t="s">
        <v>701</v>
      </c>
      <c r="G3132" s="395" t="s">
        <v>6348</v>
      </c>
      <c r="H3132" s="395" t="s">
        <v>6349</v>
      </c>
      <c r="I3132" s="396">
        <v>199938</v>
      </c>
    </row>
    <row r="3133" spans="1:10" x14ac:dyDescent="0.2">
      <c r="A3133" s="393">
        <v>3132</v>
      </c>
      <c r="B3133" s="394">
        <v>44638</v>
      </c>
      <c r="C3133" s="394">
        <v>44657</v>
      </c>
      <c r="D3133" s="395" t="s">
        <v>1092</v>
      </c>
      <c r="E3133" s="395" t="s">
        <v>392</v>
      </c>
      <c r="F3133" s="395" t="s">
        <v>9</v>
      </c>
      <c r="G3133" s="395" t="s">
        <v>6350</v>
      </c>
      <c r="H3133" s="395" t="s">
        <v>6351</v>
      </c>
      <c r="I3133" s="396">
        <v>94827.58</v>
      </c>
    </row>
    <row r="3134" spans="1:10" x14ac:dyDescent="0.2">
      <c r="A3134" s="393">
        <v>3133</v>
      </c>
      <c r="B3134" s="394">
        <v>44642</v>
      </c>
      <c r="C3134" s="394">
        <v>44671</v>
      </c>
      <c r="D3134" s="395" t="s">
        <v>1092</v>
      </c>
      <c r="E3134" s="395" t="s">
        <v>422</v>
      </c>
      <c r="F3134" s="395" t="s">
        <v>396</v>
      </c>
      <c r="G3134" s="395" t="s">
        <v>6352</v>
      </c>
      <c r="H3134" s="395" t="s">
        <v>6355</v>
      </c>
      <c r="I3134" s="396">
        <v>13919.64</v>
      </c>
    </row>
    <row r="3135" spans="1:10" x14ac:dyDescent="0.2">
      <c r="A3135" s="393">
        <v>3134</v>
      </c>
      <c r="B3135" s="394">
        <v>44642</v>
      </c>
      <c r="C3135" s="394">
        <v>44671</v>
      </c>
      <c r="D3135" s="395" t="s">
        <v>1092</v>
      </c>
      <c r="E3135" s="395" t="s">
        <v>422</v>
      </c>
      <c r="F3135" s="395" t="s">
        <v>71</v>
      </c>
      <c r="G3135" s="395" t="s">
        <v>6353</v>
      </c>
      <c r="H3135" s="395" t="s">
        <v>6356</v>
      </c>
      <c r="I3135" s="396">
        <v>2195.63</v>
      </c>
    </row>
    <row r="3136" spans="1:10" x14ac:dyDescent="0.2">
      <c r="A3136" s="393">
        <v>3135</v>
      </c>
      <c r="B3136" s="394">
        <v>44642</v>
      </c>
      <c r="C3136" s="394">
        <v>44671</v>
      </c>
      <c r="D3136" s="395" t="s">
        <v>1092</v>
      </c>
      <c r="E3136" s="395" t="s">
        <v>422</v>
      </c>
      <c r="F3136" s="395" t="s">
        <v>396</v>
      </c>
      <c r="G3136" s="395" t="s">
        <v>6354</v>
      </c>
      <c r="H3136" s="395" t="s">
        <v>6357</v>
      </c>
      <c r="I3136" s="396">
        <v>4320.54</v>
      </c>
    </row>
    <row r="3137" spans="1:9" x14ac:dyDescent="0.2">
      <c r="A3137" s="393">
        <v>3136</v>
      </c>
      <c r="B3137" s="394">
        <v>44643</v>
      </c>
      <c r="C3137" s="394">
        <v>44662</v>
      </c>
      <c r="D3137" s="395" t="s">
        <v>1092</v>
      </c>
      <c r="E3137" s="395" t="s">
        <v>422</v>
      </c>
      <c r="F3137" s="395" t="s">
        <v>701</v>
      </c>
      <c r="G3137" s="395" t="s">
        <v>6358</v>
      </c>
      <c r="H3137" s="395" t="s">
        <v>6359</v>
      </c>
      <c r="I3137" s="396">
        <v>175660</v>
      </c>
    </row>
    <row r="3138" spans="1:9" x14ac:dyDescent="0.2">
      <c r="A3138" s="393">
        <v>3137</v>
      </c>
      <c r="B3138" s="394">
        <v>44644</v>
      </c>
      <c r="C3138" s="394">
        <v>44671</v>
      </c>
      <c r="D3138" s="395" t="s">
        <v>1092</v>
      </c>
      <c r="E3138" s="395" t="s">
        <v>422</v>
      </c>
      <c r="F3138" s="395" t="s">
        <v>701</v>
      </c>
      <c r="G3138" s="395" t="s">
        <v>6360</v>
      </c>
      <c r="H3138" s="395" t="s">
        <v>6367</v>
      </c>
      <c r="I3138" s="396">
        <v>16000</v>
      </c>
    </row>
    <row r="3139" spans="1:9" x14ac:dyDescent="0.2">
      <c r="A3139" s="393">
        <v>3138</v>
      </c>
      <c r="B3139" s="394">
        <v>44644</v>
      </c>
      <c r="C3139" s="394">
        <v>44671</v>
      </c>
      <c r="D3139" s="395" t="s">
        <v>1092</v>
      </c>
      <c r="E3139" s="395" t="s">
        <v>422</v>
      </c>
      <c r="F3139" s="395" t="s">
        <v>701</v>
      </c>
      <c r="G3139" s="395" t="s">
        <v>6361</v>
      </c>
      <c r="H3139" s="395" t="s">
        <v>6368</v>
      </c>
      <c r="I3139" s="396">
        <v>15030</v>
      </c>
    </row>
    <row r="3140" spans="1:9" x14ac:dyDescent="0.2">
      <c r="A3140" s="393">
        <v>3139</v>
      </c>
      <c r="B3140" s="394">
        <v>44644</v>
      </c>
      <c r="C3140" s="394">
        <v>44662</v>
      </c>
      <c r="D3140" s="395" t="s">
        <v>1092</v>
      </c>
      <c r="E3140" s="395" t="s">
        <v>422</v>
      </c>
      <c r="F3140" s="395" t="s">
        <v>701</v>
      </c>
      <c r="G3140" s="395" t="s">
        <v>6362</v>
      </c>
      <c r="H3140" s="395" t="s">
        <v>6369</v>
      </c>
      <c r="I3140" s="396">
        <v>203100</v>
      </c>
    </row>
    <row r="3141" spans="1:9" x14ac:dyDescent="0.2">
      <c r="A3141" s="393">
        <v>3140</v>
      </c>
      <c r="B3141" s="394">
        <v>44644</v>
      </c>
      <c r="C3141" s="394">
        <v>44664</v>
      </c>
      <c r="D3141" s="395" t="s">
        <v>1092</v>
      </c>
      <c r="E3141" s="395" t="s">
        <v>422</v>
      </c>
      <c r="F3141" s="395" t="s">
        <v>701</v>
      </c>
      <c r="G3141" s="395" t="s">
        <v>6363</v>
      </c>
      <c r="H3141" s="395" t="s">
        <v>6370</v>
      </c>
      <c r="I3141" s="396">
        <v>167200</v>
      </c>
    </row>
    <row r="3142" spans="1:9" x14ac:dyDescent="0.2">
      <c r="A3142" s="393">
        <v>3141</v>
      </c>
      <c r="B3142" s="394">
        <v>44644</v>
      </c>
      <c r="C3142" s="394">
        <v>44671</v>
      </c>
      <c r="D3142" s="395" t="s">
        <v>1092</v>
      </c>
      <c r="E3142" s="397" t="s">
        <v>422</v>
      </c>
      <c r="F3142" s="395" t="s">
        <v>701</v>
      </c>
      <c r="G3142" s="395" t="s">
        <v>6364</v>
      </c>
      <c r="H3142" s="395" t="s">
        <v>6371</v>
      </c>
      <c r="I3142" s="396">
        <v>17420</v>
      </c>
    </row>
    <row r="3143" spans="1:9" x14ac:dyDescent="0.2">
      <c r="A3143" s="393">
        <v>3142</v>
      </c>
      <c r="B3143" s="394">
        <v>44644</v>
      </c>
      <c r="C3143" s="394">
        <v>44662</v>
      </c>
      <c r="D3143" s="395" t="s">
        <v>1092</v>
      </c>
      <c r="E3143" s="395" t="s">
        <v>422</v>
      </c>
      <c r="F3143" s="395" t="s">
        <v>701</v>
      </c>
      <c r="G3143" s="395" t="s">
        <v>6365</v>
      </c>
      <c r="H3143" s="395" t="s">
        <v>6372</v>
      </c>
      <c r="I3143" s="396">
        <v>35908.33</v>
      </c>
    </row>
    <row r="3144" spans="1:9" x14ac:dyDescent="0.2">
      <c r="A3144" s="393">
        <v>3143</v>
      </c>
      <c r="B3144" s="394">
        <v>44644</v>
      </c>
      <c r="C3144" s="394">
        <v>44662</v>
      </c>
      <c r="D3144" s="395" t="s">
        <v>1092</v>
      </c>
      <c r="E3144" s="395" t="s">
        <v>392</v>
      </c>
      <c r="F3144" s="395" t="s">
        <v>2224</v>
      </c>
      <c r="G3144" s="395" t="s">
        <v>6366</v>
      </c>
      <c r="H3144" s="395" t="s">
        <v>6373</v>
      </c>
      <c r="I3144" s="396">
        <v>43500</v>
      </c>
    </row>
    <row r="3145" spans="1:9" x14ac:dyDescent="0.2">
      <c r="A3145" s="393">
        <v>3144</v>
      </c>
      <c r="B3145" s="394">
        <v>44645</v>
      </c>
      <c r="C3145" s="394">
        <v>44664</v>
      </c>
      <c r="D3145" s="395" t="s">
        <v>1092</v>
      </c>
      <c r="E3145" s="395" t="s">
        <v>392</v>
      </c>
      <c r="F3145" s="395" t="s">
        <v>393</v>
      </c>
      <c r="G3145" s="395" t="s">
        <v>6374</v>
      </c>
      <c r="H3145" s="395" t="s">
        <v>6382</v>
      </c>
      <c r="I3145" s="396">
        <v>10868.03</v>
      </c>
    </row>
    <row r="3146" spans="1:9" x14ac:dyDescent="0.2">
      <c r="A3146" s="393">
        <v>3145</v>
      </c>
      <c r="B3146" s="394">
        <v>44645</v>
      </c>
      <c r="C3146" s="394">
        <v>44664</v>
      </c>
      <c r="D3146" s="395" t="s">
        <v>1092</v>
      </c>
      <c r="E3146" s="395" t="s">
        <v>392</v>
      </c>
      <c r="F3146" s="395" t="s">
        <v>393</v>
      </c>
      <c r="G3146" s="395" t="s">
        <v>6375</v>
      </c>
      <c r="H3146" s="395" t="s">
        <v>6383</v>
      </c>
      <c r="I3146" s="396">
        <v>7200</v>
      </c>
    </row>
    <row r="3147" spans="1:9" x14ac:dyDescent="0.2">
      <c r="A3147" s="393">
        <v>3146</v>
      </c>
      <c r="B3147" s="394">
        <v>44645</v>
      </c>
      <c r="C3147" s="394">
        <v>44664</v>
      </c>
      <c r="D3147" s="395" t="s">
        <v>1092</v>
      </c>
      <c r="E3147" s="395" t="s">
        <v>392</v>
      </c>
      <c r="F3147" s="395" t="s">
        <v>71</v>
      </c>
      <c r="G3147" s="395" t="s">
        <v>6376</v>
      </c>
      <c r="H3147" s="395" t="s">
        <v>6384</v>
      </c>
      <c r="I3147" s="396">
        <v>8675.9</v>
      </c>
    </row>
    <row r="3148" spans="1:9" x14ac:dyDescent="0.2">
      <c r="A3148" s="393">
        <v>3147</v>
      </c>
      <c r="B3148" s="394">
        <v>44645</v>
      </c>
      <c r="C3148" s="394">
        <v>44664</v>
      </c>
      <c r="D3148" s="395" t="s">
        <v>1092</v>
      </c>
      <c r="E3148" s="395" t="s">
        <v>392</v>
      </c>
      <c r="F3148" s="395" t="s">
        <v>71</v>
      </c>
      <c r="G3148" s="395" t="s">
        <v>6377</v>
      </c>
      <c r="H3148" s="395" t="s">
        <v>6385</v>
      </c>
      <c r="I3148" s="396">
        <v>22202.78</v>
      </c>
    </row>
    <row r="3149" spans="1:9" x14ac:dyDescent="0.2">
      <c r="A3149" s="393">
        <v>3148</v>
      </c>
      <c r="B3149" s="394">
        <v>44645</v>
      </c>
      <c r="C3149" s="394">
        <v>44655</v>
      </c>
      <c r="D3149" s="395" t="s">
        <v>1092</v>
      </c>
      <c r="E3149" s="395" t="s">
        <v>392</v>
      </c>
      <c r="F3149" s="395" t="s">
        <v>9</v>
      </c>
      <c r="G3149" s="395" t="s">
        <v>6378</v>
      </c>
      <c r="H3149" s="395" t="s">
        <v>6386</v>
      </c>
      <c r="I3149" s="396">
        <v>4583330.51</v>
      </c>
    </row>
    <row r="3150" spans="1:9" x14ac:dyDescent="0.2">
      <c r="A3150" s="393">
        <v>3149</v>
      </c>
      <c r="B3150" s="394">
        <v>44645</v>
      </c>
      <c r="C3150" s="394">
        <v>44664</v>
      </c>
      <c r="D3150" s="395" t="s">
        <v>1092</v>
      </c>
      <c r="E3150" s="395" t="s">
        <v>392</v>
      </c>
      <c r="F3150" s="395" t="s">
        <v>393</v>
      </c>
      <c r="G3150" s="395" t="s">
        <v>6379</v>
      </c>
      <c r="H3150" s="395" t="s">
        <v>6387</v>
      </c>
      <c r="I3150" s="396">
        <v>64944</v>
      </c>
    </row>
    <row r="3151" spans="1:9" x14ac:dyDescent="0.2">
      <c r="A3151" s="393">
        <v>3150</v>
      </c>
      <c r="B3151" s="394">
        <v>44645</v>
      </c>
      <c r="C3151" s="394">
        <v>44664</v>
      </c>
      <c r="D3151" s="395" t="s">
        <v>1092</v>
      </c>
      <c r="E3151" s="395" t="s">
        <v>392</v>
      </c>
      <c r="F3151" s="395" t="s">
        <v>393</v>
      </c>
      <c r="G3151" s="395" t="s">
        <v>6380</v>
      </c>
      <c r="H3151" s="395" t="s">
        <v>6388</v>
      </c>
      <c r="I3151" s="396">
        <v>22337.5</v>
      </c>
    </row>
    <row r="3152" spans="1:9" x14ac:dyDescent="0.2">
      <c r="A3152" s="393">
        <v>3151</v>
      </c>
      <c r="B3152" s="394">
        <v>44645</v>
      </c>
      <c r="C3152" s="394">
        <v>44662</v>
      </c>
      <c r="D3152" s="395" t="s">
        <v>1092</v>
      </c>
      <c r="E3152" s="395" t="s">
        <v>422</v>
      </c>
      <c r="F3152" s="395" t="s">
        <v>701</v>
      </c>
      <c r="G3152" s="395" t="s">
        <v>6381</v>
      </c>
      <c r="H3152" s="395" t="s">
        <v>6389</v>
      </c>
      <c r="I3152" s="396">
        <v>21132.400000000001</v>
      </c>
    </row>
    <row r="3153" spans="1:9" x14ac:dyDescent="0.2">
      <c r="A3153" s="398">
        <v>3152</v>
      </c>
      <c r="B3153" s="399">
        <v>44648</v>
      </c>
      <c r="C3153" s="399">
        <v>44683</v>
      </c>
      <c r="D3153" s="400" t="s">
        <v>1092</v>
      </c>
      <c r="E3153" s="400" t="s">
        <v>392</v>
      </c>
      <c r="F3153" s="400" t="s">
        <v>9</v>
      </c>
      <c r="G3153" s="400" t="s">
        <v>6390</v>
      </c>
      <c r="H3153" s="400" t="s">
        <v>6392</v>
      </c>
      <c r="I3153" s="401">
        <v>446077.44</v>
      </c>
    </row>
    <row r="3154" spans="1:9" x14ac:dyDescent="0.2">
      <c r="A3154" s="398">
        <v>3153</v>
      </c>
      <c r="B3154" s="399">
        <v>44648</v>
      </c>
      <c r="C3154" s="399">
        <v>44676</v>
      </c>
      <c r="D3154" s="400" t="s">
        <v>1092</v>
      </c>
      <c r="E3154" s="400" t="s">
        <v>422</v>
      </c>
      <c r="F3154" s="400" t="s">
        <v>701</v>
      </c>
      <c r="G3154" s="400" t="s">
        <v>6391</v>
      </c>
      <c r="H3154" s="400" t="s">
        <v>6393</v>
      </c>
      <c r="I3154" s="401">
        <v>526100</v>
      </c>
    </row>
    <row r="3155" spans="1:9" x14ac:dyDescent="0.2">
      <c r="A3155" s="398">
        <v>3154</v>
      </c>
      <c r="B3155" s="399">
        <v>44651</v>
      </c>
      <c r="C3155" s="399">
        <v>44671</v>
      </c>
      <c r="D3155" s="400" t="s">
        <v>1092</v>
      </c>
      <c r="E3155" s="400" t="s">
        <v>422</v>
      </c>
      <c r="F3155" s="400" t="s">
        <v>701</v>
      </c>
      <c r="G3155" s="400" t="s">
        <v>6394</v>
      </c>
      <c r="H3155" s="400" t="s">
        <v>6399</v>
      </c>
      <c r="I3155" s="401">
        <v>14960</v>
      </c>
    </row>
    <row r="3156" spans="1:9" x14ac:dyDescent="0.2">
      <c r="A3156" s="398">
        <v>3155</v>
      </c>
      <c r="B3156" s="399">
        <v>44651</v>
      </c>
      <c r="C3156" s="399">
        <v>44671</v>
      </c>
      <c r="D3156" s="400" t="s">
        <v>1092</v>
      </c>
      <c r="E3156" s="400" t="s">
        <v>422</v>
      </c>
      <c r="F3156" s="400" t="s">
        <v>701</v>
      </c>
      <c r="G3156" s="400" t="s">
        <v>6395</v>
      </c>
      <c r="H3156" s="400" t="s">
        <v>6400</v>
      </c>
      <c r="I3156" s="401">
        <v>99669</v>
      </c>
    </row>
    <row r="3157" spans="1:9" x14ac:dyDescent="0.2">
      <c r="A3157" s="398">
        <v>3156</v>
      </c>
      <c r="B3157" s="399">
        <v>44651</v>
      </c>
      <c r="C3157" s="399">
        <v>44671</v>
      </c>
      <c r="D3157" s="400" t="s">
        <v>1092</v>
      </c>
      <c r="E3157" s="400" t="s">
        <v>422</v>
      </c>
      <c r="F3157" s="400" t="s">
        <v>701</v>
      </c>
      <c r="G3157" s="400" t="s">
        <v>6396</v>
      </c>
      <c r="H3157" s="400" t="s">
        <v>6401</v>
      </c>
      <c r="I3157" s="401">
        <v>15450</v>
      </c>
    </row>
    <row r="3158" spans="1:9" x14ac:dyDescent="0.2">
      <c r="A3158" s="398">
        <v>3157</v>
      </c>
      <c r="B3158" s="399">
        <v>44651</v>
      </c>
      <c r="C3158" s="399">
        <v>44671</v>
      </c>
      <c r="D3158" s="400" t="s">
        <v>1092</v>
      </c>
      <c r="E3158" s="400" t="s">
        <v>422</v>
      </c>
      <c r="F3158" s="402" t="s">
        <v>701</v>
      </c>
      <c r="G3158" s="400" t="s">
        <v>6397</v>
      </c>
      <c r="H3158" s="400" t="s">
        <v>6402</v>
      </c>
      <c r="I3158" s="401">
        <v>31500</v>
      </c>
    </row>
    <row r="3159" spans="1:9" x14ac:dyDescent="0.2">
      <c r="A3159" s="398">
        <v>3158</v>
      </c>
      <c r="B3159" s="399">
        <v>44651</v>
      </c>
      <c r="C3159" s="399">
        <v>44676</v>
      </c>
      <c r="D3159" s="400" t="s">
        <v>1092</v>
      </c>
      <c r="E3159" s="400" t="s">
        <v>422</v>
      </c>
      <c r="F3159" s="400" t="s">
        <v>701</v>
      </c>
      <c r="G3159" s="400" t="s">
        <v>6398</v>
      </c>
      <c r="H3159" s="400" t="s">
        <v>6403</v>
      </c>
      <c r="I3159" s="401">
        <v>18565.52</v>
      </c>
    </row>
    <row r="3160" spans="1:9" x14ac:dyDescent="0.2">
      <c r="A3160" s="398">
        <v>3159</v>
      </c>
      <c r="B3160" s="399">
        <v>44657</v>
      </c>
      <c r="C3160" s="399">
        <v>44676</v>
      </c>
      <c r="D3160" s="400" t="s">
        <v>1092</v>
      </c>
      <c r="E3160" s="400" t="s">
        <v>392</v>
      </c>
      <c r="F3160" s="400" t="s">
        <v>71</v>
      </c>
      <c r="G3160" s="400" t="s">
        <v>6405</v>
      </c>
      <c r="H3160" s="400" t="s">
        <v>6408</v>
      </c>
      <c r="I3160" s="401">
        <v>27343.8</v>
      </c>
    </row>
    <row r="3161" spans="1:9" x14ac:dyDescent="0.2">
      <c r="A3161" s="398">
        <v>3160</v>
      </c>
      <c r="B3161" s="399">
        <v>44657</v>
      </c>
      <c r="C3161" s="399">
        <v>44676</v>
      </c>
      <c r="D3161" s="400" t="s">
        <v>1092</v>
      </c>
      <c r="E3161" s="400" t="s">
        <v>392</v>
      </c>
      <c r="F3161" s="400" t="s">
        <v>393</v>
      </c>
      <c r="G3161" s="400" t="s">
        <v>6406</v>
      </c>
      <c r="H3161" s="400" t="s">
        <v>6409</v>
      </c>
      <c r="I3161" s="401">
        <v>67162.17</v>
      </c>
    </row>
    <row r="3162" spans="1:9" x14ac:dyDescent="0.2">
      <c r="A3162" s="398">
        <v>3161</v>
      </c>
      <c r="B3162" s="399">
        <v>44657</v>
      </c>
      <c r="C3162" s="399">
        <v>44676</v>
      </c>
      <c r="D3162" s="400" t="s">
        <v>1092</v>
      </c>
      <c r="E3162" s="400" t="s">
        <v>392</v>
      </c>
      <c r="F3162" s="400" t="s">
        <v>393</v>
      </c>
      <c r="G3162" s="400" t="s">
        <v>6407</v>
      </c>
      <c r="H3162" s="400" t="s">
        <v>6410</v>
      </c>
      <c r="I3162" s="401">
        <v>15669.92</v>
      </c>
    </row>
    <row r="3163" spans="1:9" x14ac:dyDescent="0.2">
      <c r="A3163" s="398">
        <v>3162</v>
      </c>
      <c r="B3163" s="399">
        <v>44658</v>
      </c>
      <c r="C3163" s="399">
        <v>44676</v>
      </c>
      <c r="D3163" s="400" t="s">
        <v>1092</v>
      </c>
      <c r="E3163" s="400" t="s">
        <v>422</v>
      </c>
      <c r="F3163" s="400" t="s">
        <v>396</v>
      </c>
      <c r="G3163" s="400" t="s">
        <v>6411</v>
      </c>
      <c r="H3163" s="400" t="s">
        <v>6418</v>
      </c>
      <c r="I3163" s="401">
        <v>5866.63</v>
      </c>
    </row>
    <row r="3164" spans="1:9" x14ac:dyDescent="0.2">
      <c r="A3164" s="398">
        <v>3163</v>
      </c>
      <c r="B3164" s="399">
        <v>44658</v>
      </c>
      <c r="C3164" s="399">
        <v>44676</v>
      </c>
      <c r="D3164" s="400" t="s">
        <v>1092</v>
      </c>
      <c r="E3164" s="400" t="s">
        <v>392</v>
      </c>
      <c r="F3164" s="400" t="s">
        <v>396</v>
      </c>
      <c r="G3164" s="400" t="s">
        <v>6412</v>
      </c>
      <c r="H3164" s="400" t="s">
        <v>6419</v>
      </c>
      <c r="I3164" s="401">
        <v>55157.05</v>
      </c>
    </row>
    <row r="3165" spans="1:9" x14ac:dyDescent="0.2">
      <c r="A3165" s="398">
        <v>3164</v>
      </c>
      <c r="B3165" s="399">
        <v>44658</v>
      </c>
      <c r="C3165" s="399">
        <v>44676</v>
      </c>
      <c r="D3165" s="400" t="s">
        <v>1092</v>
      </c>
      <c r="E3165" s="400" t="s">
        <v>392</v>
      </c>
      <c r="F3165" s="400" t="s">
        <v>393</v>
      </c>
      <c r="G3165" s="400" t="s">
        <v>6413</v>
      </c>
      <c r="H3165" s="400" t="s">
        <v>6420</v>
      </c>
      <c r="I3165" s="401">
        <v>14514.61</v>
      </c>
    </row>
    <row r="3166" spans="1:9" x14ac:dyDescent="0.2">
      <c r="A3166" s="398">
        <v>3165</v>
      </c>
      <c r="B3166" s="399">
        <v>44658</v>
      </c>
      <c r="C3166" s="399">
        <v>44676</v>
      </c>
      <c r="D3166" s="400" t="s">
        <v>1092</v>
      </c>
      <c r="E3166" s="400" t="s">
        <v>392</v>
      </c>
      <c r="F3166" s="400" t="s">
        <v>393</v>
      </c>
      <c r="G3166" s="400" t="s">
        <v>6414</v>
      </c>
      <c r="H3166" s="400" t="s">
        <v>6421</v>
      </c>
      <c r="I3166" s="401">
        <v>66958.7</v>
      </c>
    </row>
    <row r="3167" spans="1:9" x14ac:dyDescent="0.2">
      <c r="A3167" s="398">
        <v>3166</v>
      </c>
      <c r="B3167" s="399">
        <v>44658</v>
      </c>
      <c r="C3167" s="399">
        <v>44676</v>
      </c>
      <c r="D3167" s="400" t="s">
        <v>1092</v>
      </c>
      <c r="E3167" s="400" t="s">
        <v>392</v>
      </c>
      <c r="F3167" s="400" t="s">
        <v>71</v>
      </c>
      <c r="G3167" s="400" t="s">
        <v>6415</v>
      </c>
      <c r="H3167" s="400" t="s">
        <v>6422</v>
      </c>
      <c r="I3167" s="401">
        <v>34538.35</v>
      </c>
    </row>
    <row r="3168" spans="1:9" x14ac:dyDescent="0.2">
      <c r="A3168" s="398">
        <v>3167</v>
      </c>
      <c r="B3168" s="399">
        <v>44658</v>
      </c>
      <c r="C3168" s="399">
        <v>44676</v>
      </c>
      <c r="D3168" s="400" t="s">
        <v>1092</v>
      </c>
      <c r="E3168" s="400" t="s">
        <v>422</v>
      </c>
      <c r="F3168" s="400" t="s">
        <v>71</v>
      </c>
      <c r="G3168" s="400" t="s">
        <v>6416</v>
      </c>
      <c r="H3168" s="400" t="s">
        <v>6423</v>
      </c>
      <c r="I3168" s="401">
        <v>12529.77</v>
      </c>
    </row>
    <row r="3169" spans="1:9" x14ac:dyDescent="0.2">
      <c r="A3169" s="398">
        <v>3168</v>
      </c>
      <c r="B3169" s="399">
        <v>44658</v>
      </c>
      <c r="C3169" s="399">
        <v>44676</v>
      </c>
      <c r="D3169" s="400" t="s">
        <v>1092</v>
      </c>
      <c r="E3169" s="400" t="s">
        <v>422</v>
      </c>
      <c r="F3169" s="400" t="s">
        <v>396</v>
      </c>
      <c r="G3169" s="400" t="s">
        <v>6417</v>
      </c>
      <c r="H3169" s="400" t="s">
        <v>6424</v>
      </c>
      <c r="I3169" s="401">
        <v>31992.22</v>
      </c>
    </row>
    <row r="3170" spans="1:9" x14ac:dyDescent="0.2">
      <c r="A3170" s="398">
        <v>3169</v>
      </c>
      <c r="B3170" s="399">
        <v>44659</v>
      </c>
      <c r="C3170" s="399">
        <v>44683</v>
      </c>
      <c r="D3170" s="400" t="s">
        <v>1092</v>
      </c>
      <c r="E3170" s="400" t="s">
        <v>422</v>
      </c>
      <c r="F3170" s="400" t="s">
        <v>396</v>
      </c>
      <c r="G3170" s="400" t="s">
        <v>6425</v>
      </c>
      <c r="H3170" s="400" t="s">
        <v>6428</v>
      </c>
      <c r="I3170" s="401">
        <v>3819.52</v>
      </c>
    </row>
    <row r="3171" spans="1:9" x14ac:dyDescent="0.2">
      <c r="A3171" s="398">
        <v>3170</v>
      </c>
      <c r="B3171" s="399">
        <v>44659</v>
      </c>
      <c r="C3171" s="399">
        <v>44683</v>
      </c>
      <c r="D3171" s="400" t="s">
        <v>1092</v>
      </c>
      <c r="E3171" s="400" t="s">
        <v>422</v>
      </c>
      <c r="F3171" s="400" t="s">
        <v>396</v>
      </c>
      <c r="G3171" s="400" t="s">
        <v>6426</v>
      </c>
      <c r="H3171" s="400" t="s">
        <v>6429</v>
      </c>
      <c r="I3171" s="401">
        <v>15604.16</v>
      </c>
    </row>
    <row r="3172" spans="1:9" x14ac:dyDescent="0.2">
      <c r="A3172" s="398">
        <v>3171</v>
      </c>
      <c r="B3172" s="399">
        <v>44659</v>
      </c>
      <c r="C3172" s="399">
        <v>44683</v>
      </c>
      <c r="D3172" s="400" t="s">
        <v>1092</v>
      </c>
      <c r="E3172" s="400" t="s">
        <v>422</v>
      </c>
      <c r="F3172" s="400" t="s">
        <v>71</v>
      </c>
      <c r="G3172" s="400" t="s">
        <v>6427</v>
      </c>
      <c r="H3172" s="400" t="s">
        <v>6430</v>
      </c>
      <c r="I3172" s="401">
        <v>3714.98</v>
      </c>
    </row>
    <row r="3173" spans="1:9" x14ac:dyDescent="0.2">
      <c r="A3173" s="398">
        <v>3172</v>
      </c>
      <c r="B3173" s="399">
        <v>44662</v>
      </c>
      <c r="C3173" s="399">
        <v>44692</v>
      </c>
      <c r="D3173" s="400" t="s">
        <v>1092</v>
      </c>
      <c r="E3173" s="400" t="s">
        <v>422</v>
      </c>
      <c r="F3173" s="400" t="s">
        <v>701</v>
      </c>
      <c r="G3173" s="400" t="s">
        <v>6431</v>
      </c>
      <c r="H3173" s="400" t="s">
        <v>6432</v>
      </c>
      <c r="I3173" s="401">
        <v>409100</v>
      </c>
    </row>
    <row r="3174" spans="1:9" x14ac:dyDescent="0.2">
      <c r="A3174" s="398">
        <v>3173</v>
      </c>
      <c r="B3174" s="399">
        <v>44663</v>
      </c>
      <c r="C3174" s="399">
        <v>44683</v>
      </c>
      <c r="D3174" s="400" t="s">
        <v>1092</v>
      </c>
      <c r="E3174" s="400" t="s">
        <v>422</v>
      </c>
      <c r="F3174" s="400" t="s">
        <v>701</v>
      </c>
      <c r="G3174" s="400" t="s">
        <v>6433</v>
      </c>
      <c r="H3174" s="400" t="s">
        <v>6434</v>
      </c>
      <c r="I3174" s="401">
        <v>18900</v>
      </c>
    </row>
    <row r="3175" spans="1:9" x14ac:dyDescent="0.2">
      <c r="A3175" s="398">
        <v>3174</v>
      </c>
      <c r="B3175" s="399">
        <v>44670</v>
      </c>
      <c r="C3175" s="399">
        <v>44697</v>
      </c>
      <c r="D3175" s="400" t="s">
        <v>1092</v>
      </c>
      <c r="E3175" s="400" t="s">
        <v>392</v>
      </c>
      <c r="F3175" s="400" t="s">
        <v>71</v>
      </c>
      <c r="G3175" s="400" t="s">
        <v>6435</v>
      </c>
      <c r="H3175" s="400" t="s">
        <v>6436</v>
      </c>
      <c r="I3175" s="401">
        <v>467000</v>
      </c>
    </row>
    <row r="3176" spans="1:9" x14ac:dyDescent="0.2">
      <c r="A3176" s="398">
        <v>3175</v>
      </c>
      <c r="B3176" s="399">
        <v>44677</v>
      </c>
      <c r="C3176" s="399">
        <v>44697</v>
      </c>
      <c r="D3176" s="400" t="s">
        <v>1092</v>
      </c>
      <c r="E3176" s="400" t="s">
        <v>392</v>
      </c>
      <c r="F3176" s="400" t="s">
        <v>9</v>
      </c>
      <c r="G3176" s="400" t="s">
        <v>6437</v>
      </c>
      <c r="H3176" s="400" t="s">
        <v>6438</v>
      </c>
      <c r="I3176" s="401">
        <v>109131.45</v>
      </c>
    </row>
    <row r="3177" spans="1:9" x14ac:dyDescent="0.2">
      <c r="A3177" s="398">
        <v>3176</v>
      </c>
      <c r="B3177" s="399">
        <v>44680</v>
      </c>
      <c r="C3177" s="399">
        <v>44711</v>
      </c>
      <c r="D3177" s="400" t="s">
        <v>1092</v>
      </c>
      <c r="E3177" s="400" t="s">
        <v>422</v>
      </c>
      <c r="F3177" s="400" t="s">
        <v>701</v>
      </c>
      <c r="G3177" s="400" t="s">
        <v>6439</v>
      </c>
      <c r="H3177" s="400" t="s">
        <v>6440</v>
      </c>
      <c r="I3177" s="401">
        <v>216147.27</v>
      </c>
    </row>
    <row r="3178" spans="1:9" x14ac:dyDescent="0.2">
      <c r="A3178" s="398">
        <v>3177</v>
      </c>
      <c r="B3178" s="399">
        <v>44680</v>
      </c>
      <c r="C3178" s="399">
        <v>44697</v>
      </c>
      <c r="D3178" s="400" t="s">
        <v>1092</v>
      </c>
      <c r="E3178" s="400" t="s">
        <v>422</v>
      </c>
      <c r="F3178" s="400" t="s">
        <v>701</v>
      </c>
      <c r="G3178" s="400" t="s">
        <v>6331</v>
      </c>
      <c r="H3178" s="400" t="s">
        <v>6335</v>
      </c>
      <c r="I3178" s="401">
        <v>49350</v>
      </c>
    </row>
    <row r="3179" spans="1:9" x14ac:dyDescent="0.2">
      <c r="A3179" s="398">
        <v>3178</v>
      </c>
      <c r="B3179" s="399">
        <v>44683</v>
      </c>
      <c r="C3179" s="399">
        <v>44711</v>
      </c>
      <c r="D3179" s="400" t="s">
        <v>1092</v>
      </c>
      <c r="E3179" s="400" t="s">
        <v>422</v>
      </c>
      <c r="F3179" s="400" t="s">
        <v>396</v>
      </c>
      <c r="G3179" s="400" t="s">
        <v>6441</v>
      </c>
      <c r="H3179" s="400" t="s">
        <v>6442</v>
      </c>
      <c r="I3179" s="401">
        <v>722132</v>
      </c>
    </row>
    <row r="3180" spans="1:9" x14ac:dyDescent="0.2">
      <c r="A3180" s="398">
        <v>3179</v>
      </c>
      <c r="B3180" s="399">
        <v>44685</v>
      </c>
      <c r="C3180" s="399">
        <v>44704</v>
      </c>
      <c r="D3180" s="400" t="s">
        <v>1092</v>
      </c>
      <c r="E3180" s="400" t="s">
        <v>422</v>
      </c>
      <c r="F3180" s="400" t="s">
        <v>701</v>
      </c>
      <c r="G3180" s="400" t="s">
        <v>6443</v>
      </c>
      <c r="H3180" s="400" t="s">
        <v>6216</v>
      </c>
      <c r="I3180" s="401">
        <v>31000</v>
      </c>
    </row>
    <row r="3181" spans="1:9" x14ac:dyDescent="0.2">
      <c r="A3181" s="398">
        <v>3180</v>
      </c>
      <c r="B3181" s="399">
        <v>44685</v>
      </c>
      <c r="C3181" s="399">
        <v>44704</v>
      </c>
      <c r="D3181" s="400" t="s">
        <v>1092</v>
      </c>
      <c r="E3181" s="400" t="s">
        <v>392</v>
      </c>
      <c r="F3181" s="400" t="s">
        <v>9</v>
      </c>
      <c r="G3181" s="400" t="s">
        <v>6444</v>
      </c>
      <c r="H3181" s="400" t="s">
        <v>6448</v>
      </c>
      <c r="I3181" s="401">
        <v>113022.93</v>
      </c>
    </row>
    <row r="3182" spans="1:9" x14ac:dyDescent="0.2">
      <c r="A3182" s="398">
        <v>3181</v>
      </c>
      <c r="B3182" s="399">
        <v>44685</v>
      </c>
      <c r="C3182" s="399">
        <v>44704</v>
      </c>
      <c r="D3182" s="400" t="s">
        <v>1092</v>
      </c>
      <c r="E3182" s="400" t="s">
        <v>422</v>
      </c>
      <c r="F3182" s="400" t="s">
        <v>701</v>
      </c>
      <c r="G3182" s="400" t="s">
        <v>6445</v>
      </c>
      <c r="H3182" s="400" t="s">
        <v>6449</v>
      </c>
      <c r="I3182" s="401">
        <v>85695</v>
      </c>
    </row>
    <row r="3183" spans="1:9" x14ac:dyDescent="0.2">
      <c r="A3183" s="398">
        <v>3182</v>
      </c>
      <c r="B3183" s="399">
        <v>44685</v>
      </c>
      <c r="C3183" s="399">
        <v>44704</v>
      </c>
      <c r="D3183" s="402" t="s">
        <v>1092</v>
      </c>
      <c r="E3183" s="400" t="s">
        <v>422</v>
      </c>
      <c r="F3183" s="400" t="s">
        <v>701</v>
      </c>
      <c r="G3183" s="400" t="s">
        <v>6446</v>
      </c>
      <c r="H3183" s="400" t="s">
        <v>6450</v>
      </c>
      <c r="I3183" s="401">
        <v>73700</v>
      </c>
    </row>
    <row r="3184" spans="1:9" x14ac:dyDescent="0.2">
      <c r="A3184" s="398">
        <v>3183</v>
      </c>
      <c r="B3184" s="399">
        <v>44685</v>
      </c>
      <c r="C3184" s="399">
        <v>44704</v>
      </c>
      <c r="D3184" s="400" t="s">
        <v>1092</v>
      </c>
      <c r="E3184" s="400" t="s">
        <v>422</v>
      </c>
      <c r="F3184" s="400" t="s">
        <v>701</v>
      </c>
      <c r="G3184" s="400" t="s">
        <v>6447</v>
      </c>
      <c r="H3184" s="400" t="s">
        <v>6451</v>
      </c>
      <c r="I3184" s="401">
        <v>173861</v>
      </c>
    </row>
    <row r="3185" spans="1:9" x14ac:dyDescent="0.2">
      <c r="A3185" s="398">
        <v>3184</v>
      </c>
      <c r="B3185" s="399">
        <v>44686</v>
      </c>
      <c r="C3185" s="399">
        <v>44704</v>
      </c>
      <c r="D3185" s="400" t="s">
        <v>1092</v>
      </c>
      <c r="E3185" s="400" t="s">
        <v>422</v>
      </c>
      <c r="F3185" s="400" t="s">
        <v>701</v>
      </c>
      <c r="G3185" s="400" t="s">
        <v>6452</v>
      </c>
      <c r="H3185" s="400" t="s">
        <v>6461</v>
      </c>
      <c r="I3185" s="401">
        <v>53000</v>
      </c>
    </row>
    <row r="3186" spans="1:9" x14ac:dyDescent="0.2">
      <c r="A3186" s="398">
        <v>3185</v>
      </c>
      <c r="B3186" s="399">
        <v>44686</v>
      </c>
      <c r="C3186" s="399">
        <v>44704</v>
      </c>
      <c r="D3186" s="400" t="s">
        <v>1092</v>
      </c>
      <c r="E3186" s="400" t="s">
        <v>392</v>
      </c>
      <c r="F3186" s="400" t="s">
        <v>393</v>
      </c>
      <c r="G3186" s="400" t="s">
        <v>6453</v>
      </c>
      <c r="H3186" s="400" t="s">
        <v>6462</v>
      </c>
      <c r="I3186" s="401">
        <v>80594.600000000006</v>
      </c>
    </row>
    <row r="3187" spans="1:9" x14ac:dyDescent="0.2">
      <c r="A3187" s="398">
        <v>3186</v>
      </c>
      <c r="B3187" s="399">
        <v>44686</v>
      </c>
      <c r="C3187" s="399">
        <v>44706</v>
      </c>
      <c r="D3187" s="400" t="s">
        <v>1092</v>
      </c>
      <c r="E3187" s="400" t="s">
        <v>422</v>
      </c>
      <c r="F3187" s="400" t="s">
        <v>71</v>
      </c>
      <c r="G3187" s="400" t="s">
        <v>6454</v>
      </c>
      <c r="H3187" s="400" t="s">
        <v>6463</v>
      </c>
      <c r="I3187" s="401">
        <v>5595.99</v>
      </c>
    </row>
    <row r="3188" spans="1:9" x14ac:dyDescent="0.2">
      <c r="A3188" s="398">
        <v>3187</v>
      </c>
      <c r="B3188" s="399">
        <v>44686</v>
      </c>
      <c r="C3188" s="399">
        <v>44704</v>
      </c>
      <c r="D3188" s="400" t="s">
        <v>1092</v>
      </c>
      <c r="E3188" s="400" t="s">
        <v>392</v>
      </c>
      <c r="F3188" s="400" t="s">
        <v>71</v>
      </c>
      <c r="G3188" s="400" t="s">
        <v>6455</v>
      </c>
      <c r="H3188" s="400" t="s">
        <v>6464</v>
      </c>
      <c r="I3188" s="401">
        <v>63013.73</v>
      </c>
    </row>
    <row r="3189" spans="1:9" x14ac:dyDescent="0.2">
      <c r="A3189" s="398">
        <v>3188</v>
      </c>
      <c r="B3189" s="399">
        <v>44686</v>
      </c>
      <c r="C3189" s="399">
        <v>44704</v>
      </c>
      <c r="D3189" s="400" t="s">
        <v>1092</v>
      </c>
      <c r="E3189" s="400" t="s">
        <v>392</v>
      </c>
      <c r="F3189" s="400" t="s">
        <v>393</v>
      </c>
      <c r="G3189" s="400" t="s">
        <v>6456</v>
      </c>
      <c r="H3189" s="400" t="s">
        <v>6465</v>
      </c>
      <c r="I3189" s="401">
        <v>20148.650000000001</v>
      </c>
    </row>
    <row r="3190" spans="1:9" x14ac:dyDescent="0.2">
      <c r="A3190" s="398">
        <v>3189</v>
      </c>
      <c r="B3190" s="399">
        <v>44686</v>
      </c>
      <c r="C3190" s="399">
        <v>44706</v>
      </c>
      <c r="D3190" s="400" t="s">
        <v>1092</v>
      </c>
      <c r="E3190" s="400" t="s">
        <v>422</v>
      </c>
      <c r="F3190" s="400" t="s">
        <v>396</v>
      </c>
      <c r="G3190" s="400" t="s">
        <v>6457</v>
      </c>
      <c r="H3190" s="400" t="s">
        <v>6466</v>
      </c>
      <c r="I3190" s="401">
        <v>5899.3</v>
      </c>
    </row>
    <row r="3191" spans="1:9" x14ac:dyDescent="0.2">
      <c r="A3191" s="398">
        <v>3190</v>
      </c>
      <c r="B3191" s="399">
        <v>44686</v>
      </c>
      <c r="C3191" s="399">
        <v>44706</v>
      </c>
      <c r="D3191" s="400" t="s">
        <v>1092</v>
      </c>
      <c r="E3191" s="400" t="s">
        <v>422</v>
      </c>
      <c r="F3191" s="400" t="s">
        <v>396</v>
      </c>
      <c r="G3191" s="400" t="s">
        <v>6458</v>
      </c>
      <c r="H3191" s="400" t="s">
        <v>6467</v>
      </c>
      <c r="I3191" s="401">
        <v>15561.4</v>
      </c>
    </row>
    <row r="3192" spans="1:9" x14ac:dyDescent="0.2">
      <c r="A3192" s="398">
        <v>3191</v>
      </c>
      <c r="B3192" s="399">
        <v>44686</v>
      </c>
      <c r="C3192" s="399">
        <v>44704</v>
      </c>
      <c r="D3192" s="400" t="s">
        <v>1092</v>
      </c>
      <c r="E3192" s="400" t="s">
        <v>422</v>
      </c>
      <c r="F3192" s="400" t="s">
        <v>701</v>
      </c>
      <c r="G3192" s="400" t="s">
        <v>6459</v>
      </c>
      <c r="H3192" s="400" t="s">
        <v>6468</v>
      </c>
      <c r="I3192" s="401">
        <v>106700</v>
      </c>
    </row>
    <row r="3193" spans="1:9" x14ac:dyDescent="0.2">
      <c r="A3193" s="398">
        <v>3192</v>
      </c>
      <c r="B3193" s="399">
        <v>44686</v>
      </c>
      <c r="C3193" s="399">
        <v>44704</v>
      </c>
      <c r="D3193" s="400" t="s">
        <v>1092</v>
      </c>
      <c r="E3193" s="400" t="s">
        <v>422</v>
      </c>
      <c r="F3193" s="400" t="s">
        <v>701</v>
      </c>
      <c r="G3193" s="400" t="s">
        <v>6460</v>
      </c>
      <c r="H3193" s="400" t="s">
        <v>6469</v>
      </c>
      <c r="I3193" s="401">
        <v>66800</v>
      </c>
    </row>
    <row r="3194" spans="1:9" x14ac:dyDescent="0.2">
      <c r="A3194" s="398">
        <v>3193</v>
      </c>
      <c r="B3194" s="399">
        <v>44687</v>
      </c>
      <c r="C3194" s="399">
        <v>44720</v>
      </c>
      <c r="D3194" s="400" t="s">
        <v>1092</v>
      </c>
      <c r="E3194" s="400" t="s">
        <v>392</v>
      </c>
      <c r="F3194" s="400" t="s">
        <v>9</v>
      </c>
      <c r="G3194" s="400" t="s">
        <v>6470</v>
      </c>
      <c r="H3194" s="400" t="s">
        <v>6472</v>
      </c>
      <c r="I3194" s="401">
        <v>271565.93</v>
      </c>
    </row>
    <row r="3195" spans="1:9" x14ac:dyDescent="0.2">
      <c r="A3195" s="398">
        <v>3194</v>
      </c>
      <c r="B3195" s="399">
        <v>44687</v>
      </c>
      <c r="C3195" s="399">
        <v>44704</v>
      </c>
      <c r="D3195" s="400" t="s">
        <v>1092</v>
      </c>
      <c r="E3195" s="400" t="s">
        <v>422</v>
      </c>
      <c r="F3195" s="400" t="s">
        <v>701</v>
      </c>
      <c r="G3195" s="400" t="s">
        <v>6471</v>
      </c>
      <c r="H3195" s="400" t="s">
        <v>6473</v>
      </c>
      <c r="I3195" s="401">
        <v>139580</v>
      </c>
    </row>
    <row r="3196" spans="1:9" x14ac:dyDescent="0.2">
      <c r="A3196" s="398">
        <v>3195</v>
      </c>
      <c r="B3196" s="399">
        <v>44692</v>
      </c>
      <c r="C3196" s="399">
        <v>44711</v>
      </c>
      <c r="D3196" s="400" t="s">
        <v>1092</v>
      </c>
      <c r="E3196" s="400" t="s">
        <v>392</v>
      </c>
      <c r="F3196" s="400" t="s">
        <v>2224</v>
      </c>
      <c r="G3196" s="400" t="s">
        <v>6474</v>
      </c>
      <c r="H3196" s="400" t="s">
        <v>6475</v>
      </c>
      <c r="I3196" s="401">
        <v>71371.44</v>
      </c>
    </row>
    <row r="3197" spans="1:9" x14ac:dyDescent="0.2">
      <c r="A3197" s="398">
        <v>3196</v>
      </c>
      <c r="B3197" s="399">
        <v>44697</v>
      </c>
      <c r="C3197" s="399">
        <v>44720</v>
      </c>
      <c r="D3197" s="400" t="s">
        <v>1092</v>
      </c>
      <c r="E3197" s="400" t="s">
        <v>422</v>
      </c>
      <c r="F3197" s="400" t="s">
        <v>71</v>
      </c>
      <c r="G3197" s="400" t="s">
        <v>6476</v>
      </c>
      <c r="H3197" s="400" t="s">
        <v>6479</v>
      </c>
      <c r="I3197" s="401">
        <v>5378.16</v>
      </c>
    </row>
    <row r="3198" spans="1:9" x14ac:dyDescent="0.2">
      <c r="A3198" s="398">
        <v>3197</v>
      </c>
      <c r="B3198" s="399">
        <v>44697</v>
      </c>
      <c r="C3198" s="399">
        <v>44720</v>
      </c>
      <c r="D3198" s="400" t="s">
        <v>1092</v>
      </c>
      <c r="E3198" s="400" t="s">
        <v>422</v>
      </c>
      <c r="F3198" s="400" t="s">
        <v>396</v>
      </c>
      <c r="G3198" s="400" t="s">
        <v>6477</v>
      </c>
      <c r="H3198" s="400" t="s">
        <v>6480</v>
      </c>
      <c r="I3198" s="401">
        <v>13409.99</v>
      </c>
    </row>
    <row r="3199" spans="1:9" x14ac:dyDescent="0.2">
      <c r="A3199" s="398">
        <v>3198</v>
      </c>
      <c r="B3199" s="399">
        <v>44697</v>
      </c>
      <c r="C3199" s="399">
        <v>44720</v>
      </c>
      <c r="D3199" s="400" t="s">
        <v>1092</v>
      </c>
      <c r="E3199" s="400" t="s">
        <v>422</v>
      </c>
      <c r="F3199" s="400" t="s">
        <v>396</v>
      </c>
      <c r="G3199" s="400" t="s">
        <v>6478</v>
      </c>
      <c r="H3199" s="400" t="s">
        <v>6481</v>
      </c>
      <c r="I3199" s="401">
        <v>3480.47</v>
      </c>
    </row>
    <row r="3200" spans="1:9" x14ac:dyDescent="0.2">
      <c r="A3200" s="398">
        <v>3199</v>
      </c>
      <c r="B3200" s="399">
        <v>44699</v>
      </c>
      <c r="C3200" s="399">
        <v>44727</v>
      </c>
      <c r="D3200" s="400" t="s">
        <v>1092</v>
      </c>
      <c r="E3200" s="400" t="s">
        <v>392</v>
      </c>
      <c r="F3200" s="400" t="s">
        <v>9</v>
      </c>
      <c r="G3200" s="400" t="s">
        <v>6482</v>
      </c>
      <c r="H3200" s="400" t="s">
        <v>6483</v>
      </c>
      <c r="I3200" s="401">
        <v>342304.45</v>
      </c>
    </row>
    <row r="3201" spans="1:9" x14ac:dyDescent="0.2">
      <c r="A3201" s="398">
        <v>3200</v>
      </c>
      <c r="B3201" s="399">
        <v>44701</v>
      </c>
      <c r="C3201" s="399">
        <v>44725</v>
      </c>
      <c r="D3201" s="400" t="s">
        <v>1092</v>
      </c>
      <c r="E3201" s="400" t="s">
        <v>392</v>
      </c>
      <c r="F3201" s="400" t="s">
        <v>393</v>
      </c>
      <c r="G3201" s="400" t="s">
        <v>6484</v>
      </c>
      <c r="H3201" s="400" t="s">
        <v>6485</v>
      </c>
      <c r="I3201" s="401">
        <v>30000</v>
      </c>
    </row>
    <row r="3202" spans="1:9" x14ac:dyDescent="0.2">
      <c r="A3202" s="398">
        <v>3201</v>
      </c>
      <c r="B3202" s="399">
        <v>44704</v>
      </c>
      <c r="C3202" s="399">
        <v>44727</v>
      </c>
      <c r="D3202" s="400" t="s">
        <v>1092</v>
      </c>
      <c r="E3202" s="400" t="s">
        <v>422</v>
      </c>
      <c r="F3202" s="400" t="s">
        <v>71</v>
      </c>
      <c r="G3202" s="400" t="s">
        <v>6486</v>
      </c>
      <c r="H3202" s="400" t="s">
        <v>6488</v>
      </c>
      <c r="I3202" s="401">
        <v>6119.47</v>
      </c>
    </row>
    <row r="3203" spans="1:9" x14ac:dyDescent="0.2">
      <c r="A3203" s="398">
        <v>3202</v>
      </c>
      <c r="B3203" s="399">
        <v>44704</v>
      </c>
      <c r="C3203" s="399">
        <v>44727</v>
      </c>
      <c r="D3203" s="400" t="s">
        <v>1092</v>
      </c>
      <c r="E3203" s="400" t="s">
        <v>422</v>
      </c>
      <c r="F3203" s="400" t="s">
        <v>396</v>
      </c>
      <c r="G3203" s="400" t="s">
        <v>6487</v>
      </c>
      <c r="H3203" s="400" t="s">
        <v>6489</v>
      </c>
      <c r="I3203" s="401">
        <v>4093.73</v>
      </c>
    </row>
    <row r="3204" spans="1:9" x14ac:dyDescent="0.2">
      <c r="A3204" s="398">
        <v>3203</v>
      </c>
      <c r="B3204" s="399">
        <v>44706</v>
      </c>
      <c r="C3204" s="399">
        <v>44725</v>
      </c>
      <c r="D3204" s="400" t="s">
        <v>1092</v>
      </c>
      <c r="E3204" s="400" t="s">
        <v>392</v>
      </c>
      <c r="F3204" s="400" t="s">
        <v>71</v>
      </c>
      <c r="G3204" s="400" t="s">
        <v>6490</v>
      </c>
      <c r="H3204" s="400" t="s">
        <v>6491</v>
      </c>
      <c r="I3204" s="401">
        <v>3391.84</v>
      </c>
    </row>
    <row r="3205" spans="1:9" x14ac:dyDescent="0.2">
      <c r="A3205" s="398">
        <v>3204</v>
      </c>
      <c r="B3205" s="399">
        <v>44711</v>
      </c>
      <c r="C3205" s="399">
        <v>44741</v>
      </c>
      <c r="D3205" s="400" t="s">
        <v>1092</v>
      </c>
      <c r="E3205" s="400" t="s">
        <v>392</v>
      </c>
      <c r="F3205" s="400" t="s">
        <v>9</v>
      </c>
      <c r="G3205" s="400" t="s">
        <v>6492</v>
      </c>
      <c r="H3205" s="400" t="s">
        <v>6493</v>
      </c>
      <c r="I3205" s="401">
        <v>305441.71999999997</v>
      </c>
    </row>
    <row r="3206" spans="1:9" x14ac:dyDescent="0.2">
      <c r="A3206" s="398">
        <v>3205</v>
      </c>
      <c r="B3206" s="399">
        <v>44712</v>
      </c>
      <c r="C3206" s="399">
        <v>44732</v>
      </c>
      <c r="D3206" s="400" t="s">
        <v>1092</v>
      </c>
      <c r="E3206" s="400" t="s">
        <v>422</v>
      </c>
      <c r="F3206" s="400" t="s">
        <v>396</v>
      </c>
      <c r="G3206" s="400" t="s">
        <v>6494</v>
      </c>
      <c r="H3206" s="400" t="s">
        <v>6497</v>
      </c>
      <c r="I3206" s="401">
        <v>4024.04</v>
      </c>
    </row>
    <row r="3207" spans="1:9" x14ac:dyDescent="0.2">
      <c r="A3207" s="398">
        <v>3206</v>
      </c>
      <c r="B3207" s="399">
        <v>44712</v>
      </c>
      <c r="C3207" s="399">
        <v>44732</v>
      </c>
      <c r="D3207" s="400" t="s">
        <v>1092</v>
      </c>
      <c r="E3207" s="400" t="s">
        <v>422</v>
      </c>
      <c r="F3207" s="400" t="s">
        <v>396</v>
      </c>
      <c r="G3207" s="400" t="s">
        <v>6495</v>
      </c>
      <c r="H3207" s="400" t="s">
        <v>6498</v>
      </c>
      <c r="I3207" s="401">
        <v>39057.17</v>
      </c>
    </row>
    <row r="3208" spans="1:9" x14ac:dyDescent="0.2">
      <c r="A3208" s="398">
        <v>3207</v>
      </c>
      <c r="B3208" s="399">
        <v>44712</v>
      </c>
      <c r="C3208" s="399">
        <v>44732</v>
      </c>
      <c r="D3208" s="400" t="s">
        <v>1092</v>
      </c>
      <c r="E3208" s="400" t="s">
        <v>422</v>
      </c>
      <c r="F3208" s="400" t="s">
        <v>71</v>
      </c>
      <c r="G3208" s="400" t="s">
        <v>6496</v>
      </c>
      <c r="H3208" s="400" t="s">
        <v>6499</v>
      </c>
      <c r="I3208" s="401">
        <v>6043.49</v>
      </c>
    </row>
    <row r="3209" spans="1:9" x14ac:dyDescent="0.2">
      <c r="A3209" s="398">
        <v>3208</v>
      </c>
      <c r="B3209" s="399">
        <v>44714</v>
      </c>
      <c r="C3209" s="399">
        <v>44732</v>
      </c>
      <c r="D3209" s="400" t="s">
        <v>1092</v>
      </c>
      <c r="E3209" s="400" t="s">
        <v>422</v>
      </c>
      <c r="F3209" s="400" t="s">
        <v>1640</v>
      </c>
      <c r="G3209" s="400" t="s">
        <v>6500</v>
      </c>
      <c r="H3209" s="400" t="s">
        <v>6505</v>
      </c>
      <c r="I3209" s="401">
        <v>31147.93</v>
      </c>
    </row>
    <row r="3210" spans="1:9" x14ac:dyDescent="0.2">
      <c r="A3210" s="398">
        <v>3209</v>
      </c>
      <c r="B3210" s="399">
        <v>44714</v>
      </c>
      <c r="C3210" s="399">
        <v>44732</v>
      </c>
      <c r="D3210" s="400" t="s">
        <v>1092</v>
      </c>
      <c r="E3210" s="400" t="s">
        <v>422</v>
      </c>
      <c r="F3210" s="400" t="s">
        <v>1640</v>
      </c>
      <c r="G3210" s="400" t="s">
        <v>6501</v>
      </c>
      <c r="H3210" s="400" t="s">
        <v>6506</v>
      </c>
      <c r="I3210" s="401">
        <v>8989.3700000000008</v>
      </c>
    </row>
    <row r="3211" spans="1:9" x14ac:dyDescent="0.2">
      <c r="A3211" s="398">
        <v>3210</v>
      </c>
      <c r="B3211" s="399">
        <v>44714</v>
      </c>
      <c r="C3211" s="399">
        <v>44732</v>
      </c>
      <c r="D3211" s="400" t="s">
        <v>1092</v>
      </c>
      <c r="E3211" s="400" t="s">
        <v>422</v>
      </c>
      <c r="F3211" s="400" t="s">
        <v>71</v>
      </c>
      <c r="G3211" s="400" t="s">
        <v>6502</v>
      </c>
      <c r="H3211" s="400" t="s">
        <v>6507</v>
      </c>
      <c r="I3211" s="401">
        <v>10374.9</v>
      </c>
    </row>
    <row r="3212" spans="1:9" x14ac:dyDescent="0.2">
      <c r="A3212" s="398">
        <v>3211</v>
      </c>
      <c r="B3212" s="399">
        <v>44714</v>
      </c>
      <c r="C3212" s="399">
        <v>44732</v>
      </c>
      <c r="D3212" s="400" t="s">
        <v>1092</v>
      </c>
      <c r="E3212" s="400" t="s">
        <v>422</v>
      </c>
      <c r="F3212" s="400" t="s">
        <v>701</v>
      </c>
      <c r="G3212" s="400" t="s">
        <v>6503</v>
      </c>
      <c r="H3212" s="400" t="s">
        <v>6508</v>
      </c>
      <c r="I3212" s="401">
        <v>94270</v>
      </c>
    </row>
    <row r="3213" spans="1:9" x14ac:dyDescent="0.2">
      <c r="A3213" s="398">
        <v>3212</v>
      </c>
      <c r="B3213" s="399">
        <v>44714</v>
      </c>
      <c r="C3213" s="399">
        <v>44732</v>
      </c>
      <c r="D3213" s="400" t="s">
        <v>1092</v>
      </c>
      <c r="E3213" s="400" t="s">
        <v>422</v>
      </c>
      <c r="F3213" s="400" t="s">
        <v>701</v>
      </c>
      <c r="G3213" s="400" t="s">
        <v>6504</v>
      </c>
      <c r="H3213" s="400" t="s">
        <v>6509</v>
      </c>
      <c r="I3213" s="401">
        <v>7037.4</v>
      </c>
    </row>
    <row r="3214" spans="1:9" x14ac:dyDescent="0.2">
      <c r="A3214" s="398">
        <v>3213</v>
      </c>
      <c r="B3214" s="399">
        <v>44715</v>
      </c>
      <c r="C3214" s="399">
        <v>44732</v>
      </c>
      <c r="D3214" s="400" t="s">
        <v>1092</v>
      </c>
      <c r="E3214" s="400" t="s">
        <v>392</v>
      </c>
      <c r="F3214" s="400" t="s">
        <v>396</v>
      </c>
      <c r="G3214" s="400" t="s">
        <v>6510</v>
      </c>
      <c r="H3214" s="400" t="s">
        <v>6516</v>
      </c>
      <c r="I3214" s="401">
        <v>9109.82</v>
      </c>
    </row>
    <row r="3215" spans="1:9" x14ac:dyDescent="0.2">
      <c r="A3215" s="398">
        <v>3214</v>
      </c>
      <c r="B3215" s="399">
        <v>44715</v>
      </c>
      <c r="C3215" s="399">
        <v>44732</v>
      </c>
      <c r="D3215" s="400" t="s">
        <v>1092</v>
      </c>
      <c r="E3215" s="400" t="s">
        <v>392</v>
      </c>
      <c r="F3215" s="400" t="s">
        <v>71</v>
      </c>
      <c r="G3215" s="400" t="s">
        <v>6511</v>
      </c>
      <c r="H3215" s="400" t="s">
        <v>6517</v>
      </c>
      <c r="I3215" s="401">
        <v>1206</v>
      </c>
    </row>
    <row r="3216" spans="1:9" x14ac:dyDescent="0.2">
      <c r="A3216" s="398">
        <v>3215</v>
      </c>
      <c r="B3216" s="399">
        <v>44715</v>
      </c>
      <c r="C3216" s="399">
        <v>44732</v>
      </c>
      <c r="D3216" s="400" t="s">
        <v>1092</v>
      </c>
      <c r="E3216" s="400" t="s">
        <v>392</v>
      </c>
      <c r="F3216" s="400" t="s">
        <v>393</v>
      </c>
      <c r="G3216" s="400" t="s">
        <v>6512</v>
      </c>
      <c r="H3216" s="400" t="s">
        <v>6518</v>
      </c>
      <c r="I3216" s="401">
        <v>9615.92</v>
      </c>
    </row>
    <row r="3217" spans="1:9" x14ac:dyDescent="0.2">
      <c r="A3217" s="398">
        <v>3216</v>
      </c>
      <c r="B3217" s="399">
        <v>44720</v>
      </c>
      <c r="C3217" s="399">
        <v>44739</v>
      </c>
      <c r="D3217" s="400" t="s">
        <v>1092</v>
      </c>
      <c r="E3217" s="400" t="s">
        <v>392</v>
      </c>
      <c r="F3217" s="400" t="s">
        <v>71</v>
      </c>
      <c r="G3217" s="400" t="s">
        <v>6513</v>
      </c>
      <c r="H3217" s="400" t="s">
        <v>6519</v>
      </c>
      <c r="I3217" s="401">
        <v>18520.77</v>
      </c>
    </row>
    <row r="3218" spans="1:9" x14ac:dyDescent="0.2">
      <c r="A3218" s="398">
        <v>3217</v>
      </c>
      <c r="B3218" s="399">
        <v>44720</v>
      </c>
      <c r="C3218" s="399">
        <v>44739</v>
      </c>
      <c r="D3218" s="400" t="s">
        <v>1092</v>
      </c>
      <c r="E3218" s="400" t="s">
        <v>392</v>
      </c>
      <c r="F3218" s="400" t="s">
        <v>393</v>
      </c>
      <c r="G3218" s="400" t="s">
        <v>6514</v>
      </c>
      <c r="H3218" s="400" t="s">
        <v>6520</v>
      </c>
      <c r="I3218" s="401">
        <v>42000</v>
      </c>
    </row>
    <row r="3219" spans="1:9" x14ac:dyDescent="0.2">
      <c r="A3219" s="398">
        <v>3218</v>
      </c>
      <c r="B3219" s="399">
        <v>44720</v>
      </c>
      <c r="C3219" s="399">
        <v>44739</v>
      </c>
      <c r="D3219" s="400" t="s">
        <v>1092</v>
      </c>
      <c r="E3219" s="400" t="s">
        <v>392</v>
      </c>
      <c r="F3219" s="400" t="s">
        <v>393</v>
      </c>
      <c r="G3219" s="400" t="s">
        <v>6515</v>
      </c>
      <c r="H3219" s="400" t="s">
        <v>6521</v>
      </c>
      <c r="I3219" s="401">
        <v>10500</v>
      </c>
    </row>
    <row r="3220" spans="1:9" x14ac:dyDescent="0.2">
      <c r="A3220" s="398">
        <v>3219</v>
      </c>
      <c r="B3220" s="399">
        <v>44721</v>
      </c>
      <c r="C3220" s="399">
        <v>44741</v>
      </c>
      <c r="D3220" s="400" t="s">
        <v>1092</v>
      </c>
      <c r="E3220" s="400" t="s">
        <v>422</v>
      </c>
      <c r="F3220" s="400" t="s">
        <v>701</v>
      </c>
      <c r="G3220" s="400" t="s">
        <v>6522</v>
      </c>
      <c r="H3220" s="400" t="s">
        <v>6523</v>
      </c>
      <c r="I3220" s="401">
        <v>14400</v>
      </c>
    </row>
    <row r="3221" spans="1:9" x14ac:dyDescent="0.2">
      <c r="A3221" s="398">
        <v>3220</v>
      </c>
      <c r="B3221" s="399">
        <v>44721</v>
      </c>
      <c r="C3221" s="399">
        <v>44741</v>
      </c>
      <c r="D3221" s="400" t="s">
        <v>1092</v>
      </c>
      <c r="E3221" s="400" t="s">
        <v>422</v>
      </c>
      <c r="F3221" s="400" t="s">
        <v>701</v>
      </c>
      <c r="G3221" s="400" t="s">
        <v>6524</v>
      </c>
      <c r="H3221" s="400" t="s">
        <v>6525</v>
      </c>
      <c r="I3221" s="401">
        <v>13220</v>
      </c>
    </row>
    <row r="3222" spans="1:9" x14ac:dyDescent="0.2">
      <c r="A3222" s="398">
        <v>3221</v>
      </c>
      <c r="B3222" s="399">
        <v>44722</v>
      </c>
      <c r="C3222" s="399">
        <v>44739</v>
      </c>
      <c r="D3222" s="400" t="s">
        <v>1092</v>
      </c>
      <c r="E3222" s="400" t="s">
        <v>422</v>
      </c>
      <c r="F3222" s="400" t="s">
        <v>701</v>
      </c>
      <c r="G3222" s="400" t="s">
        <v>6526</v>
      </c>
      <c r="H3222" s="400" t="s">
        <v>6527</v>
      </c>
      <c r="I3222" s="401">
        <v>154268.70000000001</v>
      </c>
    </row>
    <row r="3223" spans="1:9" x14ac:dyDescent="0.2">
      <c r="A3223" s="398">
        <v>3222</v>
      </c>
      <c r="B3223" s="399">
        <v>44722</v>
      </c>
      <c r="C3223" s="399">
        <v>44739</v>
      </c>
      <c r="D3223" s="400" t="s">
        <v>1092</v>
      </c>
      <c r="E3223" s="400" t="s">
        <v>422</v>
      </c>
      <c r="F3223" s="400" t="s">
        <v>396</v>
      </c>
      <c r="G3223" s="400" t="s">
        <v>6528</v>
      </c>
      <c r="H3223" s="400" t="s">
        <v>6529</v>
      </c>
      <c r="I3223" s="401">
        <v>138585.56</v>
      </c>
    </row>
    <row r="3224" spans="1:9" x14ac:dyDescent="0.2">
      <c r="A3224" s="398">
        <v>3223</v>
      </c>
      <c r="B3224" s="399">
        <v>44722</v>
      </c>
      <c r="C3224" s="399">
        <v>44753</v>
      </c>
      <c r="D3224" s="400" t="s">
        <v>1092</v>
      </c>
      <c r="E3224" s="400" t="s">
        <v>422</v>
      </c>
      <c r="F3224" s="400" t="s">
        <v>396</v>
      </c>
      <c r="G3224" s="400" t="s">
        <v>6530</v>
      </c>
      <c r="H3224" s="400" t="s">
        <v>6531</v>
      </c>
      <c r="I3224" s="401">
        <v>1117922</v>
      </c>
    </row>
    <row r="3225" spans="1:9" x14ac:dyDescent="0.2">
      <c r="A3225" s="398">
        <v>3224</v>
      </c>
      <c r="B3225" s="399">
        <v>44722</v>
      </c>
      <c r="C3225" s="399">
        <v>44762</v>
      </c>
      <c r="D3225" s="400" t="s">
        <v>1092</v>
      </c>
      <c r="E3225" s="400" t="s">
        <v>422</v>
      </c>
      <c r="F3225" s="400" t="s">
        <v>71</v>
      </c>
      <c r="G3225" s="400" t="s">
        <v>6532</v>
      </c>
      <c r="H3225" s="400" t="s">
        <v>6533</v>
      </c>
      <c r="I3225" s="401">
        <v>263699.44</v>
      </c>
    </row>
    <row r="3226" spans="1:9" x14ac:dyDescent="0.2">
      <c r="A3226" s="398">
        <v>3225</v>
      </c>
      <c r="B3226" s="399">
        <v>44725</v>
      </c>
      <c r="C3226" s="399">
        <v>44760</v>
      </c>
      <c r="D3226" s="400" t="s">
        <v>1092</v>
      </c>
      <c r="E3226" s="400" t="s">
        <v>392</v>
      </c>
      <c r="F3226" s="400" t="s">
        <v>9</v>
      </c>
      <c r="G3226" s="400" t="s">
        <v>6534</v>
      </c>
      <c r="H3226" s="400" t="s">
        <v>6535</v>
      </c>
      <c r="I3226" s="401">
        <v>377801.34</v>
      </c>
    </row>
    <row r="3227" spans="1:9" x14ac:dyDescent="0.2">
      <c r="A3227" s="398">
        <v>3226</v>
      </c>
      <c r="B3227" s="399">
        <v>44725</v>
      </c>
      <c r="C3227" s="399">
        <v>44746</v>
      </c>
      <c r="D3227" s="400" t="s">
        <v>1092</v>
      </c>
      <c r="E3227" s="400" t="s">
        <v>422</v>
      </c>
      <c r="F3227" s="400" t="s">
        <v>71</v>
      </c>
      <c r="G3227" s="400" t="s">
        <v>6536</v>
      </c>
      <c r="H3227" s="400" t="s">
        <v>6537</v>
      </c>
      <c r="I3227" s="401">
        <v>76962.19</v>
      </c>
    </row>
    <row r="3228" spans="1:9" x14ac:dyDescent="0.2">
      <c r="A3228" s="398">
        <v>3227</v>
      </c>
      <c r="B3228" s="399">
        <v>44725</v>
      </c>
      <c r="C3228" s="399">
        <v>44746</v>
      </c>
      <c r="D3228" s="400" t="s">
        <v>1092</v>
      </c>
      <c r="E3228" s="400" t="s">
        <v>422</v>
      </c>
      <c r="F3228" s="400" t="s">
        <v>396</v>
      </c>
      <c r="G3228" s="400" t="s">
        <v>6538</v>
      </c>
      <c r="H3228" s="400" t="s">
        <v>6539</v>
      </c>
      <c r="I3228" s="401">
        <v>22802.5</v>
      </c>
    </row>
    <row r="3229" spans="1:9" x14ac:dyDescent="0.2">
      <c r="A3229" s="398">
        <v>3228</v>
      </c>
      <c r="B3229" s="399">
        <v>44725</v>
      </c>
      <c r="C3229" s="399">
        <v>44746</v>
      </c>
      <c r="D3229" s="400" t="s">
        <v>1092</v>
      </c>
      <c r="E3229" s="400" t="s">
        <v>422</v>
      </c>
      <c r="F3229" s="400" t="s">
        <v>396</v>
      </c>
      <c r="G3229" s="400" t="s">
        <v>6540</v>
      </c>
      <c r="H3229" s="400" t="s">
        <v>6541</v>
      </c>
      <c r="I3229" s="401">
        <v>207234.91</v>
      </c>
    </row>
    <row r="3230" spans="1:9" x14ac:dyDescent="0.2">
      <c r="A3230" s="398">
        <v>3229</v>
      </c>
      <c r="B3230" s="399">
        <v>44725</v>
      </c>
      <c r="C3230" s="399">
        <v>45456</v>
      </c>
      <c r="D3230" s="400" t="s">
        <v>1092</v>
      </c>
      <c r="E3230" s="400" t="s">
        <v>422</v>
      </c>
      <c r="F3230" s="400" t="s">
        <v>396</v>
      </c>
      <c r="G3230" s="400" t="s">
        <v>6542</v>
      </c>
      <c r="H3230" s="400" t="s">
        <v>6543</v>
      </c>
      <c r="I3230" s="401">
        <v>9000000</v>
      </c>
    </row>
    <row r="3231" spans="1:9" x14ac:dyDescent="0.2">
      <c r="A3231" s="398">
        <v>3230</v>
      </c>
      <c r="B3231" s="399">
        <v>44726</v>
      </c>
      <c r="C3231" s="399">
        <v>44746</v>
      </c>
      <c r="D3231" s="400" t="s">
        <v>1092</v>
      </c>
      <c r="E3231" s="400" t="s">
        <v>422</v>
      </c>
      <c r="F3231" s="400" t="s">
        <v>396</v>
      </c>
      <c r="G3231" s="400" t="s">
        <v>6544</v>
      </c>
      <c r="H3231" s="400" t="s">
        <v>6545</v>
      </c>
      <c r="I3231" s="401">
        <v>68310</v>
      </c>
    </row>
    <row r="3232" spans="1:9" x14ac:dyDescent="0.2">
      <c r="A3232" s="398">
        <v>3231</v>
      </c>
      <c r="B3232" s="399">
        <v>44727</v>
      </c>
      <c r="C3232" s="399">
        <v>44746</v>
      </c>
      <c r="D3232" s="400" t="s">
        <v>1092</v>
      </c>
      <c r="E3232" s="400" t="s">
        <v>392</v>
      </c>
      <c r="F3232" s="400" t="s">
        <v>1257</v>
      </c>
      <c r="G3232" s="400" t="s">
        <v>6546</v>
      </c>
      <c r="H3232" s="400" t="s">
        <v>6547</v>
      </c>
      <c r="I3232" s="401">
        <v>3600</v>
      </c>
    </row>
    <row r="3233" spans="1:9" x14ac:dyDescent="0.2">
      <c r="A3233" s="398">
        <v>3232</v>
      </c>
      <c r="B3233" s="399">
        <v>44727</v>
      </c>
      <c r="C3233" s="399">
        <v>44746</v>
      </c>
      <c r="D3233" s="400" t="s">
        <v>1092</v>
      </c>
      <c r="E3233" s="400" t="s">
        <v>392</v>
      </c>
      <c r="F3233" s="400" t="s">
        <v>71</v>
      </c>
      <c r="G3233" s="400" t="s">
        <v>6548</v>
      </c>
      <c r="H3233" s="400" t="s">
        <v>6549</v>
      </c>
      <c r="I3233" s="401">
        <v>646.30999999999995</v>
      </c>
    </row>
    <row r="3234" spans="1:9" x14ac:dyDescent="0.2">
      <c r="A3234" s="398">
        <v>3233</v>
      </c>
      <c r="B3234" s="399">
        <v>44727</v>
      </c>
      <c r="C3234" s="399">
        <v>44746</v>
      </c>
      <c r="D3234" s="400" t="s">
        <v>1092</v>
      </c>
      <c r="E3234" s="400" t="s">
        <v>392</v>
      </c>
      <c r="F3234" s="400" t="s">
        <v>396</v>
      </c>
      <c r="G3234" s="400" t="s">
        <v>6550</v>
      </c>
      <c r="H3234" s="400" t="s">
        <v>6551</v>
      </c>
      <c r="I3234" s="401">
        <v>2760</v>
      </c>
    </row>
    <row r="3235" spans="1:9" x14ac:dyDescent="0.2">
      <c r="A3235" s="398">
        <v>3234</v>
      </c>
      <c r="B3235" s="399">
        <v>44728</v>
      </c>
      <c r="C3235" s="399">
        <v>44746</v>
      </c>
      <c r="D3235" s="400" t="s">
        <v>1092</v>
      </c>
      <c r="E3235" s="400" t="s">
        <v>392</v>
      </c>
      <c r="F3235" s="400" t="s">
        <v>71</v>
      </c>
      <c r="G3235" s="400" t="s">
        <v>6552</v>
      </c>
      <c r="H3235" s="400" t="s">
        <v>6553</v>
      </c>
      <c r="I3235" s="401">
        <v>2559.1999999999998</v>
      </c>
    </row>
    <row r="3236" spans="1:9" x14ac:dyDescent="0.2">
      <c r="A3236" s="398">
        <v>3235</v>
      </c>
      <c r="B3236" s="399">
        <v>44733</v>
      </c>
      <c r="C3236" s="399">
        <v>44746</v>
      </c>
      <c r="D3236" s="400" t="s">
        <v>1092</v>
      </c>
      <c r="E3236" s="400" t="s">
        <v>422</v>
      </c>
      <c r="F3236" s="400" t="s">
        <v>71</v>
      </c>
      <c r="G3236" s="400" t="s">
        <v>6554</v>
      </c>
      <c r="H3236" s="400" t="s">
        <v>6557</v>
      </c>
      <c r="I3236" s="401">
        <v>12517.38</v>
      </c>
    </row>
    <row r="3237" spans="1:9" x14ac:dyDescent="0.2">
      <c r="A3237" s="398">
        <v>3236</v>
      </c>
      <c r="B3237" s="399">
        <v>44733</v>
      </c>
      <c r="C3237" s="399">
        <v>44746</v>
      </c>
      <c r="D3237" s="400" t="s">
        <v>1092</v>
      </c>
      <c r="E3237" s="400" t="s">
        <v>422</v>
      </c>
      <c r="F3237" s="400" t="s">
        <v>396</v>
      </c>
      <c r="G3237" s="400" t="s">
        <v>6555</v>
      </c>
      <c r="H3237" s="400" t="s">
        <v>6558</v>
      </c>
      <c r="I3237" s="401">
        <v>55467.839999999997</v>
      </c>
    </row>
    <row r="3238" spans="1:9" x14ac:dyDescent="0.2">
      <c r="A3238" s="398">
        <v>3237</v>
      </c>
      <c r="B3238" s="399">
        <v>44733</v>
      </c>
      <c r="C3238" s="399">
        <v>44746</v>
      </c>
      <c r="D3238" s="400" t="s">
        <v>1092</v>
      </c>
      <c r="E3238" s="400" t="s">
        <v>422</v>
      </c>
      <c r="F3238" s="400" t="s">
        <v>396</v>
      </c>
      <c r="G3238" s="400" t="s">
        <v>6556</v>
      </c>
      <c r="H3238" s="400" t="s">
        <v>6559</v>
      </c>
      <c r="I3238" s="401">
        <v>10967.74</v>
      </c>
    </row>
    <row r="3239" spans="1:9" x14ac:dyDescent="0.2">
      <c r="A3239" s="398">
        <v>3238</v>
      </c>
      <c r="B3239" s="399">
        <v>44734</v>
      </c>
      <c r="C3239" s="399">
        <v>44760</v>
      </c>
      <c r="D3239" s="400" t="s">
        <v>1092</v>
      </c>
      <c r="E3239" s="400" t="s">
        <v>392</v>
      </c>
      <c r="F3239" s="400" t="s">
        <v>71</v>
      </c>
      <c r="G3239" s="400" t="s">
        <v>6560</v>
      </c>
      <c r="H3239" s="400" t="s">
        <v>6564</v>
      </c>
      <c r="I3239" s="401">
        <v>5971.92</v>
      </c>
    </row>
    <row r="3240" spans="1:9" x14ac:dyDescent="0.2">
      <c r="A3240" s="398">
        <v>3239</v>
      </c>
      <c r="B3240" s="399">
        <v>44734</v>
      </c>
      <c r="C3240" s="399">
        <v>44760</v>
      </c>
      <c r="D3240" s="400" t="s">
        <v>1092</v>
      </c>
      <c r="E3240" s="400" t="s">
        <v>392</v>
      </c>
      <c r="F3240" s="400" t="s">
        <v>393</v>
      </c>
      <c r="G3240" s="400" t="s">
        <v>6561</v>
      </c>
      <c r="H3240" s="400" t="s">
        <v>6565</v>
      </c>
      <c r="I3240" s="401">
        <v>9000</v>
      </c>
    </row>
    <row r="3241" spans="1:9" x14ac:dyDescent="0.2">
      <c r="A3241" s="398">
        <v>3240</v>
      </c>
      <c r="B3241" s="399">
        <v>44734</v>
      </c>
      <c r="C3241" s="399">
        <v>44760</v>
      </c>
      <c r="D3241" s="400" t="s">
        <v>1092</v>
      </c>
      <c r="E3241" s="400" t="s">
        <v>392</v>
      </c>
      <c r="F3241" s="400" t="s">
        <v>393</v>
      </c>
      <c r="G3241" s="400" t="s">
        <v>6562</v>
      </c>
      <c r="H3241" s="400" t="s">
        <v>6566</v>
      </c>
      <c r="I3241" s="401">
        <v>36000</v>
      </c>
    </row>
    <row r="3242" spans="1:9" x14ac:dyDescent="0.2">
      <c r="A3242" s="398">
        <v>3241</v>
      </c>
      <c r="B3242" s="399">
        <v>44734</v>
      </c>
      <c r="C3242" s="399">
        <v>44760</v>
      </c>
      <c r="D3242" s="400" t="s">
        <v>1092</v>
      </c>
      <c r="E3242" s="400" t="s">
        <v>392</v>
      </c>
      <c r="F3242" s="400" t="s">
        <v>71</v>
      </c>
      <c r="G3242" s="400" t="s">
        <v>6563</v>
      </c>
      <c r="H3242" s="400" t="s">
        <v>6567</v>
      </c>
      <c r="I3242" s="401">
        <v>7334.12</v>
      </c>
    </row>
    <row r="3243" spans="1:9" x14ac:dyDescent="0.2">
      <c r="A3243" s="398">
        <v>3242</v>
      </c>
      <c r="B3243" s="399">
        <v>44740</v>
      </c>
      <c r="C3243" s="399">
        <v>44809</v>
      </c>
      <c r="D3243" s="400" t="s">
        <v>1092</v>
      </c>
      <c r="E3243" s="400" t="s">
        <v>392</v>
      </c>
      <c r="F3243" s="400" t="s">
        <v>9</v>
      </c>
      <c r="G3243" s="400" t="s">
        <v>6568</v>
      </c>
      <c r="H3243" s="400" t="s">
        <v>6569</v>
      </c>
      <c r="I3243" s="401">
        <v>351167.57</v>
      </c>
    </row>
    <row r="3244" spans="1:9" x14ac:dyDescent="0.2">
      <c r="A3244" s="398">
        <v>3243</v>
      </c>
      <c r="B3244" s="399">
        <v>44753</v>
      </c>
      <c r="C3244" s="399">
        <v>44809</v>
      </c>
      <c r="D3244" s="400" t="s">
        <v>1092</v>
      </c>
      <c r="E3244" s="400" t="s">
        <v>392</v>
      </c>
      <c r="F3244" s="400" t="s">
        <v>9</v>
      </c>
      <c r="G3244" s="400" t="s">
        <v>6570</v>
      </c>
      <c r="H3244" s="400" t="s">
        <v>6573</v>
      </c>
      <c r="I3244" s="401">
        <v>457818.09</v>
      </c>
    </row>
    <row r="3245" spans="1:9" x14ac:dyDescent="0.2">
      <c r="A3245" s="398">
        <v>3244</v>
      </c>
      <c r="B3245" s="399">
        <v>44753</v>
      </c>
      <c r="C3245" s="399">
        <v>44769</v>
      </c>
      <c r="D3245" s="400" t="s">
        <v>1092</v>
      </c>
      <c r="E3245" s="400" t="s">
        <v>422</v>
      </c>
      <c r="F3245" s="400" t="s">
        <v>701</v>
      </c>
      <c r="G3245" s="400" t="s">
        <v>6571</v>
      </c>
      <c r="H3245" s="400" t="s">
        <v>6574</v>
      </c>
      <c r="I3245" s="401">
        <v>31610</v>
      </c>
    </row>
    <row r="3246" spans="1:9" x14ac:dyDescent="0.2">
      <c r="A3246" s="398">
        <v>3245</v>
      </c>
      <c r="B3246" s="399">
        <v>44755</v>
      </c>
      <c r="C3246" s="399">
        <v>44823</v>
      </c>
      <c r="D3246" s="400" t="s">
        <v>1092</v>
      </c>
      <c r="E3246" s="400" t="s">
        <v>392</v>
      </c>
      <c r="F3246" s="400" t="s">
        <v>9</v>
      </c>
      <c r="G3246" s="400" t="s">
        <v>6572</v>
      </c>
      <c r="H3246" s="400" t="s">
        <v>6575</v>
      </c>
      <c r="I3246" s="401">
        <v>465509.83</v>
      </c>
    </row>
    <row r="3247" spans="1:9" x14ac:dyDescent="0.2">
      <c r="A3247" s="398">
        <v>3246</v>
      </c>
      <c r="B3247" s="399">
        <v>44760</v>
      </c>
      <c r="C3247" s="399">
        <v>44781</v>
      </c>
      <c r="D3247" s="400" t="s">
        <v>1092</v>
      </c>
      <c r="E3247" s="400" t="s">
        <v>392</v>
      </c>
      <c r="F3247" s="400" t="s">
        <v>71</v>
      </c>
      <c r="G3247" s="400" t="s">
        <v>6576</v>
      </c>
      <c r="H3247" s="400" t="s">
        <v>6579</v>
      </c>
      <c r="I3247" s="401">
        <v>8170.56</v>
      </c>
    </row>
    <row r="3248" spans="1:9" x14ac:dyDescent="0.2">
      <c r="A3248" s="398">
        <v>3247</v>
      </c>
      <c r="B3248" s="399">
        <v>44760</v>
      </c>
      <c r="C3248" s="399">
        <v>44781</v>
      </c>
      <c r="D3248" s="400" t="s">
        <v>1092</v>
      </c>
      <c r="E3248" s="400" t="s">
        <v>392</v>
      </c>
      <c r="F3248" s="400" t="s">
        <v>393</v>
      </c>
      <c r="G3248" s="400" t="s">
        <v>6577</v>
      </c>
      <c r="H3248" s="400" t="s">
        <v>6580</v>
      </c>
      <c r="I3248" s="401">
        <v>7250</v>
      </c>
    </row>
    <row r="3249" spans="1:9" x14ac:dyDescent="0.2">
      <c r="A3249" s="398">
        <v>3248</v>
      </c>
      <c r="B3249" s="399">
        <v>44760</v>
      </c>
      <c r="C3249" s="399">
        <v>44781</v>
      </c>
      <c r="D3249" s="400" t="s">
        <v>1092</v>
      </c>
      <c r="E3249" s="400" t="s">
        <v>392</v>
      </c>
      <c r="F3249" s="400" t="s">
        <v>393</v>
      </c>
      <c r="G3249" s="400" t="s">
        <v>6578</v>
      </c>
      <c r="H3249" s="400" t="s">
        <v>6581</v>
      </c>
      <c r="I3249" s="401">
        <v>29000</v>
      </c>
    </row>
    <row r="3250" spans="1:9" x14ac:dyDescent="0.2">
      <c r="A3250" s="398">
        <v>3249</v>
      </c>
      <c r="B3250" s="399">
        <v>44762</v>
      </c>
      <c r="C3250" s="399">
        <v>44804</v>
      </c>
      <c r="D3250" s="400" t="s">
        <v>1092</v>
      </c>
      <c r="E3250" s="400" t="s">
        <v>392</v>
      </c>
      <c r="F3250" s="400" t="s">
        <v>9</v>
      </c>
      <c r="G3250" s="400" t="s">
        <v>6582</v>
      </c>
      <c r="H3250" s="400" t="s">
        <v>6595</v>
      </c>
      <c r="I3250" s="401">
        <v>106671.9</v>
      </c>
    </row>
    <row r="3251" spans="1:9" x14ac:dyDescent="0.2">
      <c r="A3251" s="398">
        <v>3250</v>
      </c>
      <c r="B3251" s="399">
        <v>44762</v>
      </c>
      <c r="C3251" s="399">
        <v>44802</v>
      </c>
      <c r="D3251" s="400" t="s">
        <v>1092</v>
      </c>
      <c r="E3251" s="400" t="s">
        <v>392</v>
      </c>
      <c r="F3251" s="400" t="s">
        <v>9</v>
      </c>
      <c r="G3251" s="400" t="s">
        <v>6583</v>
      </c>
      <c r="H3251" s="400" t="s">
        <v>6596</v>
      </c>
      <c r="I3251" s="401">
        <v>92747.81</v>
      </c>
    </row>
    <row r="3252" spans="1:9" x14ac:dyDescent="0.2">
      <c r="A3252" s="398">
        <v>3251</v>
      </c>
      <c r="B3252" s="399">
        <v>44762</v>
      </c>
      <c r="C3252" s="399">
        <v>44802</v>
      </c>
      <c r="D3252" s="400" t="s">
        <v>1092</v>
      </c>
      <c r="E3252" s="400" t="s">
        <v>392</v>
      </c>
      <c r="F3252" s="400" t="s">
        <v>9</v>
      </c>
      <c r="G3252" s="400" t="s">
        <v>6584</v>
      </c>
      <c r="H3252" s="400" t="s">
        <v>6597</v>
      </c>
      <c r="I3252" s="401">
        <v>102274.8</v>
      </c>
    </row>
    <row r="3253" spans="1:9" x14ac:dyDescent="0.2">
      <c r="A3253" s="398">
        <v>3252</v>
      </c>
      <c r="B3253" s="399">
        <v>44762</v>
      </c>
      <c r="C3253" s="399">
        <v>44804</v>
      </c>
      <c r="D3253" s="400" t="s">
        <v>1092</v>
      </c>
      <c r="E3253" s="400" t="s">
        <v>392</v>
      </c>
      <c r="F3253" s="400" t="s">
        <v>393</v>
      </c>
      <c r="G3253" s="400" t="s">
        <v>6585</v>
      </c>
      <c r="H3253" s="400" t="s">
        <v>6598</v>
      </c>
      <c r="I3253" s="401">
        <v>15000</v>
      </c>
    </row>
    <row r="3254" spans="1:9" x14ac:dyDescent="0.2">
      <c r="A3254" s="398">
        <v>3253</v>
      </c>
      <c r="B3254" s="399">
        <v>44762</v>
      </c>
      <c r="C3254" s="399">
        <v>44802</v>
      </c>
      <c r="D3254" s="400" t="s">
        <v>1092</v>
      </c>
      <c r="E3254" s="400" t="s">
        <v>392</v>
      </c>
      <c r="F3254" s="400" t="s">
        <v>9</v>
      </c>
      <c r="G3254" s="400" t="s">
        <v>6586</v>
      </c>
      <c r="H3254" s="400" t="s">
        <v>6599</v>
      </c>
      <c r="I3254" s="401">
        <v>48904.4</v>
      </c>
    </row>
    <row r="3255" spans="1:9" x14ac:dyDescent="0.2">
      <c r="A3255" s="398">
        <v>3254</v>
      </c>
      <c r="B3255" s="399">
        <v>44762</v>
      </c>
      <c r="C3255" s="399">
        <v>44802</v>
      </c>
      <c r="D3255" s="400" t="s">
        <v>1092</v>
      </c>
      <c r="E3255" s="400" t="s">
        <v>392</v>
      </c>
      <c r="F3255" s="400" t="s">
        <v>9</v>
      </c>
      <c r="G3255" s="400" t="s">
        <v>6587</v>
      </c>
      <c r="H3255" s="400" t="s">
        <v>6600</v>
      </c>
      <c r="I3255" s="401">
        <v>105939.06</v>
      </c>
    </row>
    <row r="3256" spans="1:9" x14ac:dyDescent="0.2">
      <c r="A3256" s="398">
        <v>3255</v>
      </c>
      <c r="B3256" s="399">
        <v>44762</v>
      </c>
      <c r="C3256" s="399">
        <v>44802</v>
      </c>
      <c r="D3256" s="400" t="s">
        <v>1092</v>
      </c>
      <c r="E3256" s="400" t="s">
        <v>392</v>
      </c>
      <c r="F3256" s="400" t="s">
        <v>9</v>
      </c>
      <c r="G3256" s="400" t="s">
        <v>6588</v>
      </c>
      <c r="H3256" s="400" t="s">
        <v>6601</v>
      </c>
      <c r="I3256" s="401">
        <v>46713.96</v>
      </c>
    </row>
    <row r="3257" spans="1:9" x14ac:dyDescent="0.2">
      <c r="A3257" s="398">
        <v>3256</v>
      </c>
      <c r="B3257" s="399">
        <v>44762</v>
      </c>
      <c r="C3257" s="399">
        <v>44802</v>
      </c>
      <c r="D3257" s="400" t="s">
        <v>1092</v>
      </c>
      <c r="E3257" s="400" t="s">
        <v>392</v>
      </c>
      <c r="F3257" s="400" t="s">
        <v>9</v>
      </c>
      <c r="G3257" s="400" t="s">
        <v>6589</v>
      </c>
      <c r="H3257" s="400" t="s">
        <v>6602</v>
      </c>
      <c r="I3257" s="401">
        <v>94946.35</v>
      </c>
    </row>
    <row r="3258" spans="1:9" x14ac:dyDescent="0.2">
      <c r="A3258" s="398">
        <v>3257</v>
      </c>
      <c r="B3258" s="399">
        <v>44762</v>
      </c>
      <c r="C3258" s="399">
        <v>44811</v>
      </c>
      <c r="D3258" s="400" t="s">
        <v>1092</v>
      </c>
      <c r="E3258" s="400" t="s">
        <v>392</v>
      </c>
      <c r="F3258" s="400" t="s">
        <v>393</v>
      </c>
      <c r="G3258" s="400" t="s">
        <v>6590</v>
      </c>
      <c r="H3258" s="400" t="s">
        <v>6603</v>
      </c>
      <c r="I3258" s="401">
        <v>29274.62</v>
      </c>
    </row>
    <row r="3259" spans="1:9" x14ac:dyDescent="0.2">
      <c r="A3259" s="398">
        <v>3258</v>
      </c>
      <c r="B3259" s="399">
        <v>44762</v>
      </c>
      <c r="C3259" s="399">
        <v>44804</v>
      </c>
      <c r="D3259" s="400" t="s">
        <v>1092</v>
      </c>
      <c r="E3259" s="400" t="s">
        <v>392</v>
      </c>
      <c r="F3259" s="400" t="s">
        <v>393</v>
      </c>
      <c r="G3259" s="400" t="s">
        <v>6591</v>
      </c>
      <c r="H3259" s="400" t="s">
        <v>6604</v>
      </c>
      <c r="I3259" s="401">
        <v>3750</v>
      </c>
    </row>
    <row r="3260" spans="1:9" x14ac:dyDescent="0.2">
      <c r="A3260" s="398">
        <v>3259</v>
      </c>
      <c r="B3260" s="399">
        <v>44762</v>
      </c>
      <c r="C3260" s="399">
        <v>44804</v>
      </c>
      <c r="D3260" s="400" t="s">
        <v>1092</v>
      </c>
      <c r="E3260" s="400" t="s">
        <v>392</v>
      </c>
      <c r="F3260" s="400" t="s">
        <v>71</v>
      </c>
      <c r="G3260" s="400" t="s">
        <v>6592</v>
      </c>
      <c r="H3260" s="400" t="s">
        <v>6605</v>
      </c>
      <c r="I3260" s="401">
        <v>6271</v>
      </c>
    </row>
    <row r="3261" spans="1:9" x14ac:dyDescent="0.2">
      <c r="A3261" s="398">
        <v>3260</v>
      </c>
      <c r="B3261" s="399">
        <v>44762</v>
      </c>
      <c r="C3261" s="399">
        <v>44802</v>
      </c>
      <c r="D3261" s="400" t="s">
        <v>1092</v>
      </c>
      <c r="E3261" s="400" t="s">
        <v>392</v>
      </c>
      <c r="F3261" s="400" t="s">
        <v>9</v>
      </c>
      <c r="G3261" s="400" t="s">
        <v>6593</v>
      </c>
      <c r="H3261" s="400" t="s">
        <v>6606</v>
      </c>
      <c r="I3261" s="401">
        <v>83958.53</v>
      </c>
    </row>
    <row r="3262" spans="1:9" x14ac:dyDescent="0.2">
      <c r="A3262" s="398">
        <v>3261</v>
      </c>
      <c r="B3262" s="399">
        <v>44763</v>
      </c>
      <c r="C3262" s="399">
        <v>44802</v>
      </c>
      <c r="D3262" s="400" t="s">
        <v>1092</v>
      </c>
      <c r="E3262" s="400" t="s">
        <v>392</v>
      </c>
      <c r="F3262" s="400" t="s">
        <v>9</v>
      </c>
      <c r="G3262" s="400" t="s">
        <v>6594</v>
      </c>
      <c r="H3262" s="400" t="s">
        <v>6607</v>
      </c>
      <c r="I3262" s="401">
        <v>444326.92</v>
      </c>
    </row>
    <row r="3263" spans="1:9" x14ac:dyDescent="0.2">
      <c r="A3263" s="398">
        <v>3262</v>
      </c>
      <c r="B3263" s="399">
        <v>44767</v>
      </c>
      <c r="C3263" s="399">
        <v>44823</v>
      </c>
      <c r="D3263" s="400" t="s">
        <v>1092</v>
      </c>
      <c r="E3263" s="400" t="s">
        <v>392</v>
      </c>
      <c r="F3263" s="400" t="s">
        <v>9</v>
      </c>
      <c r="G3263" s="400" t="s">
        <v>6608</v>
      </c>
      <c r="H3263" s="400" t="s">
        <v>6610</v>
      </c>
      <c r="I3263" s="401">
        <v>709406.69</v>
      </c>
    </row>
    <row r="3264" spans="1:9" x14ac:dyDescent="0.2">
      <c r="A3264" s="398">
        <v>3263</v>
      </c>
      <c r="B3264" s="399">
        <v>44767</v>
      </c>
      <c r="C3264" s="399">
        <v>44802</v>
      </c>
      <c r="D3264" s="400" t="s">
        <v>1092</v>
      </c>
      <c r="E3264" s="400" t="s">
        <v>422</v>
      </c>
      <c r="F3264" s="400" t="s">
        <v>701</v>
      </c>
      <c r="G3264" s="400" t="s">
        <v>6609</v>
      </c>
      <c r="H3264" s="400" t="s">
        <v>6611</v>
      </c>
      <c r="I3264" s="401">
        <v>768751</v>
      </c>
    </row>
    <row r="3265" spans="1:9" x14ac:dyDescent="0.2">
      <c r="A3265" s="398">
        <v>3264</v>
      </c>
      <c r="B3265" s="399">
        <v>44769</v>
      </c>
      <c r="C3265" s="399">
        <v>44811</v>
      </c>
      <c r="D3265" s="400" t="s">
        <v>1092</v>
      </c>
      <c r="E3265" s="400" t="s">
        <v>392</v>
      </c>
      <c r="F3265" s="400" t="s">
        <v>9</v>
      </c>
      <c r="G3265" s="400" t="s">
        <v>6612</v>
      </c>
      <c r="H3265" s="400" t="s">
        <v>6624</v>
      </c>
      <c r="I3265" s="401">
        <v>213846.95</v>
      </c>
    </row>
    <row r="3266" spans="1:9" x14ac:dyDescent="0.2">
      <c r="A3266" s="398">
        <v>3265</v>
      </c>
      <c r="B3266" s="399">
        <v>44769</v>
      </c>
      <c r="C3266" s="399">
        <v>44811</v>
      </c>
      <c r="D3266" s="400" t="s">
        <v>1092</v>
      </c>
      <c r="E3266" s="400" t="s">
        <v>392</v>
      </c>
      <c r="F3266" s="400" t="s">
        <v>9</v>
      </c>
      <c r="G3266" s="400" t="s">
        <v>6613</v>
      </c>
      <c r="H3266" s="400" t="s">
        <v>6625</v>
      </c>
      <c r="I3266" s="401">
        <v>154966.32</v>
      </c>
    </row>
    <row r="3267" spans="1:9" x14ac:dyDescent="0.2">
      <c r="A3267" s="398">
        <v>3266</v>
      </c>
      <c r="B3267" s="399">
        <v>44769</v>
      </c>
      <c r="C3267" s="399">
        <v>44809</v>
      </c>
      <c r="D3267" s="400" t="s">
        <v>1092</v>
      </c>
      <c r="E3267" s="400" t="s">
        <v>392</v>
      </c>
      <c r="F3267" s="400" t="s">
        <v>9</v>
      </c>
      <c r="G3267" s="400" t="s">
        <v>6614</v>
      </c>
      <c r="H3267" s="400" t="s">
        <v>6626</v>
      </c>
      <c r="I3267" s="401">
        <v>333705.96000000002</v>
      </c>
    </row>
    <row r="3268" spans="1:9" x14ac:dyDescent="0.2">
      <c r="A3268" s="398">
        <v>3267</v>
      </c>
      <c r="B3268" s="399">
        <v>44769</v>
      </c>
      <c r="C3268" s="399">
        <v>44809</v>
      </c>
      <c r="D3268" s="400" t="s">
        <v>1092</v>
      </c>
      <c r="E3268" s="400" t="s">
        <v>392</v>
      </c>
      <c r="F3268" s="400" t="s">
        <v>9</v>
      </c>
      <c r="G3268" s="400" t="s">
        <v>6615</v>
      </c>
      <c r="H3268" s="400" t="s">
        <v>6627</v>
      </c>
      <c r="I3268" s="401">
        <v>385663.06</v>
      </c>
    </row>
    <row r="3269" spans="1:9" x14ac:dyDescent="0.2">
      <c r="A3269" s="398">
        <v>3268</v>
      </c>
      <c r="B3269" s="399">
        <v>44769</v>
      </c>
      <c r="C3269" s="399">
        <v>44809</v>
      </c>
      <c r="D3269" s="400" t="s">
        <v>1092</v>
      </c>
      <c r="E3269" s="400" t="s">
        <v>392</v>
      </c>
      <c r="F3269" s="400" t="s">
        <v>9</v>
      </c>
      <c r="G3269" s="400" t="s">
        <v>6616</v>
      </c>
      <c r="H3269" s="400" t="s">
        <v>6628</v>
      </c>
      <c r="I3269" s="401">
        <v>411669.05</v>
      </c>
    </row>
    <row r="3270" spans="1:9" x14ac:dyDescent="0.2">
      <c r="A3270" s="398">
        <v>3269</v>
      </c>
      <c r="B3270" s="399">
        <v>44769</v>
      </c>
      <c r="C3270" s="399">
        <v>44809</v>
      </c>
      <c r="D3270" s="400" t="s">
        <v>1092</v>
      </c>
      <c r="E3270" s="400" t="s">
        <v>392</v>
      </c>
      <c r="F3270" s="400" t="s">
        <v>9</v>
      </c>
      <c r="G3270" s="400" t="s">
        <v>6617</v>
      </c>
      <c r="H3270" s="400" t="s">
        <v>6629</v>
      </c>
      <c r="I3270" s="401">
        <v>34602.269999999997</v>
      </c>
    </row>
    <row r="3271" spans="1:9" x14ac:dyDescent="0.2">
      <c r="A3271" s="398">
        <v>3270</v>
      </c>
      <c r="B3271" s="399">
        <v>44769</v>
      </c>
      <c r="C3271" s="399">
        <v>44809</v>
      </c>
      <c r="D3271" s="402" t="s">
        <v>1092</v>
      </c>
      <c r="E3271" s="400" t="s">
        <v>392</v>
      </c>
      <c r="F3271" s="400" t="s">
        <v>9</v>
      </c>
      <c r="G3271" s="400" t="s">
        <v>6618</v>
      </c>
      <c r="H3271" s="400" t="s">
        <v>6630</v>
      </c>
      <c r="I3271" s="401">
        <v>665667.22</v>
      </c>
    </row>
    <row r="3272" spans="1:9" x14ac:dyDescent="0.2">
      <c r="A3272" s="398">
        <v>3271</v>
      </c>
      <c r="B3272" s="399">
        <v>44770</v>
      </c>
      <c r="C3272" s="399">
        <v>44811</v>
      </c>
      <c r="D3272" s="400" t="s">
        <v>1092</v>
      </c>
      <c r="E3272" s="400" t="s">
        <v>392</v>
      </c>
      <c r="F3272" s="400" t="s">
        <v>9</v>
      </c>
      <c r="G3272" s="400" t="s">
        <v>6619</v>
      </c>
      <c r="H3272" s="400" t="s">
        <v>6631</v>
      </c>
      <c r="I3272" s="401">
        <v>157579.47</v>
      </c>
    </row>
    <row r="3273" spans="1:9" x14ac:dyDescent="0.2">
      <c r="A3273" s="398">
        <v>3272</v>
      </c>
      <c r="B3273" s="399">
        <v>44770</v>
      </c>
      <c r="C3273" s="399">
        <v>44811</v>
      </c>
      <c r="D3273" s="400" t="s">
        <v>1092</v>
      </c>
      <c r="E3273" s="400" t="s">
        <v>392</v>
      </c>
      <c r="F3273" s="400" t="s">
        <v>9</v>
      </c>
      <c r="G3273" s="400" t="s">
        <v>6620</v>
      </c>
      <c r="H3273" s="400" t="s">
        <v>6632</v>
      </c>
      <c r="I3273" s="401">
        <v>161220.92000000001</v>
      </c>
    </row>
    <row r="3274" spans="1:9" x14ac:dyDescent="0.2">
      <c r="A3274" s="398">
        <v>3273</v>
      </c>
      <c r="B3274" s="399">
        <v>44770</v>
      </c>
      <c r="C3274" s="399">
        <v>44811</v>
      </c>
      <c r="D3274" s="400" t="s">
        <v>1092</v>
      </c>
      <c r="E3274" s="400" t="s">
        <v>392</v>
      </c>
      <c r="F3274" s="400" t="s">
        <v>9</v>
      </c>
      <c r="G3274" s="400" t="s">
        <v>6621</v>
      </c>
      <c r="H3274" s="400" t="s">
        <v>6633</v>
      </c>
      <c r="I3274" s="401">
        <v>161911.44</v>
      </c>
    </row>
    <row r="3275" spans="1:9" x14ac:dyDescent="0.2">
      <c r="A3275" s="398">
        <v>3274</v>
      </c>
      <c r="B3275" s="399">
        <v>44770</v>
      </c>
      <c r="C3275" s="399">
        <v>44811</v>
      </c>
      <c r="D3275" s="400" t="s">
        <v>1092</v>
      </c>
      <c r="E3275" s="400" t="s">
        <v>392</v>
      </c>
      <c r="F3275" s="400" t="s">
        <v>9</v>
      </c>
      <c r="G3275" s="400" t="s">
        <v>6622</v>
      </c>
      <c r="H3275" s="400" t="s">
        <v>6634</v>
      </c>
      <c r="I3275" s="401">
        <v>79642.06</v>
      </c>
    </row>
    <row r="3276" spans="1:9" x14ac:dyDescent="0.2">
      <c r="A3276" s="398">
        <v>3275</v>
      </c>
      <c r="B3276" s="399">
        <v>44770</v>
      </c>
      <c r="C3276" s="399">
        <v>44811</v>
      </c>
      <c r="D3276" s="400" t="s">
        <v>1092</v>
      </c>
      <c r="E3276" s="400" t="s">
        <v>392</v>
      </c>
      <c r="F3276" s="400" t="s">
        <v>9</v>
      </c>
      <c r="G3276" s="400" t="s">
        <v>6623</v>
      </c>
      <c r="H3276" s="400" t="s">
        <v>6635</v>
      </c>
      <c r="I3276" s="401">
        <v>141761.82999999999</v>
      </c>
    </row>
    <row r="3277" spans="1:9" x14ac:dyDescent="0.2">
      <c r="A3277" s="398">
        <v>3276</v>
      </c>
      <c r="B3277" s="399">
        <v>44771</v>
      </c>
      <c r="C3277" s="399">
        <v>44811</v>
      </c>
      <c r="D3277" s="400" t="s">
        <v>1092</v>
      </c>
      <c r="E3277" s="400" t="s">
        <v>392</v>
      </c>
      <c r="F3277" s="400" t="s">
        <v>9</v>
      </c>
      <c r="G3277" s="400" t="s">
        <v>6636</v>
      </c>
      <c r="H3277" s="400" t="s">
        <v>6648</v>
      </c>
      <c r="I3277" s="401">
        <v>1362486.28</v>
      </c>
    </row>
    <row r="3278" spans="1:9" x14ac:dyDescent="0.2">
      <c r="A3278" s="398">
        <v>3277</v>
      </c>
      <c r="B3278" s="399">
        <v>44771</v>
      </c>
      <c r="C3278" s="399">
        <v>44811</v>
      </c>
      <c r="D3278" s="400" t="s">
        <v>1092</v>
      </c>
      <c r="E3278" s="400" t="s">
        <v>392</v>
      </c>
      <c r="F3278" s="400" t="s">
        <v>9</v>
      </c>
      <c r="G3278" s="400" t="s">
        <v>6637</v>
      </c>
      <c r="H3278" s="400" t="s">
        <v>6649</v>
      </c>
      <c r="I3278" s="401">
        <v>341593.54</v>
      </c>
    </row>
    <row r="3279" spans="1:9" x14ac:dyDescent="0.2">
      <c r="A3279" s="398">
        <v>3278</v>
      </c>
      <c r="B3279" s="399">
        <v>44771</v>
      </c>
      <c r="C3279" s="399">
        <v>44811</v>
      </c>
      <c r="D3279" s="400" t="s">
        <v>1092</v>
      </c>
      <c r="E3279" s="400" t="s">
        <v>392</v>
      </c>
      <c r="F3279" s="400" t="s">
        <v>9</v>
      </c>
      <c r="G3279" s="400" t="s">
        <v>6638</v>
      </c>
      <c r="H3279" s="400" t="s">
        <v>6650</v>
      </c>
      <c r="I3279" s="401">
        <v>355817.61</v>
      </c>
    </row>
    <row r="3280" spans="1:9" x14ac:dyDescent="0.2">
      <c r="A3280" s="398">
        <v>3279</v>
      </c>
      <c r="B3280" s="399">
        <v>44771</v>
      </c>
      <c r="C3280" s="399">
        <v>44811</v>
      </c>
      <c r="D3280" s="400" t="s">
        <v>1092</v>
      </c>
      <c r="E3280" s="400" t="s">
        <v>392</v>
      </c>
      <c r="F3280" s="400" t="s">
        <v>9</v>
      </c>
      <c r="G3280" s="400" t="s">
        <v>6639</v>
      </c>
      <c r="H3280" s="400" t="s">
        <v>6651</v>
      </c>
      <c r="I3280" s="401">
        <v>141901.45000000001</v>
      </c>
    </row>
    <row r="3281" spans="1:9" x14ac:dyDescent="0.2">
      <c r="A3281" s="398">
        <v>3280</v>
      </c>
      <c r="B3281" s="399">
        <v>44771</v>
      </c>
      <c r="C3281" s="399">
        <v>44811</v>
      </c>
      <c r="D3281" s="400" t="s">
        <v>1092</v>
      </c>
      <c r="E3281" s="400" t="s">
        <v>392</v>
      </c>
      <c r="F3281" s="400" t="s">
        <v>9</v>
      </c>
      <c r="G3281" s="400" t="s">
        <v>6640</v>
      </c>
      <c r="H3281" s="400" t="s">
        <v>6652</v>
      </c>
      <c r="I3281" s="401">
        <v>68850.92</v>
      </c>
    </row>
    <row r="3282" spans="1:9" x14ac:dyDescent="0.2">
      <c r="A3282" s="398">
        <v>3281</v>
      </c>
      <c r="B3282" s="399">
        <v>44771</v>
      </c>
      <c r="C3282" s="399">
        <v>44811</v>
      </c>
      <c r="D3282" s="400" t="s">
        <v>1092</v>
      </c>
      <c r="E3282" s="400" t="s">
        <v>392</v>
      </c>
      <c r="F3282" s="400" t="s">
        <v>9</v>
      </c>
      <c r="G3282" s="400" t="s">
        <v>6641</v>
      </c>
      <c r="H3282" s="400" t="s">
        <v>6653</v>
      </c>
      <c r="I3282" s="401">
        <v>177839.2</v>
      </c>
    </row>
    <row r="3283" spans="1:9" x14ac:dyDescent="0.2">
      <c r="A3283" s="398">
        <v>3282</v>
      </c>
      <c r="B3283" s="399">
        <v>44771</v>
      </c>
      <c r="C3283" s="399">
        <v>44811</v>
      </c>
      <c r="D3283" s="400" t="s">
        <v>1092</v>
      </c>
      <c r="E3283" s="400" t="s">
        <v>392</v>
      </c>
      <c r="F3283" s="400" t="s">
        <v>9</v>
      </c>
      <c r="G3283" s="400" t="s">
        <v>6642</v>
      </c>
      <c r="H3283" s="400" t="s">
        <v>6654</v>
      </c>
      <c r="I3283" s="401">
        <v>196243.4</v>
      </c>
    </row>
    <row r="3284" spans="1:9" x14ac:dyDescent="0.2">
      <c r="A3284" s="398">
        <v>3283</v>
      </c>
      <c r="B3284" s="399">
        <v>44771</v>
      </c>
      <c r="C3284" s="399">
        <v>44811</v>
      </c>
      <c r="D3284" s="400" t="s">
        <v>1092</v>
      </c>
      <c r="E3284" s="402" t="s">
        <v>392</v>
      </c>
      <c r="F3284" s="400" t="s">
        <v>9</v>
      </c>
      <c r="G3284" s="400" t="s">
        <v>6643</v>
      </c>
      <c r="H3284" s="400" t="s">
        <v>6655</v>
      </c>
      <c r="I3284" s="401">
        <v>298228.71999999997</v>
      </c>
    </row>
    <row r="3285" spans="1:9" x14ac:dyDescent="0.2">
      <c r="A3285" s="398">
        <v>3284</v>
      </c>
      <c r="B3285" s="399">
        <v>44771</v>
      </c>
      <c r="C3285" s="399">
        <v>44811</v>
      </c>
      <c r="D3285" s="400" t="s">
        <v>1092</v>
      </c>
      <c r="E3285" s="400" t="s">
        <v>392</v>
      </c>
      <c r="F3285" s="400" t="s">
        <v>9</v>
      </c>
      <c r="G3285" s="400" t="s">
        <v>6644</v>
      </c>
      <c r="H3285" s="400" t="s">
        <v>6656</v>
      </c>
      <c r="I3285" s="401">
        <v>183965.55</v>
      </c>
    </row>
    <row r="3286" spans="1:9" x14ac:dyDescent="0.2">
      <c r="A3286" s="398">
        <v>3285</v>
      </c>
      <c r="B3286" s="399">
        <v>44771</v>
      </c>
      <c r="C3286" s="399">
        <v>44811</v>
      </c>
      <c r="D3286" s="400" t="s">
        <v>1092</v>
      </c>
      <c r="E3286" s="400" t="s">
        <v>392</v>
      </c>
      <c r="F3286" s="400" t="s">
        <v>9</v>
      </c>
      <c r="G3286" s="400" t="s">
        <v>6645</v>
      </c>
      <c r="H3286" s="400" t="s">
        <v>6657</v>
      </c>
      <c r="I3286" s="401">
        <v>237675.49</v>
      </c>
    </row>
    <row r="3287" spans="1:9" x14ac:dyDescent="0.2">
      <c r="A3287" s="398">
        <v>3286</v>
      </c>
      <c r="B3287" s="399">
        <v>44771</v>
      </c>
      <c r="C3287" s="399">
        <v>44811</v>
      </c>
      <c r="D3287" s="400" t="s">
        <v>1092</v>
      </c>
      <c r="E3287" s="400" t="s">
        <v>392</v>
      </c>
      <c r="F3287" s="400" t="s">
        <v>9</v>
      </c>
      <c r="G3287" s="400" t="s">
        <v>6646</v>
      </c>
      <c r="H3287" s="400" t="s">
        <v>6658</v>
      </c>
      <c r="I3287" s="401">
        <v>321024.38</v>
      </c>
    </row>
    <row r="3288" spans="1:9" x14ac:dyDescent="0.2">
      <c r="A3288" s="398">
        <v>3287</v>
      </c>
      <c r="B3288" s="399">
        <v>44774</v>
      </c>
      <c r="C3288" s="399">
        <v>44816</v>
      </c>
      <c r="D3288" s="400" t="s">
        <v>1092</v>
      </c>
      <c r="E3288" s="400" t="s">
        <v>422</v>
      </c>
      <c r="F3288" s="400" t="s">
        <v>701</v>
      </c>
      <c r="G3288" s="400" t="s">
        <v>6647</v>
      </c>
      <c r="H3288" s="400" t="s">
        <v>6659</v>
      </c>
      <c r="I3288" s="401">
        <v>97100</v>
      </c>
    </row>
    <row r="3289" spans="1:9" x14ac:dyDescent="0.2">
      <c r="A3289" s="398">
        <v>3288</v>
      </c>
      <c r="B3289" s="399">
        <v>44778</v>
      </c>
      <c r="C3289" s="399">
        <v>44816</v>
      </c>
      <c r="D3289" s="400" t="s">
        <v>1092</v>
      </c>
      <c r="E3289" s="400" t="s">
        <v>422</v>
      </c>
      <c r="F3289" s="400" t="s">
        <v>396</v>
      </c>
      <c r="G3289" s="400" t="s">
        <v>6660</v>
      </c>
      <c r="H3289" s="400" t="s">
        <v>6673</v>
      </c>
      <c r="I3289" s="401">
        <v>52752.71</v>
      </c>
    </row>
    <row r="3290" spans="1:9" x14ac:dyDescent="0.2">
      <c r="A3290" s="398">
        <v>3289</v>
      </c>
      <c r="B3290" s="399">
        <v>44778</v>
      </c>
      <c r="C3290" s="399">
        <v>44816</v>
      </c>
      <c r="D3290" s="400" t="s">
        <v>1092</v>
      </c>
      <c r="E3290" s="402" t="s">
        <v>422</v>
      </c>
      <c r="F3290" s="400" t="s">
        <v>71</v>
      </c>
      <c r="G3290" s="400" t="s">
        <v>6661</v>
      </c>
      <c r="H3290" s="400" t="s">
        <v>6674</v>
      </c>
      <c r="I3290" s="401">
        <v>13022.07</v>
      </c>
    </row>
    <row r="3291" spans="1:9" x14ac:dyDescent="0.2">
      <c r="A3291" s="398">
        <v>3290</v>
      </c>
      <c r="B3291" s="399">
        <v>44778</v>
      </c>
      <c r="C3291" s="399">
        <v>44816</v>
      </c>
      <c r="D3291" s="400" t="s">
        <v>1092</v>
      </c>
      <c r="E3291" s="400" t="s">
        <v>422</v>
      </c>
      <c r="F3291" s="400" t="s">
        <v>71</v>
      </c>
      <c r="G3291" s="400" t="s">
        <v>6662</v>
      </c>
      <c r="H3291" s="400" t="s">
        <v>6675</v>
      </c>
      <c r="I3291" s="401">
        <v>3944.15</v>
      </c>
    </row>
    <row r="3292" spans="1:9" x14ac:dyDescent="0.2">
      <c r="A3292" s="398">
        <v>3291</v>
      </c>
      <c r="B3292" s="399">
        <v>44778</v>
      </c>
      <c r="C3292" s="399">
        <v>44816</v>
      </c>
      <c r="D3292" s="400" t="s">
        <v>1092</v>
      </c>
      <c r="E3292" s="400" t="s">
        <v>422</v>
      </c>
      <c r="F3292" s="400" t="s">
        <v>396</v>
      </c>
      <c r="G3292" s="400" t="s">
        <v>6663</v>
      </c>
      <c r="H3292" s="400" t="s">
        <v>6676</v>
      </c>
      <c r="I3292" s="401">
        <v>139199.9</v>
      </c>
    </row>
    <row r="3293" spans="1:9" x14ac:dyDescent="0.2">
      <c r="A3293" s="398">
        <v>3292</v>
      </c>
      <c r="B3293" s="399">
        <v>44778</v>
      </c>
      <c r="C3293" s="399">
        <v>44816</v>
      </c>
      <c r="D3293" s="400" t="s">
        <v>1092</v>
      </c>
      <c r="E3293" s="400" t="s">
        <v>422</v>
      </c>
      <c r="F3293" s="400" t="s">
        <v>396</v>
      </c>
      <c r="G3293" s="400" t="s">
        <v>6664</v>
      </c>
      <c r="H3293" s="400" t="s">
        <v>6677</v>
      </c>
      <c r="I3293" s="401">
        <v>21278.18</v>
      </c>
    </row>
    <row r="3294" spans="1:9" x14ac:dyDescent="0.2">
      <c r="A3294" s="398">
        <v>3293</v>
      </c>
      <c r="B3294" s="399">
        <v>44778</v>
      </c>
      <c r="C3294" s="399">
        <v>44816</v>
      </c>
      <c r="D3294" s="400" t="s">
        <v>1092</v>
      </c>
      <c r="E3294" s="400" t="s">
        <v>422</v>
      </c>
      <c r="F3294" s="400" t="s">
        <v>71</v>
      </c>
      <c r="G3294" s="400" t="s">
        <v>6665</v>
      </c>
      <c r="H3294" s="400" t="s">
        <v>6678</v>
      </c>
      <c r="I3294" s="401">
        <v>3780.99</v>
      </c>
    </row>
    <row r="3295" spans="1:9" x14ac:dyDescent="0.2">
      <c r="A3295" s="398">
        <v>3294</v>
      </c>
      <c r="B3295" s="399">
        <v>44778</v>
      </c>
      <c r="C3295" s="399">
        <v>44818</v>
      </c>
      <c r="D3295" s="400" t="s">
        <v>1092</v>
      </c>
      <c r="E3295" s="400" t="s">
        <v>422</v>
      </c>
      <c r="F3295" s="400" t="s">
        <v>396</v>
      </c>
      <c r="G3295" s="400" t="s">
        <v>6666</v>
      </c>
      <c r="H3295" s="400" t="s">
        <v>6679</v>
      </c>
      <c r="I3295" s="401">
        <v>56818.33</v>
      </c>
    </row>
    <row r="3296" spans="1:9" x14ac:dyDescent="0.2">
      <c r="A3296" s="398">
        <v>3295</v>
      </c>
      <c r="B3296" s="399">
        <v>44783</v>
      </c>
      <c r="C3296" s="399">
        <v>44816</v>
      </c>
      <c r="D3296" s="400" t="s">
        <v>1092</v>
      </c>
      <c r="E3296" s="400" t="s">
        <v>392</v>
      </c>
      <c r="F3296" s="400" t="s">
        <v>393</v>
      </c>
      <c r="G3296" s="400" t="s">
        <v>6667</v>
      </c>
      <c r="H3296" s="400" t="s">
        <v>6680</v>
      </c>
      <c r="I3296" s="401">
        <v>7301.1</v>
      </c>
    </row>
    <row r="3297" spans="1:10" x14ac:dyDescent="0.2">
      <c r="A3297" s="398">
        <v>3296</v>
      </c>
      <c r="B3297" s="399">
        <v>44783</v>
      </c>
      <c r="C3297" s="399">
        <v>44818</v>
      </c>
      <c r="D3297" s="400" t="s">
        <v>1092</v>
      </c>
      <c r="E3297" s="400" t="s">
        <v>422</v>
      </c>
      <c r="F3297" s="400" t="s">
        <v>396</v>
      </c>
      <c r="G3297" s="400" t="s">
        <v>6668</v>
      </c>
      <c r="H3297" s="400" t="s">
        <v>6681</v>
      </c>
      <c r="I3297" s="401">
        <v>7135.87</v>
      </c>
    </row>
    <row r="3298" spans="1:10" x14ac:dyDescent="0.2">
      <c r="A3298" s="398">
        <v>3297</v>
      </c>
      <c r="B3298" s="399">
        <v>44783</v>
      </c>
      <c r="C3298" s="399">
        <v>44823</v>
      </c>
      <c r="D3298" s="400" t="s">
        <v>1092</v>
      </c>
      <c r="E3298" s="400" t="s">
        <v>422</v>
      </c>
      <c r="F3298" s="400" t="s">
        <v>396</v>
      </c>
      <c r="G3298" s="400" t="s">
        <v>6669</v>
      </c>
      <c r="H3298" s="400" t="s">
        <v>6682</v>
      </c>
      <c r="I3298" s="401">
        <v>84847.62</v>
      </c>
    </row>
    <row r="3299" spans="1:10" x14ac:dyDescent="0.2">
      <c r="A3299" s="398">
        <v>3298</v>
      </c>
      <c r="B3299" s="399">
        <v>44783</v>
      </c>
      <c r="C3299" s="399">
        <v>44818</v>
      </c>
      <c r="D3299" s="400" t="s">
        <v>1092</v>
      </c>
      <c r="E3299" s="400" t="s">
        <v>422</v>
      </c>
      <c r="F3299" s="400" t="s">
        <v>396</v>
      </c>
      <c r="G3299" s="400" t="s">
        <v>6670</v>
      </c>
      <c r="H3299" s="400" t="s">
        <v>6683</v>
      </c>
      <c r="I3299" s="401">
        <v>4248</v>
      </c>
    </row>
    <row r="3300" spans="1:10" x14ac:dyDescent="0.2">
      <c r="A3300" s="417">
        <v>3299</v>
      </c>
      <c r="B3300" s="418">
        <v>44783</v>
      </c>
      <c r="C3300" s="418">
        <v>44816</v>
      </c>
      <c r="D3300" s="419" t="s">
        <v>1092</v>
      </c>
      <c r="E3300" s="419" t="s">
        <v>422</v>
      </c>
      <c r="F3300" s="419" t="s">
        <v>396</v>
      </c>
      <c r="G3300" s="419" t="s">
        <v>6671</v>
      </c>
      <c r="H3300" s="419" t="s">
        <v>6684</v>
      </c>
      <c r="I3300" s="420">
        <v>21278.400000000001</v>
      </c>
      <c r="J3300" s="178" t="s">
        <v>7169</v>
      </c>
    </row>
    <row r="3301" spans="1:10" x14ac:dyDescent="0.2">
      <c r="A3301" s="398">
        <v>3300</v>
      </c>
      <c r="B3301" s="399">
        <v>44783</v>
      </c>
      <c r="C3301" s="399">
        <v>44816</v>
      </c>
      <c r="D3301" s="400" t="s">
        <v>1092</v>
      </c>
      <c r="E3301" s="400" t="s">
        <v>422</v>
      </c>
      <c r="F3301" s="400" t="s">
        <v>396</v>
      </c>
      <c r="G3301" s="400" t="s">
        <v>6672</v>
      </c>
      <c r="H3301" s="400" t="s">
        <v>6685</v>
      </c>
      <c r="I3301" s="401">
        <v>571297.13</v>
      </c>
    </row>
    <row r="3302" spans="1:10" x14ac:dyDescent="0.2">
      <c r="A3302" s="398">
        <v>3301</v>
      </c>
      <c r="B3302" s="399">
        <v>44806</v>
      </c>
      <c r="C3302" s="399">
        <v>44837</v>
      </c>
      <c r="D3302" s="400" t="s">
        <v>1092</v>
      </c>
      <c r="E3302" s="400" t="s">
        <v>392</v>
      </c>
      <c r="F3302" s="400" t="s">
        <v>9</v>
      </c>
      <c r="G3302" s="400" t="s">
        <v>6686</v>
      </c>
      <c r="H3302" s="400" t="s">
        <v>6687</v>
      </c>
      <c r="I3302" s="401">
        <v>280978.62</v>
      </c>
    </row>
    <row r="3303" spans="1:10" x14ac:dyDescent="0.2">
      <c r="A3303" s="398">
        <v>3302</v>
      </c>
      <c r="B3303" s="399">
        <v>44809</v>
      </c>
      <c r="C3303" s="399">
        <v>44830</v>
      </c>
      <c r="D3303" s="400" t="s">
        <v>1092</v>
      </c>
      <c r="E3303" s="400" t="s">
        <v>422</v>
      </c>
      <c r="F3303" s="400" t="s">
        <v>71</v>
      </c>
      <c r="G3303" s="400" t="s">
        <v>6688</v>
      </c>
      <c r="H3303" s="400" t="s">
        <v>6691</v>
      </c>
      <c r="I3303" s="401">
        <v>3678.48</v>
      </c>
    </row>
    <row r="3304" spans="1:10" x14ac:dyDescent="0.2">
      <c r="A3304" s="398">
        <v>3303</v>
      </c>
      <c r="B3304" s="399">
        <v>44809</v>
      </c>
      <c r="C3304" s="399">
        <v>44830</v>
      </c>
      <c r="D3304" s="400" t="s">
        <v>1092</v>
      </c>
      <c r="E3304" s="400" t="s">
        <v>422</v>
      </c>
      <c r="F3304" s="400" t="s">
        <v>396</v>
      </c>
      <c r="G3304" s="400" t="s">
        <v>6689</v>
      </c>
      <c r="H3304" s="400" t="s">
        <v>6692</v>
      </c>
      <c r="I3304" s="401">
        <v>14487.68</v>
      </c>
    </row>
    <row r="3305" spans="1:10" x14ac:dyDescent="0.2">
      <c r="A3305" s="398">
        <v>3304</v>
      </c>
      <c r="B3305" s="399">
        <v>44809</v>
      </c>
      <c r="C3305" s="399">
        <v>44830</v>
      </c>
      <c r="D3305" s="400" t="s">
        <v>1092</v>
      </c>
      <c r="E3305" s="400" t="s">
        <v>422</v>
      </c>
      <c r="F3305" s="400" t="s">
        <v>396</v>
      </c>
      <c r="G3305" s="400" t="s">
        <v>6690</v>
      </c>
      <c r="H3305" s="400" t="s">
        <v>6693</v>
      </c>
      <c r="I3305" s="401">
        <v>2955.16</v>
      </c>
    </row>
    <row r="3306" spans="1:10" x14ac:dyDescent="0.2">
      <c r="A3306" s="398">
        <v>3305</v>
      </c>
      <c r="B3306" s="399">
        <v>44811</v>
      </c>
      <c r="C3306" s="399">
        <v>44832</v>
      </c>
      <c r="D3306" s="400" t="s">
        <v>1092</v>
      </c>
      <c r="E3306" s="400" t="s">
        <v>422</v>
      </c>
      <c r="F3306" s="400" t="s">
        <v>71</v>
      </c>
      <c r="G3306" s="400" t="s">
        <v>6694</v>
      </c>
      <c r="H3306" s="400" t="s">
        <v>6697</v>
      </c>
      <c r="I3306" s="401">
        <v>13735.86</v>
      </c>
    </row>
    <row r="3307" spans="1:10" x14ac:dyDescent="0.2">
      <c r="A3307" s="398">
        <v>3306</v>
      </c>
      <c r="B3307" s="399">
        <v>44811</v>
      </c>
      <c r="C3307" s="399">
        <v>44832</v>
      </c>
      <c r="D3307" s="400" t="s">
        <v>1092</v>
      </c>
      <c r="E3307" s="400" t="s">
        <v>422</v>
      </c>
      <c r="F3307" s="400" t="s">
        <v>396</v>
      </c>
      <c r="G3307" s="400" t="s">
        <v>6695</v>
      </c>
      <c r="H3307" s="400" t="s">
        <v>6698</v>
      </c>
      <c r="I3307" s="401">
        <v>6807.72</v>
      </c>
    </row>
    <row r="3308" spans="1:10" x14ac:dyDescent="0.2">
      <c r="A3308" s="398">
        <v>3307</v>
      </c>
      <c r="B3308" s="399">
        <v>44811</v>
      </c>
      <c r="C3308" s="399">
        <v>44832</v>
      </c>
      <c r="D3308" s="400" t="s">
        <v>1092</v>
      </c>
      <c r="E3308" s="400" t="s">
        <v>422</v>
      </c>
      <c r="F3308" s="400" t="s">
        <v>396</v>
      </c>
      <c r="G3308" s="400" t="s">
        <v>6696</v>
      </c>
      <c r="H3308" s="400" t="s">
        <v>6699</v>
      </c>
      <c r="I3308" s="401">
        <v>35072.660000000003</v>
      </c>
    </row>
    <row r="3309" spans="1:10" x14ac:dyDescent="0.2">
      <c r="A3309" s="403">
        <v>3308</v>
      </c>
      <c r="B3309" s="404">
        <v>44813</v>
      </c>
      <c r="C3309" s="404">
        <v>44830</v>
      </c>
      <c r="D3309" s="405" t="s">
        <v>1092</v>
      </c>
      <c r="E3309" s="405" t="s">
        <v>392</v>
      </c>
      <c r="F3309" s="405" t="s">
        <v>9</v>
      </c>
      <c r="G3309" s="405" t="s">
        <v>6700</v>
      </c>
      <c r="H3309" s="405" t="s">
        <v>6714</v>
      </c>
      <c r="I3309" s="406">
        <v>52230.879999999997</v>
      </c>
    </row>
    <row r="3310" spans="1:10" x14ac:dyDescent="0.2">
      <c r="A3310" s="403">
        <v>3309</v>
      </c>
      <c r="B3310" s="404">
        <v>44813</v>
      </c>
      <c r="C3310" s="404">
        <v>44830</v>
      </c>
      <c r="D3310" s="405" t="s">
        <v>1092</v>
      </c>
      <c r="E3310" s="405" t="s">
        <v>422</v>
      </c>
      <c r="F3310" s="405" t="s">
        <v>701</v>
      </c>
      <c r="G3310" s="405" t="s">
        <v>6701</v>
      </c>
      <c r="H3310" s="405" t="s">
        <v>6715</v>
      </c>
      <c r="I3310" s="406">
        <v>25635.98</v>
      </c>
    </row>
    <row r="3311" spans="1:10" x14ac:dyDescent="0.2">
      <c r="A3311" s="403">
        <v>3310</v>
      </c>
      <c r="B3311" s="404">
        <v>44816</v>
      </c>
      <c r="C3311" s="404">
        <v>44832</v>
      </c>
      <c r="D3311" s="405" t="s">
        <v>1092</v>
      </c>
      <c r="E3311" s="405" t="s">
        <v>422</v>
      </c>
      <c r="F3311" s="405" t="s">
        <v>701</v>
      </c>
      <c r="G3311" s="405" t="s">
        <v>6702</v>
      </c>
      <c r="H3311" s="405" t="s">
        <v>6716</v>
      </c>
      <c r="I3311" s="406">
        <v>99800</v>
      </c>
    </row>
    <row r="3312" spans="1:10" x14ac:dyDescent="0.2">
      <c r="A3312" s="403">
        <v>3311</v>
      </c>
      <c r="B3312" s="404">
        <v>44819</v>
      </c>
      <c r="C3312" s="404">
        <v>44851</v>
      </c>
      <c r="D3312" s="405" t="s">
        <v>1092</v>
      </c>
      <c r="E3312" s="405" t="s">
        <v>392</v>
      </c>
      <c r="F3312" s="405" t="s">
        <v>9</v>
      </c>
      <c r="G3312" s="405" t="s">
        <v>6703</v>
      </c>
      <c r="H3312" s="405" t="s">
        <v>6717</v>
      </c>
      <c r="I3312" s="406">
        <v>718803.01</v>
      </c>
    </row>
    <row r="3313" spans="1:10" x14ac:dyDescent="0.2">
      <c r="A3313" s="403">
        <v>3312</v>
      </c>
      <c r="B3313" s="404">
        <v>44819</v>
      </c>
      <c r="C3313" s="404">
        <v>44851</v>
      </c>
      <c r="D3313" s="405" t="s">
        <v>1092</v>
      </c>
      <c r="E3313" s="405" t="s">
        <v>392</v>
      </c>
      <c r="F3313" s="405" t="s">
        <v>9</v>
      </c>
      <c r="G3313" s="405" t="s">
        <v>6704</v>
      </c>
      <c r="H3313" s="405" t="s">
        <v>6718</v>
      </c>
      <c r="I3313" s="406">
        <v>616301.36</v>
      </c>
    </row>
    <row r="3314" spans="1:10" x14ac:dyDescent="0.2">
      <c r="A3314" s="403">
        <v>3313</v>
      </c>
      <c r="B3314" s="404">
        <v>44819</v>
      </c>
      <c r="C3314" s="404">
        <v>44851</v>
      </c>
      <c r="D3314" s="405" t="s">
        <v>1092</v>
      </c>
      <c r="E3314" s="405" t="s">
        <v>392</v>
      </c>
      <c r="F3314" s="405" t="s">
        <v>9</v>
      </c>
      <c r="G3314" s="405" t="s">
        <v>6705</v>
      </c>
      <c r="H3314" s="405" t="s">
        <v>6719</v>
      </c>
      <c r="I3314" s="406">
        <v>501420.07</v>
      </c>
    </row>
    <row r="3315" spans="1:10" x14ac:dyDescent="0.2">
      <c r="A3315" s="403">
        <v>3314</v>
      </c>
      <c r="B3315" s="404">
        <v>44819</v>
      </c>
      <c r="C3315" s="404">
        <v>44851</v>
      </c>
      <c r="D3315" s="405" t="s">
        <v>1092</v>
      </c>
      <c r="E3315" s="405" t="s">
        <v>392</v>
      </c>
      <c r="F3315" s="405" t="s">
        <v>9</v>
      </c>
      <c r="G3315" s="405" t="s">
        <v>6706</v>
      </c>
      <c r="H3315" s="405" t="s">
        <v>6720</v>
      </c>
      <c r="I3315" s="406">
        <v>525205.15</v>
      </c>
    </row>
    <row r="3316" spans="1:10" x14ac:dyDescent="0.2">
      <c r="A3316" s="403">
        <v>3315</v>
      </c>
      <c r="B3316" s="404">
        <v>44819</v>
      </c>
      <c r="C3316" s="404">
        <v>44851</v>
      </c>
      <c r="D3316" s="405" t="s">
        <v>1092</v>
      </c>
      <c r="E3316" s="405" t="s">
        <v>392</v>
      </c>
      <c r="F3316" s="405" t="s">
        <v>9</v>
      </c>
      <c r="G3316" s="405" t="s">
        <v>6707</v>
      </c>
      <c r="H3316" s="405" t="s">
        <v>6721</v>
      </c>
      <c r="I3316" s="406">
        <v>979762.42</v>
      </c>
    </row>
    <row r="3317" spans="1:10" x14ac:dyDescent="0.2">
      <c r="A3317" s="403">
        <v>3316</v>
      </c>
      <c r="B3317" s="404">
        <v>44819</v>
      </c>
      <c r="C3317" s="404">
        <v>44844</v>
      </c>
      <c r="D3317" s="405" t="s">
        <v>1092</v>
      </c>
      <c r="E3317" s="405" t="s">
        <v>392</v>
      </c>
      <c r="F3317" s="405" t="s">
        <v>9</v>
      </c>
      <c r="G3317" s="405" t="s">
        <v>6708</v>
      </c>
      <c r="H3317" s="405" t="s">
        <v>6722</v>
      </c>
      <c r="I3317" s="406">
        <v>231501.67</v>
      </c>
    </row>
    <row r="3318" spans="1:10" x14ac:dyDescent="0.2">
      <c r="A3318" s="403">
        <v>3317</v>
      </c>
      <c r="B3318" s="404">
        <v>44821</v>
      </c>
      <c r="C3318" s="404">
        <v>44851</v>
      </c>
      <c r="D3318" s="405" t="s">
        <v>1092</v>
      </c>
      <c r="E3318" s="405" t="s">
        <v>392</v>
      </c>
      <c r="F3318" s="405" t="s">
        <v>9</v>
      </c>
      <c r="G3318" s="405" t="s">
        <v>6709</v>
      </c>
      <c r="H3318" s="405" t="s">
        <v>6723</v>
      </c>
      <c r="I3318" s="406">
        <v>2098308.7999999998</v>
      </c>
    </row>
    <row r="3319" spans="1:10" x14ac:dyDescent="0.2">
      <c r="A3319" s="403">
        <v>3318</v>
      </c>
      <c r="B3319" s="404">
        <v>44820</v>
      </c>
      <c r="C3319" s="404">
        <v>44837</v>
      </c>
      <c r="D3319" s="405" t="s">
        <v>1092</v>
      </c>
      <c r="E3319" s="405" t="s">
        <v>392</v>
      </c>
      <c r="F3319" s="405" t="s">
        <v>71</v>
      </c>
      <c r="G3319" s="405" t="s">
        <v>6710</v>
      </c>
      <c r="H3319" s="405" t="s">
        <v>6724</v>
      </c>
      <c r="I3319" s="406">
        <v>530.67999999999995</v>
      </c>
    </row>
    <row r="3320" spans="1:10" x14ac:dyDescent="0.2">
      <c r="A3320" s="403">
        <v>3319</v>
      </c>
      <c r="B3320" s="404">
        <v>44820</v>
      </c>
      <c r="C3320" s="404">
        <v>44837</v>
      </c>
      <c r="D3320" s="405" t="s">
        <v>1092</v>
      </c>
      <c r="E3320" s="405" t="s">
        <v>422</v>
      </c>
      <c r="F3320" s="405" t="s">
        <v>701</v>
      </c>
      <c r="G3320" s="405" t="s">
        <v>6711</v>
      </c>
      <c r="H3320" s="405" t="s">
        <v>6725</v>
      </c>
      <c r="I3320" s="406">
        <v>110600</v>
      </c>
    </row>
    <row r="3321" spans="1:10" x14ac:dyDescent="0.2">
      <c r="A3321" s="403">
        <v>3320</v>
      </c>
      <c r="B3321" s="404">
        <v>44820</v>
      </c>
      <c r="C3321" s="404">
        <v>44844</v>
      </c>
      <c r="D3321" s="405" t="s">
        <v>1092</v>
      </c>
      <c r="E3321" s="405" t="s">
        <v>392</v>
      </c>
      <c r="F3321" s="405" t="s">
        <v>9</v>
      </c>
      <c r="G3321" s="405" t="s">
        <v>6712</v>
      </c>
      <c r="H3321" s="405" t="s">
        <v>6726</v>
      </c>
      <c r="I3321" s="406">
        <v>138614.28</v>
      </c>
    </row>
    <row r="3322" spans="1:10" x14ac:dyDescent="0.2">
      <c r="A3322" s="403">
        <v>3321</v>
      </c>
      <c r="B3322" s="404">
        <v>44820</v>
      </c>
      <c r="C3322" s="404">
        <v>44844</v>
      </c>
      <c r="D3322" s="405" t="s">
        <v>1092</v>
      </c>
      <c r="E3322" s="405" t="s">
        <v>392</v>
      </c>
      <c r="F3322" s="405" t="s">
        <v>9</v>
      </c>
      <c r="G3322" s="405" t="s">
        <v>6713</v>
      </c>
      <c r="H3322" s="405" t="s">
        <v>6727</v>
      </c>
      <c r="I3322" s="406">
        <v>138614.28</v>
      </c>
    </row>
    <row r="3323" spans="1:10" x14ac:dyDescent="0.2">
      <c r="A3323" s="403">
        <v>3322</v>
      </c>
      <c r="B3323" s="404">
        <v>44823</v>
      </c>
      <c r="C3323" s="404">
        <v>44851</v>
      </c>
      <c r="D3323" s="405" t="s">
        <v>1092</v>
      </c>
      <c r="E3323" s="405" t="s">
        <v>392</v>
      </c>
      <c r="F3323" s="405" t="s">
        <v>9</v>
      </c>
      <c r="G3323" s="405" t="s">
        <v>6728</v>
      </c>
      <c r="H3323" s="405" t="s">
        <v>6735</v>
      </c>
      <c r="I3323" s="407">
        <v>229565.41</v>
      </c>
    </row>
    <row r="3324" spans="1:10" x14ac:dyDescent="0.2">
      <c r="A3324" s="412">
        <v>3323</v>
      </c>
      <c r="B3324" s="413">
        <v>44823</v>
      </c>
      <c r="C3324" s="413">
        <v>44844</v>
      </c>
      <c r="D3324" s="414" t="s">
        <v>1092</v>
      </c>
      <c r="E3324" s="414" t="s">
        <v>392</v>
      </c>
      <c r="F3324" s="414" t="s">
        <v>9</v>
      </c>
      <c r="G3324" s="414" t="s">
        <v>6729</v>
      </c>
      <c r="H3324" s="414" t="s">
        <v>6736</v>
      </c>
      <c r="I3324" s="415">
        <v>91110.03</v>
      </c>
      <c r="J3324" s="178" t="s">
        <v>6968</v>
      </c>
    </row>
    <row r="3325" spans="1:10" x14ac:dyDescent="0.2">
      <c r="A3325" s="403">
        <v>3324</v>
      </c>
      <c r="B3325" s="404">
        <v>44823</v>
      </c>
      <c r="C3325" s="404">
        <v>44839</v>
      </c>
      <c r="D3325" s="405" t="s">
        <v>1092</v>
      </c>
      <c r="E3325" s="405" t="s">
        <v>392</v>
      </c>
      <c r="F3325" s="405" t="s">
        <v>393</v>
      </c>
      <c r="G3325" s="405" t="s">
        <v>6730</v>
      </c>
      <c r="H3325" s="405" t="s">
        <v>6737</v>
      </c>
      <c r="I3325" s="407">
        <v>42000</v>
      </c>
    </row>
    <row r="3326" spans="1:10" x14ac:dyDescent="0.2">
      <c r="A3326" s="403">
        <v>3325</v>
      </c>
      <c r="B3326" s="404">
        <v>44823</v>
      </c>
      <c r="C3326" s="404">
        <v>44839</v>
      </c>
      <c r="D3326" s="405" t="s">
        <v>1092</v>
      </c>
      <c r="E3326" s="405" t="s">
        <v>422</v>
      </c>
      <c r="F3326" s="405" t="s">
        <v>71</v>
      </c>
      <c r="G3326" s="405" t="s">
        <v>6731</v>
      </c>
      <c r="H3326" s="405" t="s">
        <v>6738</v>
      </c>
      <c r="I3326" s="407">
        <v>9393.8700000000008</v>
      </c>
    </row>
    <row r="3327" spans="1:10" x14ac:dyDescent="0.2">
      <c r="A3327" s="403">
        <v>3326</v>
      </c>
      <c r="B3327" s="404">
        <v>44823</v>
      </c>
      <c r="C3327" s="404">
        <v>44839</v>
      </c>
      <c r="D3327" s="405" t="s">
        <v>1092</v>
      </c>
      <c r="E3327" s="405" t="s">
        <v>392</v>
      </c>
      <c r="F3327" s="405" t="s">
        <v>393</v>
      </c>
      <c r="G3327" s="405" t="s">
        <v>6732</v>
      </c>
      <c r="H3327" s="405" t="s">
        <v>6739</v>
      </c>
      <c r="I3327" s="407">
        <v>10500</v>
      </c>
    </row>
    <row r="3328" spans="1:10" x14ac:dyDescent="0.2">
      <c r="A3328" s="403">
        <v>3327</v>
      </c>
      <c r="B3328" s="404">
        <v>44823</v>
      </c>
      <c r="C3328" s="404">
        <v>44858</v>
      </c>
      <c r="D3328" s="405" t="s">
        <v>1092</v>
      </c>
      <c r="E3328" s="405" t="s">
        <v>392</v>
      </c>
      <c r="F3328" s="405" t="s">
        <v>9</v>
      </c>
      <c r="G3328" s="405" t="s">
        <v>6733</v>
      </c>
      <c r="H3328" s="405" t="s">
        <v>6740</v>
      </c>
      <c r="I3328" s="407">
        <v>854008.21</v>
      </c>
    </row>
    <row r="3329" spans="1:9" x14ac:dyDescent="0.2">
      <c r="A3329" s="403">
        <v>3328</v>
      </c>
      <c r="B3329" s="404">
        <v>44823</v>
      </c>
      <c r="C3329" s="404">
        <v>44858</v>
      </c>
      <c r="D3329" s="405" t="s">
        <v>1092</v>
      </c>
      <c r="E3329" s="405" t="s">
        <v>392</v>
      </c>
      <c r="F3329" s="405" t="s">
        <v>9</v>
      </c>
      <c r="G3329" s="405" t="s">
        <v>6734</v>
      </c>
      <c r="H3329" s="405" t="s">
        <v>6741</v>
      </c>
      <c r="I3329" s="407">
        <v>854008.21</v>
      </c>
    </row>
    <row r="3330" spans="1:9" x14ac:dyDescent="0.2">
      <c r="A3330" s="403">
        <v>3329</v>
      </c>
      <c r="B3330" s="404">
        <v>44826</v>
      </c>
      <c r="C3330" s="404">
        <v>44851</v>
      </c>
      <c r="D3330" s="405" t="s">
        <v>1092</v>
      </c>
      <c r="E3330" s="405" t="s">
        <v>392</v>
      </c>
      <c r="F3330" s="405" t="s">
        <v>9</v>
      </c>
      <c r="G3330" s="405" t="s">
        <v>6743</v>
      </c>
      <c r="H3330" s="405" t="s">
        <v>6750</v>
      </c>
      <c r="I3330" s="407">
        <v>189174.14</v>
      </c>
    </row>
    <row r="3331" spans="1:9" x14ac:dyDescent="0.2">
      <c r="A3331" s="403">
        <v>3330</v>
      </c>
      <c r="B3331" s="404">
        <v>44826</v>
      </c>
      <c r="C3331" s="404">
        <v>44858</v>
      </c>
      <c r="D3331" s="405" t="s">
        <v>1092</v>
      </c>
      <c r="E3331" s="405" t="s">
        <v>392</v>
      </c>
      <c r="F3331" s="405" t="s">
        <v>9</v>
      </c>
      <c r="G3331" s="405" t="s">
        <v>6744</v>
      </c>
      <c r="H3331" s="405" t="s">
        <v>6751</v>
      </c>
      <c r="I3331" s="407">
        <v>684428.67</v>
      </c>
    </row>
    <row r="3332" spans="1:9" x14ac:dyDescent="0.2">
      <c r="A3332" s="403">
        <v>3331</v>
      </c>
      <c r="B3332" s="404">
        <v>44826</v>
      </c>
      <c r="C3332" s="404">
        <v>44844</v>
      </c>
      <c r="D3332" s="405" t="s">
        <v>1092</v>
      </c>
      <c r="E3332" s="405" t="s">
        <v>422</v>
      </c>
      <c r="F3332" s="405" t="s">
        <v>396</v>
      </c>
      <c r="G3332" s="405" t="s">
        <v>6745</v>
      </c>
      <c r="H3332" s="405" t="s">
        <v>6752</v>
      </c>
      <c r="I3332" s="407">
        <v>3412.8</v>
      </c>
    </row>
    <row r="3333" spans="1:9" x14ac:dyDescent="0.2">
      <c r="A3333" s="403">
        <v>3332</v>
      </c>
      <c r="B3333" s="404">
        <v>44826</v>
      </c>
      <c r="C3333" s="404">
        <v>44844</v>
      </c>
      <c r="D3333" s="405" t="s">
        <v>1092</v>
      </c>
      <c r="E3333" s="405" t="s">
        <v>422</v>
      </c>
      <c r="F3333" s="405" t="s">
        <v>71</v>
      </c>
      <c r="G3333" s="405" t="s">
        <v>6746</v>
      </c>
      <c r="H3333" s="405" t="s">
        <v>6753</v>
      </c>
      <c r="I3333" s="407">
        <v>3442.27</v>
      </c>
    </row>
    <row r="3334" spans="1:9" x14ac:dyDescent="0.2">
      <c r="A3334" s="403">
        <v>3333</v>
      </c>
      <c r="B3334" s="404">
        <v>44826</v>
      </c>
      <c r="C3334" s="404">
        <v>44844</v>
      </c>
      <c r="D3334" s="405" t="s">
        <v>1092</v>
      </c>
      <c r="E3334" s="405" t="s">
        <v>392</v>
      </c>
      <c r="F3334" s="405" t="s">
        <v>701</v>
      </c>
      <c r="G3334" s="405" t="s">
        <v>6747</v>
      </c>
      <c r="H3334" s="405" t="s">
        <v>1385</v>
      </c>
      <c r="I3334" s="407">
        <v>200000</v>
      </c>
    </row>
    <row r="3335" spans="1:9" x14ac:dyDescent="0.2">
      <c r="A3335" s="403">
        <v>3334</v>
      </c>
      <c r="B3335" s="404">
        <v>44826</v>
      </c>
      <c r="C3335" s="404">
        <v>44858</v>
      </c>
      <c r="D3335" s="405" t="s">
        <v>1092</v>
      </c>
      <c r="E3335" s="405" t="s">
        <v>392</v>
      </c>
      <c r="F3335" s="405" t="s">
        <v>9</v>
      </c>
      <c r="G3335" s="405" t="s">
        <v>6748</v>
      </c>
      <c r="H3335" s="405" t="s">
        <v>6754</v>
      </c>
      <c r="I3335" s="407">
        <v>854008.2</v>
      </c>
    </row>
    <row r="3336" spans="1:9" x14ac:dyDescent="0.2">
      <c r="A3336" s="403">
        <v>3335</v>
      </c>
      <c r="B3336" s="404">
        <v>44826</v>
      </c>
      <c r="C3336" s="404">
        <v>44844</v>
      </c>
      <c r="D3336" s="405" t="s">
        <v>1092</v>
      </c>
      <c r="E3336" s="405" t="s">
        <v>422</v>
      </c>
      <c r="F3336" s="405" t="s">
        <v>396</v>
      </c>
      <c r="G3336" s="405" t="s">
        <v>6749</v>
      </c>
      <c r="H3336" s="405" t="s">
        <v>6755</v>
      </c>
      <c r="I3336" s="407">
        <v>11171.68</v>
      </c>
    </row>
    <row r="3337" spans="1:9" x14ac:dyDescent="0.2">
      <c r="A3337" s="403">
        <v>3336</v>
      </c>
      <c r="B3337" s="404">
        <v>44827</v>
      </c>
      <c r="C3337" s="404">
        <v>44851</v>
      </c>
      <c r="D3337" s="405" t="s">
        <v>1092</v>
      </c>
      <c r="E3337" s="405" t="s">
        <v>422</v>
      </c>
      <c r="F3337" s="405" t="s">
        <v>396</v>
      </c>
      <c r="G3337" s="405" t="s">
        <v>6756</v>
      </c>
      <c r="H3337" s="405" t="s">
        <v>6767</v>
      </c>
      <c r="I3337" s="407">
        <v>81371.100000000006</v>
      </c>
    </row>
    <row r="3338" spans="1:9" x14ac:dyDescent="0.2">
      <c r="A3338" s="403">
        <v>3337</v>
      </c>
      <c r="B3338" s="404">
        <v>44827</v>
      </c>
      <c r="C3338" s="404">
        <v>44858</v>
      </c>
      <c r="D3338" s="405" t="s">
        <v>1092</v>
      </c>
      <c r="E3338" s="405" t="s">
        <v>422</v>
      </c>
      <c r="F3338" s="405" t="s">
        <v>396</v>
      </c>
      <c r="G3338" s="405" t="s">
        <v>6757</v>
      </c>
      <c r="H3338" s="405" t="s">
        <v>6768</v>
      </c>
      <c r="I3338" s="407">
        <v>7770.1</v>
      </c>
    </row>
    <row r="3339" spans="1:9" x14ac:dyDescent="0.2">
      <c r="A3339" s="403">
        <v>3338</v>
      </c>
      <c r="B3339" s="404">
        <v>44827</v>
      </c>
      <c r="C3339" s="404">
        <v>44851</v>
      </c>
      <c r="D3339" s="405" t="s">
        <v>1092</v>
      </c>
      <c r="E3339" s="405" t="s">
        <v>422</v>
      </c>
      <c r="F3339" s="405" t="s">
        <v>71</v>
      </c>
      <c r="G3339" s="405" t="s">
        <v>6758</v>
      </c>
      <c r="H3339" s="405" t="s">
        <v>6769</v>
      </c>
      <c r="I3339" s="407">
        <v>21393.87</v>
      </c>
    </row>
    <row r="3340" spans="1:9" x14ac:dyDescent="0.2">
      <c r="A3340" s="403">
        <v>3339</v>
      </c>
      <c r="B3340" s="404">
        <v>44827</v>
      </c>
      <c r="C3340" s="404">
        <v>44844</v>
      </c>
      <c r="D3340" s="405" t="s">
        <v>1092</v>
      </c>
      <c r="E3340" s="405" t="s">
        <v>392</v>
      </c>
      <c r="F3340" s="405" t="s">
        <v>71</v>
      </c>
      <c r="G3340" s="405" t="s">
        <v>6759</v>
      </c>
      <c r="H3340" s="405" t="s">
        <v>6770</v>
      </c>
      <c r="I3340" s="407">
        <v>14032.87</v>
      </c>
    </row>
    <row r="3341" spans="1:9" x14ac:dyDescent="0.2">
      <c r="A3341" s="403">
        <v>3340</v>
      </c>
      <c r="B3341" s="404">
        <v>44827</v>
      </c>
      <c r="C3341" s="404">
        <v>44858</v>
      </c>
      <c r="D3341" s="405" t="s">
        <v>1092</v>
      </c>
      <c r="E3341" s="405" t="s">
        <v>422</v>
      </c>
      <c r="F3341" s="405" t="s">
        <v>71</v>
      </c>
      <c r="G3341" s="405" t="s">
        <v>6760</v>
      </c>
      <c r="H3341" s="405" t="s">
        <v>6771</v>
      </c>
      <c r="I3341" s="407">
        <v>13116.17</v>
      </c>
    </row>
    <row r="3342" spans="1:9" x14ac:dyDescent="0.2">
      <c r="A3342" s="403">
        <v>3341</v>
      </c>
      <c r="B3342" s="404">
        <v>44827</v>
      </c>
      <c r="C3342" s="404">
        <v>44858</v>
      </c>
      <c r="D3342" s="405" t="s">
        <v>1092</v>
      </c>
      <c r="E3342" s="405" t="s">
        <v>422</v>
      </c>
      <c r="F3342" s="405" t="s">
        <v>396</v>
      </c>
      <c r="G3342" s="405" t="s">
        <v>6761</v>
      </c>
      <c r="H3342" s="405" t="s">
        <v>6772</v>
      </c>
      <c r="I3342" s="407">
        <v>31589.39</v>
      </c>
    </row>
    <row r="3343" spans="1:9" x14ac:dyDescent="0.2">
      <c r="A3343" s="403">
        <v>3342</v>
      </c>
      <c r="B3343" s="404">
        <v>44827</v>
      </c>
      <c r="C3343" s="404">
        <v>44851</v>
      </c>
      <c r="D3343" s="405" t="s">
        <v>1092</v>
      </c>
      <c r="E3343" s="405" t="s">
        <v>422</v>
      </c>
      <c r="F3343" s="405" t="s">
        <v>71</v>
      </c>
      <c r="G3343" s="405" t="s">
        <v>6762</v>
      </c>
      <c r="H3343" s="405" t="s">
        <v>6773</v>
      </c>
      <c r="I3343" s="407">
        <v>116945.61</v>
      </c>
    </row>
    <row r="3344" spans="1:9" x14ac:dyDescent="0.2">
      <c r="A3344" s="403">
        <v>3343</v>
      </c>
      <c r="B3344" s="404">
        <v>44827</v>
      </c>
      <c r="C3344" s="404">
        <v>44851</v>
      </c>
      <c r="D3344" s="405" t="s">
        <v>1092</v>
      </c>
      <c r="E3344" s="405" t="s">
        <v>422</v>
      </c>
      <c r="F3344" s="405" t="s">
        <v>396</v>
      </c>
      <c r="G3344" s="405" t="s">
        <v>6763</v>
      </c>
      <c r="H3344" s="405" t="s">
        <v>6774</v>
      </c>
      <c r="I3344" s="407">
        <v>8188.22</v>
      </c>
    </row>
    <row r="3345" spans="1:9" x14ac:dyDescent="0.2">
      <c r="A3345" s="403">
        <v>3344</v>
      </c>
      <c r="B3345" s="404">
        <v>44831</v>
      </c>
      <c r="C3345" s="404">
        <v>44858</v>
      </c>
      <c r="D3345" s="405" t="s">
        <v>1092</v>
      </c>
      <c r="E3345" s="405" t="s">
        <v>392</v>
      </c>
      <c r="F3345" s="405" t="s">
        <v>9</v>
      </c>
      <c r="G3345" s="405" t="s">
        <v>6764</v>
      </c>
      <c r="H3345" s="405" t="s">
        <v>6775</v>
      </c>
      <c r="I3345" s="407">
        <v>349588.72</v>
      </c>
    </row>
    <row r="3346" spans="1:9" x14ac:dyDescent="0.2">
      <c r="A3346" s="403">
        <v>3345</v>
      </c>
      <c r="B3346" s="404">
        <v>44831</v>
      </c>
      <c r="C3346" s="404">
        <v>44858</v>
      </c>
      <c r="D3346" s="405" t="s">
        <v>1092</v>
      </c>
      <c r="E3346" s="405" t="s">
        <v>392</v>
      </c>
      <c r="F3346" s="405" t="s">
        <v>9</v>
      </c>
      <c r="G3346" s="405" t="s">
        <v>6765</v>
      </c>
      <c r="H3346" s="405" t="s">
        <v>6776</v>
      </c>
      <c r="I3346" s="407">
        <v>287732.01</v>
      </c>
    </row>
    <row r="3347" spans="1:9" x14ac:dyDescent="0.2">
      <c r="A3347" s="403">
        <v>3346</v>
      </c>
      <c r="B3347" s="404">
        <v>44831</v>
      </c>
      <c r="C3347" s="404">
        <v>44858</v>
      </c>
      <c r="D3347" s="405" t="s">
        <v>1092</v>
      </c>
      <c r="E3347" s="405" t="s">
        <v>392</v>
      </c>
      <c r="F3347" s="405" t="s">
        <v>9</v>
      </c>
      <c r="G3347" s="405" t="s">
        <v>6766</v>
      </c>
      <c r="H3347" s="405" t="s">
        <v>6777</v>
      </c>
      <c r="I3347" s="407">
        <v>647924.28</v>
      </c>
    </row>
    <row r="3348" spans="1:9" x14ac:dyDescent="0.2">
      <c r="A3348" s="403">
        <v>3347</v>
      </c>
      <c r="B3348" s="404">
        <v>44832</v>
      </c>
      <c r="C3348" s="404">
        <v>44851</v>
      </c>
      <c r="D3348" s="405" t="s">
        <v>1092</v>
      </c>
      <c r="E3348" s="405" t="s">
        <v>392</v>
      </c>
      <c r="F3348" s="405" t="s">
        <v>396</v>
      </c>
      <c r="G3348" s="405" t="s">
        <v>6778</v>
      </c>
      <c r="H3348" s="405" t="s">
        <v>6782</v>
      </c>
      <c r="I3348" s="407">
        <v>75841.350000000006</v>
      </c>
    </row>
    <row r="3349" spans="1:9" x14ac:dyDescent="0.2">
      <c r="A3349" s="403">
        <v>3348</v>
      </c>
      <c r="B3349" s="404">
        <v>44832</v>
      </c>
      <c r="C3349" s="404">
        <v>44851</v>
      </c>
      <c r="D3349" s="405" t="s">
        <v>1092</v>
      </c>
      <c r="E3349" s="405" t="s">
        <v>392</v>
      </c>
      <c r="F3349" s="405" t="s">
        <v>393</v>
      </c>
      <c r="G3349" s="405" t="s">
        <v>6779</v>
      </c>
      <c r="H3349" s="405" t="s">
        <v>6783</v>
      </c>
      <c r="I3349" s="407">
        <v>81540.72</v>
      </c>
    </row>
    <row r="3350" spans="1:9" x14ac:dyDescent="0.2">
      <c r="A3350" s="403">
        <v>3349</v>
      </c>
      <c r="B3350" s="404">
        <v>44832</v>
      </c>
      <c r="C3350" s="404">
        <v>44851</v>
      </c>
      <c r="D3350" s="405" t="s">
        <v>1092</v>
      </c>
      <c r="E3350" s="405" t="s">
        <v>392</v>
      </c>
      <c r="F3350" s="405" t="s">
        <v>71</v>
      </c>
      <c r="G3350" s="405" t="s">
        <v>6780</v>
      </c>
      <c r="H3350" s="405" t="s">
        <v>6784</v>
      </c>
      <c r="I3350" s="407">
        <v>31962</v>
      </c>
    </row>
    <row r="3351" spans="1:9" x14ac:dyDescent="0.2">
      <c r="A3351" s="403">
        <v>3350</v>
      </c>
      <c r="B3351" s="404">
        <v>44832</v>
      </c>
      <c r="C3351" s="404">
        <v>44851</v>
      </c>
      <c r="D3351" s="405" t="s">
        <v>1092</v>
      </c>
      <c r="E3351" s="405" t="s">
        <v>392</v>
      </c>
      <c r="F3351" s="405" t="s">
        <v>393</v>
      </c>
      <c r="G3351" s="405" t="s">
        <v>6781</v>
      </c>
      <c r="H3351" s="405" t="s">
        <v>6785</v>
      </c>
      <c r="I3351" s="407">
        <v>17913.419999999998</v>
      </c>
    </row>
    <row r="3352" spans="1:9" x14ac:dyDescent="0.2">
      <c r="A3352" s="403">
        <v>3351</v>
      </c>
      <c r="B3352" s="404">
        <v>44834</v>
      </c>
      <c r="C3352" s="404">
        <v>44848</v>
      </c>
      <c r="D3352" s="405" t="s">
        <v>1092</v>
      </c>
      <c r="E3352" s="405" t="s">
        <v>392</v>
      </c>
      <c r="F3352" s="405" t="s">
        <v>9</v>
      </c>
      <c r="G3352" s="405" t="s">
        <v>6786</v>
      </c>
      <c r="H3352" s="405" t="s">
        <v>6796</v>
      </c>
      <c r="I3352" s="407">
        <v>63746.32</v>
      </c>
    </row>
    <row r="3353" spans="1:9" x14ac:dyDescent="0.2">
      <c r="A3353" s="403">
        <v>3352</v>
      </c>
      <c r="B3353" s="404">
        <v>44834</v>
      </c>
      <c r="C3353" s="404">
        <v>44851</v>
      </c>
      <c r="D3353" s="405" t="s">
        <v>1092</v>
      </c>
      <c r="E3353" s="405" t="s">
        <v>422</v>
      </c>
      <c r="F3353" s="405" t="s">
        <v>71</v>
      </c>
      <c r="G3353" s="405" t="s">
        <v>6787</v>
      </c>
      <c r="H3353" s="405" t="s">
        <v>6797</v>
      </c>
      <c r="I3353" s="407">
        <v>30427.27</v>
      </c>
    </row>
    <row r="3354" spans="1:9" x14ac:dyDescent="0.2">
      <c r="A3354" s="403">
        <v>3353</v>
      </c>
      <c r="B3354" s="404">
        <v>44834</v>
      </c>
      <c r="C3354" s="404">
        <v>44851</v>
      </c>
      <c r="D3354" s="405" t="s">
        <v>1092</v>
      </c>
      <c r="E3354" s="405" t="s">
        <v>422</v>
      </c>
      <c r="F3354" s="405" t="s">
        <v>701</v>
      </c>
      <c r="G3354" s="405" t="s">
        <v>6788</v>
      </c>
      <c r="H3354" s="405" t="s">
        <v>6252</v>
      </c>
      <c r="I3354" s="407">
        <v>201000</v>
      </c>
    </row>
    <row r="3355" spans="1:9" x14ac:dyDescent="0.2">
      <c r="A3355" s="403">
        <v>3354</v>
      </c>
      <c r="B3355" s="404">
        <v>44834</v>
      </c>
      <c r="C3355" s="404">
        <v>44851</v>
      </c>
      <c r="D3355" s="405" t="s">
        <v>1092</v>
      </c>
      <c r="E3355" s="405" t="s">
        <v>392</v>
      </c>
      <c r="F3355" s="405" t="s">
        <v>393</v>
      </c>
      <c r="G3355" s="405" t="s">
        <v>6789</v>
      </c>
      <c r="H3355" s="405" t="s">
        <v>6798</v>
      </c>
      <c r="I3355" s="407">
        <v>77586.2</v>
      </c>
    </row>
    <row r="3356" spans="1:9" x14ac:dyDescent="0.2">
      <c r="A3356" s="403">
        <v>3355</v>
      </c>
      <c r="B3356" s="404">
        <v>44834</v>
      </c>
      <c r="C3356" s="404">
        <v>44860</v>
      </c>
      <c r="D3356" s="405" t="s">
        <v>1092</v>
      </c>
      <c r="E3356" s="405" t="s">
        <v>422</v>
      </c>
      <c r="F3356" s="405" t="s">
        <v>396</v>
      </c>
      <c r="G3356" s="405" t="s">
        <v>6790</v>
      </c>
      <c r="H3356" s="405" t="s">
        <v>6799</v>
      </c>
      <c r="I3356" s="407">
        <v>35444.18</v>
      </c>
    </row>
    <row r="3357" spans="1:9" x14ac:dyDescent="0.2">
      <c r="A3357" s="403">
        <v>3356</v>
      </c>
      <c r="B3357" s="404">
        <v>44834</v>
      </c>
      <c r="C3357" s="404">
        <v>44858</v>
      </c>
      <c r="D3357" s="405" t="s">
        <v>1092</v>
      </c>
      <c r="E3357" s="405" t="s">
        <v>392</v>
      </c>
      <c r="F3357" s="405" t="s">
        <v>9</v>
      </c>
      <c r="G3357" s="405" t="s">
        <v>6791</v>
      </c>
      <c r="H3357" s="405" t="s">
        <v>6800</v>
      </c>
      <c r="I3357" s="407">
        <v>48663.31</v>
      </c>
    </row>
    <row r="3358" spans="1:9" x14ac:dyDescent="0.2">
      <c r="A3358" s="403">
        <v>3357</v>
      </c>
      <c r="B3358" s="404">
        <v>44834</v>
      </c>
      <c r="C3358" s="404">
        <v>44851</v>
      </c>
      <c r="D3358" s="405" t="s">
        <v>1092</v>
      </c>
      <c r="E3358" s="405" t="s">
        <v>392</v>
      </c>
      <c r="F3358" s="405" t="s">
        <v>396</v>
      </c>
      <c r="G3358" s="405" t="s">
        <v>6792</v>
      </c>
      <c r="H3358" s="405" t="s">
        <v>6801</v>
      </c>
      <c r="I3358" s="407">
        <v>73820.77</v>
      </c>
    </row>
    <row r="3359" spans="1:9" x14ac:dyDescent="0.2">
      <c r="A3359" s="403">
        <v>3358</v>
      </c>
      <c r="B3359" s="404">
        <v>44834</v>
      </c>
      <c r="C3359" s="404">
        <v>44851</v>
      </c>
      <c r="D3359" s="405" t="s">
        <v>1092</v>
      </c>
      <c r="E3359" s="405" t="s">
        <v>392</v>
      </c>
      <c r="F3359" s="405" t="s">
        <v>393</v>
      </c>
      <c r="G3359" s="405" t="s">
        <v>6793</v>
      </c>
      <c r="H3359" s="405" t="s">
        <v>6802</v>
      </c>
      <c r="I3359" s="407">
        <v>16758.62</v>
      </c>
    </row>
    <row r="3360" spans="1:9" x14ac:dyDescent="0.2">
      <c r="A3360" s="403">
        <v>3359</v>
      </c>
      <c r="B3360" s="404">
        <v>44834</v>
      </c>
      <c r="C3360" s="404">
        <v>44860</v>
      </c>
      <c r="D3360" s="405" t="s">
        <v>1092</v>
      </c>
      <c r="E3360" s="405" t="s">
        <v>422</v>
      </c>
      <c r="F3360" s="405" t="s">
        <v>396</v>
      </c>
      <c r="G3360" s="405" t="s">
        <v>6794</v>
      </c>
      <c r="H3360" s="405" t="s">
        <v>6803</v>
      </c>
      <c r="I3360" s="407">
        <v>6389.11</v>
      </c>
    </row>
    <row r="3361" spans="1:10" x14ac:dyDescent="0.2">
      <c r="A3361" s="403">
        <v>3360</v>
      </c>
      <c r="B3361" s="404">
        <v>44834</v>
      </c>
      <c r="C3361" s="404">
        <v>44860</v>
      </c>
      <c r="D3361" s="405" t="s">
        <v>1092</v>
      </c>
      <c r="E3361" s="405" t="s">
        <v>422</v>
      </c>
      <c r="F3361" s="405" t="s">
        <v>71</v>
      </c>
      <c r="G3361" s="405" t="s">
        <v>6795</v>
      </c>
      <c r="H3361" s="405" t="s">
        <v>6804</v>
      </c>
      <c r="I3361" s="407">
        <v>14732.28</v>
      </c>
    </row>
    <row r="3362" spans="1:10" x14ac:dyDescent="0.2">
      <c r="A3362" s="403">
        <v>3361</v>
      </c>
      <c r="B3362" s="404">
        <v>44837</v>
      </c>
      <c r="C3362" s="404">
        <v>44853</v>
      </c>
      <c r="D3362" s="405" t="s">
        <v>1092</v>
      </c>
      <c r="E3362" s="405" t="s">
        <v>422</v>
      </c>
      <c r="F3362" s="405" t="s">
        <v>701</v>
      </c>
      <c r="G3362" s="405" t="s">
        <v>6805</v>
      </c>
      <c r="H3362" s="405" t="s">
        <v>6807</v>
      </c>
      <c r="I3362" s="407">
        <v>15400</v>
      </c>
    </row>
    <row r="3363" spans="1:10" x14ac:dyDescent="0.2">
      <c r="A3363" s="403">
        <v>3362</v>
      </c>
      <c r="B3363" s="404">
        <v>44837</v>
      </c>
      <c r="C3363" s="404">
        <v>44853</v>
      </c>
      <c r="D3363" s="405" t="s">
        <v>1092</v>
      </c>
      <c r="E3363" s="405" t="s">
        <v>422</v>
      </c>
      <c r="F3363" s="405" t="s">
        <v>701</v>
      </c>
      <c r="G3363" s="405" t="s">
        <v>6806</v>
      </c>
      <c r="H3363" s="405" t="s">
        <v>6808</v>
      </c>
      <c r="I3363" s="407">
        <v>13220</v>
      </c>
    </row>
    <row r="3364" spans="1:10" x14ac:dyDescent="0.2">
      <c r="A3364" s="403">
        <v>3363</v>
      </c>
      <c r="B3364" s="404">
        <v>44838</v>
      </c>
      <c r="C3364" s="404">
        <v>44858</v>
      </c>
      <c r="D3364" s="405" t="s">
        <v>1092</v>
      </c>
      <c r="E3364" s="405" t="s">
        <v>392</v>
      </c>
      <c r="F3364" s="405" t="s">
        <v>71</v>
      </c>
      <c r="G3364" s="405" t="s">
        <v>6809</v>
      </c>
      <c r="H3364" s="405" t="s">
        <v>6824</v>
      </c>
      <c r="I3364" s="407">
        <v>37886.410000000003</v>
      </c>
    </row>
    <row r="3365" spans="1:10" x14ac:dyDescent="0.2">
      <c r="A3365" s="403">
        <v>3364</v>
      </c>
      <c r="B3365" s="404">
        <v>44838</v>
      </c>
      <c r="C3365" s="404">
        <v>44858</v>
      </c>
      <c r="D3365" s="405" t="s">
        <v>1092</v>
      </c>
      <c r="E3365" s="405" t="s">
        <v>392</v>
      </c>
      <c r="F3365" s="405" t="s">
        <v>393</v>
      </c>
      <c r="G3365" s="405" t="s">
        <v>6810</v>
      </c>
      <c r="H3365" s="405" t="s">
        <v>6825</v>
      </c>
      <c r="I3365" s="407">
        <v>18064.93</v>
      </c>
    </row>
    <row r="3366" spans="1:10" x14ac:dyDescent="0.2">
      <c r="A3366" s="403">
        <v>3365</v>
      </c>
      <c r="B3366" s="404">
        <v>44838</v>
      </c>
      <c r="C3366" s="404">
        <v>44858</v>
      </c>
      <c r="D3366" s="405" t="s">
        <v>1092</v>
      </c>
      <c r="E3366" s="405" t="s">
        <v>392</v>
      </c>
      <c r="F3366" s="405" t="s">
        <v>393</v>
      </c>
      <c r="G3366" s="405" t="s">
        <v>6811</v>
      </c>
      <c r="H3366" s="405" t="s">
        <v>6826</v>
      </c>
      <c r="I3366" s="407">
        <v>84380.17</v>
      </c>
    </row>
    <row r="3367" spans="1:10" x14ac:dyDescent="0.2">
      <c r="A3367" s="403">
        <v>3366</v>
      </c>
      <c r="B3367" s="404">
        <v>44838</v>
      </c>
      <c r="C3367" s="404">
        <v>44858</v>
      </c>
      <c r="D3367" s="405" t="s">
        <v>1092</v>
      </c>
      <c r="E3367" s="405" t="s">
        <v>392</v>
      </c>
      <c r="F3367" s="405" t="s">
        <v>396</v>
      </c>
      <c r="G3367" s="405" t="s">
        <v>6812</v>
      </c>
      <c r="H3367" s="405" t="s">
        <v>6827</v>
      </c>
      <c r="I3367" s="407">
        <v>78429.8</v>
      </c>
    </row>
    <row r="3368" spans="1:10" x14ac:dyDescent="0.2">
      <c r="A3368" s="403">
        <v>3367</v>
      </c>
      <c r="B3368" s="404">
        <v>44838</v>
      </c>
      <c r="C3368" s="404">
        <v>44858</v>
      </c>
      <c r="D3368" s="405" t="s">
        <v>1092</v>
      </c>
      <c r="E3368" s="405" t="s">
        <v>392</v>
      </c>
      <c r="F3368" s="405" t="s">
        <v>393</v>
      </c>
      <c r="G3368" s="405" t="s">
        <v>6813</v>
      </c>
      <c r="H3368" s="405" t="s">
        <v>6828</v>
      </c>
      <c r="I3368" s="407">
        <v>91465.17</v>
      </c>
    </row>
    <row r="3369" spans="1:10" x14ac:dyDescent="0.2">
      <c r="A3369" s="403">
        <v>3368</v>
      </c>
      <c r="B3369" s="404">
        <v>44838</v>
      </c>
      <c r="C3369" s="404">
        <v>44858</v>
      </c>
      <c r="D3369" s="405" t="s">
        <v>1092</v>
      </c>
      <c r="E3369" s="405" t="s">
        <v>392</v>
      </c>
      <c r="F3369" s="405" t="s">
        <v>393</v>
      </c>
      <c r="G3369" s="405" t="s">
        <v>6814</v>
      </c>
      <c r="H3369" s="405" t="s">
        <v>6829</v>
      </c>
      <c r="I3369" s="407">
        <v>139256.20000000001</v>
      </c>
    </row>
    <row r="3370" spans="1:10" x14ac:dyDescent="0.2">
      <c r="A3370" s="403">
        <v>3369</v>
      </c>
      <c r="B3370" s="404">
        <v>44838</v>
      </c>
      <c r="C3370" s="404">
        <v>44858</v>
      </c>
      <c r="D3370" s="405" t="s">
        <v>1092</v>
      </c>
      <c r="E3370" s="405" t="s">
        <v>392</v>
      </c>
      <c r="F3370" s="405" t="s">
        <v>71</v>
      </c>
      <c r="G3370" s="405" t="s">
        <v>6815</v>
      </c>
      <c r="H3370" s="405" t="s">
        <v>6830</v>
      </c>
      <c r="I3370" s="407">
        <v>33401.82</v>
      </c>
    </row>
    <row r="3371" spans="1:10" x14ac:dyDescent="0.2">
      <c r="A3371" s="412">
        <v>3370</v>
      </c>
      <c r="B3371" s="413">
        <v>44838</v>
      </c>
      <c r="C3371" s="413">
        <v>44858</v>
      </c>
      <c r="D3371" s="414" t="s">
        <v>1092</v>
      </c>
      <c r="E3371" s="414" t="s">
        <v>392</v>
      </c>
      <c r="F3371" s="414" t="s">
        <v>393</v>
      </c>
      <c r="G3371" s="414" t="s">
        <v>6816</v>
      </c>
      <c r="H3371" s="414" t="s">
        <v>6831</v>
      </c>
      <c r="I3371" s="415">
        <v>23773.01</v>
      </c>
      <c r="J3371" s="178" t="s">
        <v>7170</v>
      </c>
    </row>
    <row r="3372" spans="1:10" x14ac:dyDescent="0.2">
      <c r="A3372" s="403">
        <v>3371</v>
      </c>
      <c r="B3372" s="404">
        <v>44838</v>
      </c>
      <c r="C3372" s="404">
        <v>44858</v>
      </c>
      <c r="D3372" s="405" t="s">
        <v>1092</v>
      </c>
      <c r="E3372" s="405" t="s">
        <v>392</v>
      </c>
      <c r="F3372" s="405" t="s">
        <v>393</v>
      </c>
      <c r="G3372" s="405" t="s">
        <v>6817</v>
      </c>
      <c r="H3372" s="405" t="s">
        <v>6832</v>
      </c>
      <c r="I3372" s="407">
        <v>19245.77</v>
      </c>
    </row>
    <row r="3373" spans="1:10" x14ac:dyDescent="0.2">
      <c r="A3373" s="403">
        <v>3372</v>
      </c>
      <c r="B3373" s="404">
        <v>44838</v>
      </c>
      <c r="C3373" s="404">
        <v>44858</v>
      </c>
      <c r="D3373" s="405" t="s">
        <v>1092</v>
      </c>
      <c r="E3373" s="405" t="s">
        <v>392</v>
      </c>
      <c r="F3373" s="405" t="s">
        <v>71</v>
      </c>
      <c r="G3373" s="405" t="s">
        <v>6818</v>
      </c>
      <c r="H3373" s="405" t="s">
        <v>6833</v>
      </c>
      <c r="I3373" s="407">
        <v>33186</v>
      </c>
    </row>
    <row r="3374" spans="1:10" x14ac:dyDescent="0.2">
      <c r="A3374" s="403">
        <v>3373</v>
      </c>
      <c r="B3374" s="404">
        <v>44838</v>
      </c>
      <c r="C3374" s="404">
        <v>44858</v>
      </c>
      <c r="D3374" s="405" t="s">
        <v>1092</v>
      </c>
      <c r="E3374" s="405" t="s">
        <v>392</v>
      </c>
      <c r="F3374" s="405" t="s">
        <v>393</v>
      </c>
      <c r="G3374" s="405" t="s">
        <v>6819</v>
      </c>
      <c r="H3374" s="405" t="s">
        <v>6834</v>
      </c>
      <c r="I3374" s="407">
        <v>47109.8</v>
      </c>
    </row>
    <row r="3375" spans="1:10" x14ac:dyDescent="0.2">
      <c r="A3375" s="403">
        <v>3374</v>
      </c>
      <c r="B3375" s="404">
        <v>44838</v>
      </c>
      <c r="C3375" s="404">
        <v>44858</v>
      </c>
      <c r="D3375" s="405" t="s">
        <v>1092</v>
      </c>
      <c r="E3375" s="405" t="s">
        <v>392</v>
      </c>
      <c r="F3375" s="405" t="s">
        <v>396</v>
      </c>
      <c r="G3375" s="405" t="s">
        <v>6820</v>
      </c>
      <c r="H3375" s="405" t="s">
        <v>6835</v>
      </c>
      <c r="I3375" s="407">
        <v>45531.19</v>
      </c>
    </row>
    <row r="3376" spans="1:10" x14ac:dyDescent="0.2">
      <c r="A3376" s="403">
        <v>3375</v>
      </c>
      <c r="B3376" s="404">
        <v>44838</v>
      </c>
      <c r="C3376" s="404">
        <v>44858</v>
      </c>
      <c r="D3376" s="405" t="s">
        <v>1092</v>
      </c>
      <c r="E3376" s="405" t="s">
        <v>392</v>
      </c>
      <c r="F3376" s="405" t="s">
        <v>396</v>
      </c>
      <c r="G3376" s="405" t="s">
        <v>6821</v>
      </c>
      <c r="H3376" s="405" t="s">
        <v>6836</v>
      </c>
      <c r="I3376" s="407">
        <v>90904.91</v>
      </c>
    </row>
    <row r="3377" spans="1:9" x14ac:dyDescent="0.2">
      <c r="A3377" s="403">
        <v>3376</v>
      </c>
      <c r="B3377" s="404">
        <v>44838</v>
      </c>
      <c r="C3377" s="404">
        <v>44858</v>
      </c>
      <c r="D3377" s="405" t="s">
        <v>1092</v>
      </c>
      <c r="E3377" s="405" t="s">
        <v>392</v>
      </c>
      <c r="F3377" s="405" t="s">
        <v>393</v>
      </c>
      <c r="G3377" s="405" t="s">
        <v>6822</v>
      </c>
      <c r="H3377" s="405" t="s">
        <v>6837</v>
      </c>
      <c r="I3377" s="407">
        <v>11871.67</v>
      </c>
    </row>
    <row r="3378" spans="1:9" x14ac:dyDescent="0.2">
      <c r="A3378" s="403">
        <v>3377</v>
      </c>
      <c r="B3378" s="404">
        <v>44838</v>
      </c>
      <c r="C3378" s="404">
        <v>44858</v>
      </c>
      <c r="D3378" s="405" t="s">
        <v>1092</v>
      </c>
      <c r="E3378" s="405" t="s">
        <v>392</v>
      </c>
      <c r="F3378" s="405" t="s">
        <v>71</v>
      </c>
      <c r="G3378" s="405" t="s">
        <v>6823</v>
      </c>
      <c r="H3378" s="405" t="s">
        <v>6838</v>
      </c>
      <c r="I3378" s="407">
        <v>17393.64</v>
      </c>
    </row>
    <row r="3379" spans="1:9" x14ac:dyDescent="0.2">
      <c r="A3379" s="403">
        <v>3378</v>
      </c>
      <c r="B3379" s="404">
        <v>44839</v>
      </c>
      <c r="C3379" s="404">
        <v>44860</v>
      </c>
      <c r="D3379" s="405" t="s">
        <v>1092</v>
      </c>
      <c r="E3379" s="405" t="s">
        <v>422</v>
      </c>
      <c r="F3379" s="405" t="s">
        <v>71</v>
      </c>
      <c r="G3379" s="405" t="s">
        <v>6839</v>
      </c>
      <c r="H3379" s="405" t="s">
        <v>6848</v>
      </c>
      <c r="I3379" s="405">
        <v>2423.9899999999998</v>
      </c>
    </row>
    <row r="3380" spans="1:9" x14ac:dyDescent="0.2">
      <c r="A3380" s="403">
        <v>3379</v>
      </c>
      <c r="B3380" s="404">
        <v>44839</v>
      </c>
      <c r="C3380" s="404">
        <v>44860</v>
      </c>
      <c r="D3380" s="405" t="s">
        <v>1092</v>
      </c>
      <c r="E3380" s="405" t="s">
        <v>392</v>
      </c>
      <c r="F3380" s="405" t="s">
        <v>393</v>
      </c>
      <c r="G3380" s="405" t="s">
        <v>6840</v>
      </c>
      <c r="H3380" s="405" t="s">
        <v>6849</v>
      </c>
      <c r="I3380" s="407">
        <v>20000</v>
      </c>
    </row>
    <row r="3381" spans="1:9" x14ac:dyDescent="0.2">
      <c r="A3381" s="403">
        <v>3380</v>
      </c>
      <c r="B3381" s="404">
        <v>44839</v>
      </c>
      <c r="C3381" s="404">
        <v>44858</v>
      </c>
      <c r="D3381" s="405" t="s">
        <v>1092</v>
      </c>
      <c r="E3381" s="405" t="s">
        <v>422</v>
      </c>
      <c r="F3381" s="405" t="s">
        <v>396</v>
      </c>
      <c r="G3381" s="405" t="s">
        <v>6841</v>
      </c>
      <c r="H3381" s="405" t="s">
        <v>6850</v>
      </c>
      <c r="I3381" s="407">
        <v>8684.7999999999993</v>
      </c>
    </row>
    <row r="3382" spans="1:9" x14ac:dyDescent="0.2">
      <c r="A3382" s="403">
        <v>3381</v>
      </c>
      <c r="B3382" s="404">
        <v>44839</v>
      </c>
      <c r="C3382" s="404">
        <v>44860</v>
      </c>
      <c r="D3382" s="405" t="s">
        <v>1092</v>
      </c>
      <c r="E3382" s="405" t="s">
        <v>422</v>
      </c>
      <c r="F3382" s="405" t="s">
        <v>396</v>
      </c>
      <c r="G3382" s="405" t="s">
        <v>6842</v>
      </c>
      <c r="H3382" s="405" t="s">
        <v>6851</v>
      </c>
      <c r="I3382" s="407">
        <v>1988.38</v>
      </c>
    </row>
    <row r="3383" spans="1:9" x14ac:dyDescent="0.2">
      <c r="A3383" s="403">
        <v>3382</v>
      </c>
      <c r="B3383" s="404">
        <v>44839</v>
      </c>
      <c r="C3383" s="404">
        <v>44860</v>
      </c>
      <c r="D3383" s="405" t="s">
        <v>1092</v>
      </c>
      <c r="E3383" s="405" t="s">
        <v>392</v>
      </c>
      <c r="F3383" s="405" t="s">
        <v>9</v>
      </c>
      <c r="G3383" s="405" t="s">
        <v>6843</v>
      </c>
      <c r="H3383" s="405" t="s">
        <v>6852</v>
      </c>
      <c r="I3383" s="407">
        <v>69052.740000000005</v>
      </c>
    </row>
    <row r="3384" spans="1:9" x14ac:dyDescent="0.2">
      <c r="A3384" s="403">
        <v>3383</v>
      </c>
      <c r="B3384" s="404">
        <v>44839</v>
      </c>
      <c r="C3384" s="404">
        <v>44860</v>
      </c>
      <c r="D3384" s="405" t="s">
        <v>1092</v>
      </c>
      <c r="E3384" s="405" t="s">
        <v>392</v>
      </c>
      <c r="F3384" s="405" t="s">
        <v>71</v>
      </c>
      <c r="G3384" s="405" t="s">
        <v>6844</v>
      </c>
      <c r="H3384" s="405" t="s">
        <v>6853</v>
      </c>
      <c r="I3384" s="407">
        <v>5705.64</v>
      </c>
    </row>
    <row r="3385" spans="1:9" x14ac:dyDescent="0.2">
      <c r="A3385" s="403">
        <v>3384</v>
      </c>
      <c r="B3385" s="404">
        <v>44839</v>
      </c>
      <c r="C3385" s="404">
        <v>44858</v>
      </c>
      <c r="D3385" s="405" t="s">
        <v>1092</v>
      </c>
      <c r="E3385" s="405" t="s">
        <v>422</v>
      </c>
      <c r="F3385" s="405" t="s">
        <v>396</v>
      </c>
      <c r="G3385" s="405" t="s">
        <v>6845</v>
      </c>
      <c r="H3385" s="405" t="s">
        <v>6854</v>
      </c>
      <c r="I3385" s="407">
        <v>8571.8799999999992</v>
      </c>
    </row>
    <row r="3386" spans="1:9" x14ac:dyDescent="0.2">
      <c r="A3386" s="403">
        <v>3385</v>
      </c>
      <c r="B3386" s="404">
        <v>44839</v>
      </c>
      <c r="C3386" s="404">
        <v>44858</v>
      </c>
      <c r="D3386" s="405" t="s">
        <v>1092</v>
      </c>
      <c r="E3386" s="405" t="s">
        <v>422</v>
      </c>
      <c r="F3386" s="405" t="s">
        <v>396</v>
      </c>
      <c r="G3386" s="405" t="s">
        <v>6846</v>
      </c>
      <c r="H3386" s="405" t="s">
        <v>6855</v>
      </c>
      <c r="I3386" s="407">
        <v>31322.720000000001</v>
      </c>
    </row>
    <row r="3387" spans="1:9" x14ac:dyDescent="0.2">
      <c r="A3387" s="403">
        <v>3386</v>
      </c>
      <c r="B3387" s="404">
        <v>44839</v>
      </c>
      <c r="C3387" s="404">
        <v>44858</v>
      </c>
      <c r="D3387" s="405" t="s">
        <v>1092</v>
      </c>
      <c r="E3387" s="405" t="s">
        <v>422</v>
      </c>
      <c r="F3387" s="405" t="s">
        <v>71</v>
      </c>
      <c r="G3387" s="405" t="s">
        <v>6847</v>
      </c>
      <c r="H3387" s="405" t="s">
        <v>6856</v>
      </c>
      <c r="I3387" s="407">
        <v>15136.15</v>
      </c>
    </row>
    <row r="3388" spans="1:9" x14ac:dyDescent="0.2">
      <c r="A3388" s="403">
        <v>3387</v>
      </c>
      <c r="B3388" s="404">
        <v>44840</v>
      </c>
      <c r="C3388" s="404">
        <v>44858</v>
      </c>
      <c r="D3388" s="405" t="s">
        <v>1092</v>
      </c>
      <c r="E3388" s="405" t="s">
        <v>392</v>
      </c>
      <c r="F3388" s="405" t="s">
        <v>701</v>
      </c>
      <c r="G3388" s="405" t="s">
        <v>6857</v>
      </c>
      <c r="H3388" s="405" t="s">
        <v>6886</v>
      </c>
      <c r="I3388" s="407">
        <v>30000</v>
      </c>
    </row>
    <row r="3389" spans="1:9" x14ac:dyDescent="0.2">
      <c r="A3389" s="403">
        <v>3388</v>
      </c>
      <c r="B3389" s="404">
        <v>44841</v>
      </c>
      <c r="C3389" s="404">
        <v>44858</v>
      </c>
      <c r="D3389" s="405" t="s">
        <v>1092</v>
      </c>
      <c r="E3389" s="405" t="s">
        <v>422</v>
      </c>
      <c r="F3389" s="405" t="s">
        <v>71</v>
      </c>
      <c r="G3389" s="405" t="s">
        <v>6858</v>
      </c>
      <c r="H3389" s="405" t="s">
        <v>6887</v>
      </c>
      <c r="I3389" s="407">
        <v>5401.94</v>
      </c>
    </row>
    <row r="3390" spans="1:9" x14ac:dyDescent="0.2">
      <c r="A3390" s="403">
        <v>3389</v>
      </c>
      <c r="B3390" s="404">
        <v>44841</v>
      </c>
      <c r="C3390" s="404">
        <v>44858</v>
      </c>
      <c r="D3390" s="405" t="s">
        <v>1092</v>
      </c>
      <c r="E3390" s="405" t="s">
        <v>422</v>
      </c>
      <c r="F3390" s="405" t="s">
        <v>396</v>
      </c>
      <c r="G3390" s="405" t="s">
        <v>6859</v>
      </c>
      <c r="H3390" s="405" t="s">
        <v>6888</v>
      </c>
      <c r="I3390" s="407">
        <v>15413.84</v>
      </c>
    </row>
    <row r="3391" spans="1:9" x14ac:dyDescent="0.2">
      <c r="A3391" s="403">
        <v>3390</v>
      </c>
      <c r="B3391" s="404">
        <v>44841</v>
      </c>
      <c r="C3391" s="404">
        <v>44867</v>
      </c>
      <c r="D3391" s="405" t="s">
        <v>1092</v>
      </c>
      <c r="E3391" s="405" t="s">
        <v>392</v>
      </c>
      <c r="F3391" s="405" t="s">
        <v>393</v>
      </c>
      <c r="G3391" s="405" t="s">
        <v>6860</v>
      </c>
      <c r="H3391" s="405" t="s">
        <v>6889</v>
      </c>
      <c r="I3391" s="407">
        <v>9227.5</v>
      </c>
    </row>
    <row r="3392" spans="1:9" x14ac:dyDescent="0.2">
      <c r="A3392" s="403">
        <v>3391</v>
      </c>
      <c r="B3392" s="404">
        <v>44841</v>
      </c>
      <c r="C3392" s="404">
        <v>44858</v>
      </c>
      <c r="D3392" s="405" t="s">
        <v>1092</v>
      </c>
      <c r="E3392" s="405" t="s">
        <v>422</v>
      </c>
      <c r="F3392" s="405" t="s">
        <v>396</v>
      </c>
      <c r="G3392" s="405" t="s">
        <v>6861</v>
      </c>
      <c r="H3392" s="405" t="s">
        <v>6890</v>
      </c>
      <c r="I3392" s="407">
        <v>4709.72</v>
      </c>
    </row>
    <row r="3393" spans="1:9" x14ac:dyDescent="0.2">
      <c r="A3393" s="403">
        <v>3392</v>
      </c>
      <c r="B3393" s="404">
        <v>44841</v>
      </c>
      <c r="C3393" s="404">
        <v>44867</v>
      </c>
      <c r="D3393" s="405" t="s">
        <v>1092</v>
      </c>
      <c r="E3393" s="405" t="s">
        <v>392</v>
      </c>
      <c r="F3393" s="405" t="s">
        <v>71</v>
      </c>
      <c r="G3393" s="405" t="s">
        <v>6862</v>
      </c>
      <c r="H3393" s="405" t="s">
        <v>6891</v>
      </c>
      <c r="I3393" s="407">
        <v>9207.7199999999993</v>
      </c>
    </row>
    <row r="3394" spans="1:9" x14ac:dyDescent="0.2">
      <c r="A3394" s="403">
        <v>3393</v>
      </c>
      <c r="B3394" s="404">
        <v>44841</v>
      </c>
      <c r="C3394" s="404">
        <v>44867</v>
      </c>
      <c r="D3394" s="405" t="s">
        <v>1092</v>
      </c>
      <c r="E3394" s="405" t="s">
        <v>392</v>
      </c>
      <c r="F3394" s="405" t="s">
        <v>393</v>
      </c>
      <c r="G3394" s="405" t="s">
        <v>6863</v>
      </c>
      <c r="H3394" s="405" t="s">
        <v>6892</v>
      </c>
      <c r="I3394" s="407">
        <v>36909.94</v>
      </c>
    </row>
    <row r="3395" spans="1:9" x14ac:dyDescent="0.2">
      <c r="A3395" s="403">
        <v>3394</v>
      </c>
      <c r="B3395" s="404">
        <v>44845</v>
      </c>
      <c r="C3395" s="404">
        <v>44860</v>
      </c>
      <c r="D3395" s="405" t="s">
        <v>1092</v>
      </c>
      <c r="E3395" s="405" t="s">
        <v>392</v>
      </c>
      <c r="F3395" s="405" t="s">
        <v>701</v>
      </c>
      <c r="G3395" s="405" t="s">
        <v>6864</v>
      </c>
      <c r="H3395" s="405" t="s">
        <v>6893</v>
      </c>
      <c r="I3395" s="407">
        <v>120000</v>
      </c>
    </row>
    <row r="3396" spans="1:9" x14ac:dyDescent="0.2">
      <c r="A3396" s="403">
        <v>3395</v>
      </c>
      <c r="B3396" s="404">
        <v>44845</v>
      </c>
      <c r="C3396" s="404">
        <v>44867</v>
      </c>
      <c r="D3396" s="405" t="s">
        <v>1092</v>
      </c>
      <c r="E3396" s="405" t="s">
        <v>422</v>
      </c>
      <c r="F3396" s="405" t="s">
        <v>396</v>
      </c>
      <c r="G3396" s="405" t="s">
        <v>6865</v>
      </c>
      <c r="H3396" s="405" t="s">
        <v>6894</v>
      </c>
      <c r="I3396" s="407">
        <v>40388.89</v>
      </c>
    </row>
    <row r="3397" spans="1:9" x14ac:dyDescent="0.2">
      <c r="A3397" s="403">
        <v>3396</v>
      </c>
      <c r="B3397" s="404">
        <v>44845</v>
      </c>
      <c r="C3397" s="404">
        <v>44868</v>
      </c>
      <c r="D3397" s="405" t="s">
        <v>1092</v>
      </c>
      <c r="E3397" s="405" t="s">
        <v>422</v>
      </c>
      <c r="F3397" s="405" t="s">
        <v>396</v>
      </c>
      <c r="G3397" s="405" t="s">
        <v>6866</v>
      </c>
      <c r="H3397" s="405" t="s">
        <v>6895</v>
      </c>
      <c r="I3397" s="407">
        <v>23009.02</v>
      </c>
    </row>
    <row r="3398" spans="1:9" x14ac:dyDescent="0.2">
      <c r="A3398" s="403">
        <v>3397</v>
      </c>
      <c r="B3398" s="404">
        <v>44845</v>
      </c>
      <c r="C3398" s="404">
        <v>44867</v>
      </c>
      <c r="D3398" s="405" t="s">
        <v>1092</v>
      </c>
      <c r="E3398" s="405" t="s">
        <v>422</v>
      </c>
      <c r="F3398" s="405" t="s">
        <v>396</v>
      </c>
      <c r="G3398" s="405" t="s">
        <v>6867</v>
      </c>
      <c r="H3398" s="405" t="s">
        <v>6896</v>
      </c>
      <c r="I3398" s="407">
        <v>27646.81</v>
      </c>
    </row>
    <row r="3399" spans="1:9" x14ac:dyDescent="0.2">
      <c r="A3399" s="403">
        <v>3398</v>
      </c>
      <c r="B3399" s="404">
        <v>44845</v>
      </c>
      <c r="C3399" s="404">
        <v>44867</v>
      </c>
      <c r="D3399" s="405" t="s">
        <v>1092</v>
      </c>
      <c r="E3399" s="405" t="s">
        <v>422</v>
      </c>
      <c r="F3399" s="405" t="s">
        <v>396</v>
      </c>
      <c r="G3399" s="405" t="s">
        <v>6868</v>
      </c>
      <c r="H3399" s="405" t="s">
        <v>6897</v>
      </c>
      <c r="I3399" s="407">
        <v>6357.68</v>
      </c>
    </row>
    <row r="3400" spans="1:9" x14ac:dyDescent="0.2">
      <c r="A3400" s="403">
        <v>3399</v>
      </c>
      <c r="B3400" s="404">
        <v>44845</v>
      </c>
      <c r="C3400" s="404">
        <v>44865</v>
      </c>
      <c r="D3400" s="405" t="s">
        <v>1092</v>
      </c>
      <c r="E3400" s="405" t="s">
        <v>392</v>
      </c>
      <c r="F3400" s="405" t="s">
        <v>393</v>
      </c>
      <c r="G3400" s="405" t="s">
        <v>6869</v>
      </c>
      <c r="H3400" s="405" t="s">
        <v>6898</v>
      </c>
      <c r="I3400" s="407">
        <v>50814.89</v>
      </c>
    </row>
    <row r="3401" spans="1:9" x14ac:dyDescent="0.2">
      <c r="A3401" s="403">
        <v>3400</v>
      </c>
      <c r="B3401" s="404">
        <v>44845</v>
      </c>
      <c r="C3401" s="404">
        <v>44867</v>
      </c>
      <c r="D3401" s="405" t="s">
        <v>1092</v>
      </c>
      <c r="E3401" s="405" t="s">
        <v>422</v>
      </c>
      <c r="F3401" s="405" t="s">
        <v>71</v>
      </c>
      <c r="G3401" s="405" t="s">
        <v>6870</v>
      </c>
      <c r="H3401" s="405" t="s">
        <v>6899</v>
      </c>
      <c r="I3401" s="407">
        <v>7603.08</v>
      </c>
    </row>
    <row r="3402" spans="1:9" x14ac:dyDescent="0.2">
      <c r="A3402" s="403">
        <v>3401</v>
      </c>
      <c r="B3402" s="404">
        <v>44845</v>
      </c>
      <c r="C3402" s="404">
        <v>44867</v>
      </c>
      <c r="D3402" s="405" t="s">
        <v>1092</v>
      </c>
      <c r="E3402" s="405" t="s">
        <v>392</v>
      </c>
      <c r="F3402" s="405" t="s">
        <v>396</v>
      </c>
      <c r="G3402" s="405" t="s">
        <v>6871</v>
      </c>
      <c r="H3402" s="405" t="s">
        <v>6900</v>
      </c>
      <c r="I3402" s="407">
        <v>176273.13</v>
      </c>
    </row>
    <row r="3403" spans="1:9" x14ac:dyDescent="0.2">
      <c r="A3403" s="403">
        <v>3402</v>
      </c>
      <c r="B3403" s="404">
        <v>44847</v>
      </c>
      <c r="C3403" s="404">
        <v>44868</v>
      </c>
      <c r="D3403" s="405" t="s">
        <v>1092</v>
      </c>
      <c r="E3403" s="405" t="s">
        <v>422</v>
      </c>
      <c r="F3403" s="405" t="s">
        <v>396</v>
      </c>
      <c r="G3403" s="405" t="s">
        <v>6872</v>
      </c>
      <c r="H3403" s="405" t="s">
        <v>6901</v>
      </c>
      <c r="I3403" s="407">
        <v>3260.99</v>
      </c>
    </row>
    <row r="3404" spans="1:9" x14ac:dyDescent="0.2">
      <c r="A3404" s="403">
        <v>3403</v>
      </c>
      <c r="B3404" s="404">
        <v>44847</v>
      </c>
      <c r="C3404" s="404">
        <v>44868</v>
      </c>
      <c r="D3404" s="405" t="s">
        <v>1092</v>
      </c>
      <c r="E3404" s="405" t="s">
        <v>422</v>
      </c>
      <c r="F3404" s="405" t="s">
        <v>71</v>
      </c>
      <c r="G3404" s="405" t="s">
        <v>6873</v>
      </c>
      <c r="H3404" s="405" t="s">
        <v>6902</v>
      </c>
      <c r="I3404" s="407">
        <v>1792</v>
      </c>
    </row>
    <row r="3405" spans="1:9" x14ac:dyDescent="0.2">
      <c r="A3405" s="403">
        <v>3404</v>
      </c>
      <c r="B3405" s="404">
        <v>44847</v>
      </c>
      <c r="C3405" s="404">
        <v>44865</v>
      </c>
      <c r="D3405" s="405" t="s">
        <v>1092</v>
      </c>
      <c r="E3405" s="405" t="s">
        <v>422</v>
      </c>
      <c r="F3405" s="405" t="s">
        <v>396</v>
      </c>
      <c r="G3405" s="405" t="s">
        <v>6874</v>
      </c>
      <c r="H3405" s="405" t="s">
        <v>6903</v>
      </c>
      <c r="I3405" s="407">
        <v>6309.62</v>
      </c>
    </row>
    <row r="3406" spans="1:9" x14ac:dyDescent="0.2">
      <c r="A3406" s="403">
        <v>3405</v>
      </c>
      <c r="B3406" s="404">
        <v>44847</v>
      </c>
      <c r="C3406" s="404">
        <v>44865</v>
      </c>
      <c r="D3406" s="405" t="s">
        <v>1092</v>
      </c>
      <c r="E3406" s="405" t="s">
        <v>392</v>
      </c>
      <c r="F3406" s="405" t="s">
        <v>393</v>
      </c>
      <c r="G3406" s="405" t="s">
        <v>6875</v>
      </c>
      <c r="H3406" s="405" t="s">
        <v>6904</v>
      </c>
      <c r="I3406" s="407">
        <v>50814.89</v>
      </c>
    </row>
    <row r="3407" spans="1:9" x14ac:dyDescent="0.2">
      <c r="A3407" s="403">
        <v>3406</v>
      </c>
      <c r="B3407" s="404">
        <v>44847</v>
      </c>
      <c r="C3407" s="404">
        <v>44865</v>
      </c>
      <c r="D3407" s="405" t="s">
        <v>1092</v>
      </c>
      <c r="E3407" s="405" t="s">
        <v>422</v>
      </c>
      <c r="F3407" s="405" t="s">
        <v>71</v>
      </c>
      <c r="G3407" s="405" t="s">
        <v>6876</v>
      </c>
      <c r="H3407" s="405" t="s">
        <v>6905</v>
      </c>
      <c r="I3407" s="407">
        <v>11552.23</v>
      </c>
    </row>
    <row r="3408" spans="1:9" x14ac:dyDescent="0.2">
      <c r="A3408" s="403">
        <v>3407</v>
      </c>
      <c r="B3408" s="404">
        <v>44847</v>
      </c>
      <c r="C3408" s="404">
        <v>44865</v>
      </c>
      <c r="D3408" s="405" t="s">
        <v>1092</v>
      </c>
      <c r="E3408" s="405" t="s">
        <v>422</v>
      </c>
      <c r="F3408" s="405" t="s">
        <v>396</v>
      </c>
      <c r="G3408" s="405" t="s">
        <v>6877</v>
      </c>
      <c r="H3408" s="405" t="s">
        <v>6906</v>
      </c>
      <c r="I3408" s="407">
        <v>38851.03</v>
      </c>
    </row>
    <row r="3409" spans="1:9" x14ac:dyDescent="0.2">
      <c r="A3409" s="403">
        <v>3408</v>
      </c>
      <c r="B3409" s="404">
        <v>44847</v>
      </c>
      <c r="C3409" s="404">
        <v>44865</v>
      </c>
      <c r="D3409" s="405" t="s">
        <v>1092</v>
      </c>
      <c r="E3409" s="405" t="s">
        <v>392</v>
      </c>
      <c r="F3409" s="405" t="s">
        <v>393</v>
      </c>
      <c r="G3409" s="405" t="s">
        <v>6878</v>
      </c>
      <c r="H3409" s="405" t="s">
        <v>6907</v>
      </c>
      <c r="I3409" s="407">
        <v>50814.89</v>
      </c>
    </row>
    <row r="3410" spans="1:9" x14ac:dyDescent="0.2">
      <c r="A3410" s="403">
        <v>3409</v>
      </c>
      <c r="B3410" s="404">
        <v>44847</v>
      </c>
      <c r="C3410" s="404">
        <v>44865</v>
      </c>
      <c r="D3410" s="405" t="s">
        <v>1092</v>
      </c>
      <c r="E3410" s="405" t="s">
        <v>392</v>
      </c>
      <c r="F3410" s="405" t="s">
        <v>393</v>
      </c>
      <c r="G3410" s="405" t="s">
        <v>6879</v>
      </c>
      <c r="H3410" s="405" t="s">
        <v>6908</v>
      </c>
      <c r="I3410" s="407">
        <v>50814.89</v>
      </c>
    </row>
    <row r="3411" spans="1:9" x14ac:dyDescent="0.2">
      <c r="A3411" s="403">
        <v>3410</v>
      </c>
      <c r="B3411" s="404">
        <v>44848</v>
      </c>
      <c r="C3411" s="404">
        <v>44867</v>
      </c>
      <c r="D3411" s="405" t="s">
        <v>1092</v>
      </c>
      <c r="E3411" s="405" t="s">
        <v>392</v>
      </c>
      <c r="F3411" s="405" t="s">
        <v>396</v>
      </c>
      <c r="G3411" s="405" t="s">
        <v>6880</v>
      </c>
      <c r="H3411" s="405" t="s">
        <v>6909</v>
      </c>
      <c r="I3411" s="407">
        <v>176273.13</v>
      </c>
    </row>
    <row r="3412" spans="1:9" x14ac:dyDescent="0.2">
      <c r="A3412" s="403">
        <v>3411</v>
      </c>
      <c r="B3412" s="404">
        <v>44848</v>
      </c>
      <c r="C3412" s="404">
        <v>44867</v>
      </c>
      <c r="D3412" s="405" t="s">
        <v>1092</v>
      </c>
      <c r="E3412" s="405" t="s">
        <v>392</v>
      </c>
      <c r="F3412" s="405" t="s">
        <v>396</v>
      </c>
      <c r="G3412" s="405" t="s">
        <v>6881</v>
      </c>
      <c r="H3412" s="405" t="s">
        <v>6910</v>
      </c>
      <c r="I3412" s="407">
        <v>176273.13</v>
      </c>
    </row>
    <row r="3413" spans="1:9" x14ac:dyDescent="0.2">
      <c r="A3413" s="403">
        <v>3412</v>
      </c>
      <c r="B3413" s="404">
        <v>44848</v>
      </c>
      <c r="C3413" s="404">
        <v>44867</v>
      </c>
      <c r="D3413" s="405" t="s">
        <v>1092</v>
      </c>
      <c r="E3413" s="405" t="s">
        <v>392</v>
      </c>
      <c r="F3413" s="405" t="s">
        <v>396</v>
      </c>
      <c r="G3413" s="405" t="s">
        <v>6882</v>
      </c>
      <c r="H3413" s="405" t="s">
        <v>6911</v>
      </c>
      <c r="I3413" s="407">
        <v>176273.13</v>
      </c>
    </row>
    <row r="3414" spans="1:9" x14ac:dyDescent="0.2">
      <c r="A3414" s="403">
        <v>3413</v>
      </c>
      <c r="B3414" s="404">
        <v>44848</v>
      </c>
      <c r="C3414" s="404">
        <v>44867</v>
      </c>
      <c r="D3414" s="405" t="s">
        <v>1092</v>
      </c>
      <c r="E3414" s="405" t="s">
        <v>392</v>
      </c>
      <c r="F3414" s="405" t="s">
        <v>396</v>
      </c>
      <c r="G3414" s="405" t="s">
        <v>6883</v>
      </c>
      <c r="H3414" s="405" t="s">
        <v>6912</v>
      </c>
      <c r="I3414" s="407">
        <v>176273.13</v>
      </c>
    </row>
    <row r="3415" spans="1:9" x14ac:dyDescent="0.2">
      <c r="A3415" s="403">
        <v>3414</v>
      </c>
      <c r="B3415" s="404">
        <v>44848</v>
      </c>
      <c r="C3415" s="404">
        <v>44865</v>
      </c>
      <c r="D3415" s="405" t="s">
        <v>1092</v>
      </c>
      <c r="E3415" s="405" t="s">
        <v>392</v>
      </c>
      <c r="F3415" s="405" t="s">
        <v>393</v>
      </c>
      <c r="G3415" s="405" t="s">
        <v>6884</v>
      </c>
      <c r="H3415" s="405" t="s">
        <v>6913</v>
      </c>
      <c r="I3415" s="407">
        <v>50814.89</v>
      </c>
    </row>
    <row r="3416" spans="1:9" x14ac:dyDescent="0.2">
      <c r="A3416" s="403">
        <v>3415</v>
      </c>
      <c r="B3416" s="404">
        <v>44851</v>
      </c>
      <c r="C3416" s="404">
        <v>44879</v>
      </c>
      <c r="D3416" s="405" t="s">
        <v>1092</v>
      </c>
      <c r="E3416" s="405" t="s">
        <v>392</v>
      </c>
      <c r="F3416" s="405" t="s">
        <v>71</v>
      </c>
      <c r="G3416" s="405" t="s">
        <v>6885</v>
      </c>
      <c r="H3416" s="405" t="s">
        <v>6914</v>
      </c>
      <c r="I3416" s="407">
        <v>2051.71</v>
      </c>
    </row>
    <row r="3417" spans="1:9" x14ac:dyDescent="0.2">
      <c r="A3417" s="403">
        <v>3416</v>
      </c>
      <c r="B3417" s="404">
        <v>44852</v>
      </c>
      <c r="C3417" s="404">
        <v>44879</v>
      </c>
      <c r="D3417" s="405" t="s">
        <v>1092</v>
      </c>
      <c r="E3417" s="405" t="s">
        <v>392</v>
      </c>
      <c r="F3417" s="405" t="s">
        <v>9</v>
      </c>
      <c r="G3417" s="405" t="s">
        <v>6915</v>
      </c>
      <c r="H3417" s="405" t="s">
        <v>6916</v>
      </c>
      <c r="I3417" s="407">
        <v>402120.07</v>
      </c>
    </row>
    <row r="3418" spans="1:9" x14ac:dyDescent="0.2">
      <c r="A3418" s="403">
        <v>3417</v>
      </c>
      <c r="B3418" s="404">
        <v>44853</v>
      </c>
      <c r="C3418" s="404">
        <v>44872</v>
      </c>
      <c r="D3418" s="405" t="s">
        <v>1092</v>
      </c>
      <c r="E3418" s="405" t="s">
        <v>422</v>
      </c>
      <c r="F3418" s="405" t="s">
        <v>71</v>
      </c>
      <c r="G3418" s="405" t="s">
        <v>6917</v>
      </c>
      <c r="H3418" s="405" t="s">
        <v>6919</v>
      </c>
      <c r="I3418" s="407">
        <v>1467.31</v>
      </c>
    </row>
    <row r="3419" spans="1:9" x14ac:dyDescent="0.2">
      <c r="A3419" s="403">
        <v>3418</v>
      </c>
      <c r="B3419" s="404">
        <v>44853</v>
      </c>
      <c r="C3419" s="404">
        <v>44872</v>
      </c>
      <c r="D3419" s="405" t="s">
        <v>1092</v>
      </c>
      <c r="E3419" s="405" t="s">
        <v>422</v>
      </c>
      <c r="F3419" s="405" t="s">
        <v>396</v>
      </c>
      <c r="G3419" s="405" t="s">
        <v>6918</v>
      </c>
      <c r="H3419" s="405" t="s">
        <v>6920</v>
      </c>
      <c r="I3419" s="407">
        <v>1833.28</v>
      </c>
    </row>
    <row r="3420" spans="1:9" x14ac:dyDescent="0.2">
      <c r="A3420" s="403">
        <v>3419</v>
      </c>
      <c r="B3420" s="404">
        <v>44854</v>
      </c>
      <c r="C3420" s="404">
        <v>44872</v>
      </c>
      <c r="D3420" s="405" t="s">
        <v>1092</v>
      </c>
      <c r="E3420" s="405" t="s">
        <v>392</v>
      </c>
      <c r="F3420" s="405" t="s">
        <v>71</v>
      </c>
      <c r="G3420" s="405" t="s">
        <v>6921</v>
      </c>
      <c r="H3420" s="405" t="s">
        <v>6922</v>
      </c>
      <c r="I3420" s="407">
        <v>1506.18</v>
      </c>
    </row>
    <row r="3421" spans="1:9" x14ac:dyDescent="0.2">
      <c r="A3421" s="403">
        <v>3420</v>
      </c>
      <c r="B3421" s="404">
        <v>44855</v>
      </c>
      <c r="C3421" s="404">
        <v>44879</v>
      </c>
      <c r="D3421" s="405" t="s">
        <v>1092</v>
      </c>
      <c r="E3421" s="405" t="s">
        <v>422</v>
      </c>
      <c r="F3421" s="405" t="s">
        <v>396</v>
      </c>
      <c r="G3421" s="405" t="s">
        <v>6923</v>
      </c>
      <c r="H3421" s="405" t="s">
        <v>6926</v>
      </c>
      <c r="I3421" s="407">
        <v>50536.24</v>
      </c>
    </row>
    <row r="3422" spans="1:9" x14ac:dyDescent="0.2">
      <c r="A3422" s="403">
        <v>3421</v>
      </c>
      <c r="B3422" s="404">
        <v>44855</v>
      </c>
      <c r="C3422" s="404">
        <v>44879</v>
      </c>
      <c r="D3422" s="405" t="s">
        <v>1092</v>
      </c>
      <c r="E3422" s="405" t="s">
        <v>422</v>
      </c>
      <c r="F3422" s="405" t="s">
        <v>71</v>
      </c>
      <c r="G3422" s="405" t="s">
        <v>6924</v>
      </c>
      <c r="H3422" s="405" t="s">
        <v>6927</v>
      </c>
      <c r="I3422" s="407">
        <v>6238.59</v>
      </c>
    </row>
    <row r="3423" spans="1:9" x14ac:dyDescent="0.2">
      <c r="A3423" s="403">
        <v>3422</v>
      </c>
      <c r="B3423" s="404">
        <v>44855</v>
      </c>
      <c r="C3423" s="404">
        <v>44879</v>
      </c>
      <c r="D3423" s="405" t="s">
        <v>1092</v>
      </c>
      <c r="E3423" s="405" t="s">
        <v>422</v>
      </c>
      <c r="F3423" s="405" t="s">
        <v>396</v>
      </c>
      <c r="G3423" s="405" t="s">
        <v>6925</v>
      </c>
      <c r="H3423" s="405" t="s">
        <v>6928</v>
      </c>
      <c r="I3423" s="407">
        <v>7660.72</v>
      </c>
    </row>
    <row r="3424" spans="1:9" x14ac:dyDescent="0.2">
      <c r="A3424" s="403">
        <v>3423</v>
      </c>
      <c r="B3424" s="404">
        <v>44859</v>
      </c>
      <c r="C3424" s="404">
        <v>44886</v>
      </c>
      <c r="D3424" s="405" t="s">
        <v>1092</v>
      </c>
      <c r="E3424" s="405" t="s">
        <v>392</v>
      </c>
      <c r="F3424" s="405" t="s">
        <v>9</v>
      </c>
      <c r="G3424" s="405" t="s">
        <v>6929</v>
      </c>
      <c r="H3424" s="405" t="s">
        <v>6930</v>
      </c>
      <c r="I3424" s="407">
        <v>138614.28</v>
      </c>
    </row>
    <row r="3425" spans="1:9" x14ac:dyDescent="0.2">
      <c r="A3425" s="403">
        <v>3424</v>
      </c>
      <c r="B3425" s="404">
        <v>44860</v>
      </c>
      <c r="C3425" s="404">
        <v>44879</v>
      </c>
      <c r="D3425" s="405" t="s">
        <v>1092</v>
      </c>
      <c r="E3425" s="405" t="s">
        <v>422</v>
      </c>
      <c r="F3425" s="405" t="s">
        <v>396</v>
      </c>
      <c r="G3425" s="405" t="s">
        <v>6931</v>
      </c>
      <c r="H3425" s="405" t="s">
        <v>6934</v>
      </c>
      <c r="I3425" s="407">
        <v>13382.11</v>
      </c>
    </row>
    <row r="3426" spans="1:9" x14ac:dyDescent="0.2">
      <c r="A3426" s="403">
        <v>3425</v>
      </c>
      <c r="B3426" s="404">
        <v>44860</v>
      </c>
      <c r="C3426" s="404">
        <v>44879</v>
      </c>
      <c r="D3426" s="405" t="s">
        <v>1092</v>
      </c>
      <c r="E3426" s="405" t="s">
        <v>422</v>
      </c>
      <c r="F3426" s="405" t="s">
        <v>71</v>
      </c>
      <c r="G3426" s="405" t="s">
        <v>6932</v>
      </c>
      <c r="H3426" s="405" t="s">
        <v>6935</v>
      </c>
      <c r="I3426" s="407">
        <v>33748.129999999997</v>
      </c>
    </row>
    <row r="3427" spans="1:9" x14ac:dyDescent="0.2">
      <c r="A3427" s="403">
        <v>3426</v>
      </c>
      <c r="B3427" s="404">
        <v>44860</v>
      </c>
      <c r="C3427" s="404">
        <v>44879</v>
      </c>
      <c r="D3427" s="405" t="s">
        <v>1092</v>
      </c>
      <c r="E3427" s="405" t="s">
        <v>422</v>
      </c>
      <c r="F3427" s="405" t="s">
        <v>396</v>
      </c>
      <c r="G3427" s="405" t="s">
        <v>6933</v>
      </c>
      <c r="H3427" s="405" t="s">
        <v>6936</v>
      </c>
      <c r="I3427" s="407">
        <v>144626.6</v>
      </c>
    </row>
    <row r="3428" spans="1:9" x14ac:dyDescent="0.2">
      <c r="A3428" s="403">
        <v>3427</v>
      </c>
      <c r="B3428" s="404">
        <v>44861</v>
      </c>
      <c r="C3428" s="404">
        <v>44879</v>
      </c>
      <c r="D3428" s="405" t="s">
        <v>1092</v>
      </c>
      <c r="E3428" s="405" t="s">
        <v>422</v>
      </c>
      <c r="F3428" s="405" t="s">
        <v>396</v>
      </c>
      <c r="G3428" s="405" t="s">
        <v>6937</v>
      </c>
      <c r="H3428" s="405" t="s">
        <v>6942</v>
      </c>
      <c r="I3428" s="407">
        <v>20851.650000000001</v>
      </c>
    </row>
    <row r="3429" spans="1:9" x14ac:dyDescent="0.2">
      <c r="A3429" s="403">
        <v>3428</v>
      </c>
      <c r="B3429" s="404">
        <v>44861</v>
      </c>
      <c r="C3429" s="404">
        <v>44886</v>
      </c>
      <c r="D3429" s="405" t="s">
        <v>1092</v>
      </c>
      <c r="E3429" s="405" t="s">
        <v>392</v>
      </c>
      <c r="F3429" s="405" t="s">
        <v>393</v>
      </c>
      <c r="G3429" s="405" t="s">
        <v>6938</v>
      </c>
      <c r="H3429" s="405" t="s">
        <v>6943</v>
      </c>
      <c r="I3429" s="407">
        <v>19086.669999999998</v>
      </c>
    </row>
    <row r="3430" spans="1:9" x14ac:dyDescent="0.2">
      <c r="A3430" s="403">
        <v>3429</v>
      </c>
      <c r="B3430" s="404">
        <v>44861</v>
      </c>
      <c r="C3430" s="404">
        <v>44893</v>
      </c>
      <c r="D3430" s="405" t="s">
        <v>1092</v>
      </c>
      <c r="E3430" s="405" t="s">
        <v>392</v>
      </c>
      <c r="F3430" s="405" t="s">
        <v>9</v>
      </c>
      <c r="G3430" s="405" t="s">
        <v>6939</v>
      </c>
      <c r="H3430" s="405" t="s">
        <v>6944</v>
      </c>
      <c r="I3430" s="407">
        <v>438579.56</v>
      </c>
    </row>
    <row r="3431" spans="1:9" x14ac:dyDescent="0.2">
      <c r="A3431" s="403">
        <v>3430</v>
      </c>
      <c r="B3431" s="404">
        <v>44861</v>
      </c>
      <c r="C3431" s="404">
        <v>44886</v>
      </c>
      <c r="D3431" s="405" t="s">
        <v>1092</v>
      </c>
      <c r="E3431" s="405" t="s">
        <v>392</v>
      </c>
      <c r="F3431" s="405" t="s">
        <v>393</v>
      </c>
      <c r="G3431" s="405" t="s">
        <v>6940</v>
      </c>
      <c r="H3431" s="405" t="s">
        <v>6945</v>
      </c>
      <c r="I3431" s="407">
        <v>5726</v>
      </c>
    </row>
    <row r="3432" spans="1:9" x14ac:dyDescent="0.2">
      <c r="A3432" s="403">
        <v>3431</v>
      </c>
      <c r="B3432" s="404">
        <v>44861</v>
      </c>
      <c r="C3432" s="404">
        <v>44886</v>
      </c>
      <c r="D3432" s="405" t="s">
        <v>1092</v>
      </c>
      <c r="E3432" s="405" t="s">
        <v>392</v>
      </c>
      <c r="F3432" s="405" t="s">
        <v>71</v>
      </c>
      <c r="G3432" s="405" t="s">
        <v>6941</v>
      </c>
      <c r="H3432" s="405" t="s">
        <v>6946</v>
      </c>
      <c r="I3432" s="407">
        <v>9838.82</v>
      </c>
    </row>
    <row r="3433" spans="1:9" x14ac:dyDescent="0.2">
      <c r="A3433" s="403">
        <v>3432</v>
      </c>
      <c r="B3433" s="404">
        <v>44865</v>
      </c>
      <c r="C3433" s="404">
        <v>44893</v>
      </c>
      <c r="D3433" s="405" t="s">
        <v>1092</v>
      </c>
      <c r="E3433" s="405" t="s">
        <v>392</v>
      </c>
      <c r="F3433" s="405" t="s">
        <v>71</v>
      </c>
      <c r="G3433" s="405" t="s">
        <v>6947</v>
      </c>
      <c r="H3433" s="405" t="s">
        <v>6948</v>
      </c>
      <c r="I3433" s="407">
        <v>291941.36</v>
      </c>
    </row>
    <row r="3434" spans="1:9" x14ac:dyDescent="0.2">
      <c r="A3434" s="403">
        <v>3433</v>
      </c>
      <c r="B3434" s="404">
        <v>44868</v>
      </c>
      <c r="C3434" s="404">
        <v>44886</v>
      </c>
      <c r="D3434" s="405" t="s">
        <v>1092</v>
      </c>
      <c r="E3434" s="405" t="s">
        <v>422</v>
      </c>
      <c r="F3434" s="405" t="s">
        <v>396</v>
      </c>
      <c r="G3434" s="405" t="s">
        <v>6949</v>
      </c>
      <c r="H3434" s="405" t="s">
        <v>6954</v>
      </c>
      <c r="I3434" s="407">
        <v>8375.17</v>
      </c>
    </row>
    <row r="3435" spans="1:9" x14ac:dyDescent="0.2">
      <c r="A3435" s="403">
        <v>3434</v>
      </c>
      <c r="B3435" s="404">
        <v>44868</v>
      </c>
      <c r="C3435" s="404">
        <v>44886</v>
      </c>
      <c r="D3435" s="405" t="s">
        <v>1092</v>
      </c>
      <c r="E3435" s="405" t="s">
        <v>422</v>
      </c>
      <c r="F3435" s="405" t="s">
        <v>396</v>
      </c>
      <c r="G3435" s="405" t="s">
        <v>6950</v>
      </c>
      <c r="H3435" s="405" t="s">
        <v>6953</v>
      </c>
      <c r="I3435" s="407">
        <v>40807.18</v>
      </c>
    </row>
    <row r="3436" spans="1:9" x14ac:dyDescent="0.2">
      <c r="A3436" s="403">
        <v>3435</v>
      </c>
      <c r="B3436" s="404">
        <v>44868</v>
      </c>
      <c r="C3436" s="404">
        <v>44886</v>
      </c>
      <c r="D3436" s="405" t="s">
        <v>1092</v>
      </c>
      <c r="E3436" s="405" t="s">
        <v>422</v>
      </c>
      <c r="F3436" s="405" t="s">
        <v>71</v>
      </c>
      <c r="G3436" s="405" t="s">
        <v>6951</v>
      </c>
      <c r="H3436" s="405" t="s">
        <v>6952</v>
      </c>
      <c r="I3436" s="407">
        <v>15838.51</v>
      </c>
    </row>
    <row r="3437" spans="1:9" x14ac:dyDescent="0.2">
      <c r="A3437" s="403">
        <v>3436</v>
      </c>
      <c r="B3437" s="404">
        <v>44872</v>
      </c>
      <c r="C3437" s="404">
        <v>44893</v>
      </c>
      <c r="D3437" s="405" t="s">
        <v>1092</v>
      </c>
      <c r="E3437" s="405" t="s">
        <v>422</v>
      </c>
      <c r="F3437" s="405" t="s">
        <v>396</v>
      </c>
      <c r="G3437" s="405" t="s">
        <v>6955</v>
      </c>
      <c r="H3437" s="405" t="s">
        <v>6684</v>
      </c>
      <c r="I3437" s="407">
        <v>21278.400000000001</v>
      </c>
    </row>
    <row r="3438" spans="1:9" x14ac:dyDescent="0.2">
      <c r="A3438" s="403">
        <v>3437</v>
      </c>
      <c r="B3438" s="404">
        <v>44873</v>
      </c>
      <c r="C3438" s="404">
        <v>44893</v>
      </c>
      <c r="D3438" s="405" t="s">
        <v>1092</v>
      </c>
      <c r="E3438" s="405" t="s">
        <v>392</v>
      </c>
      <c r="F3438" s="405" t="s">
        <v>9</v>
      </c>
      <c r="G3438" s="405" t="s">
        <v>6956</v>
      </c>
      <c r="H3438" s="405" t="s">
        <v>6958</v>
      </c>
      <c r="I3438" s="407">
        <v>91200</v>
      </c>
    </row>
    <row r="3439" spans="1:9" x14ac:dyDescent="0.2">
      <c r="A3439" s="403">
        <v>3438</v>
      </c>
      <c r="B3439" s="404">
        <v>44873</v>
      </c>
      <c r="C3439" s="404">
        <v>44893</v>
      </c>
      <c r="D3439" s="405" t="s">
        <v>1092</v>
      </c>
      <c r="E3439" s="405" t="s">
        <v>422</v>
      </c>
      <c r="F3439" s="405" t="s">
        <v>701</v>
      </c>
      <c r="G3439" s="405" t="s">
        <v>6957</v>
      </c>
      <c r="H3439" s="405" t="s">
        <v>6959</v>
      </c>
      <c r="I3439" s="407">
        <v>33500</v>
      </c>
    </row>
    <row r="3440" spans="1:9" x14ac:dyDescent="0.2">
      <c r="A3440" s="403">
        <v>3439</v>
      </c>
      <c r="B3440" s="404">
        <v>44875</v>
      </c>
      <c r="C3440" s="404">
        <v>44893</v>
      </c>
      <c r="D3440" s="405" t="s">
        <v>1092</v>
      </c>
      <c r="E3440" s="405" t="s">
        <v>392</v>
      </c>
      <c r="F3440" s="405" t="s">
        <v>9</v>
      </c>
      <c r="G3440" s="405" t="s">
        <v>6960</v>
      </c>
      <c r="H3440" s="405" t="s">
        <v>6964</v>
      </c>
      <c r="I3440" s="407">
        <v>91110.03</v>
      </c>
    </row>
    <row r="3441" spans="1:9" x14ac:dyDescent="0.2">
      <c r="A3441" s="403">
        <v>3440</v>
      </c>
      <c r="B3441" s="404">
        <v>44875</v>
      </c>
      <c r="C3441" s="404">
        <v>44893</v>
      </c>
      <c r="D3441" s="405" t="s">
        <v>1092</v>
      </c>
      <c r="E3441" s="405" t="s">
        <v>392</v>
      </c>
      <c r="F3441" s="405" t="s">
        <v>396</v>
      </c>
      <c r="G3441" s="405" t="s">
        <v>6961</v>
      </c>
      <c r="H3441" s="405" t="s">
        <v>6965</v>
      </c>
      <c r="I3441" s="407">
        <v>39065.129999999997</v>
      </c>
    </row>
    <row r="3442" spans="1:9" x14ac:dyDescent="0.2">
      <c r="A3442" s="403">
        <v>3441</v>
      </c>
      <c r="B3442" s="404">
        <v>44875</v>
      </c>
      <c r="C3442" s="404">
        <v>44893</v>
      </c>
      <c r="D3442" s="405" t="s">
        <v>1092</v>
      </c>
      <c r="E3442" s="405" t="s">
        <v>392</v>
      </c>
      <c r="F3442" s="405" t="s">
        <v>393</v>
      </c>
      <c r="G3442" s="405" t="s">
        <v>6962</v>
      </c>
      <c r="H3442" s="405" t="s">
        <v>6966</v>
      </c>
      <c r="I3442" s="407">
        <v>11434.78</v>
      </c>
    </row>
    <row r="3443" spans="1:9" x14ac:dyDescent="0.2">
      <c r="A3443" s="403">
        <v>3442</v>
      </c>
      <c r="B3443" s="404">
        <v>44875</v>
      </c>
      <c r="C3443" s="404">
        <v>44893</v>
      </c>
      <c r="D3443" s="405" t="s">
        <v>1092</v>
      </c>
      <c r="E3443" s="405" t="s">
        <v>392</v>
      </c>
      <c r="F3443" s="405" t="s">
        <v>71</v>
      </c>
      <c r="G3443" s="405" t="s">
        <v>6963</v>
      </c>
      <c r="H3443" s="405" t="s">
        <v>6967</v>
      </c>
      <c r="I3443" s="407">
        <v>25204.2</v>
      </c>
    </row>
    <row r="3444" spans="1:9" x14ac:dyDescent="0.2">
      <c r="A3444" s="403">
        <v>3443</v>
      </c>
      <c r="B3444" s="404">
        <v>44880</v>
      </c>
      <c r="C3444" s="404">
        <v>44914</v>
      </c>
      <c r="D3444" s="405" t="s">
        <v>1092</v>
      </c>
      <c r="E3444" s="405" t="s">
        <v>392</v>
      </c>
      <c r="F3444" s="405" t="s">
        <v>9</v>
      </c>
      <c r="G3444" s="405" t="s">
        <v>6969</v>
      </c>
      <c r="H3444" s="405" t="s">
        <v>6971</v>
      </c>
      <c r="I3444" s="407">
        <v>326625.2</v>
      </c>
    </row>
    <row r="3445" spans="1:9" x14ac:dyDescent="0.2">
      <c r="A3445" s="403">
        <v>3444</v>
      </c>
      <c r="B3445" s="404">
        <v>44880</v>
      </c>
      <c r="C3445" s="404">
        <v>44914</v>
      </c>
      <c r="D3445" s="405" t="s">
        <v>1092</v>
      </c>
      <c r="E3445" s="405" t="s">
        <v>392</v>
      </c>
      <c r="F3445" s="405" t="s">
        <v>9</v>
      </c>
      <c r="G3445" s="405" t="s">
        <v>6970</v>
      </c>
      <c r="H3445" s="405" t="s">
        <v>6972</v>
      </c>
      <c r="I3445" s="407">
        <v>310650</v>
      </c>
    </row>
    <row r="3446" spans="1:9" x14ac:dyDescent="0.2">
      <c r="A3446" s="403">
        <v>3445</v>
      </c>
      <c r="B3446" s="404">
        <v>44882</v>
      </c>
      <c r="C3446" s="404">
        <v>44900</v>
      </c>
      <c r="D3446" s="405" t="s">
        <v>1092</v>
      </c>
      <c r="E3446" s="405" t="s">
        <v>392</v>
      </c>
      <c r="F3446" s="405" t="s">
        <v>393</v>
      </c>
      <c r="G3446" s="405" t="s">
        <v>6973</v>
      </c>
      <c r="H3446" s="405" t="s">
        <v>6977</v>
      </c>
      <c r="I3446" s="407">
        <v>35600</v>
      </c>
    </row>
    <row r="3447" spans="1:9" x14ac:dyDescent="0.2">
      <c r="A3447" s="403">
        <v>3446</v>
      </c>
      <c r="B3447" s="404">
        <v>44882</v>
      </c>
      <c r="C3447" s="404">
        <v>44900</v>
      </c>
      <c r="D3447" s="405" t="s">
        <v>1092</v>
      </c>
      <c r="E3447" s="405" t="s">
        <v>392</v>
      </c>
      <c r="F3447" s="405" t="s">
        <v>71</v>
      </c>
      <c r="G3447" s="405" t="s">
        <v>6974</v>
      </c>
      <c r="H3447" s="405" t="s">
        <v>6978</v>
      </c>
      <c r="I3447" s="407">
        <v>11673.6</v>
      </c>
    </row>
    <row r="3448" spans="1:9" x14ac:dyDescent="0.2">
      <c r="A3448" s="403">
        <v>3447</v>
      </c>
      <c r="B3448" s="404">
        <v>44882</v>
      </c>
      <c r="C3448" s="404">
        <v>44900</v>
      </c>
      <c r="D3448" s="405" t="s">
        <v>1092</v>
      </c>
      <c r="E3448" s="405" t="s">
        <v>422</v>
      </c>
      <c r="F3448" s="405" t="s">
        <v>1285</v>
      </c>
      <c r="G3448" s="405" t="s">
        <v>6975</v>
      </c>
      <c r="H3448" s="405" t="s">
        <v>6979</v>
      </c>
      <c r="I3448" s="407">
        <v>160000</v>
      </c>
    </row>
    <row r="3449" spans="1:9" x14ac:dyDescent="0.2">
      <c r="A3449" s="403">
        <v>3448</v>
      </c>
      <c r="B3449" s="404">
        <v>44882</v>
      </c>
      <c r="C3449" s="404">
        <v>44900</v>
      </c>
      <c r="D3449" s="405" t="s">
        <v>1092</v>
      </c>
      <c r="E3449" s="405" t="s">
        <v>392</v>
      </c>
      <c r="F3449" s="405" t="s">
        <v>393</v>
      </c>
      <c r="G3449" s="405" t="s">
        <v>6976</v>
      </c>
      <c r="H3449" s="405" t="s">
        <v>6980</v>
      </c>
      <c r="I3449" s="407">
        <v>8900</v>
      </c>
    </row>
    <row r="3450" spans="1:9" x14ac:dyDescent="0.2">
      <c r="A3450" s="403">
        <v>3449</v>
      </c>
      <c r="B3450" s="404">
        <v>44883</v>
      </c>
      <c r="C3450" s="404">
        <v>44907</v>
      </c>
      <c r="D3450" s="405" t="s">
        <v>1092</v>
      </c>
      <c r="E3450" s="405" t="s">
        <v>392</v>
      </c>
      <c r="F3450" s="405" t="s">
        <v>393</v>
      </c>
      <c r="G3450" s="405" t="s">
        <v>6981</v>
      </c>
      <c r="H3450" s="405" t="s">
        <v>6989</v>
      </c>
      <c r="I3450" s="407">
        <v>5172.6099999999997</v>
      </c>
    </row>
    <row r="3451" spans="1:9" x14ac:dyDescent="0.2">
      <c r="A3451" s="403">
        <v>3450</v>
      </c>
      <c r="B3451" s="404">
        <v>44883</v>
      </c>
      <c r="C3451" s="404">
        <v>44907</v>
      </c>
      <c r="D3451" s="405" t="s">
        <v>1092</v>
      </c>
      <c r="E3451" s="405" t="s">
        <v>392</v>
      </c>
      <c r="F3451" s="405" t="s">
        <v>393</v>
      </c>
      <c r="G3451" s="405" t="s">
        <v>6982</v>
      </c>
      <c r="H3451" s="405" t="s">
        <v>6990</v>
      </c>
      <c r="I3451" s="407">
        <v>20690.439999999999</v>
      </c>
    </row>
    <row r="3452" spans="1:9" x14ac:dyDescent="0.2">
      <c r="A3452" s="403">
        <v>3451</v>
      </c>
      <c r="B3452" s="404">
        <v>44883</v>
      </c>
      <c r="C3452" s="404">
        <v>44900</v>
      </c>
      <c r="D3452" s="405" t="s">
        <v>1092</v>
      </c>
      <c r="E3452" s="405" t="s">
        <v>422</v>
      </c>
      <c r="F3452" s="405" t="s">
        <v>701</v>
      </c>
      <c r="G3452" s="405" t="s">
        <v>6983</v>
      </c>
      <c r="H3452" s="405" t="s">
        <v>6991</v>
      </c>
      <c r="I3452" s="407">
        <v>117300</v>
      </c>
    </row>
    <row r="3453" spans="1:9" x14ac:dyDescent="0.2">
      <c r="A3453" s="403">
        <v>3452</v>
      </c>
      <c r="B3453" s="404">
        <v>44883</v>
      </c>
      <c r="C3453" s="404">
        <v>44902</v>
      </c>
      <c r="D3453" s="405" t="s">
        <v>1092</v>
      </c>
      <c r="E3453" s="405" t="s">
        <v>392</v>
      </c>
      <c r="F3453" s="405" t="s">
        <v>393</v>
      </c>
      <c r="G3453" s="405" t="s">
        <v>6984</v>
      </c>
      <c r="H3453" s="405" t="s">
        <v>6992</v>
      </c>
      <c r="I3453" s="407">
        <v>50652.3</v>
      </c>
    </row>
    <row r="3454" spans="1:9" x14ac:dyDescent="0.2">
      <c r="A3454" s="403">
        <v>3453</v>
      </c>
      <c r="B3454" s="404">
        <v>44883</v>
      </c>
      <c r="C3454" s="404">
        <v>44907</v>
      </c>
      <c r="D3454" s="405" t="s">
        <v>1092</v>
      </c>
      <c r="E3454" s="405" t="s">
        <v>392</v>
      </c>
      <c r="F3454" s="405" t="s">
        <v>396</v>
      </c>
      <c r="G3454" s="405" t="s">
        <v>6985</v>
      </c>
      <c r="H3454" s="405" t="s">
        <v>6993</v>
      </c>
      <c r="I3454" s="407">
        <v>21340</v>
      </c>
    </row>
    <row r="3455" spans="1:9" x14ac:dyDescent="0.2">
      <c r="A3455" s="403">
        <v>3454</v>
      </c>
      <c r="B3455" s="404">
        <v>44883</v>
      </c>
      <c r="C3455" s="404">
        <v>44902</v>
      </c>
      <c r="D3455" s="405" t="s">
        <v>1092</v>
      </c>
      <c r="E3455" s="405" t="s">
        <v>422</v>
      </c>
      <c r="F3455" s="405" t="s">
        <v>701</v>
      </c>
      <c r="G3455" s="405" t="s">
        <v>6986</v>
      </c>
      <c r="H3455" s="405" t="s">
        <v>6994</v>
      </c>
      <c r="I3455" s="407">
        <v>45300</v>
      </c>
    </row>
    <row r="3456" spans="1:9" x14ac:dyDescent="0.2">
      <c r="A3456" s="403">
        <v>3455</v>
      </c>
      <c r="B3456" s="404">
        <v>44883</v>
      </c>
      <c r="C3456" s="404">
        <v>44900</v>
      </c>
      <c r="D3456" s="405" t="s">
        <v>1092</v>
      </c>
      <c r="E3456" s="405" t="s">
        <v>392</v>
      </c>
      <c r="F3456" s="405" t="s">
        <v>9</v>
      </c>
      <c r="G3456" s="405" t="s">
        <v>6987</v>
      </c>
      <c r="H3456" s="405" t="s">
        <v>6995</v>
      </c>
      <c r="I3456" s="407">
        <v>138614.28</v>
      </c>
    </row>
    <row r="3457" spans="1:9" x14ac:dyDescent="0.2">
      <c r="A3457" s="403">
        <v>3456</v>
      </c>
      <c r="B3457" s="404">
        <v>44883</v>
      </c>
      <c r="C3457" s="404">
        <v>44902</v>
      </c>
      <c r="D3457" s="405" t="s">
        <v>1092</v>
      </c>
      <c r="E3457" s="405" t="s">
        <v>392</v>
      </c>
      <c r="F3457" s="405" t="s">
        <v>71</v>
      </c>
      <c r="G3457" s="405" t="s">
        <v>6988</v>
      </c>
      <c r="H3457" s="405" t="s">
        <v>6996</v>
      </c>
      <c r="I3457" s="407">
        <v>6408.22</v>
      </c>
    </row>
    <row r="3458" spans="1:9" x14ac:dyDescent="0.2">
      <c r="A3458" s="403">
        <v>3457</v>
      </c>
      <c r="B3458" s="404">
        <v>44886</v>
      </c>
      <c r="C3458" s="404">
        <v>44902</v>
      </c>
      <c r="D3458" s="405" t="s">
        <v>1092</v>
      </c>
      <c r="E3458" s="405" t="s">
        <v>392</v>
      </c>
      <c r="F3458" s="405" t="s">
        <v>9</v>
      </c>
      <c r="G3458" s="405" t="s">
        <v>6997</v>
      </c>
      <c r="H3458" s="405" t="s">
        <v>7001</v>
      </c>
      <c r="I3458" s="407">
        <v>138614.28</v>
      </c>
    </row>
    <row r="3459" spans="1:9" x14ac:dyDescent="0.2">
      <c r="A3459" s="403">
        <v>3458</v>
      </c>
      <c r="B3459" s="404">
        <v>44886</v>
      </c>
      <c r="C3459" s="404">
        <v>44914</v>
      </c>
      <c r="D3459" s="405" t="s">
        <v>1092</v>
      </c>
      <c r="E3459" s="405" t="s">
        <v>422</v>
      </c>
      <c r="F3459" s="405" t="s">
        <v>396</v>
      </c>
      <c r="G3459" s="405" t="s">
        <v>6998</v>
      </c>
      <c r="H3459" s="405" t="s">
        <v>7002</v>
      </c>
      <c r="I3459" s="407">
        <v>835992.11</v>
      </c>
    </row>
    <row r="3460" spans="1:9" x14ac:dyDescent="0.2">
      <c r="A3460" s="403">
        <v>3459</v>
      </c>
      <c r="B3460" s="404">
        <v>44886</v>
      </c>
      <c r="C3460" s="404">
        <v>44914</v>
      </c>
      <c r="D3460" s="405" t="s">
        <v>1092</v>
      </c>
      <c r="E3460" s="405" t="s">
        <v>422</v>
      </c>
      <c r="F3460" s="405" t="s">
        <v>71</v>
      </c>
      <c r="G3460" s="405" t="s">
        <v>6999</v>
      </c>
      <c r="H3460" s="405" t="s">
        <v>7003</v>
      </c>
      <c r="I3460" s="407">
        <v>322968.90999999997</v>
      </c>
    </row>
    <row r="3461" spans="1:9" x14ac:dyDescent="0.2">
      <c r="A3461" s="403">
        <v>3460</v>
      </c>
      <c r="B3461" s="404">
        <v>44886</v>
      </c>
      <c r="C3461" s="404">
        <v>44902</v>
      </c>
      <c r="D3461" s="405" t="s">
        <v>1092</v>
      </c>
      <c r="E3461" s="405" t="s">
        <v>422</v>
      </c>
      <c r="F3461" s="405" t="s">
        <v>396</v>
      </c>
      <c r="G3461" s="405" t="s">
        <v>7000</v>
      </c>
      <c r="H3461" s="405" t="s">
        <v>7004</v>
      </c>
      <c r="I3461" s="407">
        <v>115934.51</v>
      </c>
    </row>
    <row r="3462" spans="1:9" x14ac:dyDescent="0.2">
      <c r="A3462" s="403">
        <v>3461</v>
      </c>
      <c r="B3462" s="404">
        <v>44887</v>
      </c>
      <c r="C3462" s="404">
        <v>44907</v>
      </c>
      <c r="D3462" s="405" t="s">
        <v>1092</v>
      </c>
      <c r="E3462" s="405" t="s">
        <v>392</v>
      </c>
      <c r="F3462" s="405" t="s">
        <v>71</v>
      </c>
      <c r="G3462" s="405" t="s">
        <v>7005</v>
      </c>
      <c r="H3462" s="405" t="s">
        <v>7007</v>
      </c>
      <c r="I3462" s="407">
        <v>99500</v>
      </c>
    </row>
    <row r="3463" spans="1:9" x14ac:dyDescent="0.2">
      <c r="A3463" s="403">
        <v>3462</v>
      </c>
      <c r="B3463" s="404">
        <v>44887</v>
      </c>
      <c r="C3463" s="404">
        <v>44914</v>
      </c>
      <c r="D3463" s="405" t="s">
        <v>1092</v>
      </c>
      <c r="E3463" s="405" t="s">
        <v>422</v>
      </c>
      <c r="F3463" s="405" t="s">
        <v>396</v>
      </c>
      <c r="G3463" s="405" t="s">
        <v>7006</v>
      </c>
      <c r="H3463" s="405" t="s">
        <v>7008</v>
      </c>
      <c r="I3463" s="407">
        <v>6791714.1799999997</v>
      </c>
    </row>
    <row r="3464" spans="1:9" x14ac:dyDescent="0.2">
      <c r="A3464" s="403">
        <v>3463</v>
      </c>
      <c r="B3464" s="404">
        <v>44889</v>
      </c>
      <c r="C3464" s="404">
        <v>44907</v>
      </c>
      <c r="D3464" s="405" t="s">
        <v>1092</v>
      </c>
      <c r="E3464" s="405" t="s">
        <v>422</v>
      </c>
      <c r="F3464" s="405" t="s">
        <v>701</v>
      </c>
      <c r="G3464" s="405" t="s">
        <v>7009</v>
      </c>
      <c r="H3464" s="405" t="s">
        <v>7011</v>
      </c>
      <c r="I3464" s="407">
        <v>13220</v>
      </c>
    </row>
    <row r="3465" spans="1:9" x14ac:dyDescent="0.2">
      <c r="A3465" s="403">
        <v>3464</v>
      </c>
      <c r="B3465" s="404">
        <v>44889</v>
      </c>
      <c r="C3465" s="404">
        <v>44923</v>
      </c>
      <c r="D3465" s="405" t="s">
        <v>1092</v>
      </c>
      <c r="E3465" s="405" t="s">
        <v>422</v>
      </c>
      <c r="F3465" s="405" t="s">
        <v>701</v>
      </c>
      <c r="G3465" s="405" t="s">
        <v>7010</v>
      </c>
      <c r="H3465" s="405" t="s">
        <v>7012</v>
      </c>
      <c r="I3465" s="407">
        <v>274950</v>
      </c>
    </row>
    <row r="3466" spans="1:9" x14ac:dyDescent="0.2">
      <c r="A3466" s="403">
        <v>3465</v>
      </c>
      <c r="B3466" s="404">
        <v>44890</v>
      </c>
      <c r="C3466" s="404">
        <v>44907</v>
      </c>
      <c r="D3466" s="405" t="s">
        <v>1092</v>
      </c>
      <c r="E3466" s="405" t="s">
        <v>392</v>
      </c>
      <c r="F3466" s="405" t="s">
        <v>71</v>
      </c>
      <c r="G3466" s="405" t="s">
        <v>7013</v>
      </c>
      <c r="H3466" s="405" t="s">
        <v>7020</v>
      </c>
      <c r="I3466" s="407">
        <v>37687.64</v>
      </c>
    </row>
    <row r="3467" spans="1:9" x14ac:dyDescent="0.2">
      <c r="A3467" s="403">
        <v>3466</v>
      </c>
      <c r="B3467" s="404">
        <v>44890</v>
      </c>
      <c r="C3467" s="404">
        <v>44907</v>
      </c>
      <c r="D3467" s="405" t="s">
        <v>1092</v>
      </c>
      <c r="E3467" s="405" t="s">
        <v>392</v>
      </c>
      <c r="F3467" s="405" t="s">
        <v>396</v>
      </c>
      <c r="G3467" s="405" t="s">
        <v>7014</v>
      </c>
      <c r="H3467" s="405" t="s">
        <v>7021</v>
      </c>
      <c r="I3467" s="407">
        <v>88982.03</v>
      </c>
    </row>
    <row r="3468" spans="1:9" x14ac:dyDescent="0.2">
      <c r="A3468" s="403">
        <v>3467</v>
      </c>
      <c r="B3468" s="404">
        <v>44890</v>
      </c>
      <c r="C3468" s="404">
        <v>44914</v>
      </c>
      <c r="D3468" s="405" t="s">
        <v>1092</v>
      </c>
      <c r="E3468" s="405" t="s">
        <v>392</v>
      </c>
      <c r="F3468" s="405" t="s">
        <v>393</v>
      </c>
      <c r="G3468" s="405" t="s">
        <v>7015</v>
      </c>
      <c r="H3468" s="405" t="s">
        <v>7022</v>
      </c>
      <c r="I3468" s="407">
        <v>26800</v>
      </c>
    </row>
    <row r="3469" spans="1:9" x14ac:dyDescent="0.2">
      <c r="A3469" s="403">
        <v>3468</v>
      </c>
      <c r="B3469" s="404">
        <v>44890</v>
      </c>
      <c r="C3469" s="404">
        <v>44914</v>
      </c>
      <c r="D3469" s="405" t="s">
        <v>1092</v>
      </c>
      <c r="E3469" s="405" t="s">
        <v>392</v>
      </c>
      <c r="F3469" s="405" t="s">
        <v>71</v>
      </c>
      <c r="G3469" s="405" t="s">
        <v>7016</v>
      </c>
      <c r="H3469" s="405" t="s">
        <v>7023</v>
      </c>
      <c r="I3469" s="407">
        <v>9085.68</v>
      </c>
    </row>
    <row r="3470" spans="1:9" x14ac:dyDescent="0.2">
      <c r="A3470" s="403">
        <v>3469</v>
      </c>
      <c r="B3470" s="404">
        <v>44890</v>
      </c>
      <c r="C3470" s="404">
        <v>44907</v>
      </c>
      <c r="D3470" s="405" t="s">
        <v>1092</v>
      </c>
      <c r="E3470" s="416" t="s">
        <v>392</v>
      </c>
      <c r="F3470" s="405" t="s">
        <v>393</v>
      </c>
      <c r="G3470" s="405" t="s">
        <v>7017</v>
      </c>
      <c r="H3470" s="405" t="s">
        <v>7024</v>
      </c>
      <c r="I3470" s="407">
        <v>17939.32</v>
      </c>
    </row>
    <row r="3471" spans="1:9" x14ac:dyDescent="0.2">
      <c r="A3471" s="403">
        <v>3470</v>
      </c>
      <c r="B3471" s="404">
        <v>44890</v>
      </c>
      <c r="C3471" s="404">
        <v>44907</v>
      </c>
      <c r="D3471" s="405" t="s">
        <v>1092</v>
      </c>
      <c r="E3471" s="405" t="s">
        <v>392</v>
      </c>
      <c r="F3471" s="405" t="s">
        <v>393</v>
      </c>
      <c r="G3471" s="405" t="s">
        <v>7018</v>
      </c>
      <c r="H3471" s="405" t="s">
        <v>7025</v>
      </c>
      <c r="I3471" s="407">
        <v>93677.02</v>
      </c>
    </row>
    <row r="3472" spans="1:9" x14ac:dyDescent="0.2">
      <c r="A3472" s="403">
        <v>3471</v>
      </c>
      <c r="B3472" s="404">
        <v>44890</v>
      </c>
      <c r="C3472" s="404">
        <v>44914</v>
      </c>
      <c r="D3472" s="405" t="s">
        <v>1092</v>
      </c>
      <c r="E3472" s="405" t="s">
        <v>392</v>
      </c>
      <c r="F3472" s="405" t="s">
        <v>393</v>
      </c>
      <c r="G3472" s="405" t="s">
        <v>7019</v>
      </c>
      <c r="H3472" s="405" t="s">
        <v>7026</v>
      </c>
      <c r="I3472" s="407">
        <v>5763</v>
      </c>
    </row>
    <row r="3473" spans="1:9" x14ac:dyDescent="0.2">
      <c r="A3473" s="403">
        <v>3472</v>
      </c>
      <c r="B3473" s="404">
        <v>44895</v>
      </c>
      <c r="C3473" s="404">
        <v>44916</v>
      </c>
      <c r="D3473" s="405" t="s">
        <v>1092</v>
      </c>
      <c r="E3473" s="405" t="s">
        <v>422</v>
      </c>
      <c r="F3473" s="405" t="s">
        <v>701</v>
      </c>
      <c r="G3473" s="405" t="s">
        <v>7027</v>
      </c>
      <c r="H3473" s="405" t="s">
        <v>7050</v>
      </c>
      <c r="I3473" s="407">
        <v>8777.2800000000007</v>
      </c>
    </row>
    <row r="3474" spans="1:9" x14ac:dyDescent="0.2">
      <c r="A3474" s="403">
        <v>3473</v>
      </c>
      <c r="B3474" s="404">
        <v>44896</v>
      </c>
      <c r="C3474" s="404">
        <v>44916</v>
      </c>
      <c r="D3474" s="405" t="s">
        <v>1092</v>
      </c>
      <c r="E3474" s="405" t="s">
        <v>392</v>
      </c>
      <c r="F3474" s="405" t="s">
        <v>393</v>
      </c>
      <c r="G3474" s="405" t="s">
        <v>7028</v>
      </c>
      <c r="H3474" s="405" t="s">
        <v>7051</v>
      </c>
      <c r="I3474" s="407">
        <v>18698.810000000001</v>
      </c>
    </row>
    <row r="3475" spans="1:9" x14ac:dyDescent="0.2">
      <c r="A3475" s="403">
        <v>3474</v>
      </c>
      <c r="B3475" s="404">
        <v>44896</v>
      </c>
      <c r="C3475" s="404">
        <v>44914</v>
      </c>
      <c r="D3475" s="405" t="s">
        <v>1092</v>
      </c>
      <c r="E3475" s="405" t="s">
        <v>422</v>
      </c>
      <c r="F3475" s="405" t="s">
        <v>71</v>
      </c>
      <c r="G3475" s="405" t="s">
        <v>7029</v>
      </c>
      <c r="H3475" s="405" t="s">
        <v>7052</v>
      </c>
      <c r="I3475" s="407">
        <v>6320.41</v>
      </c>
    </row>
    <row r="3476" spans="1:9" x14ac:dyDescent="0.2">
      <c r="A3476" s="403">
        <v>3475</v>
      </c>
      <c r="B3476" s="404">
        <v>44896</v>
      </c>
      <c r="C3476" s="404">
        <v>44914</v>
      </c>
      <c r="D3476" s="405" t="s">
        <v>1092</v>
      </c>
      <c r="E3476" s="405" t="s">
        <v>422</v>
      </c>
      <c r="F3476" s="405" t="s">
        <v>396</v>
      </c>
      <c r="G3476" s="405" t="s">
        <v>7030</v>
      </c>
      <c r="H3476" s="405" t="s">
        <v>7053</v>
      </c>
      <c r="I3476" s="407">
        <v>5484.4</v>
      </c>
    </row>
    <row r="3477" spans="1:9" x14ac:dyDescent="0.2">
      <c r="A3477" s="403">
        <v>3476</v>
      </c>
      <c r="B3477" s="404">
        <v>44896</v>
      </c>
      <c r="C3477" s="404">
        <v>44916</v>
      </c>
      <c r="D3477" s="405" t="s">
        <v>1092</v>
      </c>
      <c r="E3477" s="405" t="s">
        <v>392</v>
      </c>
      <c r="F3477" s="405" t="s">
        <v>393</v>
      </c>
      <c r="G3477" s="405" t="s">
        <v>7031</v>
      </c>
      <c r="H3477" s="405" t="s">
        <v>7054</v>
      </c>
      <c r="I3477" s="407">
        <v>79686.27</v>
      </c>
    </row>
    <row r="3478" spans="1:9" x14ac:dyDescent="0.2">
      <c r="A3478" s="403">
        <v>3477</v>
      </c>
      <c r="B3478" s="404">
        <v>44896</v>
      </c>
      <c r="C3478" s="404">
        <v>44916</v>
      </c>
      <c r="D3478" s="405" t="s">
        <v>1092</v>
      </c>
      <c r="E3478" s="405" t="s">
        <v>392</v>
      </c>
      <c r="F3478" s="405" t="s">
        <v>71</v>
      </c>
      <c r="G3478" s="405" t="s">
        <v>7032</v>
      </c>
      <c r="H3478" s="405" t="s">
        <v>7055</v>
      </c>
      <c r="I3478" s="407">
        <v>32736</v>
      </c>
    </row>
    <row r="3479" spans="1:9" x14ac:dyDescent="0.2">
      <c r="A3479" s="403">
        <v>3478</v>
      </c>
      <c r="B3479" s="404">
        <v>44896</v>
      </c>
      <c r="C3479" s="404">
        <v>44916</v>
      </c>
      <c r="D3479" s="405" t="s">
        <v>1092</v>
      </c>
      <c r="E3479" s="405" t="s">
        <v>392</v>
      </c>
      <c r="F3479" s="405" t="s">
        <v>396</v>
      </c>
      <c r="G3479" s="405" t="s">
        <v>7033</v>
      </c>
      <c r="H3479" s="405" t="s">
        <v>7056</v>
      </c>
      <c r="I3479" s="407">
        <v>78361.67</v>
      </c>
    </row>
    <row r="3480" spans="1:9" x14ac:dyDescent="0.2">
      <c r="A3480" s="403">
        <v>3479</v>
      </c>
      <c r="B3480" s="404">
        <v>44896</v>
      </c>
      <c r="C3480" s="404">
        <v>44923</v>
      </c>
      <c r="D3480" s="405" t="s">
        <v>1092</v>
      </c>
      <c r="E3480" s="405" t="s">
        <v>422</v>
      </c>
      <c r="F3480" s="405" t="s">
        <v>396</v>
      </c>
      <c r="G3480" s="405" t="s">
        <v>7034</v>
      </c>
      <c r="H3480" s="405" t="s">
        <v>7057</v>
      </c>
      <c r="I3480" s="407">
        <v>36994</v>
      </c>
    </row>
    <row r="3481" spans="1:9" x14ac:dyDescent="0.2">
      <c r="A3481" s="403">
        <v>3480</v>
      </c>
      <c r="B3481" s="404">
        <v>44897</v>
      </c>
      <c r="C3481" s="404">
        <v>44935</v>
      </c>
      <c r="D3481" s="405" t="s">
        <v>1092</v>
      </c>
      <c r="E3481" s="405" t="s">
        <v>392</v>
      </c>
      <c r="F3481" s="405" t="s">
        <v>393</v>
      </c>
      <c r="G3481" s="405" t="s">
        <v>7035</v>
      </c>
      <c r="H3481" s="405" t="s">
        <v>7058</v>
      </c>
      <c r="I3481" s="407">
        <v>27300</v>
      </c>
    </row>
    <row r="3482" spans="1:9" x14ac:dyDescent="0.2">
      <c r="A3482" s="403">
        <v>3481</v>
      </c>
      <c r="B3482" s="404">
        <v>44897</v>
      </c>
      <c r="C3482" s="404">
        <v>44928</v>
      </c>
      <c r="D3482" s="405" t="s">
        <v>1092</v>
      </c>
      <c r="E3482" s="405" t="s">
        <v>392</v>
      </c>
      <c r="F3482" s="405" t="s">
        <v>9</v>
      </c>
      <c r="G3482" s="405" t="s">
        <v>7036</v>
      </c>
      <c r="H3482" s="405" t="s">
        <v>7059</v>
      </c>
      <c r="I3482" s="407">
        <v>780293.68</v>
      </c>
    </row>
    <row r="3483" spans="1:9" x14ac:dyDescent="0.2">
      <c r="A3483" s="403">
        <v>3482</v>
      </c>
      <c r="B3483" s="404">
        <v>44897</v>
      </c>
      <c r="C3483" s="404">
        <v>44942</v>
      </c>
      <c r="D3483" s="405" t="s">
        <v>1092</v>
      </c>
      <c r="E3483" s="405" t="s">
        <v>392</v>
      </c>
      <c r="F3483" s="405" t="s">
        <v>396</v>
      </c>
      <c r="G3483" s="405" t="s">
        <v>7037</v>
      </c>
      <c r="H3483" s="405" t="s">
        <v>7060</v>
      </c>
      <c r="I3483" s="407">
        <v>170226.77</v>
      </c>
    </row>
    <row r="3484" spans="1:9" x14ac:dyDescent="0.2">
      <c r="A3484" s="403">
        <v>3483</v>
      </c>
      <c r="B3484" s="404">
        <v>44897</v>
      </c>
      <c r="C3484" s="404">
        <v>44918</v>
      </c>
      <c r="D3484" s="405" t="s">
        <v>1092</v>
      </c>
      <c r="E3484" s="405" t="s">
        <v>422</v>
      </c>
      <c r="F3484" s="405" t="s">
        <v>396</v>
      </c>
      <c r="G3484" s="405" t="s">
        <v>7038</v>
      </c>
      <c r="H3484" s="405" t="s">
        <v>7061</v>
      </c>
      <c r="I3484" s="407">
        <v>102442.93</v>
      </c>
    </row>
    <row r="3485" spans="1:9" x14ac:dyDescent="0.2">
      <c r="A3485" s="403">
        <v>3484</v>
      </c>
      <c r="B3485" s="404">
        <v>44897</v>
      </c>
      <c r="C3485" s="404">
        <v>44935</v>
      </c>
      <c r="D3485" s="405" t="s">
        <v>1092</v>
      </c>
      <c r="E3485" s="405" t="s">
        <v>422</v>
      </c>
      <c r="F3485" s="405" t="s">
        <v>396</v>
      </c>
      <c r="G3485" s="405" t="s">
        <v>7039</v>
      </c>
      <c r="H3485" s="405" t="s">
        <v>7062</v>
      </c>
      <c r="I3485" s="407">
        <v>48064.43</v>
      </c>
    </row>
    <row r="3486" spans="1:9" x14ac:dyDescent="0.2">
      <c r="A3486" s="403">
        <v>3485</v>
      </c>
      <c r="B3486" s="404">
        <v>44897</v>
      </c>
      <c r="C3486" s="404">
        <v>44935</v>
      </c>
      <c r="D3486" s="405" t="s">
        <v>1092</v>
      </c>
      <c r="E3486" s="405" t="s">
        <v>422</v>
      </c>
      <c r="F3486" s="405" t="s">
        <v>71</v>
      </c>
      <c r="G3486" s="405" t="s">
        <v>7040</v>
      </c>
      <c r="H3486" s="405" t="s">
        <v>7063</v>
      </c>
      <c r="I3486" s="407">
        <v>15071.62</v>
      </c>
    </row>
    <row r="3487" spans="1:9" x14ac:dyDescent="0.2">
      <c r="A3487" s="403">
        <v>3486</v>
      </c>
      <c r="B3487" s="404">
        <v>44897</v>
      </c>
      <c r="C3487" s="404">
        <v>44935</v>
      </c>
      <c r="D3487" s="405" t="s">
        <v>1092</v>
      </c>
      <c r="E3487" s="405" t="s">
        <v>422</v>
      </c>
      <c r="F3487" s="405" t="s">
        <v>71</v>
      </c>
      <c r="G3487" s="405" t="s">
        <v>7041</v>
      </c>
      <c r="H3487" s="405" t="s">
        <v>7064</v>
      </c>
      <c r="I3487" s="407">
        <v>5880</v>
      </c>
    </row>
    <row r="3488" spans="1:9" x14ac:dyDescent="0.2">
      <c r="A3488" s="403">
        <v>3487</v>
      </c>
      <c r="B3488" s="404">
        <v>44897</v>
      </c>
      <c r="C3488" s="404">
        <v>44935</v>
      </c>
      <c r="D3488" s="405" t="s">
        <v>1092</v>
      </c>
      <c r="E3488" s="405" t="s">
        <v>392</v>
      </c>
      <c r="F3488" s="405" t="s">
        <v>71</v>
      </c>
      <c r="G3488" s="405" t="s">
        <v>7042</v>
      </c>
      <c r="H3488" s="405" t="s">
        <v>7065</v>
      </c>
      <c r="I3488" s="407">
        <v>24930.799999999999</v>
      </c>
    </row>
    <row r="3489" spans="1:9" x14ac:dyDescent="0.2">
      <c r="A3489" s="403">
        <v>3488</v>
      </c>
      <c r="B3489" s="404">
        <v>44897</v>
      </c>
      <c r="C3489" s="404">
        <v>44914</v>
      </c>
      <c r="D3489" s="405" t="s">
        <v>1092</v>
      </c>
      <c r="E3489" s="405" t="s">
        <v>392</v>
      </c>
      <c r="F3489" s="405" t="s">
        <v>393</v>
      </c>
      <c r="G3489" s="405" t="s">
        <v>7043</v>
      </c>
      <c r="H3489" s="405" t="s">
        <v>6831</v>
      </c>
      <c r="I3489" s="407">
        <v>23773.01</v>
      </c>
    </row>
    <row r="3490" spans="1:9" x14ac:dyDescent="0.2">
      <c r="A3490" s="403">
        <v>3489</v>
      </c>
      <c r="B3490" s="404">
        <v>44897</v>
      </c>
      <c r="C3490" s="404">
        <v>44935</v>
      </c>
      <c r="D3490" s="405" t="s">
        <v>1092</v>
      </c>
      <c r="E3490" s="405" t="s">
        <v>422</v>
      </c>
      <c r="F3490" s="405" t="s">
        <v>396</v>
      </c>
      <c r="G3490" s="405" t="s">
        <v>7044</v>
      </c>
      <c r="H3490" s="405" t="s">
        <v>7066</v>
      </c>
      <c r="I3490" s="407">
        <v>6618.37</v>
      </c>
    </row>
    <row r="3491" spans="1:9" x14ac:dyDescent="0.2">
      <c r="A3491" s="403">
        <v>3490</v>
      </c>
      <c r="B3491" s="404">
        <v>44897</v>
      </c>
      <c r="C3491" s="404">
        <v>44935</v>
      </c>
      <c r="D3491" s="405" t="s">
        <v>1092</v>
      </c>
      <c r="E3491" s="405" t="s">
        <v>392</v>
      </c>
      <c r="F3491" s="405" t="s">
        <v>396</v>
      </c>
      <c r="G3491" s="405" t="s">
        <v>7045</v>
      </c>
      <c r="H3491" s="405" t="s">
        <v>7067</v>
      </c>
      <c r="I3491" s="407">
        <v>28499.38</v>
      </c>
    </row>
    <row r="3492" spans="1:9" x14ac:dyDescent="0.2">
      <c r="A3492" s="403">
        <v>3491</v>
      </c>
      <c r="B3492" s="404">
        <v>44900</v>
      </c>
      <c r="C3492" s="404">
        <v>44937</v>
      </c>
      <c r="D3492" s="405" t="s">
        <v>1092</v>
      </c>
      <c r="E3492" s="405" t="s">
        <v>422</v>
      </c>
      <c r="F3492" s="405" t="s">
        <v>396</v>
      </c>
      <c r="G3492" s="405" t="s">
        <v>7046</v>
      </c>
      <c r="H3492" s="405" t="s">
        <v>7068</v>
      </c>
      <c r="I3492" s="407">
        <v>15323.5</v>
      </c>
    </row>
    <row r="3493" spans="1:9" x14ac:dyDescent="0.2">
      <c r="A3493" s="403">
        <v>3492</v>
      </c>
      <c r="B3493" s="404">
        <v>44900</v>
      </c>
      <c r="C3493" s="404">
        <v>44937</v>
      </c>
      <c r="D3493" s="405" t="s">
        <v>1092</v>
      </c>
      <c r="E3493" s="405" t="s">
        <v>392</v>
      </c>
      <c r="F3493" s="405" t="s">
        <v>701</v>
      </c>
      <c r="G3493" s="405" t="s">
        <v>7047</v>
      </c>
      <c r="H3493" s="405" t="s">
        <v>7069</v>
      </c>
      <c r="I3493" s="407">
        <v>34500</v>
      </c>
    </row>
    <row r="3494" spans="1:9" x14ac:dyDescent="0.2">
      <c r="A3494" s="403">
        <v>3493</v>
      </c>
      <c r="B3494" s="404">
        <v>44900</v>
      </c>
      <c r="C3494" s="404">
        <v>44937</v>
      </c>
      <c r="D3494" s="405" t="s">
        <v>1092</v>
      </c>
      <c r="E3494" s="405" t="s">
        <v>422</v>
      </c>
      <c r="F3494" s="405" t="s">
        <v>71</v>
      </c>
      <c r="G3494" s="405" t="s">
        <v>7048</v>
      </c>
      <c r="H3494" s="405" t="s">
        <v>7070</v>
      </c>
      <c r="I3494" s="407">
        <v>23495.46</v>
      </c>
    </row>
    <row r="3495" spans="1:9" x14ac:dyDescent="0.2">
      <c r="A3495" s="403">
        <v>3494</v>
      </c>
      <c r="B3495" s="404">
        <v>44900</v>
      </c>
      <c r="C3495" s="404">
        <v>44937</v>
      </c>
      <c r="D3495" s="405" t="s">
        <v>1092</v>
      </c>
      <c r="E3495" s="405" t="s">
        <v>422</v>
      </c>
      <c r="F3495" s="405" t="s">
        <v>396</v>
      </c>
      <c r="G3495" s="405" t="s">
        <v>7049</v>
      </c>
      <c r="H3495" s="405" t="s">
        <v>7071</v>
      </c>
      <c r="I3495" s="407">
        <v>69502.03</v>
      </c>
    </row>
    <row r="3496" spans="1:9" x14ac:dyDescent="0.2">
      <c r="A3496" s="403">
        <v>3495</v>
      </c>
      <c r="B3496" s="404">
        <v>44908</v>
      </c>
      <c r="C3496" s="404">
        <v>44935</v>
      </c>
      <c r="D3496" s="405" t="s">
        <v>1092</v>
      </c>
      <c r="E3496" s="405" t="s">
        <v>422</v>
      </c>
      <c r="F3496" s="405" t="s">
        <v>396</v>
      </c>
      <c r="G3496" s="405" t="s">
        <v>7072</v>
      </c>
      <c r="H3496" s="405" t="s">
        <v>7073</v>
      </c>
      <c r="I3496" s="407">
        <v>100540.56</v>
      </c>
    </row>
    <row r="3497" spans="1:9" x14ac:dyDescent="0.2">
      <c r="A3497" s="403">
        <v>3496</v>
      </c>
      <c r="B3497" s="404">
        <v>44910</v>
      </c>
      <c r="C3497" s="404">
        <v>44937</v>
      </c>
      <c r="D3497" s="405" t="s">
        <v>1092</v>
      </c>
      <c r="E3497" s="405" t="s">
        <v>392</v>
      </c>
      <c r="F3497" s="405" t="s">
        <v>393</v>
      </c>
      <c r="G3497" s="405" t="s">
        <v>7074</v>
      </c>
      <c r="H3497" s="405" t="s">
        <v>7085</v>
      </c>
      <c r="I3497" s="407">
        <v>2466.04</v>
      </c>
    </row>
    <row r="3498" spans="1:9" x14ac:dyDescent="0.2">
      <c r="A3498" s="403">
        <v>3497</v>
      </c>
      <c r="B3498" s="404">
        <v>44910</v>
      </c>
      <c r="C3498" s="404">
        <v>44935</v>
      </c>
      <c r="D3498" s="405" t="s">
        <v>1092</v>
      </c>
      <c r="E3498" s="405" t="s">
        <v>392</v>
      </c>
      <c r="F3498" s="405" t="s">
        <v>393</v>
      </c>
      <c r="G3498" s="405" t="s">
        <v>7075</v>
      </c>
      <c r="H3498" s="405" t="s">
        <v>7086</v>
      </c>
      <c r="I3498" s="407">
        <v>10149.06</v>
      </c>
    </row>
    <row r="3499" spans="1:9" x14ac:dyDescent="0.2">
      <c r="A3499" s="403">
        <v>3498</v>
      </c>
      <c r="B3499" s="404">
        <v>44910</v>
      </c>
      <c r="C3499" s="404">
        <v>44937</v>
      </c>
      <c r="D3499" s="405" t="s">
        <v>1092</v>
      </c>
      <c r="E3499" s="405" t="s">
        <v>392</v>
      </c>
      <c r="F3499" s="405" t="s">
        <v>71</v>
      </c>
      <c r="G3499" s="405" t="s">
        <v>7076</v>
      </c>
      <c r="H3499" s="405" t="s">
        <v>7087</v>
      </c>
      <c r="I3499" s="407">
        <v>2457.35</v>
      </c>
    </row>
    <row r="3500" spans="1:9" x14ac:dyDescent="0.2">
      <c r="A3500" s="403">
        <v>3499</v>
      </c>
      <c r="B3500" s="404">
        <v>44910</v>
      </c>
      <c r="C3500" s="404">
        <v>44937</v>
      </c>
      <c r="D3500" s="405" t="s">
        <v>1092</v>
      </c>
      <c r="E3500" s="405" t="s">
        <v>392</v>
      </c>
      <c r="F3500" s="405" t="s">
        <v>396</v>
      </c>
      <c r="G3500" s="405" t="s">
        <v>7077</v>
      </c>
      <c r="H3500" s="405" t="s">
        <v>7088</v>
      </c>
      <c r="I3500" s="407">
        <v>11156.96</v>
      </c>
    </row>
    <row r="3501" spans="1:9" x14ac:dyDescent="0.2">
      <c r="A3501" s="403">
        <v>3500</v>
      </c>
      <c r="B3501" s="404">
        <v>44910</v>
      </c>
      <c r="C3501" s="404">
        <v>44935</v>
      </c>
      <c r="D3501" s="405" t="s">
        <v>1092</v>
      </c>
      <c r="E3501" s="405" t="s">
        <v>392</v>
      </c>
      <c r="F3501" s="405" t="s">
        <v>393</v>
      </c>
      <c r="G3501" s="405" t="s">
        <v>7078</v>
      </c>
      <c r="H3501" s="405" t="s">
        <v>7089</v>
      </c>
      <c r="I3501" s="407">
        <v>35752</v>
      </c>
    </row>
    <row r="3502" spans="1:9" x14ac:dyDescent="0.2">
      <c r="A3502" s="403">
        <v>3501</v>
      </c>
      <c r="B3502" s="404">
        <v>44910</v>
      </c>
      <c r="C3502" s="404">
        <v>44935</v>
      </c>
      <c r="D3502" s="405" t="s">
        <v>1092</v>
      </c>
      <c r="E3502" s="405" t="s">
        <v>392</v>
      </c>
      <c r="F3502" s="405" t="s">
        <v>1640</v>
      </c>
      <c r="G3502" s="405" t="s">
        <v>7079</v>
      </c>
      <c r="H3502" s="405" t="s">
        <v>7090</v>
      </c>
      <c r="I3502" s="407">
        <v>27918.55</v>
      </c>
    </row>
    <row r="3503" spans="1:9" x14ac:dyDescent="0.2">
      <c r="A3503" s="403">
        <v>3502</v>
      </c>
      <c r="B3503" s="404">
        <v>44910</v>
      </c>
      <c r="C3503" s="404">
        <v>44935</v>
      </c>
      <c r="D3503" s="405" t="s">
        <v>1092</v>
      </c>
      <c r="E3503" s="405" t="s">
        <v>392</v>
      </c>
      <c r="F3503" s="405" t="s">
        <v>71</v>
      </c>
      <c r="G3503" s="405" t="s">
        <v>7080</v>
      </c>
      <c r="H3503" s="405" t="s">
        <v>7091</v>
      </c>
      <c r="I3503" s="407">
        <v>16202.33</v>
      </c>
    </row>
    <row r="3504" spans="1:9" x14ac:dyDescent="0.2">
      <c r="A3504" s="403">
        <v>3503</v>
      </c>
      <c r="B3504" s="404">
        <v>44910</v>
      </c>
      <c r="C3504" s="404">
        <v>44942</v>
      </c>
      <c r="D3504" s="405" t="s">
        <v>1092</v>
      </c>
      <c r="E3504" s="405" t="s">
        <v>422</v>
      </c>
      <c r="F3504" s="405" t="s">
        <v>1640</v>
      </c>
      <c r="G3504" s="405" t="s">
        <v>7081</v>
      </c>
      <c r="H3504" s="405" t="s">
        <v>7092</v>
      </c>
      <c r="I3504" s="407">
        <v>25794.07</v>
      </c>
    </row>
    <row r="3505" spans="1:9" x14ac:dyDescent="0.2">
      <c r="A3505" s="403">
        <v>3504</v>
      </c>
      <c r="B3505" s="404">
        <v>44910</v>
      </c>
      <c r="C3505" s="404">
        <v>44928</v>
      </c>
      <c r="D3505" s="405" t="s">
        <v>1092</v>
      </c>
      <c r="E3505" s="405" t="s">
        <v>392</v>
      </c>
      <c r="F3505" s="405" t="s">
        <v>701</v>
      </c>
      <c r="G3505" s="405" t="s">
        <v>7082</v>
      </c>
      <c r="H3505" s="405" t="s">
        <v>7093</v>
      </c>
      <c r="I3505" s="407">
        <v>44900</v>
      </c>
    </row>
    <row r="3506" spans="1:9" x14ac:dyDescent="0.2">
      <c r="A3506" s="403">
        <v>3505</v>
      </c>
      <c r="B3506" s="404">
        <v>44910</v>
      </c>
      <c r="C3506" s="404">
        <v>44942</v>
      </c>
      <c r="D3506" s="405" t="s">
        <v>1092</v>
      </c>
      <c r="E3506" s="405" t="s">
        <v>422</v>
      </c>
      <c r="F3506" s="405" t="s">
        <v>71</v>
      </c>
      <c r="G3506" s="405" t="s">
        <v>7083</v>
      </c>
      <c r="H3506" s="405" t="s">
        <v>7094</v>
      </c>
      <c r="I3506" s="407">
        <v>4967.79</v>
      </c>
    </row>
    <row r="3507" spans="1:9" x14ac:dyDescent="0.2">
      <c r="A3507" s="403">
        <v>3506</v>
      </c>
      <c r="B3507" s="404">
        <v>44910</v>
      </c>
      <c r="C3507" s="404">
        <v>44942</v>
      </c>
      <c r="D3507" s="405" t="s">
        <v>1092</v>
      </c>
      <c r="E3507" s="405" t="s">
        <v>422</v>
      </c>
      <c r="F3507" s="405" t="s">
        <v>1640</v>
      </c>
      <c r="G3507" s="405" t="s">
        <v>7084</v>
      </c>
      <c r="H3507" s="405" t="s">
        <v>7095</v>
      </c>
      <c r="I3507" s="407">
        <v>5176.01</v>
      </c>
    </row>
    <row r="3508" spans="1:9" x14ac:dyDescent="0.2">
      <c r="A3508" s="403">
        <v>3507</v>
      </c>
      <c r="B3508" s="404">
        <v>44911</v>
      </c>
      <c r="C3508" s="404">
        <v>44935</v>
      </c>
      <c r="D3508" s="405" t="s">
        <v>1092</v>
      </c>
      <c r="E3508" s="405" t="s">
        <v>422</v>
      </c>
      <c r="F3508" s="405" t="s">
        <v>701</v>
      </c>
      <c r="G3508" s="405" t="s">
        <v>7096</v>
      </c>
      <c r="H3508" s="405" t="s">
        <v>7099</v>
      </c>
      <c r="I3508" s="407">
        <v>93455</v>
      </c>
    </row>
    <row r="3509" spans="1:9" x14ac:dyDescent="0.2">
      <c r="A3509" s="403">
        <v>3508</v>
      </c>
      <c r="B3509" s="404">
        <v>44911</v>
      </c>
      <c r="C3509" s="404">
        <v>44935</v>
      </c>
      <c r="D3509" s="405" t="s">
        <v>1092</v>
      </c>
      <c r="E3509" s="405" t="s">
        <v>422</v>
      </c>
      <c r="F3509" s="405" t="s">
        <v>701</v>
      </c>
      <c r="G3509" s="405" t="s">
        <v>7097</v>
      </c>
      <c r="H3509" s="405" t="s">
        <v>7100</v>
      </c>
      <c r="I3509" s="407">
        <v>37300</v>
      </c>
    </row>
    <row r="3510" spans="1:9" x14ac:dyDescent="0.2">
      <c r="A3510" s="403">
        <v>3509</v>
      </c>
      <c r="B3510" s="404">
        <v>44911</v>
      </c>
      <c r="C3510" s="404">
        <v>44935</v>
      </c>
      <c r="D3510" s="405" t="s">
        <v>1092</v>
      </c>
      <c r="E3510" s="405" t="s">
        <v>422</v>
      </c>
      <c r="F3510" s="405" t="s">
        <v>701</v>
      </c>
      <c r="G3510" s="405" t="s">
        <v>7098</v>
      </c>
      <c r="H3510" s="405" t="s">
        <v>7101</v>
      </c>
      <c r="I3510" s="407">
        <v>41200</v>
      </c>
    </row>
    <row r="3511" spans="1:9" x14ac:dyDescent="0.2">
      <c r="A3511" s="403">
        <v>3510</v>
      </c>
      <c r="B3511" s="404">
        <v>44916</v>
      </c>
      <c r="C3511" s="404">
        <v>44937</v>
      </c>
      <c r="D3511" s="405" t="s">
        <v>1092</v>
      </c>
      <c r="E3511" s="405" t="s">
        <v>422</v>
      </c>
      <c r="F3511" s="405" t="s">
        <v>71</v>
      </c>
      <c r="G3511" s="405" t="s">
        <v>7102</v>
      </c>
      <c r="H3511" s="405" t="s">
        <v>7109</v>
      </c>
      <c r="I3511" s="407">
        <v>7707.99</v>
      </c>
    </row>
    <row r="3512" spans="1:9" x14ac:dyDescent="0.2">
      <c r="A3512" s="403">
        <v>3511</v>
      </c>
      <c r="B3512" s="404">
        <v>44916</v>
      </c>
      <c r="C3512" s="404">
        <v>44942</v>
      </c>
      <c r="D3512" s="405" t="s">
        <v>1092</v>
      </c>
      <c r="E3512" s="405" t="s">
        <v>422</v>
      </c>
      <c r="F3512" s="405" t="s">
        <v>701</v>
      </c>
      <c r="G3512" s="405" t="s">
        <v>7103</v>
      </c>
      <c r="H3512" s="405" t="s">
        <v>7110</v>
      </c>
      <c r="I3512" s="407">
        <v>36750</v>
      </c>
    </row>
    <row r="3513" spans="1:9" x14ac:dyDescent="0.2">
      <c r="A3513" s="403">
        <v>3512</v>
      </c>
      <c r="B3513" s="404">
        <v>44916</v>
      </c>
      <c r="C3513" s="404">
        <v>44937</v>
      </c>
      <c r="D3513" s="405" t="s">
        <v>1092</v>
      </c>
      <c r="E3513" s="405" t="s">
        <v>422</v>
      </c>
      <c r="F3513" s="405" t="s">
        <v>396</v>
      </c>
      <c r="G3513" s="405" t="s">
        <v>7104</v>
      </c>
      <c r="H3513" s="405" t="s">
        <v>7111</v>
      </c>
      <c r="I3513" s="407">
        <v>33803.019999999997</v>
      </c>
    </row>
    <row r="3514" spans="1:9" x14ac:dyDescent="0.2">
      <c r="A3514" s="403">
        <v>3513</v>
      </c>
      <c r="B3514" s="404">
        <v>44916</v>
      </c>
      <c r="C3514" s="404">
        <v>44942</v>
      </c>
      <c r="D3514" s="405" t="s">
        <v>1092</v>
      </c>
      <c r="E3514" s="405" t="s">
        <v>422</v>
      </c>
      <c r="F3514" s="405" t="s">
        <v>701</v>
      </c>
      <c r="G3514" s="405" t="s">
        <v>7105</v>
      </c>
      <c r="H3514" s="405" t="s">
        <v>7112</v>
      </c>
      <c r="I3514" s="407">
        <v>57700</v>
      </c>
    </row>
    <row r="3515" spans="1:9" x14ac:dyDescent="0.2">
      <c r="A3515" s="403">
        <v>3514</v>
      </c>
      <c r="B3515" s="404">
        <v>44916</v>
      </c>
      <c r="C3515" s="404">
        <v>44942</v>
      </c>
      <c r="D3515" s="405" t="s">
        <v>1092</v>
      </c>
      <c r="E3515" s="405" t="s">
        <v>422</v>
      </c>
      <c r="F3515" s="405" t="s">
        <v>701</v>
      </c>
      <c r="G3515" s="405" t="s">
        <v>7106</v>
      </c>
      <c r="H3515" s="405" t="s">
        <v>7113</v>
      </c>
      <c r="I3515" s="407">
        <v>48092</v>
      </c>
    </row>
    <row r="3516" spans="1:9" x14ac:dyDescent="0.2">
      <c r="A3516" s="403">
        <v>3515</v>
      </c>
      <c r="B3516" s="404">
        <v>44916</v>
      </c>
      <c r="C3516" s="404">
        <v>44937</v>
      </c>
      <c r="D3516" s="405" t="s">
        <v>1092</v>
      </c>
      <c r="E3516" s="405" t="s">
        <v>422</v>
      </c>
      <c r="F3516" s="405" t="s">
        <v>396</v>
      </c>
      <c r="G3516" s="405" t="s">
        <v>7107</v>
      </c>
      <c r="H3516" s="405" t="s">
        <v>7114</v>
      </c>
      <c r="I3516" s="407">
        <v>9549.6</v>
      </c>
    </row>
    <row r="3517" spans="1:9" x14ac:dyDescent="0.2">
      <c r="A3517" s="403">
        <v>3516</v>
      </c>
      <c r="B3517" s="404">
        <v>44916</v>
      </c>
      <c r="C3517" s="404">
        <v>44942</v>
      </c>
      <c r="D3517" s="405" t="s">
        <v>1092</v>
      </c>
      <c r="E3517" s="405" t="s">
        <v>422</v>
      </c>
      <c r="F3517" s="405" t="s">
        <v>701</v>
      </c>
      <c r="G3517" s="405" t="s">
        <v>7108</v>
      </c>
      <c r="H3517" s="405" t="s">
        <v>7115</v>
      </c>
      <c r="I3517" s="407">
        <v>29900</v>
      </c>
    </row>
    <row r="3518" spans="1:9" x14ac:dyDescent="0.2">
      <c r="A3518" s="403">
        <v>3517</v>
      </c>
      <c r="B3518" s="404">
        <v>44917</v>
      </c>
      <c r="C3518" s="404">
        <v>44944</v>
      </c>
      <c r="D3518" s="405" t="s">
        <v>1092</v>
      </c>
      <c r="E3518" s="405" t="s">
        <v>422</v>
      </c>
      <c r="F3518" s="405" t="s">
        <v>396</v>
      </c>
      <c r="G3518" s="405" t="s">
        <v>7116</v>
      </c>
      <c r="H3518" s="405" t="s">
        <v>7122</v>
      </c>
      <c r="I3518" s="407">
        <v>4543.8</v>
      </c>
    </row>
    <row r="3519" spans="1:9" x14ac:dyDescent="0.2">
      <c r="A3519" s="403">
        <v>3518</v>
      </c>
      <c r="B3519" s="404">
        <v>44917</v>
      </c>
      <c r="C3519" s="404">
        <v>44944</v>
      </c>
      <c r="D3519" s="405" t="s">
        <v>1092</v>
      </c>
      <c r="E3519" s="405" t="s">
        <v>422</v>
      </c>
      <c r="F3519" s="405" t="s">
        <v>396</v>
      </c>
      <c r="G3519" s="405" t="s">
        <v>7117</v>
      </c>
      <c r="H3519" s="405" t="s">
        <v>7123</v>
      </c>
      <c r="I3519" s="407">
        <v>47100</v>
      </c>
    </row>
    <row r="3520" spans="1:9" x14ac:dyDescent="0.2">
      <c r="A3520" s="403">
        <v>3519</v>
      </c>
      <c r="B3520" s="404">
        <v>44917</v>
      </c>
      <c r="C3520" s="404">
        <v>44937</v>
      </c>
      <c r="D3520" s="405" t="s">
        <v>1092</v>
      </c>
      <c r="E3520" s="405" t="s">
        <v>422</v>
      </c>
      <c r="F3520" s="405" t="s">
        <v>71</v>
      </c>
      <c r="G3520" s="405" t="s">
        <v>7118</v>
      </c>
      <c r="H3520" s="405" t="s">
        <v>7124</v>
      </c>
      <c r="I3520" s="407">
        <v>22062.31</v>
      </c>
    </row>
    <row r="3521" spans="1:9" x14ac:dyDescent="0.2">
      <c r="A3521" s="403">
        <v>3520</v>
      </c>
      <c r="B3521" s="404">
        <v>44917</v>
      </c>
      <c r="C3521" s="404">
        <v>44942</v>
      </c>
      <c r="D3521" s="405" t="s">
        <v>1092</v>
      </c>
      <c r="E3521" s="405" t="s">
        <v>422</v>
      </c>
      <c r="F3521" s="405" t="s">
        <v>396</v>
      </c>
      <c r="G3521" s="405" t="s">
        <v>7119</v>
      </c>
      <c r="H3521" s="405" t="s">
        <v>7125</v>
      </c>
      <c r="I3521" s="407">
        <v>11305.15</v>
      </c>
    </row>
    <row r="3522" spans="1:9" x14ac:dyDescent="0.2">
      <c r="A3522" s="403">
        <v>3521</v>
      </c>
      <c r="B3522" s="404">
        <v>44917</v>
      </c>
      <c r="C3522" s="404">
        <v>44944</v>
      </c>
      <c r="D3522" s="405" t="s">
        <v>1092</v>
      </c>
      <c r="E3522" s="405" t="s">
        <v>392</v>
      </c>
      <c r="F3522" s="405" t="s">
        <v>701</v>
      </c>
      <c r="G3522" s="405" t="s">
        <v>7120</v>
      </c>
      <c r="H3522" s="405" t="s">
        <v>7126</v>
      </c>
      <c r="I3522" s="407">
        <v>48300</v>
      </c>
    </row>
    <row r="3523" spans="1:9" x14ac:dyDescent="0.2">
      <c r="A3523" s="403">
        <v>3522</v>
      </c>
      <c r="B3523" s="404">
        <v>44917</v>
      </c>
      <c r="C3523" s="404">
        <v>44942</v>
      </c>
      <c r="D3523" s="405" t="s">
        <v>1092</v>
      </c>
      <c r="E3523" s="405" t="s">
        <v>422</v>
      </c>
      <c r="F3523" s="405" t="s">
        <v>396</v>
      </c>
      <c r="G3523" s="405" t="s">
        <v>7121</v>
      </c>
      <c r="H3523" s="405" t="s">
        <v>7127</v>
      </c>
      <c r="I3523" s="407">
        <v>19200</v>
      </c>
    </row>
    <row r="3524" spans="1:9" x14ac:dyDescent="0.2">
      <c r="A3524" s="403">
        <v>3523</v>
      </c>
      <c r="B3524" s="404">
        <v>44918</v>
      </c>
      <c r="C3524" s="404">
        <v>44949</v>
      </c>
      <c r="D3524" s="405" t="s">
        <v>1092</v>
      </c>
      <c r="E3524" s="405" t="s">
        <v>422</v>
      </c>
      <c r="F3524" s="405" t="s">
        <v>701</v>
      </c>
      <c r="G3524" s="405" t="s">
        <v>7128</v>
      </c>
      <c r="H3524" s="405" t="s">
        <v>7136</v>
      </c>
      <c r="I3524" s="407">
        <v>64800</v>
      </c>
    </row>
    <row r="3525" spans="1:9" x14ac:dyDescent="0.2">
      <c r="A3525" s="403">
        <v>3524</v>
      </c>
      <c r="B3525" s="404">
        <v>44918</v>
      </c>
      <c r="C3525" s="404">
        <v>44949</v>
      </c>
      <c r="D3525" s="405" t="s">
        <v>1092</v>
      </c>
      <c r="E3525" s="405" t="s">
        <v>422</v>
      </c>
      <c r="F3525" s="405" t="s">
        <v>701</v>
      </c>
      <c r="G3525" s="405" t="s">
        <v>7129</v>
      </c>
      <c r="H3525" s="405" t="s">
        <v>7137</v>
      </c>
      <c r="I3525" s="407">
        <v>73450</v>
      </c>
    </row>
    <row r="3526" spans="1:9" x14ac:dyDescent="0.2">
      <c r="A3526" s="403">
        <v>3525</v>
      </c>
      <c r="B3526" s="404">
        <v>44918</v>
      </c>
      <c r="C3526" s="404">
        <v>44949</v>
      </c>
      <c r="D3526" s="405" t="s">
        <v>1092</v>
      </c>
      <c r="E3526" s="405" t="s">
        <v>422</v>
      </c>
      <c r="F3526" s="405" t="s">
        <v>701</v>
      </c>
      <c r="G3526" s="405" t="s">
        <v>7130</v>
      </c>
      <c r="H3526" s="405" t="s">
        <v>7138</v>
      </c>
      <c r="I3526" s="407">
        <v>60930</v>
      </c>
    </row>
    <row r="3527" spans="1:9" x14ac:dyDescent="0.2">
      <c r="A3527" s="403">
        <v>3526</v>
      </c>
      <c r="B3527" s="404">
        <v>44922</v>
      </c>
      <c r="C3527" s="404">
        <v>44942</v>
      </c>
      <c r="D3527" s="405" t="s">
        <v>1092</v>
      </c>
      <c r="E3527" s="405" t="s">
        <v>422</v>
      </c>
      <c r="F3527" s="405" t="s">
        <v>701</v>
      </c>
      <c r="G3527" s="405" t="s">
        <v>7131</v>
      </c>
      <c r="H3527" s="405" t="s">
        <v>7140</v>
      </c>
      <c r="I3527" s="407">
        <v>38500</v>
      </c>
    </row>
    <row r="3528" spans="1:9" x14ac:dyDescent="0.2">
      <c r="A3528" s="403">
        <v>3527</v>
      </c>
      <c r="B3528" s="404">
        <v>44925</v>
      </c>
      <c r="C3528" s="404">
        <v>44942</v>
      </c>
      <c r="D3528" s="405" t="s">
        <v>1092</v>
      </c>
      <c r="E3528" s="405" t="s">
        <v>422</v>
      </c>
      <c r="F3528" s="405" t="s">
        <v>71</v>
      </c>
      <c r="G3528" s="405" t="s">
        <v>7132</v>
      </c>
      <c r="H3528" s="405" t="s">
        <v>7139</v>
      </c>
      <c r="I3528" s="407">
        <v>15395</v>
      </c>
    </row>
    <row r="3529" spans="1:9" x14ac:dyDescent="0.2">
      <c r="A3529" s="403">
        <v>3528</v>
      </c>
      <c r="B3529" s="404">
        <v>44925</v>
      </c>
      <c r="C3529" s="404">
        <v>44942</v>
      </c>
      <c r="D3529" s="405" t="s">
        <v>1092</v>
      </c>
      <c r="E3529" s="405" t="s">
        <v>422</v>
      </c>
      <c r="F3529" s="405" t="s">
        <v>396</v>
      </c>
      <c r="G3529" s="405" t="s">
        <v>7133</v>
      </c>
      <c r="H3529" s="405" t="s">
        <v>7141</v>
      </c>
      <c r="I3529" s="407">
        <v>42870.19</v>
      </c>
    </row>
    <row r="3530" spans="1:9" x14ac:dyDescent="0.2">
      <c r="A3530" s="403">
        <v>3529</v>
      </c>
      <c r="B3530" s="404">
        <v>44925</v>
      </c>
      <c r="C3530" s="404">
        <v>44942</v>
      </c>
      <c r="D3530" s="405" t="s">
        <v>1092</v>
      </c>
      <c r="E3530" s="405" t="s">
        <v>422</v>
      </c>
      <c r="F3530" s="405" t="s">
        <v>396</v>
      </c>
      <c r="G3530" s="405" t="s">
        <v>7134</v>
      </c>
      <c r="H3530" s="405" t="s">
        <v>7142</v>
      </c>
      <c r="I3530" s="407">
        <v>9039.01</v>
      </c>
    </row>
    <row r="3531" spans="1:9" x14ac:dyDescent="0.2">
      <c r="A3531" s="403">
        <v>3530</v>
      </c>
      <c r="B3531" s="404">
        <v>44925</v>
      </c>
      <c r="C3531" s="404">
        <v>44956</v>
      </c>
      <c r="D3531" s="405" t="s">
        <v>1092</v>
      </c>
      <c r="E3531" s="405" t="s">
        <v>392</v>
      </c>
      <c r="F3531" s="405" t="s">
        <v>9</v>
      </c>
      <c r="G3531" s="405" t="s">
        <v>7135</v>
      </c>
      <c r="H3531" s="405" t="s">
        <v>7143</v>
      </c>
      <c r="I3531" s="407">
        <v>559125.39</v>
      </c>
    </row>
    <row r="3532" spans="1:9" x14ac:dyDescent="0.2">
      <c r="A3532" s="403">
        <v>3531</v>
      </c>
      <c r="B3532" s="404">
        <v>44942</v>
      </c>
      <c r="C3532" s="404">
        <v>44963</v>
      </c>
      <c r="D3532" s="405" t="s">
        <v>1092</v>
      </c>
      <c r="E3532" s="405" t="s">
        <v>422</v>
      </c>
      <c r="F3532" s="405" t="s">
        <v>71</v>
      </c>
      <c r="G3532" s="405" t="s">
        <v>7147</v>
      </c>
      <c r="H3532" s="405" t="s">
        <v>7149</v>
      </c>
      <c r="I3532" s="407">
        <v>24472.38</v>
      </c>
    </row>
    <row r="3533" spans="1:9" x14ac:dyDescent="0.2">
      <c r="A3533" s="403">
        <v>3532</v>
      </c>
      <c r="B3533" s="404">
        <v>44942</v>
      </c>
      <c r="C3533" s="404">
        <v>44963</v>
      </c>
      <c r="D3533" s="405" t="s">
        <v>1092</v>
      </c>
      <c r="E3533" s="405" t="s">
        <v>422</v>
      </c>
      <c r="F3533" s="405" t="s">
        <v>396</v>
      </c>
      <c r="G3533" s="405" t="s">
        <v>7148</v>
      </c>
      <c r="H3533" s="405" t="s">
        <v>7150</v>
      </c>
      <c r="I3533" s="407">
        <v>92098.93</v>
      </c>
    </row>
    <row r="3534" spans="1:9" x14ac:dyDescent="0.2">
      <c r="A3534" s="403">
        <v>3533</v>
      </c>
      <c r="B3534" s="404">
        <v>44945</v>
      </c>
      <c r="C3534" s="404">
        <v>44963</v>
      </c>
      <c r="D3534" s="405" t="s">
        <v>1092</v>
      </c>
      <c r="E3534" s="405" t="s">
        <v>392</v>
      </c>
      <c r="F3534" s="405" t="s">
        <v>9</v>
      </c>
      <c r="G3534" s="405" t="s">
        <v>7151</v>
      </c>
      <c r="H3534" s="405" t="s">
        <v>7153</v>
      </c>
      <c r="I3534" s="407">
        <v>138614.28</v>
      </c>
    </row>
    <row r="3535" spans="1:9" x14ac:dyDescent="0.2">
      <c r="A3535" s="403">
        <v>3534</v>
      </c>
      <c r="B3535" s="404">
        <v>44945</v>
      </c>
      <c r="C3535" s="404">
        <v>44963</v>
      </c>
      <c r="D3535" s="405" t="s">
        <v>1092</v>
      </c>
      <c r="E3535" s="405" t="s">
        <v>422</v>
      </c>
      <c r="F3535" s="405" t="s">
        <v>701</v>
      </c>
      <c r="G3535" s="405" t="s">
        <v>7152</v>
      </c>
      <c r="H3535" s="405" t="s">
        <v>7154</v>
      </c>
      <c r="I3535" s="407">
        <v>30000</v>
      </c>
    </row>
    <row r="3536" spans="1:9" x14ac:dyDescent="0.2">
      <c r="A3536" s="403">
        <v>3535</v>
      </c>
      <c r="B3536" s="404">
        <v>44946</v>
      </c>
      <c r="C3536" s="404">
        <v>44963</v>
      </c>
      <c r="D3536" s="405" t="s">
        <v>1092</v>
      </c>
      <c r="E3536" s="405" t="s">
        <v>422</v>
      </c>
      <c r="F3536" s="405" t="s">
        <v>396</v>
      </c>
      <c r="G3536" s="405" t="s">
        <v>7155</v>
      </c>
      <c r="H3536" s="405" t="s">
        <v>7158</v>
      </c>
      <c r="I3536" s="407">
        <v>51665.16</v>
      </c>
    </row>
    <row r="3537" spans="1:9" x14ac:dyDescent="0.2">
      <c r="A3537" s="403">
        <v>3536</v>
      </c>
      <c r="B3537" s="404">
        <v>44946</v>
      </c>
      <c r="C3537" s="404">
        <v>44963</v>
      </c>
      <c r="D3537" s="405" t="s">
        <v>1092</v>
      </c>
      <c r="E3537" s="405" t="s">
        <v>422</v>
      </c>
      <c r="F3537" s="405" t="s">
        <v>71</v>
      </c>
      <c r="G3537" s="405" t="s">
        <v>7156</v>
      </c>
      <c r="H3537" s="405" t="s">
        <v>7159</v>
      </c>
      <c r="I3537" s="407">
        <v>11826.2</v>
      </c>
    </row>
    <row r="3538" spans="1:9" x14ac:dyDescent="0.2">
      <c r="A3538" s="403">
        <v>3537</v>
      </c>
      <c r="B3538" s="404">
        <v>44946</v>
      </c>
      <c r="C3538" s="404">
        <v>44963</v>
      </c>
      <c r="D3538" s="405" t="s">
        <v>1092</v>
      </c>
      <c r="E3538" s="405" t="s">
        <v>422</v>
      </c>
      <c r="F3538" s="405" t="s">
        <v>396</v>
      </c>
      <c r="G3538" s="405" t="s">
        <v>7157</v>
      </c>
      <c r="H3538" s="405" t="s">
        <v>7160</v>
      </c>
      <c r="I3538" s="407">
        <v>11122.56</v>
      </c>
    </row>
    <row r="3539" spans="1:9" x14ac:dyDescent="0.2">
      <c r="A3539" s="403">
        <v>3538</v>
      </c>
      <c r="B3539" s="404">
        <v>44949</v>
      </c>
      <c r="C3539" s="404">
        <v>44970</v>
      </c>
      <c r="D3539" s="405" t="s">
        <v>1092</v>
      </c>
      <c r="E3539" s="405" t="s">
        <v>422</v>
      </c>
      <c r="F3539" s="405" t="s">
        <v>396</v>
      </c>
      <c r="G3539" s="405" t="s">
        <v>7161</v>
      </c>
      <c r="H3539" s="405" t="s">
        <v>7163</v>
      </c>
      <c r="I3539" s="407">
        <v>75515.81</v>
      </c>
    </row>
    <row r="3540" spans="1:9" x14ac:dyDescent="0.2">
      <c r="A3540" s="403">
        <v>3539</v>
      </c>
      <c r="B3540" s="404">
        <v>44949</v>
      </c>
      <c r="C3540" s="404">
        <v>44970</v>
      </c>
      <c r="D3540" s="405" t="s">
        <v>1092</v>
      </c>
      <c r="E3540" s="405" t="s">
        <v>422</v>
      </c>
      <c r="F3540" s="405" t="s">
        <v>71</v>
      </c>
      <c r="G3540" s="405" t="s">
        <v>7162</v>
      </c>
      <c r="H3540" s="405" t="s">
        <v>7164</v>
      </c>
      <c r="I3540" s="407">
        <v>20532.88</v>
      </c>
    </row>
    <row r="3541" spans="1:9" x14ac:dyDescent="0.2">
      <c r="A3541" s="403">
        <v>3540</v>
      </c>
      <c r="B3541" s="404">
        <v>44950</v>
      </c>
      <c r="C3541" s="404">
        <v>44970</v>
      </c>
      <c r="D3541" s="405" t="s">
        <v>1092</v>
      </c>
      <c r="E3541" s="405" t="s">
        <v>392</v>
      </c>
      <c r="F3541" s="405" t="s">
        <v>9</v>
      </c>
      <c r="G3541" s="405" t="s">
        <v>7165</v>
      </c>
      <c r="H3541" s="405" t="s">
        <v>7167</v>
      </c>
      <c r="I3541" s="407">
        <v>154578.95000000001</v>
      </c>
    </row>
    <row r="3542" spans="1:9" x14ac:dyDescent="0.2">
      <c r="A3542" s="403">
        <v>3541</v>
      </c>
      <c r="B3542" s="404">
        <v>44950</v>
      </c>
      <c r="C3542" s="404">
        <v>44972</v>
      </c>
      <c r="D3542" s="405" t="s">
        <v>1092</v>
      </c>
      <c r="E3542" s="405" t="s">
        <v>422</v>
      </c>
      <c r="F3542" s="405" t="s">
        <v>701</v>
      </c>
      <c r="G3542" s="405" t="s">
        <v>7166</v>
      </c>
      <c r="H3542" s="405" t="s">
        <v>7168</v>
      </c>
      <c r="I3542" s="407">
        <v>58800</v>
      </c>
    </row>
    <row r="3543" spans="1:9" x14ac:dyDescent="0.2">
      <c r="A3543" s="403">
        <v>3542</v>
      </c>
      <c r="B3543" s="404">
        <v>44951</v>
      </c>
      <c r="C3543" s="404">
        <v>44970</v>
      </c>
      <c r="D3543" s="405" t="s">
        <v>1092</v>
      </c>
      <c r="E3543" s="405" t="s">
        <v>422</v>
      </c>
      <c r="F3543" s="405" t="s">
        <v>396</v>
      </c>
      <c r="G3543" s="405" t="s">
        <v>7171</v>
      </c>
      <c r="H3543" s="405" t="s">
        <v>7181</v>
      </c>
      <c r="I3543" s="407">
        <v>42851.02</v>
      </c>
    </row>
    <row r="3544" spans="1:9" x14ac:dyDescent="0.2">
      <c r="A3544" s="403">
        <v>3543</v>
      </c>
      <c r="B3544" s="404">
        <v>44951</v>
      </c>
      <c r="C3544" s="404">
        <v>44970</v>
      </c>
      <c r="D3544" s="405" t="s">
        <v>1092</v>
      </c>
      <c r="E3544" s="416" t="s">
        <v>422</v>
      </c>
      <c r="F3544" s="405" t="s">
        <v>71</v>
      </c>
      <c r="G3544" s="405" t="s">
        <v>7172</v>
      </c>
      <c r="H3544" s="405" t="s">
        <v>7182</v>
      </c>
      <c r="I3544" s="407">
        <v>14136.58</v>
      </c>
    </row>
    <row r="3545" spans="1:9" x14ac:dyDescent="0.2">
      <c r="A3545" s="403">
        <v>3544</v>
      </c>
      <c r="B3545" s="404">
        <v>44951</v>
      </c>
      <c r="C3545" s="404">
        <v>44970</v>
      </c>
      <c r="D3545" s="405" t="s">
        <v>1092</v>
      </c>
      <c r="E3545" s="405" t="s">
        <v>422</v>
      </c>
      <c r="F3545" s="405" t="s">
        <v>396</v>
      </c>
      <c r="G3545" s="405" t="s">
        <v>7173</v>
      </c>
      <c r="H3545" s="405" t="s">
        <v>7183</v>
      </c>
      <c r="I3545" s="407">
        <v>7190.89</v>
      </c>
    </row>
    <row r="3546" spans="1:9" x14ac:dyDescent="0.2">
      <c r="A3546" s="403">
        <v>3545</v>
      </c>
      <c r="B3546" s="404">
        <v>44951</v>
      </c>
      <c r="C3546" s="404">
        <v>44977</v>
      </c>
      <c r="D3546" s="405" t="s">
        <v>1092</v>
      </c>
      <c r="E3546" s="405" t="s">
        <v>422</v>
      </c>
      <c r="F3546" s="405" t="s">
        <v>396</v>
      </c>
      <c r="G3546" s="405" t="s">
        <v>7174</v>
      </c>
      <c r="H3546" s="405" t="s">
        <v>7184</v>
      </c>
      <c r="I3546" s="407">
        <v>13438095.5</v>
      </c>
    </row>
    <row r="3547" spans="1:9" x14ac:dyDescent="0.2">
      <c r="A3547" s="403">
        <v>3546</v>
      </c>
      <c r="B3547" s="404">
        <v>44951</v>
      </c>
      <c r="C3547" s="404">
        <v>44977</v>
      </c>
      <c r="D3547" s="405" t="s">
        <v>1092</v>
      </c>
      <c r="E3547" s="405" t="s">
        <v>422</v>
      </c>
      <c r="F3547" s="405" t="s">
        <v>396</v>
      </c>
      <c r="G3547" s="405" t="s">
        <v>7175</v>
      </c>
      <c r="H3547" s="405" t="s">
        <v>7185</v>
      </c>
      <c r="I3547" s="407">
        <v>456727.96</v>
      </c>
    </row>
    <row r="3548" spans="1:9" x14ac:dyDescent="0.2">
      <c r="A3548" s="403">
        <v>3547</v>
      </c>
      <c r="B3548" s="404">
        <v>44951</v>
      </c>
      <c r="C3548" s="404">
        <v>44977</v>
      </c>
      <c r="D3548" s="405" t="s">
        <v>1092</v>
      </c>
      <c r="E3548" s="405" t="s">
        <v>422</v>
      </c>
      <c r="F3548" s="405" t="s">
        <v>396</v>
      </c>
      <c r="G3548" s="405" t="s">
        <v>7176</v>
      </c>
      <c r="H3548" s="405" t="s">
        <v>7186</v>
      </c>
      <c r="I3548" s="407">
        <v>1468179.52</v>
      </c>
    </row>
    <row r="3549" spans="1:9" x14ac:dyDescent="0.2">
      <c r="A3549" s="403">
        <v>3548</v>
      </c>
      <c r="B3549" s="404">
        <v>44951</v>
      </c>
      <c r="C3549" s="404">
        <v>44977</v>
      </c>
      <c r="D3549" s="405" t="s">
        <v>1092</v>
      </c>
      <c r="E3549" s="405" t="s">
        <v>422</v>
      </c>
      <c r="F3549" s="405" t="s">
        <v>71</v>
      </c>
      <c r="G3549" s="405" t="s">
        <v>7177</v>
      </c>
      <c r="H3549" s="405" t="s">
        <v>7187</v>
      </c>
      <c r="I3549" s="407">
        <v>4300510.9800000004</v>
      </c>
    </row>
    <row r="3550" spans="1:9" x14ac:dyDescent="0.2">
      <c r="A3550" s="403">
        <v>3549</v>
      </c>
      <c r="B3550" s="404">
        <v>44951</v>
      </c>
      <c r="C3550" s="404">
        <v>44977</v>
      </c>
      <c r="D3550" s="405" t="s">
        <v>1092</v>
      </c>
      <c r="E3550" s="405" t="s">
        <v>422</v>
      </c>
      <c r="F3550" s="405" t="s">
        <v>701</v>
      </c>
      <c r="G3550" s="405" t="s">
        <v>7178</v>
      </c>
      <c r="H3550" s="405" t="s">
        <v>7188</v>
      </c>
      <c r="I3550" s="407">
        <v>2998618.35</v>
      </c>
    </row>
    <row r="3551" spans="1:9" x14ac:dyDescent="0.2">
      <c r="A3551" s="403">
        <v>3550</v>
      </c>
      <c r="B3551" s="404">
        <v>44951</v>
      </c>
      <c r="C3551" s="404">
        <v>44970</v>
      </c>
      <c r="D3551" s="405" t="s">
        <v>1092</v>
      </c>
      <c r="E3551" s="405" t="s">
        <v>422</v>
      </c>
      <c r="F3551" s="405" t="s">
        <v>701</v>
      </c>
      <c r="G3551" s="405" t="s">
        <v>7179</v>
      </c>
      <c r="H3551" s="405" t="s">
        <v>7189</v>
      </c>
      <c r="I3551" s="407">
        <v>142325</v>
      </c>
    </row>
    <row r="3552" spans="1:9" x14ac:dyDescent="0.2">
      <c r="A3552" s="403">
        <v>3551</v>
      </c>
      <c r="B3552" s="404">
        <v>44951</v>
      </c>
      <c r="C3552" s="404">
        <v>44970</v>
      </c>
      <c r="D3552" s="405" t="s">
        <v>1092</v>
      </c>
      <c r="E3552" s="405" t="s">
        <v>422</v>
      </c>
      <c r="F3552" s="405" t="s">
        <v>701</v>
      </c>
      <c r="G3552" s="405" t="s">
        <v>7180</v>
      </c>
      <c r="H3552" s="405" t="s">
        <v>7190</v>
      </c>
      <c r="I3552" s="407">
        <v>148900</v>
      </c>
    </row>
    <row r="3553" spans="1:9" x14ac:dyDescent="0.2">
      <c r="A3553" s="403">
        <v>3552</v>
      </c>
      <c r="B3553" s="404">
        <v>44952</v>
      </c>
      <c r="C3553" s="404">
        <v>44972</v>
      </c>
      <c r="D3553" s="405" t="s">
        <v>1092</v>
      </c>
      <c r="E3553" s="405" t="s">
        <v>422</v>
      </c>
      <c r="F3553" s="405" t="s">
        <v>71</v>
      </c>
      <c r="G3553" s="405" t="s">
        <v>7191</v>
      </c>
      <c r="H3553" s="405" t="s">
        <v>7196</v>
      </c>
      <c r="I3553" s="407">
        <v>55995.29</v>
      </c>
    </row>
    <row r="3554" spans="1:9" x14ac:dyDescent="0.2">
      <c r="A3554" s="403">
        <v>3553</v>
      </c>
      <c r="B3554" s="404">
        <v>44952</v>
      </c>
      <c r="C3554" s="404">
        <v>44970</v>
      </c>
      <c r="D3554" s="405" t="s">
        <v>1092</v>
      </c>
      <c r="E3554" s="405" t="s">
        <v>392</v>
      </c>
      <c r="F3554" s="405" t="s">
        <v>9</v>
      </c>
      <c r="G3554" s="405" t="s">
        <v>7192</v>
      </c>
      <c r="H3554" s="405" t="s">
        <v>7197</v>
      </c>
      <c r="I3554" s="407">
        <v>53667.37</v>
      </c>
    </row>
    <row r="3555" spans="1:9" x14ac:dyDescent="0.2">
      <c r="A3555" s="403">
        <v>3554</v>
      </c>
      <c r="B3555" s="404">
        <v>44952</v>
      </c>
      <c r="C3555" s="404">
        <v>44970</v>
      </c>
      <c r="D3555" s="405" t="s">
        <v>1092</v>
      </c>
      <c r="E3555" s="405" t="s">
        <v>422</v>
      </c>
      <c r="F3555" s="405" t="s">
        <v>396</v>
      </c>
      <c r="G3555" s="405" t="s">
        <v>7193</v>
      </c>
      <c r="H3555" s="405" t="s">
        <v>7198</v>
      </c>
      <c r="I3555" s="407">
        <v>14540.16</v>
      </c>
    </row>
    <row r="3556" spans="1:9" x14ac:dyDescent="0.2">
      <c r="A3556" s="403">
        <v>3555</v>
      </c>
      <c r="B3556" s="404">
        <v>44952</v>
      </c>
      <c r="C3556" s="404">
        <v>44970</v>
      </c>
      <c r="D3556" s="405" t="s">
        <v>1092</v>
      </c>
      <c r="E3556" s="405" t="s">
        <v>422</v>
      </c>
      <c r="F3556" s="405" t="s">
        <v>396</v>
      </c>
      <c r="G3556" s="405" t="s">
        <v>7194</v>
      </c>
      <c r="H3556" s="405" t="s">
        <v>7199</v>
      </c>
      <c r="I3556" s="407">
        <v>13461.6</v>
      </c>
    </row>
    <row r="3557" spans="1:9" x14ac:dyDescent="0.2">
      <c r="A3557" s="403">
        <v>3556</v>
      </c>
      <c r="B3557" s="404">
        <v>44952</v>
      </c>
      <c r="C3557" s="404">
        <v>44970</v>
      </c>
      <c r="D3557" s="405" t="s">
        <v>1092</v>
      </c>
      <c r="E3557" s="405" t="s">
        <v>422</v>
      </c>
      <c r="F3557" s="405" t="s">
        <v>71</v>
      </c>
      <c r="G3557" s="405" t="s">
        <v>7195</v>
      </c>
      <c r="H3557" s="405" t="s">
        <v>7200</v>
      </c>
      <c r="I3557" s="407">
        <v>28957.200000000001</v>
      </c>
    </row>
    <row r="3558" spans="1:9" x14ac:dyDescent="0.2">
      <c r="A3558" s="403">
        <v>3557</v>
      </c>
      <c r="B3558" s="404">
        <v>44956</v>
      </c>
      <c r="C3558" s="404">
        <v>44984</v>
      </c>
      <c r="D3558" s="405" t="s">
        <v>1092</v>
      </c>
      <c r="E3558" s="405" t="s">
        <v>422</v>
      </c>
      <c r="F3558" s="405" t="s">
        <v>701</v>
      </c>
      <c r="G3558" s="405" t="s">
        <v>7201</v>
      </c>
      <c r="H3558" s="405" t="s">
        <v>7203</v>
      </c>
      <c r="I3558" s="407">
        <v>319900</v>
      </c>
    </row>
    <row r="3559" spans="1:9" x14ac:dyDescent="0.2">
      <c r="A3559" s="403">
        <v>3558</v>
      </c>
      <c r="B3559" s="404">
        <v>44957</v>
      </c>
      <c r="C3559" s="404">
        <v>44977</v>
      </c>
      <c r="D3559" s="405" t="s">
        <v>1092</v>
      </c>
      <c r="E3559" s="405" t="s">
        <v>422</v>
      </c>
      <c r="F3559" s="405" t="s">
        <v>701</v>
      </c>
      <c r="G3559" s="405" t="s">
        <v>7202</v>
      </c>
      <c r="H3559" s="405" t="s">
        <v>7204</v>
      </c>
      <c r="I3559" s="407">
        <v>8551.76</v>
      </c>
    </row>
    <row r="3560" spans="1:9" x14ac:dyDescent="0.2">
      <c r="A3560" s="403">
        <v>3559</v>
      </c>
      <c r="B3560" s="404">
        <v>44959</v>
      </c>
      <c r="C3560" s="404">
        <v>44977</v>
      </c>
      <c r="D3560" s="405" t="s">
        <v>1092</v>
      </c>
      <c r="E3560" s="405" t="s">
        <v>422</v>
      </c>
      <c r="F3560" s="405" t="s">
        <v>701</v>
      </c>
      <c r="G3560" s="405" t="s">
        <v>7205</v>
      </c>
      <c r="H3560" s="405" t="s">
        <v>7208</v>
      </c>
      <c r="I3560" s="407">
        <v>25648.82</v>
      </c>
    </row>
    <row r="3561" spans="1:9" x14ac:dyDescent="0.2">
      <c r="A3561" s="403">
        <v>3560</v>
      </c>
      <c r="B3561" s="404">
        <v>44959</v>
      </c>
      <c r="C3561" s="404">
        <v>44977</v>
      </c>
      <c r="D3561" s="405" t="s">
        <v>1092</v>
      </c>
      <c r="E3561" s="405" t="s">
        <v>392</v>
      </c>
      <c r="F3561" s="405" t="s">
        <v>9</v>
      </c>
      <c r="G3561" s="405" t="s">
        <v>7206</v>
      </c>
      <c r="H3561" s="405" t="s">
        <v>7209</v>
      </c>
      <c r="I3561" s="407">
        <v>70536.759999999995</v>
      </c>
    </row>
    <row r="3562" spans="1:9" x14ac:dyDescent="0.2">
      <c r="A3562" s="403">
        <v>3561</v>
      </c>
      <c r="B3562" s="404">
        <v>44959</v>
      </c>
      <c r="C3562" s="404">
        <v>44986</v>
      </c>
      <c r="D3562" s="405" t="s">
        <v>1092</v>
      </c>
      <c r="E3562" s="405" t="s">
        <v>392</v>
      </c>
      <c r="F3562" s="405" t="s">
        <v>9</v>
      </c>
      <c r="G3562" s="405" t="s">
        <v>7207</v>
      </c>
      <c r="H3562" s="405" t="s">
        <v>7210</v>
      </c>
      <c r="I3562" s="407">
        <v>160000</v>
      </c>
    </row>
    <row r="3563" spans="1:9" x14ac:dyDescent="0.2">
      <c r="A3563" s="403">
        <v>3562</v>
      </c>
      <c r="B3563" s="404">
        <v>44960</v>
      </c>
      <c r="C3563" s="404">
        <v>44977</v>
      </c>
      <c r="D3563" s="405" t="s">
        <v>1092</v>
      </c>
      <c r="E3563" s="405" t="s">
        <v>392</v>
      </c>
      <c r="F3563" s="405" t="s">
        <v>701</v>
      </c>
      <c r="G3563" s="405" t="s">
        <v>7211</v>
      </c>
      <c r="H3563" s="405" t="s">
        <v>7212</v>
      </c>
      <c r="I3563" s="407">
        <v>107100</v>
      </c>
    </row>
    <row r="3564" spans="1:9" x14ac:dyDescent="0.2">
      <c r="A3564" s="403">
        <v>3563</v>
      </c>
      <c r="B3564" s="404">
        <v>44963</v>
      </c>
      <c r="C3564" s="404">
        <v>44998</v>
      </c>
      <c r="D3564" s="405" t="s">
        <v>1092</v>
      </c>
      <c r="E3564" s="405" t="s">
        <v>392</v>
      </c>
      <c r="F3564" s="405" t="s">
        <v>9</v>
      </c>
      <c r="G3564" s="405" t="s">
        <v>7214</v>
      </c>
      <c r="H3564" s="405" t="s">
        <v>7215</v>
      </c>
      <c r="I3564" s="407">
        <v>700963.59</v>
      </c>
    </row>
    <row r="3565" spans="1:9" x14ac:dyDescent="0.2">
      <c r="A3565" s="403">
        <v>3564</v>
      </c>
      <c r="B3565" s="404">
        <v>44964</v>
      </c>
      <c r="C3565" s="404">
        <v>44991</v>
      </c>
      <c r="D3565" s="405" t="s">
        <v>1092</v>
      </c>
      <c r="E3565" s="405" t="s">
        <v>422</v>
      </c>
      <c r="F3565" s="405" t="s">
        <v>396</v>
      </c>
      <c r="G3565" s="405" t="s">
        <v>7216</v>
      </c>
      <c r="H3565" s="405" t="s">
        <v>7218</v>
      </c>
      <c r="I3565" s="407">
        <v>44483.02</v>
      </c>
    </row>
    <row r="3566" spans="1:9" x14ac:dyDescent="0.2">
      <c r="A3566" s="403">
        <v>3565</v>
      </c>
      <c r="B3566" s="404">
        <v>44964</v>
      </c>
      <c r="C3566" s="404">
        <v>44991</v>
      </c>
      <c r="D3566" s="405" t="s">
        <v>1092</v>
      </c>
      <c r="E3566" s="405" t="s">
        <v>422</v>
      </c>
      <c r="F3566" s="405" t="s">
        <v>396</v>
      </c>
      <c r="G3566" s="405" t="s">
        <v>7217</v>
      </c>
      <c r="H3566" s="405" t="s">
        <v>7219</v>
      </c>
      <c r="I3566" s="407">
        <v>12793.32</v>
      </c>
    </row>
    <row r="3567" spans="1:9" x14ac:dyDescent="0.2">
      <c r="A3567" s="403">
        <v>3566</v>
      </c>
      <c r="B3567" s="404">
        <v>44965</v>
      </c>
      <c r="C3567" s="404">
        <v>44626</v>
      </c>
      <c r="D3567" s="405" t="s">
        <v>1092</v>
      </c>
      <c r="E3567" s="405" t="s">
        <v>422</v>
      </c>
      <c r="F3567" s="405" t="s">
        <v>396</v>
      </c>
      <c r="G3567" s="405" t="s">
        <v>7220</v>
      </c>
      <c r="H3567" s="405" t="s">
        <v>7221</v>
      </c>
      <c r="I3567" s="407">
        <v>12720</v>
      </c>
    </row>
    <row r="3568" spans="1:9" x14ac:dyDescent="0.2">
      <c r="A3568" s="403">
        <v>3567</v>
      </c>
      <c r="B3568" s="404">
        <v>44966</v>
      </c>
      <c r="C3568" s="404">
        <v>44986</v>
      </c>
      <c r="D3568" s="405" t="s">
        <v>1092</v>
      </c>
      <c r="E3568" s="405" t="s">
        <v>422</v>
      </c>
      <c r="F3568" s="405" t="s">
        <v>701</v>
      </c>
      <c r="G3568" s="405" t="s">
        <v>7222</v>
      </c>
      <c r="H3568" s="405" t="s">
        <v>7224</v>
      </c>
      <c r="I3568" s="407">
        <v>200000</v>
      </c>
    </row>
    <row r="3569" spans="1:9" x14ac:dyDescent="0.2">
      <c r="A3569" s="403">
        <v>3568</v>
      </c>
      <c r="B3569" s="404">
        <v>44966</v>
      </c>
      <c r="C3569" s="404">
        <v>44991</v>
      </c>
      <c r="D3569" s="405" t="s">
        <v>1092</v>
      </c>
      <c r="E3569" s="405" t="s">
        <v>422</v>
      </c>
      <c r="F3569" s="405" t="s">
        <v>701</v>
      </c>
      <c r="G3569" s="405" t="s">
        <v>7223</v>
      </c>
      <c r="H3569" s="405" t="s">
        <v>7225</v>
      </c>
      <c r="I3569" s="407">
        <v>177660</v>
      </c>
    </row>
    <row r="3570" spans="1:9" x14ac:dyDescent="0.2">
      <c r="A3570" s="403">
        <v>3569</v>
      </c>
      <c r="B3570" s="404">
        <v>44967</v>
      </c>
      <c r="C3570" s="404">
        <v>45000</v>
      </c>
      <c r="D3570" s="405" t="s">
        <v>1092</v>
      </c>
      <c r="E3570" s="405" t="s">
        <v>392</v>
      </c>
      <c r="F3570" s="405" t="s">
        <v>9</v>
      </c>
      <c r="G3570" s="405" t="s">
        <v>7226</v>
      </c>
      <c r="H3570" s="405" t="s">
        <v>7233</v>
      </c>
      <c r="I3570" s="407">
        <v>567163.92000000004</v>
      </c>
    </row>
    <row r="3571" spans="1:9" x14ac:dyDescent="0.2">
      <c r="A3571" s="403">
        <v>3570</v>
      </c>
      <c r="B3571" s="404">
        <v>44967</v>
      </c>
      <c r="C3571" s="404">
        <v>44986</v>
      </c>
      <c r="D3571" s="405" t="s">
        <v>1092</v>
      </c>
      <c r="E3571" s="405" t="s">
        <v>422</v>
      </c>
      <c r="F3571" s="405" t="s">
        <v>396</v>
      </c>
      <c r="G3571" s="405" t="s">
        <v>7227</v>
      </c>
      <c r="H3571" s="405" t="s">
        <v>7234</v>
      </c>
      <c r="I3571" s="407">
        <v>3589.3</v>
      </c>
    </row>
    <row r="3572" spans="1:9" x14ac:dyDescent="0.2">
      <c r="A3572" s="403">
        <v>3571</v>
      </c>
      <c r="B3572" s="404">
        <v>44967</v>
      </c>
      <c r="C3572" s="404">
        <v>44986</v>
      </c>
      <c r="D3572" s="405" t="s">
        <v>1092</v>
      </c>
      <c r="E3572" s="405" t="s">
        <v>422</v>
      </c>
      <c r="F3572" s="405" t="s">
        <v>396</v>
      </c>
      <c r="G3572" s="405" t="s">
        <v>7228</v>
      </c>
      <c r="H3572" s="405" t="s">
        <v>7235</v>
      </c>
      <c r="I3572" s="407">
        <v>14075.08</v>
      </c>
    </row>
    <row r="3573" spans="1:9" x14ac:dyDescent="0.2">
      <c r="A3573" s="403">
        <v>3572</v>
      </c>
      <c r="B3573" s="404">
        <v>44967</v>
      </c>
      <c r="C3573" s="404">
        <v>44998</v>
      </c>
      <c r="D3573" s="405" t="s">
        <v>1092</v>
      </c>
      <c r="E3573" s="405" t="s">
        <v>422</v>
      </c>
      <c r="F3573" s="405" t="s">
        <v>396</v>
      </c>
      <c r="G3573" s="405" t="s">
        <v>7229</v>
      </c>
      <c r="H3573" s="405" t="s">
        <v>7236</v>
      </c>
      <c r="I3573" s="407">
        <v>2294523.5499999998</v>
      </c>
    </row>
    <row r="3574" spans="1:9" x14ac:dyDescent="0.2">
      <c r="A3574" s="403">
        <v>3573</v>
      </c>
      <c r="B3574" s="404">
        <v>44967</v>
      </c>
      <c r="C3574" s="404">
        <v>44986</v>
      </c>
      <c r="D3574" s="405" t="s">
        <v>1092</v>
      </c>
      <c r="E3574" s="405" t="s">
        <v>422</v>
      </c>
      <c r="F3574" s="405" t="s">
        <v>71</v>
      </c>
      <c r="G3574" s="405" t="s">
        <v>7230</v>
      </c>
      <c r="H3574" s="405" t="s">
        <v>7237</v>
      </c>
      <c r="I3574" s="407">
        <v>3274.49</v>
      </c>
    </row>
    <row r="3575" spans="1:9" x14ac:dyDescent="0.2">
      <c r="A3575" s="403">
        <v>3574</v>
      </c>
      <c r="B3575" s="404">
        <v>44967</v>
      </c>
      <c r="C3575" s="404">
        <v>44991</v>
      </c>
      <c r="D3575" s="405" t="s">
        <v>1092</v>
      </c>
      <c r="E3575" s="405" t="s">
        <v>422</v>
      </c>
      <c r="F3575" s="405" t="s">
        <v>701</v>
      </c>
      <c r="G3575" s="405" t="s">
        <v>7231</v>
      </c>
      <c r="H3575" s="405" t="s">
        <v>7238</v>
      </c>
      <c r="I3575" s="407">
        <v>40900</v>
      </c>
    </row>
    <row r="3576" spans="1:9" x14ac:dyDescent="0.2">
      <c r="A3576" s="403">
        <v>3575</v>
      </c>
      <c r="B3576" s="404">
        <v>44967</v>
      </c>
      <c r="C3576" s="404">
        <v>44998</v>
      </c>
      <c r="D3576" s="405" t="s">
        <v>1092</v>
      </c>
      <c r="E3576" s="405" t="s">
        <v>392</v>
      </c>
      <c r="F3576" s="405" t="s">
        <v>9</v>
      </c>
      <c r="G3576" s="405" t="s">
        <v>7232</v>
      </c>
      <c r="H3576" s="405" t="s">
        <v>7239</v>
      </c>
      <c r="I3576" s="407">
        <v>410306.38</v>
      </c>
    </row>
    <row r="3577" spans="1:9" x14ac:dyDescent="0.2">
      <c r="A3577" s="403">
        <v>3576</v>
      </c>
      <c r="B3577" s="404">
        <v>44970</v>
      </c>
      <c r="C3577" s="404">
        <v>44991</v>
      </c>
      <c r="D3577" s="405" t="s">
        <v>1092</v>
      </c>
      <c r="E3577" s="405" t="s">
        <v>422</v>
      </c>
      <c r="F3577" s="405" t="s">
        <v>396</v>
      </c>
      <c r="G3577" s="405" t="s">
        <v>7240</v>
      </c>
      <c r="H3577" s="405" t="s">
        <v>7243</v>
      </c>
      <c r="I3577" s="407">
        <v>30720.48</v>
      </c>
    </row>
    <row r="3578" spans="1:9" x14ac:dyDescent="0.2">
      <c r="A3578" s="403">
        <v>3577</v>
      </c>
      <c r="B3578" s="404">
        <v>44970</v>
      </c>
      <c r="C3578" s="404">
        <v>44986</v>
      </c>
      <c r="D3578" s="405" t="s">
        <v>1092</v>
      </c>
      <c r="E3578" s="405" t="s">
        <v>422</v>
      </c>
      <c r="F3578" s="405" t="s">
        <v>701</v>
      </c>
      <c r="G3578" s="405" t="s">
        <v>7241</v>
      </c>
      <c r="H3578" s="405" t="s">
        <v>7244</v>
      </c>
      <c r="I3578" s="407">
        <v>14000</v>
      </c>
    </row>
    <row r="3579" spans="1:9" x14ac:dyDescent="0.2">
      <c r="A3579" s="403">
        <v>3578</v>
      </c>
      <c r="B3579" s="404">
        <v>44970</v>
      </c>
      <c r="C3579" s="404">
        <v>44998</v>
      </c>
      <c r="D3579" s="405" t="s">
        <v>1092</v>
      </c>
      <c r="E3579" s="405" t="s">
        <v>392</v>
      </c>
      <c r="F3579" s="405" t="s">
        <v>9</v>
      </c>
      <c r="G3579" s="405" t="s">
        <v>7242</v>
      </c>
      <c r="H3579" s="405" t="s">
        <v>7245</v>
      </c>
      <c r="I3579" s="407">
        <v>273935.26</v>
      </c>
    </row>
    <row r="3580" spans="1:9" x14ac:dyDescent="0.2">
      <c r="A3580" s="403">
        <v>3579</v>
      </c>
      <c r="B3580" s="404">
        <v>44972</v>
      </c>
      <c r="C3580" s="404">
        <v>44991</v>
      </c>
      <c r="D3580" s="405" t="s">
        <v>1092</v>
      </c>
      <c r="E3580" s="405" t="s">
        <v>422</v>
      </c>
      <c r="F3580" s="405" t="s">
        <v>701</v>
      </c>
      <c r="G3580" s="405" t="s">
        <v>7246</v>
      </c>
      <c r="H3580" s="405" t="s">
        <v>7249</v>
      </c>
      <c r="I3580" s="407">
        <v>33500</v>
      </c>
    </row>
    <row r="3581" spans="1:9" x14ac:dyDescent="0.2">
      <c r="A3581" s="403">
        <v>3580</v>
      </c>
      <c r="B3581" s="404">
        <v>44972</v>
      </c>
      <c r="C3581" s="404">
        <v>44991</v>
      </c>
      <c r="D3581" s="405" t="s">
        <v>1092</v>
      </c>
      <c r="E3581" s="405" t="s">
        <v>422</v>
      </c>
      <c r="F3581" s="405" t="s">
        <v>701</v>
      </c>
      <c r="G3581" s="405" t="s">
        <v>7247</v>
      </c>
      <c r="H3581" s="405" t="s">
        <v>7250</v>
      </c>
      <c r="I3581" s="407">
        <v>16957.5</v>
      </c>
    </row>
    <row r="3582" spans="1:9" x14ac:dyDescent="0.2">
      <c r="A3582" s="403">
        <v>3581</v>
      </c>
      <c r="B3582" s="404">
        <v>44972</v>
      </c>
      <c r="C3582" s="404">
        <v>44986</v>
      </c>
      <c r="D3582" s="405" t="s">
        <v>1092</v>
      </c>
      <c r="E3582" s="405" t="s">
        <v>422</v>
      </c>
      <c r="F3582" s="405" t="s">
        <v>396</v>
      </c>
      <c r="G3582" s="405" t="s">
        <v>7248</v>
      </c>
      <c r="H3582" s="405" t="s">
        <v>7251</v>
      </c>
      <c r="I3582" s="407">
        <v>101072.4</v>
      </c>
    </row>
    <row r="3583" spans="1:9" x14ac:dyDescent="0.2">
      <c r="A3583" s="403">
        <v>3582</v>
      </c>
      <c r="B3583" s="404">
        <v>44973</v>
      </c>
      <c r="C3583" s="404">
        <v>44991</v>
      </c>
      <c r="D3583" s="405" t="s">
        <v>1092</v>
      </c>
      <c r="E3583" s="405" t="s">
        <v>422</v>
      </c>
      <c r="F3583" s="405" t="s">
        <v>701</v>
      </c>
      <c r="G3583" s="405" t="s">
        <v>7252</v>
      </c>
      <c r="H3583" s="405" t="s">
        <v>7256</v>
      </c>
      <c r="I3583" s="407">
        <v>40000</v>
      </c>
    </row>
    <row r="3584" spans="1:9" x14ac:dyDescent="0.2">
      <c r="A3584" s="403">
        <v>3583</v>
      </c>
      <c r="B3584" s="404">
        <v>44973</v>
      </c>
      <c r="C3584" s="404">
        <v>44998</v>
      </c>
      <c r="D3584" s="405" t="s">
        <v>1092</v>
      </c>
      <c r="E3584" s="405" t="s">
        <v>422</v>
      </c>
      <c r="F3584" s="405" t="s">
        <v>701</v>
      </c>
      <c r="G3584" s="405" t="s">
        <v>7253</v>
      </c>
      <c r="H3584" s="405" t="s">
        <v>7257</v>
      </c>
      <c r="I3584" s="407">
        <v>49201.11</v>
      </c>
    </row>
    <row r="3585" spans="1:9" x14ac:dyDescent="0.2">
      <c r="A3585" s="403">
        <v>3584</v>
      </c>
      <c r="B3585" s="404">
        <v>44973</v>
      </c>
      <c r="C3585" s="404">
        <v>44991</v>
      </c>
      <c r="D3585" s="405" t="s">
        <v>1092</v>
      </c>
      <c r="E3585" s="405" t="s">
        <v>422</v>
      </c>
      <c r="F3585" s="405" t="s">
        <v>396</v>
      </c>
      <c r="G3585" s="405" t="s">
        <v>7254</v>
      </c>
      <c r="H3585" s="405" t="s">
        <v>7258</v>
      </c>
      <c r="I3585" s="407">
        <v>4980.07</v>
      </c>
    </row>
    <row r="3586" spans="1:9" x14ac:dyDescent="0.2">
      <c r="A3586" s="403">
        <v>3585</v>
      </c>
      <c r="B3586" s="404">
        <v>44973</v>
      </c>
      <c r="C3586" s="404">
        <v>44991</v>
      </c>
      <c r="D3586" s="405" t="s">
        <v>1092</v>
      </c>
      <c r="E3586" s="405" t="s">
        <v>422</v>
      </c>
      <c r="F3586" s="405" t="s">
        <v>71</v>
      </c>
      <c r="G3586" s="405" t="s">
        <v>7255</v>
      </c>
      <c r="H3586" s="405" t="s">
        <v>7259</v>
      </c>
      <c r="I3586" s="407">
        <v>893.36</v>
      </c>
    </row>
    <row r="3587" spans="1:9" x14ac:dyDescent="0.2">
      <c r="A3587" s="403">
        <v>3586</v>
      </c>
      <c r="B3587" s="404">
        <v>44974</v>
      </c>
      <c r="C3587" s="404">
        <v>45005</v>
      </c>
      <c r="D3587" s="405" t="s">
        <v>1092</v>
      </c>
      <c r="E3587" s="405" t="s">
        <v>422</v>
      </c>
      <c r="F3587" s="405" t="s">
        <v>396</v>
      </c>
      <c r="G3587" s="405" t="s">
        <v>7260</v>
      </c>
      <c r="H3587" s="405" t="s">
        <v>7261</v>
      </c>
      <c r="I3587" s="407">
        <v>3731114</v>
      </c>
    </row>
    <row r="3588" spans="1:9" x14ac:dyDescent="0.2">
      <c r="A3588" s="403">
        <v>3587</v>
      </c>
      <c r="B3588" s="404">
        <v>44977</v>
      </c>
      <c r="C3588" s="404">
        <v>44993</v>
      </c>
      <c r="D3588" s="405" t="s">
        <v>1092</v>
      </c>
      <c r="E3588" s="405" t="s">
        <v>422</v>
      </c>
      <c r="F3588" s="405" t="s">
        <v>701</v>
      </c>
      <c r="G3588" s="405" t="s">
        <v>7262</v>
      </c>
      <c r="H3588" s="405" t="s">
        <v>7263</v>
      </c>
      <c r="I3588" s="407">
        <v>31500</v>
      </c>
    </row>
    <row r="3589" spans="1:9" x14ac:dyDescent="0.2">
      <c r="A3589" s="403">
        <v>3588</v>
      </c>
      <c r="B3589" s="404">
        <v>44980</v>
      </c>
      <c r="C3589" s="404">
        <v>45000</v>
      </c>
      <c r="D3589" s="405" t="s">
        <v>1092</v>
      </c>
      <c r="E3589" s="405" t="s">
        <v>392</v>
      </c>
      <c r="F3589" s="405" t="s">
        <v>71</v>
      </c>
      <c r="G3589" s="405" t="s">
        <v>7264</v>
      </c>
      <c r="H3589" s="405" t="s">
        <v>7266</v>
      </c>
      <c r="I3589" s="407">
        <v>8376.19</v>
      </c>
    </row>
    <row r="3590" spans="1:9" x14ac:dyDescent="0.2">
      <c r="A3590" s="403">
        <v>3589</v>
      </c>
      <c r="B3590" s="404">
        <v>44980</v>
      </c>
      <c r="C3590" s="404">
        <v>45000</v>
      </c>
      <c r="D3590" s="405" t="s">
        <v>1092</v>
      </c>
      <c r="E3590" s="405" t="s">
        <v>392</v>
      </c>
      <c r="F3590" s="405" t="s">
        <v>71</v>
      </c>
      <c r="G3590" s="405" t="s">
        <v>7265</v>
      </c>
      <c r="H3590" s="405" t="s">
        <v>7267</v>
      </c>
      <c r="I3590" s="407">
        <v>4351.5</v>
      </c>
    </row>
    <row r="3591" spans="1:9" x14ac:dyDescent="0.2">
      <c r="A3591" s="403">
        <v>3590</v>
      </c>
      <c r="B3591" s="404">
        <v>44985</v>
      </c>
      <c r="C3591" s="404">
        <v>45005</v>
      </c>
      <c r="D3591" s="405" t="s">
        <v>1092</v>
      </c>
      <c r="E3591" s="405" t="s">
        <v>392</v>
      </c>
      <c r="F3591" s="405" t="s">
        <v>701</v>
      </c>
      <c r="G3591" s="405" t="s">
        <v>7268</v>
      </c>
      <c r="H3591" s="405" t="s">
        <v>7269</v>
      </c>
      <c r="I3591" s="407">
        <v>45000</v>
      </c>
    </row>
    <row r="3592" spans="1:9" x14ac:dyDescent="0.2">
      <c r="A3592" s="403">
        <v>3591</v>
      </c>
      <c r="B3592" s="404">
        <v>44988</v>
      </c>
      <c r="C3592" s="404">
        <v>45005</v>
      </c>
      <c r="D3592" s="405" t="s">
        <v>1092</v>
      </c>
      <c r="E3592" s="405" t="s">
        <v>422</v>
      </c>
      <c r="F3592" s="405" t="s">
        <v>396</v>
      </c>
      <c r="G3592" s="405" t="s">
        <v>7270</v>
      </c>
      <c r="H3592" s="405" t="s">
        <v>7273</v>
      </c>
      <c r="I3592" s="407">
        <v>45176.75</v>
      </c>
    </row>
    <row r="3593" spans="1:9" x14ac:dyDescent="0.2">
      <c r="A3593" s="403">
        <v>3592</v>
      </c>
      <c r="B3593" s="404">
        <v>44988</v>
      </c>
      <c r="C3593" s="404">
        <v>45005</v>
      </c>
      <c r="D3593" s="405" t="s">
        <v>1092</v>
      </c>
      <c r="E3593" s="405" t="s">
        <v>422</v>
      </c>
      <c r="F3593" s="405" t="s">
        <v>71</v>
      </c>
      <c r="G3593" s="405" t="s">
        <v>7271</v>
      </c>
      <c r="H3593" s="405" t="s">
        <v>7274</v>
      </c>
      <c r="I3593" s="407">
        <v>7956.25</v>
      </c>
    </row>
    <row r="3594" spans="1:9" x14ac:dyDescent="0.2">
      <c r="A3594" s="403">
        <v>3593</v>
      </c>
      <c r="B3594" s="404">
        <v>44988</v>
      </c>
      <c r="C3594" s="404">
        <v>45005</v>
      </c>
      <c r="D3594" s="405" t="s">
        <v>1092</v>
      </c>
      <c r="E3594" s="405" t="s">
        <v>422</v>
      </c>
      <c r="F3594" s="405" t="s">
        <v>396</v>
      </c>
      <c r="G3594" s="405" t="s">
        <v>7272</v>
      </c>
      <c r="H3594" s="405" t="s">
        <v>7275</v>
      </c>
      <c r="I3594" s="407">
        <v>6028.13</v>
      </c>
    </row>
    <row r="3595" spans="1:9" x14ac:dyDescent="0.2">
      <c r="A3595" s="403">
        <v>3594</v>
      </c>
      <c r="B3595" s="404">
        <v>44991</v>
      </c>
      <c r="C3595" s="404">
        <v>45012</v>
      </c>
      <c r="D3595" s="405" t="s">
        <v>1092</v>
      </c>
      <c r="E3595" s="405" t="s">
        <v>392</v>
      </c>
      <c r="F3595" s="405" t="s">
        <v>71</v>
      </c>
      <c r="G3595" s="405" t="s">
        <v>7276</v>
      </c>
      <c r="H3595" s="405" t="s">
        <v>7279</v>
      </c>
      <c r="I3595" s="407">
        <v>2400</v>
      </c>
    </row>
    <row r="3596" spans="1:9" x14ac:dyDescent="0.2">
      <c r="A3596" s="403">
        <v>3595</v>
      </c>
      <c r="B3596" s="404">
        <v>44991</v>
      </c>
      <c r="C3596" s="404">
        <v>45012</v>
      </c>
      <c r="D3596" s="405" t="s">
        <v>1092</v>
      </c>
      <c r="E3596" s="405" t="s">
        <v>392</v>
      </c>
      <c r="F3596" s="405" t="s">
        <v>393</v>
      </c>
      <c r="G3596" s="405" t="s">
        <v>7277</v>
      </c>
      <c r="H3596" s="405" t="s">
        <v>7280</v>
      </c>
      <c r="I3596" s="407">
        <v>9300</v>
      </c>
    </row>
    <row r="3597" spans="1:9" x14ac:dyDescent="0.2">
      <c r="A3597" s="403">
        <v>3596</v>
      </c>
      <c r="B3597" s="404">
        <v>44991</v>
      </c>
      <c r="C3597" s="404">
        <v>45012</v>
      </c>
      <c r="D3597" s="405" t="s">
        <v>1092</v>
      </c>
      <c r="E3597" s="405" t="s">
        <v>392</v>
      </c>
      <c r="F3597" s="405" t="s">
        <v>396</v>
      </c>
      <c r="G3597" s="405" t="s">
        <v>7278</v>
      </c>
      <c r="H3597" s="405" t="s">
        <v>7281</v>
      </c>
      <c r="I3597" s="407">
        <v>7200</v>
      </c>
    </row>
    <row r="3598" spans="1:9" x14ac:dyDescent="0.2">
      <c r="A3598" s="403">
        <v>3597</v>
      </c>
      <c r="B3598" s="404">
        <v>44993</v>
      </c>
      <c r="C3598" s="404">
        <v>45012</v>
      </c>
      <c r="D3598" s="405" t="s">
        <v>1092</v>
      </c>
      <c r="E3598" s="405" t="s">
        <v>422</v>
      </c>
      <c r="F3598" s="405" t="s">
        <v>701</v>
      </c>
      <c r="G3598" s="405" t="s">
        <v>7282</v>
      </c>
      <c r="H3598" s="405" t="s">
        <v>7283</v>
      </c>
      <c r="I3598" s="407">
        <v>29120.17</v>
      </c>
    </row>
    <row r="3599" spans="1:9" x14ac:dyDescent="0.2">
      <c r="A3599" s="403">
        <v>3598</v>
      </c>
      <c r="B3599" s="404">
        <v>44994</v>
      </c>
      <c r="C3599" s="404">
        <v>45012</v>
      </c>
      <c r="D3599" s="405" t="s">
        <v>1092</v>
      </c>
      <c r="E3599" s="405" t="s">
        <v>422</v>
      </c>
      <c r="F3599" s="405" t="s">
        <v>701</v>
      </c>
      <c r="G3599" s="405" t="s">
        <v>7284</v>
      </c>
      <c r="H3599" s="405" t="s">
        <v>7286</v>
      </c>
      <c r="I3599" s="407">
        <v>39534.720000000001</v>
      </c>
    </row>
    <row r="3600" spans="1:9" x14ac:dyDescent="0.2">
      <c r="A3600" s="403">
        <v>3599</v>
      </c>
      <c r="B3600" s="404">
        <v>44994</v>
      </c>
      <c r="C3600" s="404">
        <v>45012</v>
      </c>
      <c r="D3600" s="405" t="s">
        <v>1092</v>
      </c>
      <c r="E3600" s="405" t="s">
        <v>422</v>
      </c>
      <c r="F3600" s="405" t="s">
        <v>701</v>
      </c>
      <c r="G3600" s="405" t="s">
        <v>7285</v>
      </c>
      <c r="H3600" s="405" t="s">
        <v>7287</v>
      </c>
      <c r="I3600" s="407">
        <v>28047.18</v>
      </c>
    </row>
    <row r="3601" spans="1:9" x14ac:dyDescent="0.2">
      <c r="A3601" s="403">
        <v>3600</v>
      </c>
      <c r="B3601" s="404">
        <v>44995</v>
      </c>
      <c r="C3601" s="404">
        <v>45012</v>
      </c>
      <c r="D3601" s="405" t="s">
        <v>1092</v>
      </c>
      <c r="E3601" s="405" t="s">
        <v>422</v>
      </c>
      <c r="F3601" s="405" t="s">
        <v>701</v>
      </c>
      <c r="G3601" s="405" t="s">
        <v>7288</v>
      </c>
      <c r="H3601" s="405" t="s">
        <v>7289</v>
      </c>
      <c r="I3601" s="407">
        <v>27821.23</v>
      </c>
    </row>
    <row r="3602" spans="1:9" x14ac:dyDescent="0.2">
      <c r="A3602" s="403">
        <v>3601</v>
      </c>
      <c r="B3602" s="404">
        <v>45003</v>
      </c>
      <c r="C3602" s="404">
        <v>45033</v>
      </c>
      <c r="D3602" s="405" t="s">
        <v>1092</v>
      </c>
      <c r="E3602" s="405" t="s">
        <v>392</v>
      </c>
      <c r="F3602" s="405" t="s">
        <v>2224</v>
      </c>
      <c r="G3602" s="405" t="s">
        <v>7290</v>
      </c>
      <c r="H3602" s="405" t="s">
        <v>7291</v>
      </c>
      <c r="I3602" s="407">
        <v>19550000</v>
      </c>
    </row>
    <row r="3603" spans="1:9" x14ac:dyDescent="0.2">
      <c r="A3603" s="403">
        <v>3602</v>
      </c>
      <c r="B3603" s="404">
        <v>45008</v>
      </c>
      <c r="C3603" s="404">
        <v>45028</v>
      </c>
      <c r="D3603" s="405" t="s">
        <v>1092</v>
      </c>
      <c r="E3603" s="405" t="s">
        <v>422</v>
      </c>
      <c r="F3603" s="405" t="s">
        <v>71</v>
      </c>
      <c r="G3603" s="405" t="s">
        <v>7292</v>
      </c>
      <c r="H3603" s="405" t="s">
        <v>7293</v>
      </c>
      <c r="I3603" s="407">
        <v>93772.26</v>
      </c>
    </row>
    <row r="3604" spans="1:9" x14ac:dyDescent="0.2">
      <c r="A3604" s="403">
        <v>3603</v>
      </c>
      <c r="B3604" s="404">
        <v>45013</v>
      </c>
      <c r="C3604" s="404">
        <v>45040</v>
      </c>
      <c r="D3604" s="405" t="s">
        <v>1092</v>
      </c>
      <c r="E3604" s="405" t="s">
        <v>392</v>
      </c>
      <c r="F3604" s="405" t="s">
        <v>393</v>
      </c>
      <c r="G3604" s="405" t="s">
        <v>7294</v>
      </c>
      <c r="H3604" s="405" t="s">
        <v>7295</v>
      </c>
      <c r="I3604" s="407">
        <v>695060.6</v>
      </c>
    </row>
    <row r="3605" spans="1:9" x14ac:dyDescent="0.2">
      <c r="A3605" s="403">
        <v>3604</v>
      </c>
      <c r="B3605" s="404">
        <v>45015</v>
      </c>
      <c r="C3605" s="404">
        <v>45035</v>
      </c>
      <c r="D3605" s="405" t="s">
        <v>1092</v>
      </c>
      <c r="E3605" s="405" t="s">
        <v>392</v>
      </c>
      <c r="F3605" s="405" t="s">
        <v>1285</v>
      </c>
      <c r="G3605" s="405" t="s">
        <v>7296</v>
      </c>
      <c r="H3605" s="405" t="s">
        <v>7298</v>
      </c>
      <c r="I3605" s="407">
        <v>68096</v>
      </c>
    </row>
    <row r="3606" spans="1:9" x14ac:dyDescent="0.2">
      <c r="A3606" s="403">
        <v>3605</v>
      </c>
      <c r="B3606" s="404">
        <v>45015</v>
      </c>
      <c r="C3606" s="404">
        <v>45033</v>
      </c>
      <c r="D3606" s="405" t="s">
        <v>1092</v>
      </c>
      <c r="E3606" s="405" t="s">
        <v>392</v>
      </c>
      <c r="F3606" s="405" t="s">
        <v>393</v>
      </c>
      <c r="G3606" s="405" t="s">
        <v>7297</v>
      </c>
      <c r="H3606" s="405" t="s">
        <v>7299</v>
      </c>
      <c r="I3606" s="407">
        <v>162289.29999999999</v>
      </c>
    </row>
    <row r="3607" spans="1:9" x14ac:dyDescent="0.2">
      <c r="A3607" s="403">
        <v>3606</v>
      </c>
      <c r="B3607" s="404">
        <v>45019</v>
      </c>
      <c r="C3607" s="404">
        <v>45040</v>
      </c>
      <c r="D3607" s="405" t="s">
        <v>1092</v>
      </c>
      <c r="E3607" s="405" t="s">
        <v>422</v>
      </c>
      <c r="F3607" s="405" t="s">
        <v>71</v>
      </c>
      <c r="G3607" s="405" t="s">
        <v>7300</v>
      </c>
      <c r="H3607" s="405" t="s">
        <v>7301</v>
      </c>
      <c r="I3607" s="407">
        <v>98269.4</v>
      </c>
    </row>
    <row r="3608" spans="1:9" x14ac:dyDescent="0.2">
      <c r="A3608" s="403">
        <v>3607</v>
      </c>
      <c r="B3608" s="404">
        <v>45021</v>
      </c>
      <c r="C3608" s="404">
        <v>45042</v>
      </c>
      <c r="D3608" s="405" t="s">
        <v>1092</v>
      </c>
      <c r="E3608" s="405" t="s">
        <v>422</v>
      </c>
      <c r="F3608" s="405" t="s">
        <v>701</v>
      </c>
      <c r="G3608" s="405" t="s">
        <v>7302</v>
      </c>
      <c r="H3608" s="405" t="s">
        <v>7304</v>
      </c>
      <c r="I3608" s="407">
        <v>14000</v>
      </c>
    </row>
    <row r="3609" spans="1:9" x14ac:dyDescent="0.2">
      <c r="A3609" s="403">
        <v>3608</v>
      </c>
      <c r="B3609" s="404">
        <v>45021</v>
      </c>
      <c r="C3609" s="404">
        <v>45042</v>
      </c>
      <c r="D3609" s="405" t="s">
        <v>1092</v>
      </c>
      <c r="E3609" s="405" t="s">
        <v>422</v>
      </c>
      <c r="F3609" s="405" t="s">
        <v>396</v>
      </c>
      <c r="G3609" s="405" t="s">
        <v>7303</v>
      </c>
      <c r="H3609" s="405" t="s">
        <v>7305</v>
      </c>
      <c r="I3609" s="407">
        <v>27284.2</v>
      </c>
    </row>
    <row r="3610" spans="1:9" x14ac:dyDescent="0.2">
      <c r="A3610" s="403">
        <v>3609</v>
      </c>
      <c r="B3610" s="404">
        <v>45022</v>
      </c>
      <c r="C3610" s="404">
        <v>45040</v>
      </c>
      <c r="D3610" s="405" t="s">
        <v>1092</v>
      </c>
      <c r="E3610" s="405" t="s">
        <v>422</v>
      </c>
      <c r="F3610" s="405" t="s">
        <v>396</v>
      </c>
      <c r="G3610" s="405" t="s">
        <v>7306</v>
      </c>
      <c r="H3610" s="405" t="s">
        <v>7308</v>
      </c>
      <c r="I3610" s="407">
        <v>11338.34</v>
      </c>
    </row>
    <row r="3611" spans="1:9" x14ac:dyDescent="0.2">
      <c r="A3611" s="403">
        <v>3610</v>
      </c>
      <c r="B3611" s="404">
        <v>45022</v>
      </c>
      <c r="C3611" s="404">
        <v>45061</v>
      </c>
      <c r="D3611" s="405" t="s">
        <v>1092</v>
      </c>
      <c r="E3611" s="405" t="s">
        <v>422</v>
      </c>
      <c r="F3611" s="405" t="s">
        <v>396</v>
      </c>
      <c r="G3611" s="405" t="s">
        <v>7307</v>
      </c>
      <c r="H3611" s="405" t="s">
        <v>7309</v>
      </c>
      <c r="I3611" s="407">
        <v>229223.64</v>
      </c>
    </row>
    <row r="3612" spans="1:9" x14ac:dyDescent="0.2">
      <c r="A3612" s="403">
        <v>3611</v>
      </c>
      <c r="B3612" s="404">
        <v>45029</v>
      </c>
      <c r="C3612" s="404">
        <v>45049</v>
      </c>
      <c r="D3612" s="405" t="s">
        <v>1092</v>
      </c>
      <c r="E3612" s="405" t="s">
        <v>422</v>
      </c>
      <c r="F3612" s="405" t="s">
        <v>701</v>
      </c>
      <c r="G3612" s="405" t="s">
        <v>7310</v>
      </c>
      <c r="H3612" s="405" t="s">
        <v>7312</v>
      </c>
      <c r="I3612" s="407">
        <v>47924.24</v>
      </c>
    </row>
    <row r="3613" spans="1:9" x14ac:dyDescent="0.2">
      <c r="A3613" s="403">
        <v>3612</v>
      </c>
      <c r="B3613" s="404">
        <v>45029</v>
      </c>
      <c r="C3613" s="404">
        <v>45049</v>
      </c>
      <c r="D3613" s="405" t="s">
        <v>1092</v>
      </c>
      <c r="E3613" s="405" t="s">
        <v>422</v>
      </c>
      <c r="F3613" s="405" t="s">
        <v>701</v>
      </c>
      <c r="G3613" s="405" t="s">
        <v>7311</v>
      </c>
      <c r="H3613" s="405" t="s">
        <v>7313</v>
      </c>
      <c r="I3613" s="407">
        <v>34924.239999999998</v>
      </c>
    </row>
    <row r="3614" spans="1:9" x14ac:dyDescent="0.2">
      <c r="A3614" s="403">
        <v>3613</v>
      </c>
      <c r="B3614" s="404">
        <v>45034</v>
      </c>
      <c r="C3614" s="404">
        <v>45054</v>
      </c>
      <c r="D3614" s="405" t="s">
        <v>1092</v>
      </c>
      <c r="E3614" s="405" t="s">
        <v>422</v>
      </c>
      <c r="F3614" s="405" t="s">
        <v>396</v>
      </c>
      <c r="G3614" s="405" t="s">
        <v>7314</v>
      </c>
      <c r="H3614" s="405" t="s">
        <v>7316</v>
      </c>
      <c r="I3614" s="407">
        <v>2300.15</v>
      </c>
    </row>
    <row r="3615" spans="1:9" x14ac:dyDescent="0.2">
      <c r="A3615" s="403">
        <v>3614</v>
      </c>
      <c r="B3615" s="404">
        <v>45034</v>
      </c>
      <c r="C3615" s="404">
        <v>45054</v>
      </c>
      <c r="D3615" s="405" t="s">
        <v>1092</v>
      </c>
      <c r="E3615" s="405" t="s">
        <v>422</v>
      </c>
      <c r="F3615" s="405" t="s">
        <v>396</v>
      </c>
      <c r="G3615" s="405" t="s">
        <v>7315</v>
      </c>
      <c r="H3615" s="405" t="s">
        <v>7317</v>
      </c>
      <c r="I3615" s="407">
        <v>49300</v>
      </c>
    </row>
    <row r="3616" spans="1:9" x14ac:dyDescent="0.2">
      <c r="A3616" s="403">
        <v>3615</v>
      </c>
      <c r="B3616" s="404">
        <v>45036</v>
      </c>
      <c r="C3616" s="404">
        <v>45056</v>
      </c>
      <c r="D3616" s="405" t="s">
        <v>1092</v>
      </c>
      <c r="E3616" s="405" t="s">
        <v>422</v>
      </c>
      <c r="F3616" s="405" t="s">
        <v>396</v>
      </c>
      <c r="G3616" s="405" t="s">
        <v>7318</v>
      </c>
      <c r="H3616" s="405" t="s">
        <v>7321</v>
      </c>
      <c r="I3616" s="407">
        <v>25635.05</v>
      </c>
    </row>
    <row r="3617" spans="1:9" x14ac:dyDescent="0.2">
      <c r="A3617" s="403">
        <v>3616</v>
      </c>
      <c r="B3617" s="404">
        <v>45036</v>
      </c>
      <c r="C3617" s="404">
        <v>45056</v>
      </c>
      <c r="D3617" s="405" t="s">
        <v>1092</v>
      </c>
      <c r="E3617" s="405" t="s">
        <v>422</v>
      </c>
      <c r="F3617" s="405" t="s">
        <v>701</v>
      </c>
      <c r="G3617" s="405" t="s">
        <v>7319</v>
      </c>
      <c r="H3617" s="405" t="s">
        <v>7322</v>
      </c>
      <c r="I3617" s="407">
        <v>49352.160000000003</v>
      </c>
    </row>
    <row r="3618" spans="1:9" x14ac:dyDescent="0.2">
      <c r="A3618" s="403">
        <v>3617</v>
      </c>
      <c r="B3618" s="404">
        <v>45036</v>
      </c>
      <c r="C3618" s="404">
        <v>45054</v>
      </c>
      <c r="D3618" s="405" t="s">
        <v>1092</v>
      </c>
      <c r="E3618" s="405" t="s">
        <v>422</v>
      </c>
      <c r="F3618" s="405" t="s">
        <v>71</v>
      </c>
      <c r="G3618" s="405" t="s">
        <v>7320</v>
      </c>
      <c r="H3618" s="405" t="s">
        <v>7323</v>
      </c>
      <c r="I3618" s="407">
        <v>3310.54</v>
      </c>
    </row>
    <row r="3619" spans="1:9" x14ac:dyDescent="0.2">
      <c r="A3619" s="403">
        <v>3618</v>
      </c>
      <c r="B3619" s="404">
        <v>45037</v>
      </c>
      <c r="C3619" s="404">
        <v>45056</v>
      </c>
      <c r="D3619" s="405" t="s">
        <v>1092</v>
      </c>
      <c r="E3619" s="405" t="s">
        <v>422</v>
      </c>
      <c r="F3619" s="405" t="s">
        <v>396</v>
      </c>
      <c r="G3619" s="405" t="s">
        <v>7324</v>
      </c>
      <c r="H3619" s="405" t="s">
        <v>7331</v>
      </c>
      <c r="I3619" s="407">
        <v>18865.330000000002</v>
      </c>
    </row>
    <row r="3620" spans="1:9" x14ac:dyDescent="0.2">
      <c r="A3620" s="403">
        <v>3619</v>
      </c>
      <c r="B3620" s="404">
        <v>45037</v>
      </c>
      <c r="C3620" s="404">
        <v>45056</v>
      </c>
      <c r="D3620" s="405" t="s">
        <v>1092</v>
      </c>
      <c r="E3620" s="405" t="s">
        <v>422</v>
      </c>
      <c r="F3620" s="405" t="s">
        <v>396</v>
      </c>
      <c r="G3620" s="405" t="s">
        <v>7325</v>
      </c>
      <c r="H3620" s="405" t="s">
        <v>7332</v>
      </c>
      <c r="I3620" s="407">
        <v>3480</v>
      </c>
    </row>
    <row r="3621" spans="1:9" x14ac:dyDescent="0.2">
      <c r="A3621" s="403">
        <v>3620</v>
      </c>
      <c r="B3621" s="404">
        <v>45037</v>
      </c>
      <c r="C3621" s="404">
        <v>45056</v>
      </c>
      <c r="D3621" s="405" t="s">
        <v>1092</v>
      </c>
      <c r="E3621" s="405" t="s">
        <v>422</v>
      </c>
      <c r="F3621" s="405" t="s">
        <v>71</v>
      </c>
      <c r="G3621" s="405" t="s">
        <v>7326</v>
      </c>
      <c r="H3621" s="405" t="s">
        <v>7333</v>
      </c>
      <c r="I3621" s="407">
        <v>3511.36</v>
      </c>
    </row>
    <row r="3622" spans="1:9" x14ac:dyDescent="0.2">
      <c r="A3622" s="403">
        <v>3621</v>
      </c>
      <c r="B3622" s="404">
        <v>45037</v>
      </c>
      <c r="C3622" s="404">
        <v>45056</v>
      </c>
      <c r="D3622" s="405" t="s">
        <v>1092</v>
      </c>
      <c r="E3622" s="405" t="s">
        <v>422</v>
      </c>
      <c r="F3622" s="405" t="s">
        <v>701</v>
      </c>
      <c r="G3622" s="405" t="s">
        <v>7327</v>
      </c>
      <c r="H3622" s="405" t="s">
        <v>7334</v>
      </c>
      <c r="I3622" s="407">
        <v>79100</v>
      </c>
    </row>
    <row r="3623" spans="1:9" x14ac:dyDescent="0.2">
      <c r="A3623" s="403">
        <v>3622</v>
      </c>
      <c r="B3623" s="404">
        <v>45037</v>
      </c>
      <c r="C3623" s="404">
        <v>45068</v>
      </c>
      <c r="D3623" s="405" t="s">
        <v>1092</v>
      </c>
      <c r="E3623" s="405" t="s">
        <v>392</v>
      </c>
      <c r="F3623" s="405" t="s">
        <v>9</v>
      </c>
      <c r="G3623" s="405" t="s">
        <v>7328</v>
      </c>
      <c r="H3623" s="405" t="s">
        <v>7335</v>
      </c>
      <c r="I3623" s="407">
        <v>759095.34</v>
      </c>
    </row>
    <row r="3624" spans="1:9" x14ac:dyDescent="0.2">
      <c r="A3624" s="403">
        <v>3623</v>
      </c>
      <c r="B3624" s="404">
        <v>45037</v>
      </c>
      <c r="C3624" s="404">
        <v>45068</v>
      </c>
      <c r="D3624" s="405" t="s">
        <v>1092</v>
      </c>
      <c r="E3624" s="405" t="s">
        <v>422</v>
      </c>
      <c r="F3624" s="405" t="s">
        <v>396</v>
      </c>
      <c r="G3624" s="405" t="s">
        <v>7329</v>
      </c>
      <c r="H3624" s="405" t="s">
        <v>7336</v>
      </c>
      <c r="I3624" s="407">
        <v>507361.8</v>
      </c>
    </row>
    <row r="3625" spans="1:9" x14ac:dyDescent="0.2">
      <c r="A3625" s="403">
        <v>3624</v>
      </c>
      <c r="B3625" s="404">
        <v>45037</v>
      </c>
      <c r="C3625" s="404">
        <v>45056</v>
      </c>
      <c r="D3625" s="405" t="s">
        <v>1092</v>
      </c>
      <c r="E3625" s="405" t="s">
        <v>392</v>
      </c>
      <c r="F3625" s="405" t="s">
        <v>701</v>
      </c>
      <c r="G3625" s="405" t="s">
        <v>7330</v>
      </c>
      <c r="H3625" s="405" t="s">
        <v>7337</v>
      </c>
      <c r="I3625" s="407">
        <v>25000</v>
      </c>
    </row>
    <row r="3626" spans="1:9" x14ac:dyDescent="0.2">
      <c r="A3626" s="403">
        <v>3625</v>
      </c>
      <c r="B3626" s="404">
        <v>45040</v>
      </c>
      <c r="C3626" s="404">
        <v>45068</v>
      </c>
      <c r="D3626" s="405" t="s">
        <v>1092</v>
      </c>
      <c r="E3626" s="405" t="s">
        <v>392</v>
      </c>
      <c r="F3626" s="405" t="s">
        <v>9</v>
      </c>
      <c r="G3626" s="405" t="s">
        <v>7338</v>
      </c>
      <c r="H3626" s="405" t="s">
        <v>7341</v>
      </c>
      <c r="I3626" s="405">
        <v>328800.61</v>
      </c>
    </row>
    <row r="3627" spans="1:9" x14ac:dyDescent="0.2">
      <c r="A3627" s="403">
        <v>3626</v>
      </c>
      <c r="B3627" s="404">
        <v>45040</v>
      </c>
      <c r="C3627" s="404">
        <v>45061</v>
      </c>
      <c r="D3627" s="405" t="s">
        <v>1092</v>
      </c>
      <c r="E3627" s="405" t="s">
        <v>392</v>
      </c>
      <c r="F3627" s="405" t="s">
        <v>71</v>
      </c>
      <c r="G3627" s="405" t="s">
        <v>7339</v>
      </c>
      <c r="H3627" s="405" t="s">
        <v>7342</v>
      </c>
      <c r="I3627" s="407">
        <v>7042.4</v>
      </c>
    </row>
    <row r="3628" spans="1:9" x14ac:dyDescent="0.2">
      <c r="A3628" s="403">
        <v>3627</v>
      </c>
      <c r="B3628" s="404">
        <v>45040</v>
      </c>
      <c r="C3628" s="404">
        <v>45061</v>
      </c>
      <c r="D3628" s="405" t="s">
        <v>1092</v>
      </c>
      <c r="E3628" s="405" t="s">
        <v>392</v>
      </c>
      <c r="F3628" s="405" t="s">
        <v>396</v>
      </c>
      <c r="G3628" s="405" t="s">
        <v>7340</v>
      </c>
      <c r="H3628" s="405" t="s">
        <v>7343</v>
      </c>
      <c r="I3628" s="407">
        <v>27252.1</v>
      </c>
    </row>
    <row r="3629" spans="1:9" x14ac:dyDescent="0.2">
      <c r="A3629" s="403">
        <v>3628</v>
      </c>
      <c r="B3629" s="404">
        <v>45041</v>
      </c>
      <c r="C3629" s="404">
        <v>45061</v>
      </c>
      <c r="D3629" s="405" t="s">
        <v>1092</v>
      </c>
      <c r="E3629" s="405" t="s">
        <v>392</v>
      </c>
      <c r="F3629" s="405" t="s">
        <v>393</v>
      </c>
      <c r="G3629" s="405" t="s">
        <v>7344</v>
      </c>
      <c r="H3629" s="405" t="s">
        <v>7345</v>
      </c>
      <c r="I3629" s="407">
        <v>5155.49</v>
      </c>
    </row>
    <row r="3630" spans="1:9" x14ac:dyDescent="0.2">
      <c r="A3630" s="403">
        <v>3629</v>
      </c>
      <c r="B3630" s="404">
        <v>45042</v>
      </c>
      <c r="C3630" s="404">
        <v>45063</v>
      </c>
      <c r="D3630" s="405" t="s">
        <v>1092</v>
      </c>
      <c r="E3630" s="405" t="s">
        <v>422</v>
      </c>
      <c r="F3630" s="405" t="s">
        <v>396</v>
      </c>
      <c r="G3630" s="405" t="s">
        <v>7346</v>
      </c>
      <c r="H3630" s="405" t="s">
        <v>7349</v>
      </c>
      <c r="I3630" s="407">
        <v>8997.0400000000009</v>
      </c>
    </row>
    <row r="3631" spans="1:9" x14ac:dyDescent="0.2">
      <c r="A3631" s="403">
        <v>3630</v>
      </c>
      <c r="B3631" s="404">
        <v>45042</v>
      </c>
      <c r="C3631" s="404">
        <v>45063</v>
      </c>
      <c r="D3631" s="405" t="s">
        <v>1092</v>
      </c>
      <c r="E3631" s="405" t="s">
        <v>422</v>
      </c>
      <c r="F3631" s="405" t="s">
        <v>71</v>
      </c>
      <c r="G3631" s="405" t="s">
        <v>7347</v>
      </c>
      <c r="H3631" s="405" t="s">
        <v>7350</v>
      </c>
      <c r="I3631" s="407">
        <v>29780.61</v>
      </c>
    </row>
    <row r="3632" spans="1:9" x14ac:dyDescent="0.2">
      <c r="A3632" s="403">
        <v>3631</v>
      </c>
      <c r="B3632" s="404">
        <v>45042</v>
      </c>
      <c r="C3632" s="404">
        <v>45063</v>
      </c>
      <c r="D3632" s="405" t="s">
        <v>1092</v>
      </c>
      <c r="E3632" s="405" t="s">
        <v>422</v>
      </c>
      <c r="F3632" s="405" t="s">
        <v>396</v>
      </c>
      <c r="G3632" s="405" t="s">
        <v>7348</v>
      </c>
      <c r="H3632" s="405" t="s">
        <v>7351</v>
      </c>
      <c r="I3632" s="407">
        <v>125539.46</v>
      </c>
    </row>
    <row r="3633" spans="1:9" x14ac:dyDescent="0.2">
      <c r="A3633" s="403">
        <v>3632</v>
      </c>
      <c r="B3633" s="404">
        <v>45043</v>
      </c>
      <c r="C3633" s="404">
        <v>45061</v>
      </c>
      <c r="D3633" s="405" t="s">
        <v>1092</v>
      </c>
      <c r="E3633" s="405" t="s">
        <v>392</v>
      </c>
      <c r="F3633" s="405" t="s">
        <v>71</v>
      </c>
      <c r="G3633" s="405" t="s">
        <v>7352</v>
      </c>
      <c r="H3633" s="405" t="s">
        <v>7371</v>
      </c>
      <c r="I3633" s="407">
        <v>7816.52</v>
      </c>
    </row>
    <row r="3634" spans="1:9" x14ac:dyDescent="0.2">
      <c r="A3634" s="403">
        <v>3633</v>
      </c>
      <c r="B3634" s="404">
        <v>45043</v>
      </c>
      <c r="C3634" s="404">
        <v>45061</v>
      </c>
      <c r="D3634" s="405" t="s">
        <v>1092</v>
      </c>
      <c r="E3634" s="405" t="s">
        <v>392</v>
      </c>
      <c r="F3634" s="405" t="s">
        <v>396</v>
      </c>
      <c r="G3634" s="405" t="s">
        <v>7353</v>
      </c>
      <c r="H3634" s="405" t="s">
        <v>7372</v>
      </c>
      <c r="I3634" s="407">
        <v>51480</v>
      </c>
    </row>
    <row r="3635" spans="1:9" x14ac:dyDescent="0.2">
      <c r="A3635" s="403">
        <v>3634</v>
      </c>
      <c r="B3635" s="404">
        <v>45043</v>
      </c>
      <c r="C3635" s="404">
        <v>45061</v>
      </c>
      <c r="D3635" s="405" t="s">
        <v>1092</v>
      </c>
      <c r="E3635" s="405" t="s">
        <v>392</v>
      </c>
      <c r="F3635" s="405" t="s">
        <v>393</v>
      </c>
      <c r="G3635" s="405" t="s">
        <v>7354</v>
      </c>
      <c r="H3635" s="405" t="s">
        <v>7373</v>
      </c>
      <c r="I3635" s="407">
        <v>6110.24</v>
      </c>
    </row>
    <row r="3636" spans="1:9" x14ac:dyDescent="0.2">
      <c r="A3636" s="403">
        <v>3635</v>
      </c>
      <c r="B3636" s="404">
        <v>45043</v>
      </c>
      <c r="C3636" s="404">
        <v>45061</v>
      </c>
      <c r="D3636" s="405" t="s">
        <v>1092</v>
      </c>
      <c r="E3636" s="405" t="s">
        <v>422</v>
      </c>
      <c r="F3636" s="405" t="s">
        <v>396</v>
      </c>
      <c r="G3636" s="405" t="s">
        <v>7355</v>
      </c>
      <c r="H3636" s="405" t="s">
        <v>7374</v>
      </c>
      <c r="I3636" s="407">
        <v>178616.95999999999</v>
      </c>
    </row>
    <row r="3637" spans="1:9" x14ac:dyDescent="0.2">
      <c r="A3637" s="403">
        <v>3636</v>
      </c>
      <c r="B3637" s="404">
        <v>45043</v>
      </c>
      <c r="C3637" s="404">
        <v>45061</v>
      </c>
      <c r="D3637" s="405" t="s">
        <v>1092</v>
      </c>
      <c r="E3637" s="405" t="s">
        <v>422</v>
      </c>
      <c r="F3637" s="405" t="s">
        <v>71</v>
      </c>
      <c r="G3637" s="405" t="s">
        <v>7356</v>
      </c>
      <c r="H3637" s="405" t="s">
        <v>7375</v>
      </c>
      <c r="I3637" s="407">
        <v>48354.98</v>
      </c>
    </row>
    <row r="3638" spans="1:9" x14ac:dyDescent="0.2">
      <c r="A3638" s="403">
        <v>3637</v>
      </c>
      <c r="B3638" s="404">
        <v>45043</v>
      </c>
      <c r="C3638" s="404">
        <v>45061</v>
      </c>
      <c r="D3638" s="405" t="s">
        <v>1092</v>
      </c>
      <c r="E3638" s="405" t="s">
        <v>422</v>
      </c>
      <c r="F3638" s="405" t="s">
        <v>396</v>
      </c>
      <c r="G3638" s="405" t="s">
        <v>7357</v>
      </c>
      <c r="H3638" s="405" t="s">
        <v>7376</v>
      </c>
      <c r="I3638" s="407">
        <v>19464.89</v>
      </c>
    </row>
    <row r="3639" spans="1:9" x14ac:dyDescent="0.2">
      <c r="A3639" s="403">
        <v>3638</v>
      </c>
      <c r="B3639" s="404">
        <v>45043</v>
      </c>
      <c r="C3639" s="404">
        <v>45061</v>
      </c>
      <c r="D3639" s="405" t="s">
        <v>1092</v>
      </c>
      <c r="E3639" s="405" t="s">
        <v>422</v>
      </c>
      <c r="F3639" s="405" t="s">
        <v>396</v>
      </c>
      <c r="G3639" s="405" t="s">
        <v>7358</v>
      </c>
      <c r="H3639" s="405" t="s">
        <v>7377</v>
      </c>
      <c r="I3639" s="407">
        <v>182750</v>
      </c>
    </row>
    <row r="3640" spans="1:9" x14ac:dyDescent="0.2">
      <c r="A3640" s="403">
        <v>3639</v>
      </c>
      <c r="B3640" s="404">
        <v>45043</v>
      </c>
      <c r="C3640" s="404">
        <v>45061</v>
      </c>
      <c r="D3640" s="405" t="s">
        <v>1092</v>
      </c>
      <c r="E3640" s="405" t="s">
        <v>422</v>
      </c>
      <c r="F3640" s="405" t="s">
        <v>701</v>
      </c>
      <c r="G3640" s="405" t="s">
        <v>7359</v>
      </c>
      <c r="H3640" s="405" t="s">
        <v>7378</v>
      </c>
      <c r="I3640" s="407">
        <v>84500</v>
      </c>
    </row>
    <row r="3641" spans="1:9" x14ac:dyDescent="0.2">
      <c r="A3641" s="403">
        <v>3640</v>
      </c>
      <c r="B3641" s="404">
        <v>45044</v>
      </c>
      <c r="C3641" s="404">
        <v>45068</v>
      </c>
      <c r="D3641" s="405" t="s">
        <v>1092</v>
      </c>
      <c r="E3641" s="405" t="s">
        <v>392</v>
      </c>
      <c r="F3641" s="405" t="s">
        <v>9</v>
      </c>
      <c r="G3641" s="405" t="s">
        <v>7360</v>
      </c>
      <c r="H3641" s="405" t="s">
        <v>7379</v>
      </c>
      <c r="I3641" s="407">
        <v>78099.64</v>
      </c>
    </row>
    <row r="3642" spans="1:9" x14ac:dyDescent="0.2">
      <c r="A3642" s="403">
        <v>3641</v>
      </c>
      <c r="B3642" s="404">
        <v>45044</v>
      </c>
      <c r="C3642" s="404">
        <v>45068</v>
      </c>
      <c r="D3642" s="405" t="s">
        <v>1092</v>
      </c>
      <c r="E3642" s="405" t="s">
        <v>422</v>
      </c>
      <c r="F3642" s="405" t="s">
        <v>396</v>
      </c>
      <c r="G3642" s="405" t="s">
        <v>7361</v>
      </c>
      <c r="H3642" s="405" t="s">
        <v>7380</v>
      </c>
      <c r="I3642" s="407">
        <v>13403.59</v>
      </c>
    </row>
    <row r="3643" spans="1:9" x14ac:dyDescent="0.2">
      <c r="A3643" s="403">
        <v>3642</v>
      </c>
      <c r="B3643" s="404">
        <v>45044</v>
      </c>
      <c r="C3643" s="404">
        <v>45068</v>
      </c>
      <c r="D3643" s="405" t="s">
        <v>1092</v>
      </c>
      <c r="E3643" s="405" t="s">
        <v>422</v>
      </c>
      <c r="F3643" s="405" t="s">
        <v>71</v>
      </c>
      <c r="G3643" s="405" t="s">
        <v>7362</v>
      </c>
      <c r="H3643" s="405" t="s">
        <v>7381</v>
      </c>
      <c r="I3643" s="407">
        <v>33645.68</v>
      </c>
    </row>
    <row r="3644" spans="1:9" x14ac:dyDescent="0.2">
      <c r="A3644" s="403">
        <v>3643</v>
      </c>
      <c r="B3644" s="404">
        <v>45044</v>
      </c>
      <c r="C3644" s="404">
        <v>45068</v>
      </c>
      <c r="D3644" s="405" t="s">
        <v>1092</v>
      </c>
      <c r="E3644" s="405" t="s">
        <v>422</v>
      </c>
      <c r="F3644" s="405" t="s">
        <v>396</v>
      </c>
      <c r="G3644" s="405" t="s">
        <v>7363</v>
      </c>
      <c r="H3644" s="405" t="s">
        <v>7382</v>
      </c>
      <c r="I3644" s="407">
        <v>23406.16</v>
      </c>
    </row>
    <row r="3645" spans="1:9" x14ac:dyDescent="0.2">
      <c r="A3645" s="403">
        <v>3644</v>
      </c>
      <c r="B3645" s="404">
        <v>45044</v>
      </c>
      <c r="C3645" s="404">
        <v>45068</v>
      </c>
      <c r="D3645" s="405" t="s">
        <v>1092</v>
      </c>
      <c r="E3645" s="405" t="s">
        <v>422</v>
      </c>
      <c r="F3645" s="405" t="s">
        <v>396</v>
      </c>
      <c r="G3645" s="405" t="s">
        <v>7364</v>
      </c>
      <c r="H3645" s="405" t="s">
        <v>7383</v>
      </c>
      <c r="I3645" s="407">
        <v>156558.72</v>
      </c>
    </row>
    <row r="3646" spans="1:9" x14ac:dyDescent="0.2">
      <c r="A3646" s="403">
        <v>3645</v>
      </c>
      <c r="B3646" s="404">
        <v>45044</v>
      </c>
      <c r="C3646" s="404">
        <v>45068</v>
      </c>
      <c r="D3646" s="405" t="s">
        <v>1092</v>
      </c>
      <c r="E3646" s="405" t="s">
        <v>422</v>
      </c>
      <c r="F3646" s="405" t="s">
        <v>701</v>
      </c>
      <c r="G3646" s="405" t="s">
        <v>7365</v>
      </c>
      <c r="H3646" s="405" t="s">
        <v>7384</v>
      </c>
      <c r="I3646" s="407">
        <v>151400</v>
      </c>
    </row>
    <row r="3647" spans="1:9" x14ac:dyDescent="0.2">
      <c r="A3647" s="403">
        <v>3646</v>
      </c>
      <c r="B3647" s="404">
        <v>45044</v>
      </c>
      <c r="C3647" s="404">
        <v>45077</v>
      </c>
      <c r="D3647" s="405" t="s">
        <v>1092</v>
      </c>
      <c r="E3647" s="405" t="s">
        <v>422</v>
      </c>
      <c r="F3647" s="405" t="s">
        <v>396</v>
      </c>
      <c r="G3647" s="405" t="s">
        <v>7366</v>
      </c>
      <c r="H3647" s="405" t="s">
        <v>7385</v>
      </c>
      <c r="I3647" s="407">
        <v>234588.6</v>
      </c>
    </row>
    <row r="3648" spans="1:9" x14ac:dyDescent="0.2">
      <c r="A3648" s="403">
        <v>3647</v>
      </c>
      <c r="B3648" s="404">
        <v>45048</v>
      </c>
      <c r="C3648" s="404">
        <v>45084</v>
      </c>
      <c r="D3648" s="405" t="s">
        <v>1092</v>
      </c>
      <c r="E3648" s="405" t="s">
        <v>422</v>
      </c>
      <c r="F3648" s="405" t="s">
        <v>701</v>
      </c>
      <c r="G3648" s="405" t="s">
        <v>7367</v>
      </c>
      <c r="H3648" s="405" t="s">
        <v>7386</v>
      </c>
      <c r="I3648" s="407">
        <v>381370</v>
      </c>
    </row>
    <row r="3649" spans="1:9" x14ac:dyDescent="0.2">
      <c r="A3649" s="403">
        <v>3648</v>
      </c>
      <c r="B3649" s="404">
        <v>45048</v>
      </c>
      <c r="C3649" s="404">
        <v>45075</v>
      </c>
      <c r="D3649" s="405" t="s">
        <v>1092</v>
      </c>
      <c r="E3649" s="405" t="s">
        <v>392</v>
      </c>
      <c r="F3649" s="405" t="s">
        <v>396</v>
      </c>
      <c r="G3649" s="405" t="s">
        <v>7368</v>
      </c>
      <c r="H3649" s="405" t="s">
        <v>7387</v>
      </c>
      <c r="I3649" s="407">
        <v>595766.23</v>
      </c>
    </row>
    <row r="3650" spans="1:9" x14ac:dyDescent="0.2">
      <c r="A3650" s="403">
        <v>3649</v>
      </c>
      <c r="B3650" s="404">
        <v>45048</v>
      </c>
      <c r="C3650" s="404">
        <v>45068</v>
      </c>
      <c r="D3650" s="405" t="s">
        <v>1092</v>
      </c>
      <c r="E3650" s="405" t="s">
        <v>392</v>
      </c>
      <c r="F3650" s="405" t="s">
        <v>701</v>
      </c>
      <c r="G3650" s="405" t="s">
        <v>7369</v>
      </c>
      <c r="H3650" s="405" t="s">
        <v>7388</v>
      </c>
      <c r="I3650" s="407">
        <v>100000</v>
      </c>
    </row>
    <row r="3651" spans="1:9" x14ac:dyDescent="0.2">
      <c r="A3651" s="403">
        <v>3650</v>
      </c>
      <c r="B3651" s="404">
        <v>45048</v>
      </c>
      <c r="C3651" s="404">
        <v>45068</v>
      </c>
      <c r="D3651" s="405" t="s">
        <v>1092</v>
      </c>
      <c r="E3651" s="405" t="s">
        <v>422</v>
      </c>
      <c r="F3651" s="405" t="s">
        <v>701</v>
      </c>
      <c r="G3651" s="405" t="s">
        <v>7370</v>
      </c>
      <c r="H3651" s="405" t="s">
        <v>7389</v>
      </c>
      <c r="I3651" s="407">
        <v>100000</v>
      </c>
    </row>
    <row r="3652" spans="1:9" x14ac:dyDescent="0.2">
      <c r="A3652" s="403">
        <v>3651</v>
      </c>
      <c r="B3652" s="404">
        <v>45049</v>
      </c>
      <c r="C3652" s="404">
        <v>45068</v>
      </c>
      <c r="D3652" s="405" t="s">
        <v>1092</v>
      </c>
      <c r="E3652" s="405" t="s">
        <v>422</v>
      </c>
      <c r="F3652" s="405" t="s">
        <v>701</v>
      </c>
      <c r="G3652" s="405" t="s">
        <v>7394</v>
      </c>
      <c r="H3652" s="405" t="s">
        <v>7395</v>
      </c>
      <c r="I3652" s="407">
        <v>182750</v>
      </c>
    </row>
    <row r="3653" spans="1:9" x14ac:dyDescent="0.2">
      <c r="A3653" s="403">
        <v>3652</v>
      </c>
      <c r="B3653" s="404">
        <v>45050</v>
      </c>
      <c r="C3653" s="404">
        <v>45068</v>
      </c>
      <c r="D3653" s="405" t="s">
        <v>1092</v>
      </c>
      <c r="E3653" s="405" t="s">
        <v>392</v>
      </c>
      <c r="F3653" s="405" t="s">
        <v>71</v>
      </c>
      <c r="G3653" s="405" t="s">
        <v>7396</v>
      </c>
      <c r="H3653" s="405" t="s">
        <v>7400</v>
      </c>
      <c r="I3653" s="407">
        <v>58474.98</v>
      </c>
    </row>
    <row r="3654" spans="1:9" x14ac:dyDescent="0.2">
      <c r="A3654" s="403">
        <v>3653</v>
      </c>
      <c r="B3654" s="404">
        <v>45050</v>
      </c>
      <c r="C3654" s="404">
        <v>45068</v>
      </c>
      <c r="D3654" s="405" t="s">
        <v>1092</v>
      </c>
      <c r="E3654" s="405" t="s">
        <v>392</v>
      </c>
      <c r="F3654" s="405" t="s">
        <v>393</v>
      </c>
      <c r="G3654" s="405" t="s">
        <v>7397</v>
      </c>
      <c r="H3654" s="405" t="s">
        <v>7401</v>
      </c>
      <c r="I3654" s="407">
        <v>45820</v>
      </c>
    </row>
    <row r="3655" spans="1:9" x14ac:dyDescent="0.2">
      <c r="A3655" s="403">
        <v>3654</v>
      </c>
      <c r="B3655" s="404">
        <v>45050</v>
      </c>
      <c r="C3655" s="404">
        <v>45068</v>
      </c>
      <c r="D3655" s="405" t="s">
        <v>1092</v>
      </c>
      <c r="E3655" s="405" t="s">
        <v>392</v>
      </c>
      <c r="F3655" s="405" t="s">
        <v>71</v>
      </c>
      <c r="G3655" s="405" t="s">
        <v>7398</v>
      </c>
      <c r="H3655" s="405" t="s">
        <v>7402</v>
      </c>
      <c r="I3655" s="407">
        <v>82355.37</v>
      </c>
    </row>
    <row r="3656" spans="1:9" x14ac:dyDescent="0.2">
      <c r="A3656" s="403">
        <v>3655</v>
      </c>
      <c r="B3656" s="404">
        <v>45050</v>
      </c>
      <c r="C3656" s="404">
        <v>45068</v>
      </c>
      <c r="D3656" s="405" t="s">
        <v>1092</v>
      </c>
      <c r="E3656" s="405" t="s">
        <v>422</v>
      </c>
      <c r="F3656" s="405" t="s">
        <v>71</v>
      </c>
      <c r="G3656" s="405" t="s">
        <v>7399</v>
      </c>
      <c r="H3656" s="405" t="s">
        <v>7403</v>
      </c>
      <c r="I3656" s="407">
        <v>90685.48</v>
      </c>
    </row>
    <row r="3657" spans="1:9" x14ac:dyDescent="0.2">
      <c r="A3657" s="403">
        <v>3656</v>
      </c>
      <c r="B3657" s="404">
        <v>45051</v>
      </c>
      <c r="C3657" s="404">
        <v>45068</v>
      </c>
      <c r="D3657" s="405" t="s">
        <v>1092</v>
      </c>
      <c r="E3657" s="405" t="s">
        <v>392</v>
      </c>
      <c r="F3657" s="405" t="s">
        <v>396</v>
      </c>
      <c r="G3657" s="405" t="s">
        <v>7404</v>
      </c>
      <c r="H3657" s="405" t="s">
        <v>7406</v>
      </c>
      <c r="I3657" s="407">
        <v>70538.44</v>
      </c>
    </row>
    <row r="3658" spans="1:9" x14ac:dyDescent="0.2">
      <c r="A3658" s="403">
        <v>3657</v>
      </c>
      <c r="B3658" s="404">
        <v>45051</v>
      </c>
      <c r="C3658" s="404">
        <v>45068</v>
      </c>
      <c r="D3658" s="405" t="s">
        <v>1092</v>
      </c>
      <c r="E3658" s="405" t="s">
        <v>422</v>
      </c>
      <c r="F3658" s="405" t="s">
        <v>701</v>
      </c>
      <c r="G3658" s="405" t="s">
        <v>7405</v>
      </c>
      <c r="H3658" s="405" t="s">
        <v>7407</v>
      </c>
      <c r="I3658" s="407">
        <v>64429.27</v>
      </c>
    </row>
    <row r="3659" spans="1:9" x14ac:dyDescent="0.2">
      <c r="A3659" s="403">
        <v>3658</v>
      </c>
      <c r="B3659" s="404">
        <v>45054</v>
      </c>
      <c r="C3659" s="404">
        <v>45084</v>
      </c>
      <c r="D3659" s="405" t="s">
        <v>1092</v>
      </c>
      <c r="E3659" s="405" t="s">
        <v>422</v>
      </c>
      <c r="F3659" s="405" t="s">
        <v>396</v>
      </c>
      <c r="G3659" s="405" t="s">
        <v>7408</v>
      </c>
      <c r="H3659" s="405" t="s">
        <v>7416</v>
      </c>
      <c r="I3659" s="407">
        <v>276123.96999999997</v>
      </c>
    </row>
    <row r="3660" spans="1:9" x14ac:dyDescent="0.2">
      <c r="A3660" s="403">
        <v>3659</v>
      </c>
      <c r="B3660" s="404">
        <v>45054</v>
      </c>
      <c r="C3660" s="404">
        <v>45084</v>
      </c>
      <c r="D3660" s="405" t="s">
        <v>1092</v>
      </c>
      <c r="E3660" s="405" t="s">
        <v>392</v>
      </c>
      <c r="F3660" s="405" t="s">
        <v>393</v>
      </c>
      <c r="G3660" s="405" t="s">
        <v>7409</v>
      </c>
      <c r="H3660" s="405" t="s">
        <v>7417</v>
      </c>
      <c r="I3660" s="407">
        <v>223200</v>
      </c>
    </row>
    <row r="3661" spans="1:9" x14ac:dyDescent="0.2">
      <c r="A3661" s="403">
        <v>3660</v>
      </c>
      <c r="B3661" s="404">
        <v>45054</v>
      </c>
      <c r="C3661" s="404">
        <v>45077</v>
      </c>
      <c r="D3661" s="405" t="s">
        <v>1092</v>
      </c>
      <c r="E3661" s="405" t="s">
        <v>422</v>
      </c>
      <c r="F3661" s="405" t="s">
        <v>396</v>
      </c>
      <c r="G3661" s="405" t="s">
        <v>7410</v>
      </c>
      <c r="H3661" s="405" t="s">
        <v>7418</v>
      </c>
      <c r="I3661" s="407">
        <v>7561.99</v>
      </c>
    </row>
    <row r="3662" spans="1:9" x14ac:dyDescent="0.2">
      <c r="A3662" s="403">
        <v>3661</v>
      </c>
      <c r="B3662" s="404">
        <v>45054</v>
      </c>
      <c r="C3662" s="404">
        <v>45077</v>
      </c>
      <c r="D3662" s="405" t="s">
        <v>1092</v>
      </c>
      <c r="E3662" s="405" t="s">
        <v>422</v>
      </c>
      <c r="F3662" s="405" t="s">
        <v>396</v>
      </c>
      <c r="G3662" s="405" t="s">
        <v>7411</v>
      </c>
      <c r="H3662" s="405" t="s">
        <v>7419</v>
      </c>
      <c r="I3662" s="407">
        <v>27777.200000000001</v>
      </c>
    </row>
    <row r="3663" spans="1:9" x14ac:dyDescent="0.2">
      <c r="A3663" s="403">
        <v>3662</v>
      </c>
      <c r="B3663" s="404">
        <v>45054</v>
      </c>
      <c r="C3663" s="404">
        <v>45077</v>
      </c>
      <c r="D3663" s="405" t="s">
        <v>1092</v>
      </c>
      <c r="E3663" s="405" t="s">
        <v>422</v>
      </c>
      <c r="F3663" s="405" t="s">
        <v>71</v>
      </c>
      <c r="G3663" s="405" t="s">
        <v>7412</v>
      </c>
      <c r="H3663" s="405" t="s">
        <v>7420</v>
      </c>
      <c r="I3663" s="407">
        <v>10138.83</v>
      </c>
    </row>
    <row r="3664" spans="1:9" x14ac:dyDescent="0.2">
      <c r="A3664" s="403">
        <v>3663</v>
      </c>
      <c r="B3664" s="404">
        <v>45054</v>
      </c>
      <c r="C3664" s="404">
        <v>45084</v>
      </c>
      <c r="D3664" s="405" t="s">
        <v>1092</v>
      </c>
      <c r="E3664" s="405" t="s">
        <v>422</v>
      </c>
      <c r="F3664" s="405" t="s">
        <v>396</v>
      </c>
      <c r="G3664" s="405" t="s">
        <v>7413</v>
      </c>
      <c r="H3664" s="405" t="s">
        <v>7421</v>
      </c>
      <c r="I3664" s="407">
        <v>27069.86</v>
      </c>
    </row>
    <row r="3665" spans="1:9" x14ac:dyDescent="0.2">
      <c r="A3665" s="403">
        <v>3664</v>
      </c>
      <c r="B3665" s="404">
        <v>45054</v>
      </c>
      <c r="C3665" s="404">
        <v>45084</v>
      </c>
      <c r="D3665" s="405" t="s">
        <v>1092</v>
      </c>
      <c r="E3665" s="416" t="s">
        <v>422</v>
      </c>
      <c r="F3665" s="405" t="s">
        <v>71</v>
      </c>
      <c r="G3665" s="405" t="s">
        <v>7414</v>
      </c>
      <c r="H3665" s="405" t="s">
        <v>7422</v>
      </c>
      <c r="I3665" s="407">
        <v>5243.77</v>
      </c>
    </row>
    <row r="3666" spans="1:9" x14ac:dyDescent="0.2">
      <c r="A3666" s="403">
        <v>3665</v>
      </c>
      <c r="B3666" s="404">
        <v>45054</v>
      </c>
      <c r="C3666" s="404">
        <v>45084</v>
      </c>
      <c r="D3666" s="405" t="s">
        <v>1092</v>
      </c>
      <c r="E3666" s="405" t="s">
        <v>422</v>
      </c>
      <c r="F3666" s="405" t="s">
        <v>396</v>
      </c>
      <c r="G3666" s="405" t="s">
        <v>7415</v>
      </c>
      <c r="H3666" s="405" t="s">
        <v>7423</v>
      </c>
      <c r="I3666" s="407">
        <v>4165.78</v>
      </c>
    </row>
    <row r="3667" spans="1:9" x14ac:dyDescent="0.2">
      <c r="A3667" s="403">
        <v>3666</v>
      </c>
      <c r="B3667" s="404">
        <v>45055</v>
      </c>
      <c r="C3667" s="404">
        <v>45077</v>
      </c>
      <c r="D3667" s="405" t="s">
        <v>1092</v>
      </c>
      <c r="E3667" s="405" t="s">
        <v>392</v>
      </c>
      <c r="F3667" s="405" t="s">
        <v>71</v>
      </c>
      <c r="G3667" s="405" t="s">
        <v>7424</v>
      </c>
      <c r="H3667" s="405" t="s">
        <v>7425</v>
      </c>
      <c r="I3667" s="407">
        <v>3777.75</v>
      </c>
    </row>
    <row r="3668" spans="1:9" x14ac:dyDescent="0.2">
      <c r="A3668" s="403">
        <v>3667</v>
      </c>
      <c r="B3668" s="404">
        <v>45057</v>
      </c>
      <c r="C3668" s="404">
        <v>45089</v>
      </c>
      <c r="D3668" s="405" t="s">
        <v>1092</v>
      </c>
      <c r="E3668" s="405" t="s">
        <v>392</v>
      </c>
      <c r="F3668" s="405" t="s">
        <v>71</v>
      </c>
      <c r="G3668" s="405" t="s">
        <v>7426</v>
      </c>
      <c r="H3668" s="405" t="s">
        <v>7439</v>
      </c>
      <c r="I3668" s="407">
        <v>304044.98</v>
      </c>
    </row>
    <row r="3669" spans="1:9" x14ac:dyDescent="0.2">
      <c r="A3669" s="403">
        <v>3668</v>
      </c>
      <c r="B3669" s="404">
        <v>45057</v>
      </c>
      <c r="C3669" s="404">
        <v>45075</v>
      </c>
      <c r="D3669" s="405" t="s">
        <v>1092</v>
      </c>
      <c r="E3669" s="405" t="s">
        <v>422</v>
      </c>
      <c r="F3669" s="405" t="s">
        <v>396</v>
      </c>
      <c r="G3669" s="405" t="s">
        <v>7427</v>
      </c>
      <c r="H3669" s="405" t="s">
        <v>7440</v>
      </c>
      <c r="I3669" s="407">
        <v>51178</v>
      </c>
    </row>
    <row r="3670" spans="1:9" x14ac:dyDescent="0.2">
      <c r="A3670" s="403">
        <v>3669</v>
      </c>
      <c r="B3670" s="404">
        <v>45057</v>
      </c>
      <c r="C3670" s="404">
        <v>45075</v>
      </c>
      <c r="D3670" s="405" t="s">
        <v>1092</v>
      </c>
      <c r="E3670" s="405" t="s">
        <v>422</v>
      </c>
      <c r="F3670" s="405" t="s">
        <v>396</v>
      </c>
      <c r="G3670" s="405" t="s">
        <v>7428</v>
      </c>
      <c r="H3670" s="405" t="s">
        <v>7441</v>
      </c>
      <c r="I3670" s="407">
        <v>85714.32</v>
      </c>
    </row>
    <row r="3671" spans="1:9" x14ac:dyDescent="0.2">
      <c r="A3671" s="403">
        <v>3670</v>
      </c>
      <c r="B3671" s="404">
        <v>45057</v>
      </c>
      <c r="C3671" s="404">
        <v>45075</v>
      </c>
      <c r="D3671" s="405" t="s">
        <v>1092</v>
      </c>
      <c r="E3671" s="405" t="s">
        <v>422</v>
      </c>
      <c r="F3671" s="405" t="s">
        <v>396</v>
      </c>
      <c r="G3671" s="405" t="s">
        <v>7429</v>
      </c>
      <c r="H3671" s="405" t="s">
        <v>7442</v>
      </c>
      <c r="I3671" s="407">
        <v>42590.27</v>
      </c>
    </row>
    <row r="3672" spans="1:9" x14ac:dyDescent="0.2">
      <c r="A3672" s="403">
        <v>3671</v>
      </c>
      <c r="B3672" s="404">
        <v>45057</v>
      </c>
      <c r="C3672" s="404">
        <v>45075</v>
      </c>
      <c r="D3672" s="405" t="s">
        <v>1092</v>
      </c>
      <c r="E3672" s="405" t="s">
        <v>422</v>
      </c>
      <c r="F3672" s="405" t="s">
        <v>396</v>
      </c>
      <c r="G3672" s="405" t="s">
        <v>7430</v>
      </c>
      <c r="H3672" s="405" t="s">
        <v>7443</v>
      </c>
      <c r="I3672" s="407">
        <v>54113.04</v>
      </c>
    </row>
    <row r="3673" spans="1:9" x14ac:dyDescent="0.2">
      <c r="A3673" s="403">
        <v>3672</v>
      </c>
      <c r="B3673" s="404">
        <v>45057</v>
      </c>
      <c r="C3673" s="404">
        <v>45077</v>
      </c>
      <c r="D3673" s="405" t="s">
        <v>1092</v>
      </c>
      <c r="E3673" s="405" t="s">
        <v>422</v>
      </c>
      <c r="F3673" s="405" t="s">
        <v>396</v>
      </c>
      <c r="G3673" s="405" t="s">
        <v>7431</v>
      </c>
      <c r="H3673" s="405" t="s">
        <v>7444</v>
      </c>
      <c r="I3673" s="407">
        <v>36109.300000000003</v>
      </c>
    </row>
    <row r="3674" spans="1:9" x14ac:dyDescent="0.2">
      <c r="A3674" s="403">
        <v>3673</v>
      </c>
      <c r="B3674" s="404">
        <v>45057</v>
      </c>
      <c r="C3674" s="404">
        <v>45084</v>
      </c>
      <c r="D3674" s="405" t="s">
        <v>1092</v>
      </c>
      <c r="E3674" s="405" t="s">
        <v>422</v>
      </c>
      <c r="F3674" s="405" t="s">
        <v>396</v>
      </c>
      <c r="G3674" s="405" t="s">
        <v>7432</v>
      </c>
      <c r="H3674" s="405" t="s">
        <v>7445</v>
      </c>
      <c r="I3674" s="407">
        <v>169392.16</v>
      </c>
    </row>
    <row r="3675" spans="1:9" x14ac:dyDescent="0.2">
      <c r="A3675" s="403">
        <v>3674</v>
      </c>
      <c r="B3675" s="404">
        <v>45057</v>
      </c>
      <c r="C3675" s="404">
        <v>45077</v>
      </c>
      <c r="D3675" s="405" t="s">
        <v>1092</v>
      </c>
      <c r="E3675" s="405" t="s">
        <v>422</v>
      </c>
      <c r="F3675" s="405" t="s">
        <v>396</v>
      </c>
      <c r="G3675" s="405" t="s">
        <v>7433</v>
      </c>
      <c r="H3675" s="405" t="s">
        <v>7446</v>
      </c>
      <c r="I3675" s="407">
        <v>35674.75</v>
      </c>
    </row>
    <row r="3676" spans="1:9" x14ac:dyDescent="0.2">
      <c r="A3676" s="403">
        <v>3675</v>
      </c>
      <c r="B3676" s="404">
        <v>45057</v>
      </c>
      <c r="C3676" s="404">
        <v>45075</v>
      </c>
      <c r="D3676" s="405" t="s">
        <v>1092</v>
      </c>
      <c r="E3676" s="405" t="s">
        <v>422</v>
      </c>
      <c r="F3676" s="405" t="s">
        <v>396</v>
      </c>
      <c r="G3676" s="405" t="s">
        <v>7434</v>
      </c>
      <c r="H3676" s="405" t="s">
        <v>7447</v>
      </c>
      <c r="I3676" s="407">
        <v>18349.810000000001</v>
      </c>
    </row>
    <row r="3677" spans="1:9" x14ac:dyDescent="0.2">
      <c r="A3677" s="403">
        <v>3676</v>
      </c>
      <c r="B3677" s="404">
        <v>45057</v>
      </c>
      <c r="C3677" s="404">
        <v>45077</v>
      </c>
      <c r="D3677" s="405" t="s">
        <v>1092</v>
      </c>
      <c r="E3677" s="405" t="s">
        <v>422</v>
      </c>
      <c r="F3677" s="405" t="s">
        <v>396</v>
      </c>
      <c r="G3677" s="405" t="s">
        <v>7435</v>
      </c>
      <c r="H3677" s="405" t="s">
        <v>7448</v>
      </c>
      <c r="I3677" s="407">
        <v>83569.789999999994</v>
      </c>
    </row>
    <row r="3678" spans="1:9" x14ac:dyDescent="0.2">
      <c r="A3678" s="403">
        <v>3677</v>
      </c>
      <c r="B3678" s="404">
        <v>45057</v>
      </c>
      <c r="C3678" s="404">
        <v>45077</v>
      </c>
      <c r="D3678" s="405" t="s">
        <v>1092</v>
      </c>
      <c r="E3678" s="405" t="s">
        <v>422</v>
      </c>
      <c r="F3678" s="405" t="s">
        <v>396</v>
      </c>
      <c r="G3678" s="405" t="s">
        <v>7436</v>
      </c>
      <c r="H3678" s="405" t="s">
        <v>7449</v>
      </c>
      <c r="I3678" s="407">
        <v>20528.59</v>
      </c>
    </row>
    <row r="3679" spans="1:9" x14ac:dyDescent="0.2">
      <c r="A3679" s="403">
        <v>3678</v>
      </c>
      <c r="B3679" s="404">
        <v>45057</v>
      </c>
      <c r="C3679" s="404">
        <v>45077</v>
      </c>
      <c r="D3679" s="405" t="s">
        <v>1092</v>
      </c>
      <c r="E3679" s="416" t="s">
        <v>422</v>
      </c>
      <c r="F3679" s="405" t="s">
        <v>396</v>
      </c>
      <c r="G3679" s="405" t="s">
        <v>7437</v>
      </c>
      <c r="H3679" s="405" t="s">
        <v>7450</v>
      </c>
      <c r="I3679" s="407">
        <v>15985.7</v>
      </c>
    </row>
    <row r="3680" spans="1:9" x14ac:dyDescent="0.2">
      <c r="A3680" s="403">
        <v>3679</v>
      </c>
      <c r="B3680" s="404">
        <v>45057</v>
      </c>
      <c r="C3680" s="404">
        <v>45075</v>
      </c>
      <c r="D3680" s="405" t="s">
        <v>1092</v>
      </c>
      <c r="E3680" s="405" t="s">
        <v>422</v>
      </c>
      <c r="F3680" s="405" t="s">
        <v>396</v>
      </c>
      <c r="G3680" s="405" t="s">
        <v>7438</v>
      </c>
      <c r="H3680" s="405" t="s">
        <v>7451</v>
      </c>
      <c r="I3680" s="407">
        <v>37691.26</v>
      </c>
    </row>
    <row r="3681" spans="1:9" x14ac:dyDescent="0.2">
      <c r="A3681" s="403">
        <v>3680</v>
      </c>
      <c r="B3681" s="404">
        <v>45058</v>
      </c>
      <c r="C3681" s="404">
        <v>45077</v>
      </c>
      <c r="D3681" s="405" t="s">
        <v>1092</v>
      </c>
      <c r="E3681" s="405" t="s">
        <v>422</v>
      </c>
      <c r="F3681" s="405" t="s">
        <v>396</v>
      </c>
      <c r="G3681" s="405" t="s">
        <v>7452</v>
      </c>
      <c r="H3681" s="405" t="s">
        <v>7459</v>
      </c>
      <c r="I3681" s="407">
        <v>38304.74</v>
      </c>
    </row>
    <row r="3682" spans="1:9" x14ac:dyDescent="0.2">
      <c r="A3682" s="403">
        <v>3681</v>
      </c>
      <c r="B3682" s="404">
        <v>45058</v>
      </c>
      <c r="C3682" s="404">
        <v>45084</v>
      </c>
      <c r="D3682" s="405" t="s">
        <v>1092</v>
      </c>
      <c r="E3682" s="405" t="s">
        <v>422</v>
      </c>
      <c r="F3682" s="405" t="s">
        <v>396</v>
      </c>
      <c r="G3682" s="405" t="s">
        <v>7453</v>
      </c>
      <c r="H3682" s="405" t="s">
        <v>7460</v>
      </c>
      <c r="I3682" s="407">
        <v>132932.35999999999</v>
      </c>
    </row>
    <row r="3683" spans="1:9" x14ac:dyDescent="0.2">
      <c r="A3683" s="403">
        <v>3682</v>
      </c>
      <c r="B3683" s="404">
        <v>45058</v>
      </c>
      <c r="C3683" s="404">
        <v>45077</v>
      </c>
      <c r="D3683" s="405" t="s">
        <v>1092</v>
      </c>
      <c r="E3683" s="405" t="s">
        <v>422</v>
      </c>
      <c r="F3683" s="405" t="s">
        <v>396</v>
      </c>
      <c r="G3683" s="405" t="s">
        <v>7454</v>
      </c>
      <c r="H3683" s="405" t="s">
        <v>7461</v>
      </c>
      <c r="I3683" s="407">
        <v>56104.51</v>
      </c>
    </row>
    <row r="3684" spans="1:9" x14ac:dyDescent="0.2">
      <c r="A3684" s="403">
        <v>3683</v>
      </c>
      <c r="B3684" s="404">
        <v>45058</v>
      </c>
      <c r="C3684" s="404">
        <v>45075</v>
      </c>
      <c r="D3684" s="405" t="s">
        <v>1092</v>
      </c>
      <c r="E3684" s="405" t="s">
        <v>422</v>
      </c>
      <c r="F3684" s="405" t="s">
        <v>396</v>
      </c>
      <c r="G3684" s="405" t="s">
        <v>7455</v>
      </c>
      <c r="H3684" s="405" t="s">
        <v>7462</v>
      </c>
      <c r="I3684" s="407">
        <v>25889.439999999999</v>
      </c>
    </row>
    <row r="3685" spans="1:9" x14ac:dyDescent="0.2">
      <c r="A3685" s="403">
        <v>3684</v>
      </c>
      <c r="B3685" s="404">
        <v>45058</v>
      </c>
      <c r="C3685" s="404">
        <v>45089</v>
      </c>
      <c r="D3685" s="405" t="s">
        <v>1092</v>
      </c>
      <c r="E3685" s="405" t="s">
        <v>392</v>
      </c>
      <c r="F3685" s="405" t="s">
        <v>396</v>
      </c>
      <c r="G3685" s="405" t="s">
        <v>7456</v>
      </c>
      <c r="H3685" s="405" t="s">
        <v>7463</v>
      </c>
      <c r="I3685" s="407">
        <v>283579.93</v>
      </c>
    </row>
    <row r="3686" spans="1:9" x14ac:dyDescent="0.2">
      <c r="A3686" s="403">
        <v>3685</v>
      </c>
      <c r="B3686" s="404">
        <v>45058</v>
      </c>
      <c r="C3686" s="404">
        <v>45077</v>
      </c>
      <c r="D3686" s="405" t="s">
        <v>1092</v>
      </c>
      <c r="E3686" s="405" t="s">
        <v>422</v>
      </c>
      <c r="F3686" s="405" t="s">
        <v>396</v>
      </c>
      <c r="G3686" s="405" t="s">
        <v>7457</v>
      </c>
      <c r="H3686" s="405" t="s">
        <v>7464</v>
      </c>
      <c r="I3686" s="407">
        <v>15363.11</v>
      </c>
    </row>
    <row r="3687" spans="1:9" x14ac:dyDescent="0.2">
      <c r="A3687" s="403">
        <v>3686</v>
      </c>
      <c r="B3687" s="404">
        <v>45058</v>
      </c>
      <c r="C3687" s="404">
        <v>45075</v>
      </c>
      <c r="D3687" s="405" t="s">
        <v>1092</v>
      </c>
      <c r="E3687" s="405" t="s">
        <v>422</v>
      </c>
      <c r="F3687" s="405" t="s">
        <v>396</v>
      </c>
      <c r="G3687" s="405" t="s">
        <v>7458</v>
      </c>
      <c r="H3687" s="405" t="s">
        <v>7465</v>
      </c>
      <c r="I3687" s="407">
        <v>63303.28</v>
      </c>
    </row>
    <row r="3688" spans="1:9" x14ac:dyDescent="0.2">
      <c r="A3688" s="403">
        <v>3687</v>
      </c>
      <c r="B3688" s="404">
        <v>45061</v>
      </c>
      <c r="C3688" s="404">
        <v>45089</v>
      </c>
      <c r="D3688" s="405" t="s">
        <v>1092</v>
      </c>
      <c r="E3688" s="405" t="s">
        <v>422</v>
      </c>
      <c r="F3688" s="405" t="s">
        <v>396</v>
      </c>
      <c r="G3688" s="405" t="s">
        <v>7466</v>
      </c>
      <c r="H3688" s="405" t="s">
        <v>7467</v>
      </c>
      <c r="I3688" s="407">
        <v>966070</v>
      </c>
    </row>
    <row r="3689" spans="1:9" x14ac:dyDescent="0.2">
      <c r="A3689" s="403">
        <v>3688</v>
      </c>
      <c r="B3689" s="404">
        <v>45062</v>
      </c>
      <c r="C3689" s="404">
        <v>45089</v>
      </c>
      <c r="D3689" s="405" t="s">
        <v>1092</v>
      </c>
      <c r="E3689" s="405" t="s">
        <v>422</v>
      </c>
      <c r="F3689" s="405" t="s">
        <v>396</v>
      </c>
      <c r="G3689" s="405" t="s">
        <v>7468</v>
      </c>
      <c r="H3689" s="405" t="s">
        <v>7470</v>
      </c>
      <c r="I3689" s="407">
        <v>345793.39</v>
      </c>
    </row>
    <row r="3690" spans="1:9" x14ac:dyDescent="0.2">
      <c r="A3690" s="403">
        <v>3689</v>
      </c>
      <c r="B3690" s="404">
        <v>45062</v>
      </c>
      <c r="C3690" s="404">
        <v>45089</v>
      </c>
      <c r="D3690" s="405" t="s">
        <v>1092</v>
      </c>
      <c r="E3690" s="405" t="s">
        <v>422</v>
      </c>
      <c r="F3690" s="405" t="s">
        <v>396</v>
      </c>
      <c r="G3690" s="405" t="s">
        <v>7469</v>
      </c>
      <c r="H3690" s="405" t="s">
        <v>7471</v>
      </c>
      <c r="I3690" s="407">
        <v>306567.5</v>
      </c>
    </row>
    <row r="3691" spans="1:9" x14ac:dyDescent="0.2">
      <c r="A3691" s="403">
        <v>3690</v>
      </c>
      <c r="B3691" s="404">
        <v>45065</v>
      </c>
      <c r="C3691" s="404">
        <v>45089</v>
      </c>
      <c r="D3691" s="405" t="s">
        <v>1092</v>
      </c>
      <c r="E3691" s="405" t="s">
        <v>422</v>
      </c>
      <c r="F3691" s="405" t="s">
        <v>71</v>
      </c>
      <c r="G3691" s="405" t="s">
        <v>7472</v>
      </c>
      <c r="H3691" s="405" t="s">
        <v>7476</v>
      </c>
      <c r="I3691" s="407">
        <v>58863.92</v>
      </c>
    </row>
    <row r="3692" spans="1:9" x14ac:dyDescent="0.2">
      <c r="A3692" s="403">
        <v>3691</v>
      </c>
      <c r="B3692" s="404">
        <v>45065</v>
      </c>
      <c r="C3692" s="404">
        <v>45089</v>
      </c>
      <c r="D3692" s="405" t="s">
        <v>1092</v>
      </c>
      <c r="E3692" s="405" t="s">
        <v>422</v>
      </c>
      <c r="F3692" s="405" t="s">
        <v>71</v>
      </c>
      <c r="G3692" s="405" t="s">
        <v>7473</v>
      </c>
      <c r="H3692" s="405" t="s">
        <v>7477</v>
      </c>
      <c r="I3692" s="407">
        <v>35243.53</v>
      </c>
    </row>
    <row r="3693" spans="1:9" x14ac:dyDescent="0.2">
      <c r="A3693" s="403">
        <v>3692</v>
      </c>
      <c r="B3693" s="404">
        <v>45065</v>
      </c>
      <c r="C3693" s="404">
        <v>45089</v>
      </c>
      <c r="D3693" s="405" t="s">
        <v>1092</v>
      </c>
      <c r="E3693" s="405" t="s">
        <v>422</v>
      </c>
      <c r="F3693" s="405" t="s">
        <v>396</v>
      </c>
      <c r="G3693" s="405" t="s">
        <v>7474</v>
      </c>
      <c r="H3693" s="405" t="s">
        <v>7478</v>
      </c>
      <c r="I3693" s="407">
        <v>93936.92</v>
      </c>
    </row>
    <row r="3694" spans="1:9" x14ac:dyDescent="0.2">
      <c r="A3694" s="403">
        <v>3693</v>
      </c>
      <c r="B3694" s="404">
        <v>45065</v>
      </c>
      <c r="C3694" s="404">
        <v>45089</v>
      </c>
      <c r="D3694" s="405" t="s">
        <v>1092</v>
      </c>
      <c r="E3694" s="405" t="s">
        <v>422</v>
      </c>
      <c r="F3694" s="405" t="s">
        <v>71</v>
      </c>
      <c r="G3694" s="405" t="s">
        <v>7475</v>
      </c>
      <c r="H3694" s="405" t="s">
        <v>7479</v>
      </c>
      <c r="I3694" s="407">
        <v>21506.97</v>
      </c>
    </row>
    <row r="3695" spans="1:9" x14ac:dyDescent="0.2">
      <c r="A3695" s="403">
        <v>3694</v>
      </c>
      <c r="B3695" s="404">
        <v>45068</v>
      </c>
      <c r="C3695" s="404">
        <v>45084</v>
      </c>
      <c r="D3695" s="405" t="s">
        <v>1092</v>
      </c>
      <c r="E3695" s="405" t="s">
        <v>422</v>
      </c>
      <c r="F3695" s="405" t="s">
        <v>71</v>
      </c>
      <c r="G3695" s="405" t="s">
        <v>7480</v>
      </c>
      <c r="H3695" s="405" t="s">
        <v>7489</v>
      </c>
      <c r="I3695" s="407">
        <v>164457.26999999999</v>
      </c>
    </row>
    <row r="3696" spans="1:9" x14ac:dyDescent="0.2">
      <c r="A3696" s="403">
        <v>3695</v>
      </c>
      <c r="B3696" s="404">
        <v>45068</v>
      </c>
      <c r="C3696" s="404">
        <v>45089</v>
      </c>
      <c r="D3696" s="405" t="s">
        <v>1092</v>
      </c>
      <c r="E3696" s="405" t="s">
        <v>422</v>
      </c>
      <c r="F3696" s="405" t="s">
        <v>71</v>
      </c>
      <c r="G3696" s="405" t="s">
        <v>7481</v>
      </c>
      <c r="H3696" s="405" t="s">
        <v>7490</v>
      </c>
      <c r="I3696" s="407">
        <v>21011.53</v>
      </c>
    </row>
    <row r="3697" spans="1:9" x14ac:dyDescent="0.2">
      <c r="A3697" s="403">
        <v>3696</v>
      </c>
      <c r="B3697" s="404">
        <v>45068</v>
      </c>
      <c r="C3697" s="404">
        <v>45089</v>
      </c>
      <c r="D3697" s="405" t="s">
        <v>1092</v>
      </c>
      <c r="E3697" s="405" t="s">
        <v>422</v>
      </c>
      <c r="F3697" s="405" t="s">
        <v>396</v>
      </c>
      <c r="G3697" s="405" t="s">
        <v>7482</v>
      </c>
      <c r="H3697" s="405" t="s">
        <v>7491</v>
      </c>
      <c r="I3697" s="407">
        <v>13848.37</v>
      </c>
    </row>
    <row r="3698" spans="1:9" x14ac:dyDescent="0.2">
      <c r="A3698" s="403">
        <v>3697</v>
      </c>
      <c r="B3698" s="404">
        <v>45068</v>
      </c>
      <c r="C3698" s="404">
        <v>45089</v>
      </c>
      <c r="D3698" s="405" t="s">
        <v>1092</v>
      </c>
      <c r="E3698" s="405" t="s">
        <v>422</v>
      </c>
      <c r="F3698" s="405" t="s">
        <v>396</v>
      </c>
      <c r="G3698" s="405" t="s">
        <v>7483</v>
      </c>
      <c r="H3698" s="405" t="s">
        <v>7492</v>
      </c>
      <c r="I3698" s="407">
        <v>14372.59</v>
      </c>
    </row>
    <row r="3699" spans="1:9" x14ac:dyDescent="0.2">
      <c r="A3699" s="403">
        <v>3698</v>
      </c>
      <c r="B3699" s="404">
        <v>45068</v>
      </c>
      <c r="C3699" s="404">
        <v>45089</v>
      </c>
      <c r="D3699" s="405" t="s">
        <v>1092</v>
      </c>
      <c r="E3699" s="405" t="s">
        <v>422</v>
      </c>
      <c r="F3699" s="405" t="s">
        <v>396</v>
      </c>
      <c r="G3699" s="405" t="s">
        <v>7484</v>
      </c>
      <c r="H3699" s="405" t="s">
        <v>7493</v>
      </c>
      <c r="I3699" s="407">
        <v>35923.54</v>
      </c>
    </row>
    <row r="3700" spans="1:9" x14ac:dyDescent="0.2">
      <c r="A3700" s="403">
        <v>3699</v>
      </c>
      <c r="B3700" s="404">
        <v>45068</v>
      </c>
      <c r="C3700" s="404">
        <v>45089</v>
      </c>
      <c r="D3700" s="405" t="s">
        <v>1092</v>
      </c>
      <c r="E3700" s="405" t="s">
        <v>422</v>
      </c>
      <c r="F3700" s="405" t="s">
        <v>396</v>
      </c>
      <c r="G3700" s="405" t="s">
        <v>7485</v>
      </c>
      <c r="H3700" s="405" t="s">
        <v>7494</v>
      </c>
      <c r="I3700" s="407">
        <v>31610.89</v>
      </c>
    </row>
    <row r="3701" spans="1:9" x14ac:dyDescent="0.2">
      <c r="A3701" s="403">
        <v>3700</v>
      </c>
      <c r="B3701" s="404">
        <v>45068</v>
      </c>
      <c r="C3701" s="404">
        <v>45089</v>
      </c>
      <c r="D3701" s="405" t="s">
        <v>1092</v>
      </c>
      <c r="E3701" s="405" t="s">
        <v>392</v>
      </c>
      <c r="F3701" s="405" t="s">
        <v>393</v>
      </c>
      <c r="G3701" s="405" t="s">
        <v>7486</v>
      </c>
      <c r="H3701" s="405" t="s">
        <v>7495</v>
      </c>
      <c r="I3701" s="407">
        <v>31671.49</v>
      </c>
    </row>
    <row r="3702" spans="1:9" x14ac:dyDescent="0.2">
      <c r="A3702" s="403">
        <v>3701</v>
      </c>
      <c r="B3702" s="404">
        <v>45068</v>
      </c>
      <c r="C3702" s="404">
        <v>45089</v>
      </c>
      <c r="D3702" s="405" t="s">
        <v>1092</v>
      </c>
      <c r="E3702" s="405" t="s">
        <v>392</v>
      </c>
      <c r="F3702" s="405" t="s">
        <v>393</v>
      </c>
      <c r="G3702" s="405" t="s">
        <v>7487</v>
      </c>
      <c r="H3702" s="405" t="s">
        <v>7496</v>
      </c>
      <c r="I3702" s="407">
        <v>17182.5</v>
      </c>
    </row>
    <row r="3703" spans="1:9" x14ac:dyDescent="0.2">
      <c r="A3703" s="403">
        <v>3702</v>
      </c>
      <c r="B3703" s="404">
        <v>45068</v>
      </c>
      <c r="C3703" s="404">
        <v>45089</v>
      </c>
      <c r="D3703" s="405" t="s">
        <v>1092</v>
      </c>
      <c r="E3703" s="405" t="s">
        <v>422</v>
      </c>
      <c r="F3703" s="405" t="s">
        <v>396</v>
      </c>
      <c r="G3703" s="405" t="s">
        <v>7488</v>
      </c>
      <c r="H3703" s="405" t="s">
        <v>7497</v>
      </c>
      <c r="I3703" s="407">
        <v>28665.55</v>
      </c>
    </row>
    <row r="3704" spans="1:9" x14ac:dyDescent="0.2">
      <c r="A3704" s="403">
        <v>3703</v>
      </c>
      <c r="B3704" s="404">
        <v>45070</v>
      </c>
      <c r="C3704" s="404">
        <v>45089</v>
      </c>
      <c r="D3704" s="405" t="s">
        <v>1092</v>
      </c>
      <c r="E3704" s="405" t="s">
        <v>392</v>
      </c>
      <c r="F3704" s="405" t="s">
        <v>71</v>
      </c>
      <c r="G3704" s="405" t="s">
        <v>7498</v>
      </c>
      <c r="H3704" s="405" t="s">
        <v>7499</v>
      </c>
      <c r="I3704" s="407">
        <v>17121.5</v>
      </c>
    </row>
    <row r="3705" spans="1:9" x14ac:dyDescent="0.2">
      <c r="A3705" s="403">
        <v>3704</v>
      </c>
      <c r="B3705" s="404">
        <v>45071</v>
      </c>
      <c r="C3705" s="404">
        <v>45091</v>
      </c>
      <c r="D3705" s="405" t="s">
        <v>1092</v>
      </c>
      <c r="E3705" s="405" t="s">
        <v>422</v>
      </c>
      <c r="F3705" s="405" t="s">
        <v>701</v>
      </c>
      <c r="G3705" s="405" t="s">
        <v>7500</v>
      </c>
      <c r="H3705" s="405" t="s">
        <v>7501</v>
      </c>
      <c r="I3705" s="407">
        <v>84830</v>
      </c>
    </row>
    <row r="3706" spans="1:9" x14ac:dyDescent="0.2">
      <c r="A3706" s="403">
        <v>3705</v>
      </c>
      <c r="B3706" s="404">
        <v>45072</v>
      </c>
      <c r="C3706" s="404">
        <v>45091</v>
      </c>
      <c r="D3706" s="405" t="s">
        <v>1092</v>
      </c>
      <c r="E3706" s="405" t="s">
        <v>422</v>
      </c>
      <c r="F3706" s="405" t="s">
        <v>701</v>
      </c>
      <c r="G3706" s="405" t="s">
        <v>7502</v>
      </c>
      <c r="H3706" s="405" t="s">
        <v>7503</v>
      </c>
      <c r="I3706" s="407">
        <v>43513</v>
      </c>
    </row>
    <row r="3707" spans="1:9" x14ac:dyDescent="0.2">
      <c r="A3707" s="403">
        <v>3706</v>
      </c>
      <c r="B3707" s="404">
        <v>45075</v>
      </c>
      <c r="C3707" s="404">
        <v>45091</v>
      </c>
      <c r="D3707" s="405" t="s">
        <v>1092</v>
      </c>
      <c r="E3707" s="405" t="s">
        <v>422</v>
      </c>
      <c r="F3707" s="405" t="s">
        <v>701</v>
      </c>
      <c r="G3707" s="405" t="s">
        <v>7504</v>
      </c>
      <c r="H3707" s="405" t="s">
        <v>7518</v>
      </c>
      <c r="I3707" s="407">
        <v>42000</v>
      </c>
    </row>
    <row r="3708" spans="1:9" x14ac:dyDescent="0.2">
      <c r="A3708" s="403">
        <v>3707</v>
      </c>
      <c r="B3708" s="404">
        <v>45075</v>
      </c>
      <c r="C3708" s="404">
        <v>45091</v>
      </c>
      <c r="D3708" s="405" t="s">
        <v>1092</v>
      </c>
      <c r="E3708" s="405" t="s">
        <v>422</v>
      </c>
      <c r="F3708" s="405" t="s">
        <v>701</v>
      </c>
      <c r="G3708" s="405" t="s">
        <v>7505</v>
      </c>
      <c r="H3708" s="405" t="s">
        <v>7519</v>
      </c>
      <c r="I3708" s="407">
        <v>19300</v>
      </c>
    </row>
    <row r="3709" spans="1:9" x14ac:dyDescent="0.2">
      <c r="A3709" s="403">
        <v>3708</v>
      </c>
      <c r="B3709" s="404">
        <v>45075</v>
      </c>
      <c r="C3709" s="404">
        <v>45103</v>
      </c>
      <c r="D3709" s="405" t="s">
        <v>1092</v>
      </c>
      <c r="E3709" s="405" t="s">
        <v>422</v>
      </c>
      <c r="F3709" s="405" t="s">
        <v>701</v>
      </c>
      <c r="G3709" s="405" t="s">
        <v>7506</v>
      </c>
      <c r="H3709" s="405" t="s">
        <v>7520</v>
      </c>
      <c r="I3709" s="407">
        <v>99600</v>
      </c>
    </row>
    <row r="3710" spans="1:9" x14ac:dyDescent="0.2">
      <c r="A3710" s="403">
        <v>3709</v>
      </c>
      <c r="B3710" s="404">
        <v>45075</v>
      </c>
      <c r="C3710" s="404">
        <v>45091</v>
      </c>
      <c r="D3710" s="405" t="s">
        <v>1092</v>
      </c>
      <c r="E3710" s="405" t="s">
        <v>422</v>
      </c>
      <c r="F3710" s="405" t="s">
        <v>701</v>
      </c>
      <c r="G3710" s="405" t="s">
        <v>7507</v>
      </c>
      <c r="H3710" s="405" t="s">
        <v>7521</v>
      </c>
      <c r="I3710" s="407">
        <v>49520</v>
      </c>
    </row>
    <row r="3711" spans="1:9" x14ac:dyDescent="0.2">
      <c r="A3711" s="403">
        <v>3710</v>
      </c>
      <c r="B3711" s="404">
        <v>45075</v>
      </c>
      <c r="C3711" s="404">
        <v>45091</v>
      </c>
      <c r="D3711" s="405" t="s">
        <v>1092</v>
      </c>
      <c r="E3711" s="405" t="s">
        <v>422</v>
      </c>
      <c r="F3711" s="405" t="s">
        <v>701</v>
      </c>
      <c r="G3711" s="405" t="s">
        <v>7508</v>
      </c>
      <c r="H3711" s="405" t="s">
        <v>7522</v>
      </c>
      <c r="I3711" s="407">
        <v>90430</v>
      </c>
    </row>
    <row r="3712" spans="1:9" x14ac:dyDescent="0.2">
      <c r="A3712" s="403">
        <v>3711</v>
      </c>
      <c r="B3712" s="404">
        <v>45075</v>
      </c>
      <c r="C3712" s="404">
        <v>45103</v>
      </c>
      <c r="D3712" s="405" t="s">
        <v>1092</v>
      </c>
      <c r="E3712" s="405" t="s">
        <v>422</v>
      </c>
      <c r="F3712" s="405" t="s">
        <v>701</v>
      </c>
      <c r="G3712" s="405" t="s">
        <v>7509</v>
      </c>
      <c r="H3712" s="405" t="s">
        <v>7523</v>
      </c>
      <c r="I3712" s="407">
        <v>68100</v>
      </c>
    </row>
    <row r="3713" spans="1:9" x14ac:dyDescent="0.2">
      <c r="A3713" s="403">
        <v>3712</v>
      </c>
      <c r="B3713" s="404">
        <v>45075</v>
      </c>
      <c r="C3713" s="404">
        <v>45096</v>
      </c>
      <c r="D3713" s="405" t="s">
        <v>1092</v>
      </c>
      <c r="E3713" s="405" t="s">
        <v>392</v>
      </c>
      <c r="F3713" s="405" t="s">
        <v>71</v>
      </c>
      <c r="G3713" s="405" t="s">
        <v>7510</v>
      </c>
      <c r="H3713" s="405" t="s">
        <v>7524</v>
      </c>
      <c r="I3713" s="407">
        <v>2058.29</v>
      </c>
    </row>
    <row r="3714" spans="1:9" x14ac:dyDescent="0.2">
      <c r="A3714" s="403">
        <v>3713</v>
      </c>
      <c r="B3714" s="404">
        <v>45075</v>
      </c>
      <c r="C3714" s="404">
        <v>45096</v>
      </c>
      <c r="D3714" s="405" t="s">
        <v>1092</v>
      </c>
      <c r="E3714" s="405" t="s">
        <v>392</v>
      </c>
      <c r="F3714" s="405" t="s">
        <v>71</v>
      </c>
      <c r="G3714" s="405" t="s">
        <v>7511</v>
      </c>
      <c r="H3714" s="405" t="s">
        <v>7525</v>
      </c>
      <c r="I3714" s="407">
        <v>4738.25</v>
      </c>
    </row>
    <row r="3715" spans="1:9" x14ac:dyDescent="0.2">
      <c r="A3715" s="403">
        <v>3714</v>
      </c>
      <c r="B3715" s="404">
        <v>45075</v>
      </c>
      <c r="C3715" s="404">
        <v>45098</v>
      </c>
      <c r="D3715" s="405" t="s">
        <v>1092</v>
      </c>
      <c r="E3715" s="405" t="s">
        <v>392</v>
      </c>
      <c r="F3715" s="405" t="s">
        <v>71</v>
      </c>
      <c r="G3715" s="405" t="s">
        <v>7512</v>
      </c>
      <c r="H3715" s="405" t="s">
        <v>7526</v>
      </c>
      <c r="I3715" s="407">
        <v>10027.129999999999</v>
      </c>
    </row>
    <row r="3716" spans="1:9" x14ac:dyDescent="0.2">
      <c r="A3716" s="403">
        <v>3715</v>
      </c>
      <c r="B3716" s="404">
        <v>45075</v>
      </c>
      <c r="C3716" s="404">
        <v>45098</v>
      </c>
      <c r="D3716" s="405" t="s">
        <v>1092</v>
      </c>
      <c r="E3716" s="405" t="s">
        <v>392</v>
      </c>
      <c r="F3716" s="405" t="s">
        <v>393</v>
      </c>
      <c r="G3716" s="405" t="s">
        <v>7513</v>
      </c>
      <c r="H3716" s="405" t="s">
        <v>7527</v>
      </c>
      <c r="I3716" s="407">
        <v>26000</v>
      </c>
    </row>
    <row r="3717" spans="1:9" x14ac:dyDescent="0.2">
      <c r="A3717" s="403">
        <v>3716</v>
      </c>
      <c r="B3717" s="404">
        <v>45075</v>
      </c>
      <c r="C3717" s="404">
        <v>45091</v>
      </c>
      <c r="D3717" s="405" t="s">
        <v>1092</v>
      </c>
      <c r="E3717" s="405" t="s">
        <v>422</v>
      </c>
      <c r="F3717" s="405" t="s">
        <v>701</v>
      </c>
      <c r="G3717" s="405" t="s">
        <v>7514</v>
      </c>
      <c r="H3717" s="405" t="s">
        <v>7528</v>
      </c>
      <c r="I3717" s="407">
        <v>36000</v>
      </c>
    </row>
    <row r="3718" spans="1:9" x14ac:dyDescent="0.2">
      <c r="A3718" s="403">
        <v>3717</v>
      </c>
      <c r="B3718" s="404">
        <v>45075</v>
      </c>
      <c r="C3718" s="404">
        <v>45096</v>
      </c>
      <c r="D3718" s="405" t="s">
        <v>1092</v>
      </c>
      <c r="E3718" s="405" t="s">
        <v>392</v>
      </c>
      <c r="F3718" s="405" t="s">
        <v>71</v>
      </c>
      <c r="G3718" s="405" t="s">
        <v>7515</v>
      </c>
      <c r="H3718" s="405" t="s">
        <v>7529</v>
      </c>
      <c r="I3718" s="407">
        <v>9216.2199999999993</v>
      </c>
    </row>
    <row r="3719" spans="1:9" x14ac:dyDescent="0.2">
      <c r="A3719" s="403">
        <v>3718</v>
      </c>
      <c r="B3719" s="404">
        <v>45075</v>
      </c>
      <c r="C3719" s="404">
        <v>45096</v>
      </c>
      <c r="D3719" s="405" t="s">
        <v>1092</v>
      </c>
      <c r="E3719" s="405" t="s">
        <v>392</v>
      </c>
      <c r="F3719" s="405" t="s">
        <v>71</v>
      </c>
      <c r="G3719" s="405" t="s">
        <v>7516</v>
      </c>
      <c r="H3719" s="405" t="s">
        <v>7530</v>
      </c>
      <c r="I3719" s="407">
        <v>2122.0300000000002</v>
      </c>
    </row>
    <row r="3720" spans="1:9" x14ac:dyDescent="0.2">
      <c r="A3720" s="403">
        <v>3719</v>
      </c>
      <c r="B3720" s="404">
        <v>45075</v>
      </c>
      <c r="C3720" s="404">
        <v>45098</v>
      </c>
      <c r="D3720" s="405" t="s">
        <v>1092</v>
      </c>
      <c r="E3720" s="405" t="s">
        <v>392</v>
      </c>
      <c r="F3720" s="405" t="s">
        <v>393</v>
      </c>
      <c r="G3720" s="405" t="s">
        <v>7517</v>
      </c>
      <c r="H3720" s="405" t="s">
        <v>7531</v>
      </c>
      <c r="I3720" s="407">
        <v>6500</v>
      </c>
    </row>
    <row r="3721" spans="1:9" x14ac:dyDescent="0.2">
      <c r="A3721" s="403">
        <v>3720</v>
      </c>
      <c r="B3721" s="404">
        <v>45077</v>
      </c>
      <c r="C3721" s="404">
        <v>45096</v>
      </c>
      <c r="D3721" s="405" t="s">
        <v>1092</v>
      </c>
      <c r="E3721" s="405" t="s">
        <v>422</v>
      </c>
      <c r="F3721" s="405" t="s">
        <v>396</v>
      </c>
      <c r="G3721" s="405" t="s">
        <v>7532</v>
      </c>
      <c r="H3721" s="405" t="s">
        <v>7533</v>
      </c>
      <c r="I3721" s="407">
        <v>88400</v>
      </c>
    </row>
    <row r="3722" spans="1:9" x14ac:dyDescent="0.2">
      <c r="A3722" s="403">
        <v>3721</v>
      </c>
      <c r="B3722" s="404">
        <v>45079</v>
      </c>
      <c r="C3722" s="404">
        <v>45103</v>
      </c>
      <c r="D3722" s="405" t="s">
        <v>1092</v>
      </c>
      <c r="E3722" s="405" t="s">
        <v>422</v>
      </c>
      <c r="F3722" s="405" t="s">
        <v>396</v>
      </c>
      <c r="G3722" s="405" t="s">
        <v>7534</v>
      </c>
      <c r="H3722" s="405" t="s">
        <v>7536</v>
      </c>
      <c r="I3722" s="407">
        <v>2984.52</v>
      </c>
    </row>
    <row r="3723" spans="1:9" x14ac:dyDescent="0.2">
      <c r="A3723" s="403">
        <v>3722</v>
      </c>
      <c r="B3723" s="404">
        <v>45079</v>
      </c>
      <c r="C3723" s="404">
        <v>45103</v>
      </c>
      <c r="D3723" s="405" t="s">
        <v>1092</v>
      </c>
      <c r="E3723" s="405" t="s">
        <v>422</v>
      </c>
      <c r="F3723" s="405" t="s">
        <v>71</v>
      </c>
      <c r="G3723" s="405" t="s">
        <v>7535</v>
      </c>
      <c r="H3723" s="405" t="s">
        <v>7537</v>
      </c>
      <c r="I3723" s="407">
        <v>3662.42</v>
      </c>
    </row>
    <row r="3724" spans="1:9" x14ac:dyDescent="0.2">
      <c r="I3724" s="374">
        <f>SUM(I2:I3723)-SUM(I78:I81)-I116-I210-I325-I392-I393-I400-I402-I416-I408-I448-I474-I452-I751-I929-I1052-I884-I1113-I1186-I1288-I1289-I1295-I1299-I1355-I1629-I1595-I1526--I1648-I1652-I1678-I1696-I1687-I1732-I1748-I1812-I1842-I1855-I1891-2078--I2065-I2080-I2065-I2235-I2477-I2622-I2633-I2622-I2632-I2286-I2437-I2368-I2369-I2370-I2750-I2753-I2816-I2811-I2827-I2711-I3001-I2937-I2974-I3118-I3324-I3300-I3371</f>
        <v>529038788.42999989</v>
      </c>
    </row>
  </sheetData>
  <phoneticPr fontId="2" type="noConversion"/>
  <hyperlinks>
    <hyperlink ref="G597" r:id="rId1" tooltip="DO. UPC-13291+2" display="https://licitacions.infraestructures.cat/licitacions/?licitationID=CT1065314" xr:uid="{00000000-0004-0000-0000-000000000000}"/>
  </hyperlinks>
  <pageMargins left="0.75" right="0.75" top="1" bottom="1" header="0" footer="0"/>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4F5D-B463-424A-9005-975FD83C3937}">
  <dimension ref="A1:I30"/>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Total!B3532</f>
        <v>44942</v>
      </c>
      <c r="C2" s="101">
        <f>Total!C3532</f>
        <v>44963</v>
      </c>
      <c r="D2" s="112" t="s">
        <v>1092</v>
      </c>
      <c r="E2" s="332" t="str">
        <f>Total!E3532</f>
        <v>Obra Civil</v>
      </c>
      <c r="F2" s="96" t="str">
        <f>Total!F3532</f>
        <v>Control de Qualitat</v>
      </c>
      <c r="G2" s="112" t="str">
        <f>Total!G3532</f>
        <v>CQ. PC-AIC-19030.F1</v>
      </c>
      <c r="H2" s="112" t="str">
        <f>Total!H3532</f>
        <v>Contracte de serveis per a l'assistència tècnica de Control de Qualitat de les obres de la instal·lació de marquesines a parades dels serveis de transport interurbà de viatgers per carretera a diversos indrets de Catalunya.</v>
      </c>
      <c r="I2" s="157">
        <f>Total!I3532</f>
        <v>24472.38</v>
      </c>
    </row>
    <row r="3" spans="1:9" x14ac:dyDescent="0.2">
      <c r="A3" s="8">
        <v>2</v>
      </c>
      <c r="B3" s="101">
        <f>Total!B3533</f>
        <v>44942</v>
      </c>
      <c r="C3" s="101">
        <f>Total!C3533</f>
        <v>44963</v>
      </c>
      <c r="D3" s="112" t="s">
        <v>1092</v>
      </c>
      <c r="E3" s="332" t="str">
        <f>Total!E3533</f>
        <v>Obra Civil</v>
      </c>
      <c r="F3" s="96" t="str">
        <f>Total!F3533</f>
        <v>Direccions d'Obra</v>
      </c>
      <c r="G3" s="112" t="str">
        <f>Total!G3533</f>
        <v>DO. PC-AIC-19030.F1</v>
      </c>
      <c r="H3" s="112" t="str">
        <f>Total!H3533</f>
        <v>Contracte de serveis per a la direcció de les obres de la instal·lació de marquesines a parades dels serveis de transport interurbà de viatgers per carretera a diversos indrets de Catalunya. Fase 1.</v>
      </c>
      <c r="I3" s="157">
        <f>Total!I3533</f>
        <v>92098.93</v>
      </c>
    </row>
    <row r="4" spans="1:9" x14ac:dyDescent="0.2">
      <c r="A4" s="8">
        <v>3</v>
      </c>
      <c r="B4" s="101">
        <f>Total!B3534</f>
        <v>44945</v>
      </c>
      <c r="C4" s="101">
        <f>Total!C3534</f>
        <v>44963</v>
      </c>
      <c r="D4" s="112" t="s">
        <v>1092</v>
      </c>
      <c r="E4" s="332" t="str">
        <f>Total!E3534</f>
        <v>Edificació</v>
      </c>
      <c r="F4" s="96" t="str">
        <f>Total!F3534</f>
        <v>Projectes i Direccions d'Obra</v>
      </c>
      <c r="G4" s="112" t="str">
        <f>Total!G3534</f>
        <v>PE+DO BSE-22293</v>
      </c>
      <c r="H4" s="112" t="str">
        <f>Total!H3534</f>
        <v>Concurs de projecte per a la redacció del projecte bàsic i executiu i la posterior direcció de les Obres de Nova Construcció d'una Unitat Integrada d'Atenció a Infants i Adolescents (Barnahus) a Tortosa.</v>
      </c>
      <c r="I4" s="157">
        <f>Total!I3534</f>
        <v>138614.28</v>
      </c>
    </row>
    <row r="5" spans="1:9" x14ac:dyDescent="0.2">
      <c r="A5" s="8">
        <v>4</v>
      </c>
      <c r="B5" s="101">
        <f>Total!B3535</f>
        <v>44945</v>
      </c>
      <c r="C5" s="101">
        <f>Total!C3535</f>
        <v>44963</v>
      </c>
      <c r="D5" s="112" t="s">
        <v>1092</v>
      </c>
      <c r="E5" s="332" t="str">
        <f>Total!E3535</f>
        <v>Obra Civil</v>
      </c>
      <c r="F5" s="96" t="str">
        <f>Total!F3535</f>
        <v>Projectes</v>
      </c>
      <c r="G5" s="112" t="str">
        <f>Total!G3535</f>
        <v>EI. EI-XL-09052-A1</v>
      </c>
      <c r="H5" s="112" t="str">
        <f>Total!H3535</f>
        <v>Contracte de serveis per a l'assistència tècnica per a la redacció de l'estudi informatiu: "Connexió de la LP-2015 al PK 1+000 amb la C-233 al PK 82+500. Bellpuig".</v>
      </c>
      <c r="I5" s="157">
        <f>Total!I3535</f>
        <v>30000</v>
      </c>
    </row>
    <row r="6" spans="1:9" x14ac:dyDescent="0.2">
      <c r="A6" s="8">
        <v>5</v>
      </c>
      <c r="B6" s="101">
        <f>Total!B3536</f>
        <v>44946</v>
      </c>
      <c r="C6" s="101">
        <f>Total!C3536</f>
        <v>44963</v>
      </c>
      <c r="D6" s="112" t="s">
        <v>1092</v>
      </c>
      <c r="E6" s="332" t="str">
        <f>Total!E3536</f>
        <v>Obra Civil</v>
      </c>
      <c r="F6" s="96" t="str">
        <f>Total!F3536</f>
        <v>Direccions d'Obra</v>
      </c>
      <c r="G6" s="112" t="str">
        <f>Total!G3536</f>
        <v>DO. PC-CDB-17105.F1.1</v>
      </c>
      <c r="H6" s="112" t="str">
        <f>Total!H3536</f>
        <v>Contracte de serveis per a la direcció de les obres de la via ciclista paral·lela a l'N-150 (PK 13+415 a 16+720). Sabadell - Terrassa. Fase 1.</v>
      </c>
      <c r="I6" s="157">
        <f>Total!I3536</f>
        <v>51665.16</v>
      </c>
    </row>
    <row r="7" spans="1:9" x14ac:dyDescent="0.2">
      <c r="A7" s="8">
        <v>6</v>
      </c>
      <c r="B7" s="101">
        <f>Total!B3537</f>
        <v>44946</v>
      </c>
      <c r="C7" s="101">
        <f>Total!C3537</f>
        <v>44963</v>
      </c>
      <c r="D7" s="112" t="s">
        <v>1092</v>
      </c>
      <c r="E7" s="332" t="str">
        <f>Total!E3537</f>
        <v>Obra Civil</v>
      </c>
      <c r="F7" s="96" t="str">
        <f>Total!F3537</f>
        <v>Control de Qualitat</v>
      </c>
      <c r="G7" s="112" t="str">
        <f>Total!G3537</f>
        <v>CQ. PC-CDB-17105.F1.1</v>
      </c>
      <c r="H7" s="112" t="str">
        <f>Total!H3537</f>
        <v>Contracte de serveis per a l'assistència tècnica de control de qualitat de les obres de la via ciclista paral·lela a l'N-150 (PK 13+415 a 16+720). Sabadell - Terrassa. Fase 1.</v>
      </c>
      <c r="I7" s="157">
        <f>Total!I3537</f>
        <v>11826.2</v>
      </c>
    </row>
    <row r="8" spans="1:9" x14ac:dyDescent="0.2">
      <c r="A8" s="8">
        <v>7</v>
      </c>
      <c r="B8" s="101">
        <f>Total!B3538</f>
        <v>44946</v>
      </c>
      <c r="C8" s="101">
        <f>Total!C3538</f>
        <v>44963</v>
      </c>
      <c r="D8" s="112" t="s">
        <v>1092</v>
      </c>
      <c r="E8" s="332" t="str">
        <f>Total!E3538</f>
        <v>Obra Civil</v>
      </c>
      <c r="F8" s="96" t="str">
        <f>Total!F3538</f>
        <v>Direccions d'Obra</v>
      </c>
      <c r="G8" s="112" t="str">
        <f>Total!G3538</f>
        <v>CSS. PC-CDB-17105.F1.1</v>
      </c>
      <c r="H8" s="112" t="str">
        <f>Total!H3538</f>
        <v>Contracte de serveis per a l'assistència tècnica de coordinació de seguretat i salut de les obres del projecte constructiu de la via ciclista paral·lela a l'N-150 (PK 13+415 a 16+720). Sabadell ¿ Terrassa. Fase 1. Lot 1 + Lot 2.</v>
      </c>
      <c r="I8" s="157">
        <f>Total!I3538</f>
        <v>11122.56</v>
      </c>
    </row>
    <row r="9" spans="1:9" x14ac:dyDescent="0.2">
      <c r="A9" s="8">
        <v>8</v>
      </c>
      <c r="B9" s="101">
        <f>Total!B3539</f>
        <v>44949</v>
      </c>
      <c r="C9" s="101">
        <f>Total!C3539</f>
        <v>44970</v>
      </c>
      <c r="D9" s="112" t="s">
        <v>1092</v>
      </c>
      <c r="E9" s="332" t="str">
        <f>Total!E3539</f>
        <v>Obra Civil</v>
      </c>
      <c r="F9" s="96" t="str">
        <f>Total!F3539</f>
        <v>Direccions d'Obra</v>
      </c>
      <c r="G9" s="112" t="str">
        <f>Total!G3539</f>
        <v>DO. XL-15022</v>
      </c>
      <c r="H9" s="112" t="str">
        <f>Total!H3539</f>
        <v>Contracte de serveis per a la direcció de les obres de Via ciclista a l'entorn de la C-13 del PK 128+700 al 131+550. Sort - Rialp.</v>
      </c>
      <c r="I9" s="157">
        <f>Total!I3539</f>
        <v>75515.81</v>
      </c>
    </row>
    <row r="10" spans="1:9" x14ac:dyDescent="0.2">
      <c r="A10" s="8">
        <v>9</v>
      </c>
      <c r="B10" s="101">
        <f>Total!B3540</f>
        <v>44949</v>
      </c>
      <c r="C10" s="101">
        <f>Total!C3540</f>
        <v>44970</v>
      </c>
      <c r="D10" s="112" t="s">
        <v>1092</v>
      </c>
      <c r="E10" s="332" t="str">
        <f>Total!E3540</f>
        <v>Obra Civil</v>
      </c>
      <c r="F10" s="96" t="str">
        <f>Total!F3540</f>
        <v>Control de Qualitat</v>
      </c>
      <c r="G10" s="112" t="str">
        <f>Total!G3540</f>
        <v>CQ. XL-15022</v>
      </c>
      <c r="H10" s="112" t="str">
        <f>Total!H3540</f>
        <v>Contracte de serveis per a l'assistència tècnica de Control de Qualitat de les obres de Via ciclista a l'entorn de la C-13 del PK 128+700 al 131+550. Sort - Rialp.</v>
      </c>
      <c r="I10" s="157">
        <f>Total!I3540</f>
        <v>20532.88</v>
      </c>
    </row>
    <row r="11" spans="1:9" x14ac:dyDescent="0.2">
      <c r="A11" s="8">
        <v>10</v>
      </c>
      <c r="B11" s="101">
        <f>Total!B3541</f>
        <v>44950</v>
      </c>
      <c r="C11" s="101">
        <f>Total!C3541</f>
        <v>44970</v>
      </c>
      <c r="D11" s="112" t="s">
        <v>1092</v>
      </c>
      <c r="E11" s="332" t="str">
        <f>Total!E3541</f>
        <v>Edificació</v>
      </c>
      <c r="F11" s="96" t="str">
        <f>Total!F3541</f>
        <v>Projectes i Direccions d'Obra</v>
      </c>
      <c r="G11" s="112" t="str">
        <f>Total!G3541</f>
        <v>PE+DO. SGC-22215</v>
      </c>
      <c r="H11" s="112" t="str">
        <f>Total!H3541</f>
        <v>Concurs de projecte per a la redacció del projecte bàsic i executiu i la posterior direcció de les obres de millora de la instal·lació de climatització de la Biblioteca de Catalunya al carrer Hospital, 56, de Barcelona.</v>
      </c>
      <c r="I11" s="157">
        <f>Total!I3541</f>
        <v>154578.95000000001</v>
      </c>
    </row>
    <row r="12" spans="1:9" x14ac:dyDescent="0.2">
      <c r="A12" s="8">
        <v>11</v>
      </c>
      <c r="B12" s="101">
        <f>Total!B3542</f>
        <v>44950</v>
      </c>
      <c r="C12" s="101">
        <f>Total!C3542</f>
        <v>44972</v>
      </c>
      <c r="D12" s="112" t="s">
        <v>1092</v>
      </c>
      <c r="E12" s="332" t="str">
        <f>Total!E3542</f>
        <v>Obra Civil</v>
      </c>
      <c r="F12" s="96" t="str">
        <f>Total!F3542</f>
        <v>Projectes</v>
      </c>
      <c r="G12" s="112" t="str">
        <f>Total!G3542</f>
        <v>IA. IA-CPB-21075</v>
      </c>
      <c r="H12" s="112" t="str">
        <f>Total!H3542</f>
        <v>Assistència tècnica per a la redacció de l'estudi d'impacte ambiental. Millora de l'enllaç entre la B-30, la C-58 i l'N-150 i actuacions a l'N-150 per a la mobilitat activa. Barberà del Vallès -Ripollet -Cerdanyola del Vallès -Badia del Vallès.</v>
      </c>
      <c r="I12" s="157">
        <f>Total!I3542</f>
        <v>58800</v>
      </c>
    </row>
    <row r="13" spans="1:9" x14ac:dyDescent="0.2">
      <c r="A13" s="8">
        <v>12</v>
      </c>
      <c r="B13" s="101">
        <f>Total!B3543</f>
        <v>44951</v>
      </c>
      <c r="C13" s="101">
        <f>Total!C3543</f>
        <v>44970</v>
      </c>
      <c r="D13" s="112" t="s">
        <v>1092</v>
      </c>
      <c r="E13" s="332" t="str">
        <f>Total!E3543</f>
        <v>Obra Civil</v>
      </c>
      <c r="F13" s="96" t="str">
        <f>Total!F3543</f>
        <v>Direccions d'Obra</v>
      </c>
      <c r="G13" s="112" t="str">
        <f>Total!G3543</f>
        <v>DO. AB-14009-C1</v>
      </c>
      <c r="H13" s="112" t="str">
        <f>Total!H3543</f>
        <v>Contracte de serveis per a la direcció de les obres de mesures correctores d'impacte ambiental de l'ampliació de la C-58 del PK 12+600 al 18+800. Badia del Vallès - Terrassa.</v>
      </c>
      <c r="I13" s="157">
        <f>Total!I3543</f>
        <v>42851.02</v>
      </c>
    </row>
    <row r="14" spans="1:9" x14ac:dyDescent="0.2">
      <c r="A14" s="8">
        <v>13</v>
      </c>
      <c r="B14" s="101">
        <f>Total!B3544</f>
        <v>44951</v>
      </c>
      <c r="C14" s="101">
        <f>Total!C3544</f>
        <v>44970</v>
      </c>
      <c r="D14" s="112" t="s">
        <v>1092</v>
      </c>
      <c r="E14" s="332" t="str">
        <f>Total!E3544</f>
        <v>Obra Civil</v>
      </c>
      <c r="F14" s="96" t="str">
        <f>Total!F3544</f>
        <v>Control de Qualitat</v>
      </c>
      <c r="G14" s="112" t="str">
        <f>Total!G3544</f>
        <v>CQ. AB-14009-C1</v>
      </c>
      <c r="H14" s="112" t="str">
        <f>Total!H3544</f>
        <v>Contracte de serveis per a l'assistència tècnica de control de qualitat de les obres de mesures correctores d'impacte ambiental de l'ampliació de la C-58 del PK 12+600 al 18+800. Badia del Vallès - Terrassa.</v>
      </c>
      <c r="I14" s="157">
        <f>Total!I3544</f>
        <v>14136.58</v>
      </c>
    </row>
    <row r="15" spans="1:9" x14ac:dyDescent="0.2">
      <c r="A15" s="8">
        <v>14</v>
      </c>
      <c r="B15" s="101">
        <f>Total!B3545</f>
        <v>44951</v>
      </c>
      <c r="C15" s="101">
        <f>Total!C3545</f>
        <v>44970</v>
      </c>
      <c r="D15" s="112" t="s">
        <v>1092</v>
      </c>
      <c r="E15" s="332" t="str">
        <f>Total!E3545</f>
        <v>Obra Civil</v>
      </c>
      <c r="F15" s="96" t="str">
        <f>Total!F3545</f>
        <v>Direccions d'Obra</v>
      </c>
      <c r="G15" s="112" t="str">
        <f>Total!G3545</f>
        <v>CSS. AB-14009-C1</v>
      </c>
      <c r="H15" s="112" t="str">
        <f>Total!H3545</f>
        <v>Contracte de serveis per a l'assistència tècnica de coordinació de seguretat i salut de les obres del projecte constructiu de mesures correctores d'impacte ambiental de l'ampliació de la C-58 del PK 12+600 al 18+800. Badia del Vallès - Terrassa.</v>
      </c>
      <c r="I15" s="157">
        <f>Total!I3545</f>
        <v>7190.89</v>
      </c>
    </row>
    <row r="16" spans="1:9" x14ac:dyDescent="0.2">
      <c r="A16" s="8">
        <v>15</v>
      </c>
      <c r="B16" s="101">
        <f>Total!B3546</f>
        <v>44951</v>
      </c>
      <c r="C16" s="101">
        <f>Total!C3546</f>
        <v>44977</v>
      </c>
      <c r="D16" s="112" t="s">
        <v>1092</v>
      </c>
      <c r="E16" s="332" t="str">
        <f>Total!E3546</f>
        <v>Obra Civil</v>
      </c>
      <c r="F16" s="96" t="str">
        <f>Total!F3546</f>
        <v>Direccions d'Obra</v>
      </c>
      <c r="G16" s="112" t="str">
        <f>Total!G3546</f>
        <v>DO. TF-11225.F1.2</v>
      </c>
      <c r="H16" s="112" t="str">
        <f>Total!H3546</f>
        <v>Contracte de serveis per a la direcció de les obres de Perllongament de la línia Llobregat - Anoia d'FGC a Barcelona. Plaça Espanya - Gràcia. Infraestructura.</v>
      </c>
      <c r="I16" s="157">
        <f>Total!I3546</f>
        <v>13438095.5</v>
      </c>
    </row>
    <row r="17" spans="1:9" x14ac:dyDescent="0.2">
      <c r="A17" s="8">
        <v>16</v>
      </c>
      <c r="B17" s="101">
        <f>Total!B3547</f>
        <v>44951</v>
      </c>
      <c r="C17" s="101">
        <f>Total!C3547</f>
        <v>44977</v>
      </c>
      <c r="D17" s="112" t="s">
        <v>1092</v>
      </c>
      <c r="E17" s="332" t="str">
        <f>Total!E3547</f>
        <v>Obra Civil</v>
      </c>
      <c r="F17" s="96" t="str">
        <f>Total!F3547</f>
        <v>Direccions d'Obra</v>
      </c>
      <c r="G17" s="112" t="str">
        <f>Total!G3547</f>
        <v>ATAM. TF-11225.F1.2</v>
      </c>
      <c r="H17" s="112" t="str">
        <f>Total!H3547</f>
        <v>Contracte de serveis per a l'assistència tècnica ambiental de les obres de Perllongament de la línia Llobregat - Anoia d'FGC a Barcelona. Plaça Espanya - Gràcia. Infraestructura.</v>
      </c>
      <c r="I17" s="157">
        <f>Total!I3547</f>
        <v>456727.96</v>
      </c>
    </row>
    <row r="18" spans="1:9" x14ac:dyDescent="0.2">
      <c r="A18" s="8">
        <v>17</v>
      </c>
      <c r="B18" s="101">
        <f>Total!B3548</f>
        <v>44951</v>
      </c>
      <c r="C18" s="101">
        <f>Total!C3548</f>
        <v>44977</v>
      </c>
      <c r="D18" s="112" t="s">
        <v>1092</v>
      </c>
      <c r="E18" s="332" t="str">
        <f>Total!E3548</f>
        <v>Obra Civil</v>
      </c>
      <c r="F18" s="96" t="str">
        <f>Total!F3548</f>
        <v>Direccions d'Obra</v>
      </c>
      <c r="G18" s="112" t="str">
        <f>Total!G3548</f>
        <v>RSC.TF-11225.F1.2</v>
      </c>
      <c r="H18" s="112" t="str">
        <f>Total!H3548</f>
        <v>Contracte de serveis per a l'assistència tècnica per al seguiment i control de les obres de Perllongament de la línia Llobregat - Anoia d'FGC a Barcelona. Plaça Espanya - Gràcia. Infraestructura.</v>
      </c>
      <c r="I18" s="157">
        <f>Total!I3548</f>
        <v>1468179.52</v>
      </c>
    </row>
    <row r="19" spans="1:9" x14ac:dyDescent="0.2">
      <c r="A19" s="8">
        <v>18</v>
      </c>
      <c r="B19" s="101">
        <f>Total!B3549</f>
        <v>44951</v>
      </c>
      <c r="C19" s="101">
        <f>Total!C3549</f>
        <v>44977</v>
      </c>
      <c r="D19" s="112" t="s">
        <v>1092</v>
      </c>
      <c r="E19" s="332" t="str">
        <f>Total!E3549</f>
        <v>Obra Civil</v>
      </c>
      <c r="F19" s="96" t="str">
        <f>Total!F3549</f>
        <v>Control de Qualitat</v>
      </c>
      <c r="G19" s="112" t="str">
        <f>Total!G3549</f>
        <v>CQ. TF-11225.F1.2</v>
      </c>
      <c r="H19" s="112" t="str">
        <f>Total!H3549</f>
        <v>Contracte de serveis per a l'assistència tècnica de Control de Qualitat de les obres de Perllongament de la línia Llobregat - Anoia d'FGC a Barcelona. Plaça Espanya - Gràcia. Infraestructura.</v>
      </c>
      <c r="I19" s="157">
        <f>Total!I3549</f>
        <v>4300510.9800000004</v>
      </c>
    </row>
    <row r="20" spans="1:9" x14ac:dyDescent="0.2">
      <c r="A20" s="8">
        <v>19</v>
      </c>
      <c r="B20" s="101">
        <f>Total!B3550</f>
        <v>44951</v>
      </c>
      <c r="C20" s="101">
        <f>Total!C3550</f>
        <v>44977</v>
      </c>
      <c r="D20" s="112" t="s">
        <v>1092</v>
      </c>
      <c r="E20" s="332" t="str">
        <f>Total!E3550</f>
        <v>Obra Civil</v>
      </c>
      <c r="F20" s="96" t="str">
        <f>Total!F3550</f>
        <v>Projectes</v>
      </c>
      <c r="G20" s="112" t="str">
        <f>Total!G3550</f>
        <v>IP. TF-11225.F1.2</v>
      </c>
      <c r="H20" s="112" t="str">
        <f>Total!H3550</f>
        <v>Contracte de serveis per a l'assistència tècnica per a la inspecció d'edificis i estructures de les obres de Perllongament de la línia Llobregat - Anoia d'FGC a Barcelona. Plaça Espanya - Gràcia. Infraestructura.</v>
      </c>
      <c r="I20" s="157">
        <f>Total!I3550</f>
        <v>2998618.35</v>
      </c>
    </row>
    <row r="21" spans="1:9" x14ac:dyDescent="0.2">
      <c r="A21" s="8">
        <v>20</v>
      </c>
      <c r="B21" s="101">
        <f>Total!B3551</f>
        <v>44951</v>
      </c>
      <c r="C21" s="101">
        <f>Total!C3551</f>
        <v>44970</v>
      </c>
      <c r="D21" s="112" t="s">
        <v>1092</v>
      </c>
      <c r="E21" s="332" t="str">
        <f>Total!E3551</f>
        <v>Obra Civil</v>
      </c>
      <c r="F21" s="96" t="str">
        <f>Total!F3551</f>
        <v>Projectes</v>
      </c>
      <c r="G21" s="112" t="str">
        <f>Total!G3551</f>
        <v>PC. ENP-22372</v>
      </c>
      <c r="H21" s="112" t="str">
        <f>Total!H3551</f>
        <v>Contracte de serveis per a l'assistència tècnica a la redacció del projecte constructiu: "Instal·lacions, senyalització i monitorització d'espais naturals marins i terrestres dels Parcs Naturals de l'Empordà".</v>
      </c>
      <c r="I21" s="157">
        <f>Total!I3551</f>
        <v>142325</v>
      </c>
    </row>
    <row r="22" spans="1:9" x14ac:dyDescent="0.2">
      <c r="A22" s="8">
        <v>21</v>
      </c>
      <c r="B22" s="101">
        <f>Total!B3552</f>
        <v>44951</v>
      </c>
      <c r="C22" s="101">
        <f>Total!C3552</f>
        <v>44970</v>
      </c>
      <c r="D22" s="112" t="s">
        <v>1092</v>
      </c>
      <c r="E22" s="332" t="str">
        <f>Total!E3552</f>
        <v>Obra Civil</v>
      </c>
      <c r="F22" s="96" t="str">
        <f>Total!F3552</f>
        <v>Projectes</v>
      </c>
      <c r="G22" s="112" t="str">
        <f>Total!G3552</f>
        <v>PC. AG-07040.1-A1</v>
      </c>
      <c r="H22" s="112" t="str">
        <f>Total!H3552</f>
        <v>Contracte de serveis per a l'assistència tècnica per a la redacció del projecte constructiu de condicionament de la GI-643 del PK 0+000 al 4+550. Gualta - Serra de Daró.</v>
      </c>
      <c r="I22" s="157">
        <f>Total!I3552</f>
        <v>148900</v>
      </c>
    </row>
    <row r="23" spans="1:9" x14ac:dyDescent="0.2">
      <c r="A23" s="8">
        <v>22</v>
      </c>
      <c r="B23" s="101">
        <f>Total!B3553</f>
        <v>44952</v>
      </c>
      <c r="C23" s="101">
        <f>Total!C3553</f>
        <v>44972</v>
      </c>
      <c r="D23" s="112" t="s">
        <v>1092</v>
      </c>
      <c r="E23" s="332" t="str">
        <f>Total!E3553</f>
        <v>Obra Civil</v>
      </c>
      <c r="F23" s="96" t="str">
        <f>Total!F3553</f>
        <v>Control de Qualitat</v>
      </c>
      <c r="G23" s="112" t="str">
        <f>Total!G3553</f>
        <v>CQ. TM-04310.1-AA</v>
      </c>
      <c r="H23" s="112" t="str">
        <f>Total!H3553</f>
        <v>Contracte de serveis per a l'assistència tècnica de Control de Qualitat de les obres del projecte constructiu de millora de l'accessibilitat i adaptació a la normativa de l'intercanviador de l'estació del Clot (L1 i L2 d'FMB i RENFE). Fase 1.</v>
      </c>
      <c r="I23" s="157">
        <f>Total!I3553</f>
        <v>55995.29</v>
      </c>
    </row>
    <row r="24" spans="1:9" x14ac:dyDescent="0.2">
      <c r="A24" s="8">
        <v>23</v>
      </c>
      <c r="B24" s="101">
        <f>Total!B3554</f>
        <v>44952</v>
      </c>
      <c r="C24" s="101">
        <f>Total!C3554</f>
        <v>44970</v>
      </c>
      <c r="D24" s="112" t="s">
        <v>1092</v>
      </c>
      <c r="E24" s="332" t="str">
        <f>Total!E3554</f>
        <v>Edificació</v>
      </c>
      <c r="F24" s="96" t="str">
        <f>Total!F3554</f>
        <v>Projectes i Direccions d'Obra</v>
      </c>
      <c r="G24" s="112" t="str">
        <f>Total!G3554</f>
        <v>PE+DO. JVP-22365</v>
      </c>
      <c r="H24" s="112" t="str">
        <f>Total!H3554</f>
        <v>Contracte de serveis per a l'assistència tècnica per a la redacció del projecte bàsic i executiu i la posterior direcció de les obres d'implantació d'un nou sistema de videovigilància, i disseny d'un nou CCI en el Centre Penitenciari de Ponent de Lleida.</v>
      </c>
      <c r="I24" s="157">
        <f>Total!I3554</f>
        <v>53667.37</v>
      </c>
    </row>
    <row r="25" spans="1:9" x14ac:dyDescent="0.2">
      <c r="A25" s="8">
        <v>24</v>
      </c>
      <c r="B25" s="101">
        <f>Total!B3555</f>
        <v>44952</v>
      </c>
      <c r="C25" s="101">
        <f>Total!C3555</f>
        <v>44970</v>
      </c>
      <c r="D25" s="112" t="s">
        <v>1092</v>
      </c>
      <c r="E25" s="332" t="str">
        <f>Total!E3555</f>
        <v>Obra Civil</v>
      </c>
      <c r="F25" s="96" t="str">
        <f>Total!F3555</f>
        <v>Direccions d'Obra</v>
      </c>
      <c r="G25" s="112" t="str">
        <f>Total!G3555</f>
        <v>ATAM. MR-05919.7 (Fase 1)</v>
      </c>
      <c r="H25" s="112" t="str">
        <f>Total!H3555</f>
        <v>Assistència tècnica ambiental de les obres del projecte constructiu del regadiu Xerta-Sénia. Xarxa de reg de la Zona 1 i posada en servei i posterior manteniment de la captació, de la impulsió, del canal executat i del bombament del Sector 1.</v>
      </c>
      <c r="I25" s="157">
        <f>Total!I3555</f>
        <v>14540.16</v>
      </c>
    </row>
    <row r="26" spans="1:9" x14ac:dyDescent="0.2">
      <c r="A26" s="8">
        <v>25</v>
      </c>
      <c r="B26" s="101">
        <f>Total!B3556</f>
        <v>44952</v>
      </c>
      <c r="C26" s="101">
        <f>Total!C3556</f>
        <v>44970</v>
      </c>
      <c r="D26" s="112" t="s">
        <v>1092</v>
      </c>
      <c r="E26" s="332" t="str">
        <f>Total!E3556</f>
        <v>Obra Civil</v>
      </c>
      <c r="F26" s="96" t="str">
        <f>Total!F3556</f>
        <v>Direccions d'Obra</v>
      </c>
      <c r="G26" s="112" t="str">
        <f>Total!G3556</f>
        <v>CSS. MR-05919.7 (Fase 1)</v>
      </c>
      <c r="H26" s="112" t="str">
        <f>Total!H3556</f>
        <v>Coordinació de seguretat i salut de les obres del projecte constructiu del regadiu Xerta-Sénia. Xarxa de reg de la zona 1 i posada en servei i posterior manteniment de la captació, de la impulsió, del canal executat i del bombament del sector 1.</v>
      </c>
      <c r="I26" s="157">
        <f>Total!I3556</f>
        <v>13461.6</v>
      </c>
    </row>
    <row r="27" spans="1:9" x14ac:dyDescent="0.2">
      <c r="A27" s="8">
        <v>26</v>
      </c>
      <c r="B27" s="101">
        <f>Total!B3557</f>
        <v>44952</v>
      </c>
      <c r="C27" s="101">
        <f>Total!C3557</f>
        <v>44970</v>
      </c>
      <c r="D27" s="112" t="s">
        <v>1092</v>
      </c>
      <c r="E27" s="332" t="str">
        <f>Total!E3557</f>
        <v>Obra Civil</v>
      </c>
      <c r="F27" s="96" t="str">
        <f>Total!F3557</f>
        <v>Control de Qualitat</v>
      </c>
      <c r="G27" s="112" t="str">
        <f>Total!G3557</f>
        <v>CQ. MR-05919.7 (Fase 1)</v>
      </c>
      <c r="H27" s="112" t="str">
        <f>Total!H3557</f>
        <v>Control de qualitat de les obres del projecte constructiu del regadiu Xerta-Sénia. Xarxa de reg de la Zona 1 i posada en servei i posterior manteniment de la captació, de la impulsió, del canal executat i del bombament del Sector 1.</v>
      </c>
      <c r="I27" s="157">
        <f>Total!I3557</f>
        <v>28957.200000000001</v>
      </c>
    </row>
    <row r="28" spans="1:9" x14ac:dyDescent="0.2">
      <c r="A28" s="8">
        <v>27</v>
      </c>
      <c r="B28" s="101">
        <f>Total!B3558</f>
        <v>44956</v>
      </c>
      <c r="C28" s="101">
        <f>Total!C3558</f>
        <v>44984</v>
      </c>
      <c r="D28" s="112" t="s">
        <v>1092</v>
      </c>
      <c r="E28" s="332" t="str">
        <f>Total!E3558</f>
        <v>Obra Civil</v>
      </c>
      <c r="F28" s="96" t="str">
        <f>Total!F3558</f>
        <v>Projectes</v>
      </c>
      <c r="G28" s="112" t="str">
        <f>Total!G3558</f>
        <v>TA. PT-CPB-21075</v>
      </c>
      <c r="H28" s="112" t="str">
        <f>Total!H3558</f>
        <v>A.T. per a la redacció del projecte de traçat. Millora de l'enllaç entre la B-30, la C-58 i l'N-150 i actuacions a l'N-150 per a la mobilitat activa. Barberà del Vallès, Ripollet, Cerdanyola del Vallès, Badia del Vallès.</v>
      </c>
      <c r="I28" s="157">
        <f>Total!I3558</f>
        <v>319900</v>
      </c>
    </row>
    <row r="29" spans="1:9" x14ac:dyDescent="0.2">
      <c r="A29" s="8">
        <v>28</v>
      </c>
      <c r="B29" s="101">
        <f>Total!B3559</f>
        <v>44957</v>
      </c>
      <c r="C29" s="101">
        <f>Total!C3559</f>
        <v>44977</v>
      </c>
      <c r="D29" s="112" t="s">
        <v>1092</v>
      </c>
      <c r="E29" s="332" t="str">
        <f>Total!E3559</f>
        <v>Obra Civil</v>
      </c>
      <c r="F29" s="96" t="str">
        <f>Total!F3559</f>
        <v>Projectes</v>
      </c>
      <c r="G29" s="112" t="str">
        <f>Total!G3559</f>
        <v>ATAM. PC-CDB-17105.F1.1</v>
      </c>
      <c r="H29" s="112" t="str">
        <f>Total!H3559</f>
        <v>Contracte de serveis per a l'assistència tècnica ambiental de les obres del projecte constructiu via ciclista paral·lela a l'N-150 (PK 13+415 a 16+720). Sabadell - Terrassa. Fase 1.</v>
      </c>
      <c r="I29" s="157">
        <f>Total!I3559</f>
        <v>8551.76</v>
      </c>
    </row>
    <row r="30" spans="1:9" x14ac:dyDescent="0.2">
      <c r="I30" s="126">
        <f>SUM(I2:I29)</f>
        <v>24181836.330000006</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I28"/>
  <sheetViews>
    <sheetView workbookViewId="0">
      <selection activeCell="F46" sqref="F46"/>
    </sheetView>
  </sheetViews>
  <sheetFormatPr baseColWidth="10" defaultRowHeight="12.75" x14ac:dyDescent="0.2"/>
  <cols>
    <col min="1" max="1" width="7" customWidth="1"/>
    <col min="4" max="4" width="17" bestFit="1" customWidth="1"/>
    <col min="6" max="6" width="25.28515625" bestFit="1" customWidth="1"/>
    <col min="7" max="7" width="23.5703125" bestFit="1" customWidth="1"/>
    <col min="8" max="8" width="45.5703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Total!B773</f>
        <v>42128</v>
      </c>
      <c r="C2" s="101">
        <f>Total!C773</f>
        <v>42144</v>
      </c>
      <c r="D2" s="112" t="s">
        <v>1092</v>
      </c>
      <c r="E2" s="101" t="str">
        <f>Total!E773</f>
        <v>Obra Civil</v>
      </c>
      <c r="F2" s="96" t="str">
        <f>Total!F773</f>
        <v>Direccions d'Obra</v>
      </c>
      <c r="G2" s="112" t="str">
        <f>Total!G773</f>
        <v>DO. MB-12013</v>
      </c>
      <c r="H2" s="112" t="str">
        <f>Total!H773</f>
        <v>Direcció de les obres del projecte de millora local. Millora de nus. Rotonda a la intersecció de la ctra. C-35, pk 57,530, amb la ctra. de Gualba (Nus de Llevant). Tram: Sant Celoni.</v>
      </c>
      <c r="I2" s="130">
        <v>25322.22</v>
      </c>
    </row>
    <row r="3" spans="1:9" x14ac:dyDescent="0.2">
      <c r="A3" s="8">
        <v>2</v>
      </c>
      <c r="B3" s="101">
        <f>Total!B774</f>
        <v>42128</v>
      </c>
      <c r="C3" s="101">
        <f>Total!C774</f>
        <v>42144</v>
      </c>
      <c r="D3" s="112" t="s">
        <v>1092</v>
      </c>
      <c r="E3" s="101" t="str">
        <f>Total!E774</f>
        <v>Obra Civil</v>
      </c>
      <c r="F3" s="96" t="str">
        <f>Total!F774</f>
        <v>Direccions d'Obra</v>
      </c>
      <c r="G3" s="112" t="str">
        <f>Total!G774</f>
        <v>DO. ME-13063</v>
      </c>
      <c r="H3" s="112" t="str">
        <f>Total!H774</f>
        <v>Direcció de les obres del projecte de millora local. Drenatges. Millora del drenatge al pas inferior de l'antic ferrocarril. Ctra. C-12, pk 18,150. Tram: Tortosa.</v>
      </c>
      <c r="I3" s="130">
        <v>24755.56</v>
      </c>
    </row>
    <row r="4" spans="1:9" x14ac:dyDescent="0.2">
      <c r="A4" s="8">
        <v>3</v>
      </c>
      <c r="B4" s="101">
        <f>Total!B775</f>
        <v>42128</v>
      </c>
      <c r="C4" s="101">
        <f>Total!C775</f>
        <v>42144</v>
      </c>
      <c r="D4" s="112" t="s">
        <v>1092</v>
      </c>
      <c r="E4" s="101" t="str">
        <f>Total!E775</f>
        <v>Obra Civil</v>
      </c>
      <c r="F4" s="96" t="str">
        <f>Total!F775</f>
        <v>Direccions d'Obra</v>
      </c>
      <c r="G4" s="112" t="str">
        <f>Total!G775</f>
        <v>DO. MB-14047</v>
      </c>
      <c r="H4" s="112" t="str">
        <f>Total!H775</f>
        <v>Direcció de les obres del projecte de millora local. Millra de les característiques superficials del ferm i del drenatge a la ctra. N-II, del pk 627,600 al 628,291 (carrer Sant Pau a Riera Canyadó). Tram: Badalona.</v>
      </c>
      <c r="I4" s="130">
        <v>18488.89</v>
      </c>
    </row>
    <row r="5" spans="1:9" x14ac:dyDescent="0.2">
      <c r="A5" s="8">
        <v>4</v>
      </c>
      <c r="B5" s="101">
        <f>Total!B776</f>
        <v>42128</v>
      </c>
      <c r="C5" s="101">
        <f>Total!C776</f>
        <v>42144</v>
      </c>
      <c r="D5" s="112" t="s">
        <v>1092</v>
      </c>
      <c r="E5" s="101" t="str">
        <f>Total!E776</f>
        <v>Edificació</v>
      </c>
      <c r="F5" s="96" t="str">
        <f>Total!F776</f>
        <v>Control de Qualitat</v>
      </c>
      <c r="G5" s="112" t="str">
        <f>Total!G776</f>
        <v>CQ. BSV-09202</v>
      </c>
      <c r="H5" s="112" t="str">
        <f>Total!H776</f>
        <v>Control de qualitat de les obres de rehabilitació integra i obres de millora del Casal de Gent Gran de Sant Ildefons a Cornellà de Llobregat.</v>
      </c>
      <c r="I5" s="130">
        <v>28835.37</v>
      </c>
    </row>
    <row r="6" spans="1:9" x14ac:dyDescent="0.2">
      <c r="A6" s="8">
        <v>5</v>
      </c>
      <c r="B6" s="101">
        <f>Total!B777</f>
        <v>42128</v>
      </c>
      <c r="C6" s="101">
        <f>Total!C777</f>
        <v>42144</v>
      </c>
      <c r="D6" s="112" t="s">
        <v>1092</v>
      </c>
      <c r="E6" s="101" t="str">
        <f>Total!E777</f>
        <v>Edificació</v>
      </c>
      <c r="F6" s="96" t="str">
        <f>Total!F777</f>
        <v>Direcció d'Execució</v>
      </c>
      <c r="G6" s="112" t="str">
        <f>Total!G777</f>
        <v>DE. BSV-09202</v>
      </c>
      <c r="H6" s="112" t="str">
        <f>Total!H777</f>
        <v>Direcció d'execució de les obres de rehabilitació integral i obres de millora del Casal de Gent Gran de Sant Ildefons a Cornellà de Llobregat.</v>
      </c>
      <c r="I6" s="130">
        <v>50000</v>
      </c>
    </row>
    <row r="7" spans="1:9" x14ac:dyDescent="0.2">
      <c r="A7" s="8">
        <v>6</v>
      </c>
      <c r="B7" s="101">
        <f>Total!B778</f>
        <v>42128</v>
      </c>
      <c r="C7" s="101">
        <f>Total!C778</f>
        <v>42144</v>
      </c>
      <c r="D7" s="112" t="s">
        <v>1092</v>
      </c>
      <c r="E7" s="101" t="str">
        <f>Total!E778</f>
        <v>Edificació</v>
      </c>
      <c r="F7" s="96" t="str">
        <f>Total!F778</f>
        <v>Direccions d'Obra</v>
      </c>
      <c r="G7" s="112" t="str">
        <f>Total!G778</f>
        <v>DO. BSV-09202</v>
      </c>
      <c r="H7" s="112" t="str">
        <f>Total!H778</f>
        <v>Direcció d'obra de rehabilitació integral i obres de millora del Casal de Gent Gran de Sant Ildefons a Cornellà de Llobregat.</v>
      </c>
      <c r="I7" s="130">
        <v>39500</v>
      </c>
    </row>
    <row r="8" spans="1:9" x14ac:dyDescent="0.2">
      <c r="A8" s="8">
        <v>7</v>
      </c>
      <c r="B8" s="101">
        <f>Total!B779</f>
        <v>42129</v>
      </c>
      <c r="C8" s="101">
        <f>Total!C779</f>
        <v>42149</v>
      </c>
      <c r="D8" s="112" t="s">
        <v>1092</v>
      </c>
      <c r="E8" s="101" t="str">
        <f>Total!E779</f>
        <v>Obra Civil</v>
      </c>
      <c r="F8" s="96" t="str">
        <f>Total!F779</f>
        <v>Direccions d'Obra</v>
      </c>
      <c r="G8" s="112" t="str">
        <f>Total!G779</f>
        <v>DO. MB-13013</v>
      </c>
      <c r="H8" s="112" t="str">
        <f>Total!H779</f>
        <v>Direcció de les obres del projecte de millora local. Seguretat viària. Millora de les característiques superficials del ferm i reestudi de la secció transversal. Ctra. C-58. pk 30,635 al 37,790. Tram: Vacarisses-Castellbell i el Vilar.</v>
      </c>
      <c r="I8" s="130">
        <v>98888.89</v>
      </c>
    </row>
    <row r="9" spans="1:9" x14ac:dyDescent="0.2">
      <c r="A9" s="8">
        <v>8</v>
      </c>
      <c r="B9" s="101">
        <f>Total!B780</f>
        <v>42129</v>
      </c>
      <c r="C9" s="101">
        <f>Total!C780</f>
        <v>42149</v>
      </c>
      <c r="D9" s="112" t="s">
        <v>1092</v>
      </c>
      <c r="E9" s="101" t="str">
        <f>Total!E780</f>
        <v>Edificació</v>
      </c>
      <c r="F9" s="96" t="str">
        <f>Total!F780</f>
        <v>Direccions d'Execució</v>
      </c>
      <c r="G9" s="112" t="str">
        <f>Total!G780</f>
        <v>DE. PNC-07353</v>
      </c>
      <c r="H9" s="112" t="str">
        <f>Total!H780</f>
        <v>Direcció d'execució de les obres de Nova construcció escola 1 línia. Escola Guerau de Peguera, de Torrelles de Foix.</v>
      </c>
      <c r="I9" s="130">
        <v>72727.88</v>
      </c>
    </row>
    <row r="10" spans="1:9" x14ac:dyDescent="0.2">
      <c r="A10" s="8">
        <v>9</v>
      </c>
      <c r="B10" s="101">
        <f>Total!B781</f>
        <v>42129</v>
      </c>
      <c r="C10" s="101">
        <f>Total!C781</f>
        <v>42149</v>
      </c>
      <c r="D10" s="112" t="s">
        <v>1092</v>
      </c>
      <c r="E10" s="101" t="str">
        <f>Total!E781</f>
        <v>Obra Civil</v>
      </c>
      <c r="F10" s="96" t="str">
        <f>Total!F781</f>
        <v>Direccions d'Obra</v>
      </c>
      <c r="G10" s="112" t="str">
        <f>Total!G781</f>
        <v>DO. MB-13010</v>
      </c>
      <c r="H10" s="112" t="str">
        <f>Total!H781</f>
        <v>Direcció de les obres del projecte de millora local, seguretat viària. Millora de les característiques superficials del ferm i reestudi de la secció transversal. Ctra. C-58. pk 25,360 al 30,635. Tram: Viladecavalls-Vaquerisses.</v>
      </c>
      <c r="I10" s="130">
        <v>78222.22</v>
      </c>
    </row>
    <row r="11" spans="1:9" x14ac:dyDescent="0.2">
      <c r="A11" s="8">
        <v>10</v>
      </c>
      <c r="B11" s="101">
        <f>Total!B782</f>
        <v>42129</v>
      </c>
      <c r="C11" s="101">
        <f>Total!C782</f>
        <v>42149</v>
      </c>
      <c r="D11" s="112" t="s">
        <v>1092</v>
      </c>
      <c r="E11" s="101" t="str">
        <f>Total!E782</f>
        <v>Edificació</v>
      </c>
      <c r="F11" s="96" t="str">
        <f>Total!F782</f>
        <v>Control de Qualitat</v>
      </c>
      <c r="G11" s="112" t="str">
        <f>Total!G782</f>
        <v>CQ. PNC-07353</v>
      </c>
      <c r="H11" s="112" t="str">
        <f>Total!H782</f>
        <v>Control de qualitat de la Nova construcció escola 1 línia, Escola Guerau de Peguera, de Torrelles de Foix.</v>
      </c>
      <c r="I11" s="130">
        <v>36611.58</v>
      </c>
    </row>
    <row r="12" spans="1:9" x14ac:dyDescent="0.2">
      <c r="A12" s="8">
        <v>11</v>
      </c>
      <c r="B12" s="101">
        <f>Total!B783</f>
        <v>42135</v>
      </c>
      <c r="C12" s="101">
        <f>Total!C783</f>
        <v>42184</v>
      </c>
      <c r="D12" s="112" t="s">
        <v>1092</v>
      </c>
      <c r="E12" s="101" t="str">
        <f>Total!E783</f>
        <v>Obra Civil</v>
      </c>
      <c r="F12" s="96" t="str">
        <f>Total!F783</f>
        <v>Direccions d'Obra</v>
      </c>
      <c r="G12" s="112" t="str">
        <f>Total!G783</f>
        <v>CSS. TF-02676.3A. 2+2</v>
      </c>
      <c r="H12" s="112" t="str">
        <f>Total!H783</f>
        <v>Coordinació de seg. I salut conjunta de les obres Execució obres del projecte de perllongament de la línia d'FGC a Sabadell. Superestructura de via i catenària. Tram: Plaça Major-Plaça Espanya i Obres perllongament línia FGC a Sabadell. Alim. Elect.</v>
      </c>
      <c r="I12" s="130">
        <v>223600</v>
      </c>
    </row>
    <row r="13" spans="1:9" x14ac:dyDescent="0.2">
      <c r="A13" s="8">
        <v>12</v>
      </c>
      <c r="B13" s="101">
        <f>Total!B784</f>
        <v>42135</v>
      </c>
      <c r="C13" s="101">
        <f>Total!C784</f>
        <v>42184</v>
      </c>
      <c r="D13" s="112" t="s">
        <v>1092</v>
      </c>
      <c r="E13" s="101" t="str">
        <f>Total!E784</f>
        <v>Obra Civil</v>
      </c>
      <c r="F13" s="96" t="str">
        <f>Total!F784</f>
        <v>Direccions d'Obra</v>
      </c>
      <c r="G13" s="112" t="str">
        <f>Total!G784</f>
        <v>DO. TF-02676.3A.2</v>
      </c>
      <c r="H13" s="112" t="str">
        <f>Total!H784</f>
        <v>Direcció de les obres del projecte de perllongament de la línia d'FGC a Sabadell. Superestructura de via i catenària. Tram: Plaça Major-Plaça Espanya.</v>
      </c>
      <c r="I13" s="130">
        <v>426666.67</v>
      </c>
    </row>
    <row r="14" spans="1:9" x14ac:dyDescent="0.2">
      <c r="A14" s="8">
        <v>13</v>
      </c>
      <c r="B14" s="101">
        <f>Total!B785</f>
        <v>42136</v>
      </c>
      <c r="C14" s="101">
        <f>Total!C785</f>
        <v>42186</v>
      </c>
      <c r="D14" s="112" t="s">
        <v>1092</v>
      </c>
      <c r="E14" s="101" t="str">
        <f>Total!E785</f>
        <v>Edificació</v>
      </c>
      <c r="F14" s="96" t="str">
        <f>Total!F785</f>
        <v>Projectes i Direccions d'Obra</v>
      </c>
      <c r="G14" s="112" t="str">
        <f>Total!G785</f>
        <v>PE+DO. JJT-05337.A</v>
      </c>
      <c r="H14" s="112" t="str">
        <f>Total!H785</f>
        <v>Redacció del projecte bàsic i executiu i la posterior direcció d'obra de l'adequació del projecte per a la construcció del Fòrum de la Justícia, a Tarragona.</v>
      </c>
      <c r="I14" s="130">
        <v>1459089</v>
      </c>
    </row>
    <row r="15" spans="1:9" x14ac:dyDescent="0.2">
      <c r="A15" s="8">
        <v>14</v>
      </c>
      <c r="B15" s="101">
        <f>Total!B786</f>
        <v>42136</v>
      </c>
      <c r="C15" s="101">
        <f>Total!C786</f>
        <v>42158</v>
      </c>
      <c r="D15" s="112" t="s">
        <v>1092</v>
      </c>
      <c r="E15" s="101" t="str">
        <f>Total!E786</f>
        <v>Obra Civil</v>
      </c>
      <c r="F15" s="96" t="str">
        <f>Total!F786</f>
        <v>Projectes</v>
      </c>
      <c r="G15" s="112" t="str">
        <f>Total!G786</f>
        <v>PC. ER-14300</v>
      </c>
      <c r="H15" s="112" t="str">
        <f>Total!H786</f>
        <v>Redacció del projecte complementari núm. 1 de la xarxa de regadiu del Pantà de Guiamets al TM de Tivissa.</v>
      </c>
      <c r="I15" s="130">
        <v>55470</v>
      </c>
    </row>
    <row r="16" spans="1:9" x14ac:dyDescent="0.2">
      <c r="A16" s="8">
        <v>15</v>
      </c>
      <c r="B16" s="101">
        <f>Total!B787</f>
        <v>42136</v>
      </c>
      <c r="C16" s="101">
        <f>Total!C787</f>
        <v>42158</v>
      </c>
      <c r="D16" s="112" t="s">
        <v>1092</v>
      </c>
      <c r="E16" s="101" t="str">
        <f>Total!E787</f>
        <v>Obra Civil</v>
      </c>
      <c r="F16" s="96" t="str">
        <f>Total!F787</f>
        <v>Projectes</v>
      </c>
      <c r="G16" s="112" t="str">
        <f>Total!G787</f>
        <v>PC. ER-14295</v>
      </c>
      <c r="H16" s="112" t="str">
        <f>Total!H787</f>
        <v>Redacció del projecte constructiu de consolidació de la zona regable del Pantà de Guiamets als TTMM de Capçanes, els Guiamets, Marçà i Tivissa.</v>
      </c>
      <c r="I16" s="130">
        <v>52854</v>
      </c>
    </row>
    <row r="17" spans="1:9" x14ac:dyDescent="0.2">
      <c r="A17" s="8">
        <v>16</v>
      </c>
      <c r="B17" s="101">
        <f>Total!B788</f>
        <v>42136</v>
      </c>
      <c r="C17" s="101">
        <f>Total!C788</f>
        <v>42158</v>
      </c>
      <c r="D17" s="112" t="s">
        <v>1092</v>
      </c>
      <c r="E17" s="101" t="str">
        <f>Total!E788</f>
        <v>Edificació</v>
      </c>
      <c r="F17" s="96" t="str">
        <f>Total!F788</f>
        <v>Control de Qualitat</v>
      </c>
      <c r="G17" s="112" t="str">
        <f>Total!G788</f>
        <v>CQ. UPC-13296</v>
      </c>
      <c r="H17" s="112" t="str">
        <f>Total!H788</f>
        <v>Control de qualitat de les obres de nova construcció d'infraestructures generals i urbanització del Campus Diagonal Besòs a Barcelona.</v>
      </c>
      <c r="I17" s="130">
        <v>54607.45</v>
      </c>
    </row>
    <row r="18" spans="1:9" x14ac:dyDescent="0.2">
      <c r="A18" s="8">
        <v>17</v>
      </c>
      <c r="B18" s="101">
        <f>Total!B789</f>
        <v>42136</v>
      </c>
      <c r="C18" s="101">
        <f>Total!C789</f>
        <v>42158</v>
      </c>
      <c r="D18" s="112" t="s">
        <v>1092</v>
      </c>
      <c r="E18" s="101" t="str">
        <f>Total!E789</f>
        <v>Obra Civil</v>
      </c>
      <c r="F18" s="96" t="str">
        <f>Total!F789</f>
        <v>Projectes</v>
      </c>
      <c r="G18" s="112" t="str">
        <f>Total!G789</f>
        <v>PC. AR-08264.A2</v>
      </c>
      <c r="H18" s="112" t="str">
        <f>Total!H789</f>
        <v>Redacció del projecte actualitzat núm. 2 del Regadiu Algerri-Balaguer. Sector C. TM: Balaguer.</v>
      </c>
      <c r="I18" s="130">
        <v>37190.080000000002</v>
      </c>
    </row>
    <row r="19" spans="1:9" x14ac:dyDescent="0.2">
      <c r="A19" s="8">
        <v>18</v>
      </c>
      <c r="B19" s="101">
        <f>Total!B790</f>
        <v>42137</v>
      </c>
      <c r="C19" s="101">
        <f>Total!C790</f>
        <v>42158</v>
      </c>
      <c r="D19" s="112" t="s">
        <v>1092</v>
      </c>
      <c r="E19" s="101" t="str">
        <f>Total!E790</f>
        <v>Edificació</v>
      </c>
      <c r="F19" s="96" t="str">
        <f>Total!F790</f>
        <v>Control de Qualitat</v>
      </c>
      <c r="G19" s="112" t="str">
        <f>Total!G790</f>
        <v>CQ. CAP-13317</v>
      </c>
      <c r="H19" s="112" t="str">
        <f>Total!H790</f>
        <v>Control de qualitat de les obres de la nova construcció del Centre d'Atenció Primària Vila de Gràcia, de Barcelona.</v>
      </c>
      <c r="I19" s="130">
        <v>19064.54</v>
      </c>
    </row>
    <row r="20" spans="1:9" x14ac:dyDescent="0.2">
      <c r="A20" s="8">
        <v>19</v>
      </c>
      <c r="B20" s="101">
        <f>Total!B791</f>
        <v>42137</v>
      </c>
      <c r="C20" s="101">
        <f>Total!C791</f>
        <v>42158</v>
      </c>
      <c r="D20" s="112" t="s">
        <v>1092</v>
      </c>
      <c r="E20" s="101" t="str">
        <f>Total!E791</f>
        <v>Obra Civil</v>
      </c>
      <c r="F20" s="96" t="str">
        <f>Total!F791</f>
        <v>Projectes</v>
      </c>
      <c r="G20" s="112" t="str">
        <f>Total!G791</f>
        <v>PC. MB-14049</v>
      </c>
      <c r="H20" s="112" t="str">
        <f>Total!H791</f>
        <v>Redacció del projecte constructiu de millora local. Millora de nus. Millora dels accessos des del nucli urbà d'Abrera a la ctra. C-55, del pk 0,000 al 0,380. Tram: Abrera.</v>
      </c>
      <c r="I20" s="130">
        <v>25500</v>
      </c>
    </row>
    <row r="21" spans="1:9" x14ac:dyDescent="0.2">
      <c r="A21" s="8">
        <v>20</v>
      </c>
      <c r="B21" s="101">
        <f>Total!B792</f>
        <v>42137</v>
      </c>
      <c r="C21" s="101">
        <f>Total!C792</f>
        <v>42158</v>
      </c>
      <c r="D21" s="112" t="s">
        <v>1092</v>
      </c>
      <c r="E21" s="101" t="str">
        <f>Total!E792</f>
        <v>Edificació</v>
      </c>
      <c r="F21" s="96" t="str">
        <f>Total!F792</f>
        <v>Direccions d'Execució</v>
      </c>
      <c r="G21" s="112" t="str">
        <f>Total!G792</f>
        <v>DE. CAP-13317</v>
      </c>
      <c r="H21" s="112" t="str">
        <f>Total!H792</f>
        <v>Direcció d'execució de les obres de la nova construcció del Centre d'Atenció Primària Vila de Gràcia, de Barcelona.</v>
      </c>
      <c r="I21" s="130">
        <v>39400</v>
      </c>
    </row>
    <row r="22" spans="1:9" x14ac:dyDescent="0.2">
      <c r="A22" s="8">
        <v>21</v>
      </c>
      <c r="B22" s="101">
        <f>Total!B793</f>
        <v>42142</v>
      </c>
      <c r="C22" s="101">
        <f>Total!C793</f>
        <v>42191</v>
      </c>
      <c r="D22" s="112" t="s">
        <v>1092</v>
      </c>
      <c r="E22" s="101" t="str">
        <f>Total!E793</f>
        <v>Obra Civil</v>
      </c>
      <c r="F22" s="96" t="str">
        <f>Total!F793</f>
        <v>Direcció d'Obra</v>
      </c>
      <c r="G22" s="112" t="str">
        <f>Total!G793</f>
        <v>DO. TF-02676.6.6</v>
      </c>
      <c r="H22" s="112" t="str">
        <f>Total!H793</f>
        <v>Direcció de les obres del projecte de perllongament de la línia d'FGC a Sabadell. Alimentació elèctrica, comunicacions i instal·lacions no ferroviàries del túnel. Tram: Plaça Major - Cotxeres.</v>
      </c>
      <c r="I22" s="130">
        <v>427111.11</v>
      </c>
    </row>
    <row r="23" spans="1:9" x14ac:dyDescent="0.2">
      <c r="A23" s="8">
        <v>22</v>
      </c>
      <c r="B23" s="101">
        <f>Total!B794</f>
        <v>42142</v>
      </c>
      <c r="C23" s="101">
        <f>Total!C794</f>
        <v>42158</v>
      </c>
      <c r="D23" s="112" t="s">
        <v>1092</v>
      </c>
      <c r="E23" s="101" t="str">
        <f>Total!E794</f>
        <v>Obra Civil</v>
      </c>
      <c r="F23" s="96" t="str">
        <f>Total!F794</f>
        <v>Projectes</v>
      </c>
      <c r="G23" s="112" t="str">
        <f>Total!G794</f>
        <v>PR. AG-01118.1-C4-A1</v>
      </c>
      <c r="H23" s="112" t="str">
        <f>Total!H794</f>
        <v>Redacció del projecte constructiu de millora local. Talussos. Noves actuacions al condicionament de la ctra. GI-533, del pk 1,430 al 16,200. Tram: Girona-Santa Coloma de Farners.</v>
      </c>
      <c r="I23" s="130">
        <v>25500</v>
      </c>
    </row>
    <row r="24" spans="1:9" x14ac:dyDescent="0.2">
      <c r="A24" s="8">
        <v>23</v>
      </c>
      <c r="B24" s="101">
        <f>Total!B795</f>
        <v>42142</v>
      </c>
      <c r="C24" s="101">
        <f>Total!C795</f>
        <v>42191</v>
      </c>
      <c r="D24" s="112" t="s">
        <v>1092</v>
      </c>
      <c r="E24" s="101" t="str">
        <f>Total!E795</f>
        <v>Obra Civil</v>
      </c>
      <c r="F24" s="96" t="str">
        <f>Total!F795</f>
        <v>Direcció d'obra</v>
      </c>
      <c r="G24" s="112" t="str">
        <f>Total!G795</f>
        <v>DO. TF-02676.5</v>
      </c>
      <c r="H24" s="112" t="str">
        <f>Total!H795</f>
        <v>Direcció de les obres del perllongament de la línia d'FGC a Sabadell. Arquitectura i instal·lacions de les estacions Eix Macià i Plaça Espanya.</v>
      </c>
      <c r="I24" s="130">
        <v>705733.33</v>
      </c>
    </row>
    <row r="25" spans="1:9" x14ac:dyDescent="0.2">
      <c r="A25" s="8">
        <v>24</v>
      </c>
      <c r="B25" s="101">
        <f>Total!B796</f>
        <v>42144</v>
      </c>
      <c r="C25" s="101">
        <f>Total!C796</f>
        <v>42163</v>
      </c>
      <c r="D25" s="112" t="s">
        <v>1092</v>
      </c>
      <c r="E25" s="101" t="str">
        <f>Total!E796</f>
        <v>Obra Civil</v>
      </c>
      <c r="F25" s="96" t="str">
        <f>Total!F796</f>
        <v>Projectes</v>
      </c>
      <c r="G25" s="112" t="str">
        <f>Total!G796</f>
        <v>PC. NL-15007</v>
      </c>
      <c r="H25" s="112" t="str">
        <f>Total!H796</f>
        <v>Redacció del projecte constructiu de millora general. Nova ctra. Prolongació, eixamplament i millora del ferm de la ctra. L-311b, des de la rotonda de l'enllaç de l'A-2 (pk 520,000), fins al pk 0,950 de ka ctra, L-311b. Tram: Cervera.</v>
      </c>
      <c r="I25" s="130">
        <v>21000</v>
      </c>
    </row>
    <row r="26" spans="1:9" x14ac:dyDescent="0.2">
      <c r="A26" s="8">
        <v>25</v>
      </c>
      <c r="B26" s="101">
        <f>Total!B797</f>
        <v>42144</v>
      </c>
      <c r="C26" s="101">
        <f>Total!C797</f>
        <v>42163</v>
      </c>
      <c r="D26" s="112" t="s">
        <v>1092</v>
      </c>
      <c r="E26" s="101" t="str">
        <f>Total!E797</f>
        <v>Obra Civil</v>
      </c>
      <c r="F26" s="96" t="str">
        <f>Total!F797</f>
        <v>Projectes</v>
      </c>
      <c r="G26" s="112" t="str">
        <f>Total!G797</f>
        <v>PC. TM-14338</v>
      </c>
      <c r="H26" s="112" t="str">
        <f>Total!H797</f>
        <v>Redacció del projecte constructiu de millora de l'accessibilitat de l'estació de Zona Universitària a l'intercanviador L9-L3 des de la vorera costat muntanya de l'Avinguda Diagonal.</v>
      </c>
      <c r="I26" s="130">
        <v>78300</v>
      </c>
    </row>
    <row r="27" spans="1:9" x14ac:dyDescent="0.2">
      <c r="A27" s="8">
        <v>26</v>
      </c>
      <c r="B27" s="101">
        <f>Total!B798</f>
        <v>42149</v>
      </c>
      <c r="C27" s="101">
        <f>Total!C798</f>
        <v>42198</v>
      </c>
      <c r="D27" s="112" t="s">
        <v>1092</v>
      </c>
      <c r="E27" s="101" t="str">
        <f>Total!E798</f>
        <v>Edificació</v>
      </c>
      <c r="F27" s="96" t="str">
        <f>Total!F798</f>
        <v>Projectes i Direccions d'Obra</v>
      </c>
      <c r="G27" s="112" t="str">
        <f>Total!G798</f>
        <v>PE+DO. JJT-05338.2.A</v>
      </c>
      <c r="H27" s="112" t="str">
        <f>Total!H798</f>
        <v>Redacció del projecte bàsic i executiu i la posterior direcció de l'obra de la adequació del projecte de l'edifici Judicial a Tortosa.</v>
      </c>
      <c r="I27" s="130">
        <v>329703</v>
      </c>
    </row>
    <row r="28" spans="1:9" x14ac:dyDescent="0.2">
      <c r="I28" s="126">
        <f>SUM(I2:I27)</f>
        <v>4454141.790000001</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I19"/>
  <sheetViews>
    <sheetView workbookViewId="0">
      <selection sqref="A1:XFD19"/>
    </sheetView>
  </sheetViews>
  <sheetFormatPr baseColWidth="10" defaultRowHeight="12.75" x14ac:dyDescent="0.2"/>
  <cols>
    <col min="1" max="1" width="4.7109375" customWidth="1"/>
    <col min="2" max="2" width="12.42578125" bestFit="1" customWidth="1"/>
    <col min="3" max="3" width="15.28515625" bestFit="1" customWidth="1"/>
    <col min="4" max="4" width="17" bestFit="1" customWidth="1"/>
    <col min="6" max="6" width="15.5703125" bestFit="1" customWidth="1"/>
    <col min="7" max="7" width="16.28515625" bestFit="1" customWidth="1"/>
    <col min="8" max="8" width="61.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Total!B756</f>
        <v>42095</v>
      </c>
      <c r="C2" s="101">
        <f>Total!C756</f>
        <v>42114</v>
      </c>
      <c r="D2" s="112" t="s">
        <v>1092</v>
      </c>
      <c r="E2" s="101" t="str">
        <f>Total!E756</f>
        <v>Obra Civil</v>
      </c>
      <c r="F2" s="96" t="str">
        <f>Total!F756</f>
        <v>Direccions d'Obra</v>
      </c>
      <c r="G2" s="112" t="str">
        <f>Total!G756</f>
        <v>ATAM. DG-9032.6</v>
      </c>
      <c r="H2" s="112" t="str">
        <f>Total!H756</f>
        <v>Serveis per a l'assistència tècnica ambiental de les obres de millora general. Desdoblament de la ctra. C-260. Del Pk 29,000 de la C-260 al pk 754,350 de N-II. Tram: Figueres.</v>
      </c>
      <c r="I2" s="130">
        <v>43500</v>
      </c>
    </row>
    <row r="3" spans="1:9" x14ac:dyDescent="0.2">
      <c r="A3" s="8">
        <v>2</v>
      </c>
      <c r="B3" s="101">
        <f>Total!B757</f>
        <v>42103</v>
      </c>
      <c r="C3" s="101">
        <f>Total!C757</f>
        <v>42123</v>
      </c>
      <c r="D3" s="112" t="s">
        <v>1092</v>
      </c>
      <c r="E3" s="101" t="str">
        <f>Total!E757</f>
        <v>Edificació</v>
      </c>
      <c r="F3" s="96" t="str">
        <f>Total!F757</f>
        <v>Control de Qualitat</v>
      </c>
      <c r="G3" s="112" t="str">
        <f>Total!G757</f>
        <v>CQ. HBB-13279</v>
      </c>
      <c r="H3" s="112" t="str">
        <f>Total!H757</f>
        <v>Serveis per a l'assistència tècnica del control de qualitat de les obres de remodelació de les instal.lacions generals elèctriques de l'Hospital Germans Trias i Pujol, a Badalona.</v>
      </c>
      <c r="I3" s="130">
        <v>52985.919999999998</v>
      </c>
    </row>
    <row r="4" spans="1:9" x14ac:dyDescent="0.2">
      <c r="A4" s="8">
        <v>3</v>
      </c>
      <c r="B4" s="101">
        <f>Total!B758</f>
        <v>42103</v>
      </c>
      <c r="C4" s="101">
        <f>Total!C758</f>
        <v>42123</v>
      </c>
      <c r="D4" s="112" t="s">
        <v>1092</v>
      </c>
      <c r="E4" s="101" t="str">
        <f>Total!E758</f>
        <v>Edificació</v>
      </c>
      <c r="F4" s="96" t="str">
        <f>Total!F758</f>
        <v>Direccions d'Execució</v>
      </c>
      <c r="G4" s="112" t="str">
        <f>Total!G758</f>
        <v>CSS. HBB-13279</v>
      </c>
      <c r="H4" s="112" t="str">
        <f>Total!H758</f>
        <v>Serveis per a l'assistència tècnica per la coordinació de seguretat i salut de les obres de remodelació de les instal.lacions generals elèctriques de l'Hospital Germans Trias i Pujol de Badalona.</v>
      </c>
      <c r="I4" s="130">
        <v>23178</v>
      </c>
    </row>
    <row r="5" spans="1:9" x14ac:dyDescent="0.2">
      <c r="A5" s="8">
        <v>4</v>
      </c>
      <c r="B5" s="101">
        <f>Total!B759</f>
        <v>42107</v>
      </c>
      <c r="C5" s="101">
        <f>Total!C759</f>
        <v>42128</v>
      </c>
      <c r="D5" s="112" t="s">
        <v>1092</v>
      </c>
      <c r="E5" s="101" t="str">
        <f>Total!E759</f>
        <v>Edificació</v>
      </c>
      <c r="F5" s="96" t="str">
        <f>Total!F759</f>
        <v>Direccions Facultatives</v>
      </c>
      <c r="G5" s="112" t="str">
        <f>Total!G759</f>
        <v>DF. ICF-14800</v>
      </c>
      <c r="H5" s="112" t="str">
        <f>Total!H759</f>
        <v>Direcció facultativa i coordinació de seguretat i salut de les obres d'enderroc del complex industrial de l'antic escorxador l'Agudana de Cervera.</v>
      </c>
      <c r="I5" s="130">
        <v>20000</v>
      </c>
    </row>
    <row r="6" spans="1:9" x14ac:dyDescent="0.2">
      <c r="A6" s="8">
        <v>5</v>
      </c>
      <c r="B6" s="101">
        <f>Total!B760</f>
        <v>42109</v>
      </c>
      <c r="C6" s="101">
        <f>Total!C760</f>
        <v>42128</v>
      </c>
      <c r="D6" s="112" t="s">
        <v>1092</v>
      </c>
      <c r="E6" s="101" t="str">
        <f>Total!E760</f>
        <v>Obra Civil</v>
      </c>
      <c r="F6" s="96" t="str">
        <f>Total!F760</f>
        <v>Direccions d'Obra</v>
      </c>
      <c r="G6" s="112" t="str">
        <f>Total!G760</f>
        <v>PB. B-TF-09408.A1</v>
      </c>
      <c r="H6" s="112" t="str">
        <f>Total!H760</f>
        <v>Assistència tècnica per a la redacció del projecte bàsic. Projecte actualitzat. Perllongament del soterrament de la línia d'FGC a Sabadell des de la Rambla Ibèria fins al Passeig de Can Feu.</v>
      </c>
      <c r="I6" s="130">
        <v>124000</v>
      </c>
    </row>
    <row r="7" spans="1:9" x14ac:dyDescent="0.2">
      <c r="A7" s="8">
        <v>6</v>
      </c>
      <c r="B7" s="101">
        <f>Total!B761</f>
        <v>42110</v>
      </c>
      <c r="C7" s="101">
        <f>Total!C761</f>
        <v>42128</v>
      </c>
      <c r="D7" s="112" t="s">
        <v>1092</v>
      </c>
      <c r="E7" s="101" t="str">
        <f>Total!E761</f>
        <v>Edificació</v>
      </c>
      <c r="F7" s="96" t="str">
        <f>Total!F761</f>
        <v>Direccions d'Execució</v>
      </c>
      <c r="G7" s="112" t="str">
        <f>Total!G761</f>
        <v>DE. HTT-12005-C1</v>
      </c>
      <c r="H7" s="112" t="str">
        <f>Total!H761</f>
        <v>Direcció d'execució de les obres de l'ampliació i reforma de la 2a fase del Servei d'Urgències de l'Hospital Joan XXIII, de Tarragona. Obres complementàries de reforma i ampliació de la CMA.</v>
      </c>
      <c r="I7" s="130">
        <v>30322.5</v>
      </c>
    </row>
    <row r="8" spans="1:9" x14ac:dyDescent="0.2">
      <c r="A8" s="8">
        <v>7</v>
      </c>
      <c r="B8" s="101">
        <f>Total!B762</f>
        <v>42110</v>
      </c>
      <c r="C8" s="101">
        <f>Total!C762</f>
        <v>42163</v>
      </c>
      <c r="D8" s="112" t="s">
        <v>1092</v>
      </c>
      <c r="E8" s="101" t="str">
        <f>Total!E762</f>
        <v>Obra Civil</v>
      </c>
      <c r="F8" s="96" t="str">
        <f>Total!F762</f>
        <v>Projectes</v>
      </c>
      <c r="G8" s="112" t="str">
        <f>Total!G762</f>
        <v>PC. VE-06008</v>
      </c>
      <c r="H8" s="112" t="str">
        <f>Total!H762</f>
        <v>Assistència tècnica per a la redacció del projecte constructiu de millora general. Variant de Gandesa. Ctra. C-43, pk 12,560, fins a la carretera N-420. Tram: Gandesa.</v>
      </c>
      <c r="I8" s="130">
        <v>410000</v>
      </c>
    </row>
    <row r="9" spans="1:9" x14ac:dyDescent="0.2">
      <c r="A9" s="8">
        <v>8</v>
      </c>
      <c r="B9" s="101">
        <f>Total!B763</f>
        <v>42115</v>
      </c>
      <c r="C9" s="101">
        <f>Total!C763</f>
        <v>42135</v>
      </c>
      <c r="D9" s="112" t="s">
        <v>1092</v>
      </c>
      <c r="E9" s="101" t="str">
        <f>Total!E763</f>
        <v>Edificació</v>
      </c>
      <c r="F9" s="96" t="str">
        <f>Total!F763</f>
        <v>Direccions d'Execució</v>
      </c>
      <c r="G9" s="112" t="str">
        <f>Total!G763</f>
        <v>DE. TM-99500.1A-M1-C5.1</v>
      </c>
      <c r="H9" s="112" t="str">
        <f>Total!H763</f>
        <v>Direcció d'execució i coordinació de seguretat i saltu de les obres d'adequació dels vestidors de les instal.lacions esportives de la Vall d'Hebron. (Teixonera). Fase 1.</v>
      </c>
      <c r="I9" s="130">
        <v>36200</v>
      </c>
    </row>
    <row r="10" spans="1:9" x14ac:dyDescent="0.2">
      <c r="A10" s="8">
        <v>9</v>
      </c>
      <c r="B10" s="101">
        <f>Total!B764</f>
        <v>42116</v>
      </c>
      <c r="C10" s="101">
        <f>Total!C764</f>
        <v>42135</v>
      </c>
      <c r="D10" s="112" t="s">
        <v>1092</v>
      </c>
      <c r="E10" s="101" t="str">
        <f>Total!E764</f>
        <v>Obra Civil</v>
      </c>
      <c r="F10" s="96" t="str">
        <f>Total!F764</f>
        <v>Direccions d'Obra</v>
      </c>
      <c r="G10" s="112" t="str">
        <f>Total!G764</f>
        <v>DO. TM-12002.2</v>
      </c>
      <c r="H10" s="112" t="str">
        <f>Total!H764</f>
        <v>Direcció de les obres del projecte constructiu per a la millora de les condicions mecàniques de la superestructura de via de la Línia 2 de FMB, utilitzant la soliució Vanguard. Tram: Sant Antoni-Universitat del PK 101,050 al 101,250.</v>
      </c>
      <c r="I10" s="130">
        <v>25705.55</v>
      </c>
    </row>
    <row r="11" spans="1:9" x14ac:dyDescent="0.2">
      <c r="A11" s="8">
        <v>10</v>
      </c>
      <c r="B11" s="101">
        <f>Total!B765</f>
        <v>42118</v>
      </c>
      <c r="C11" s="101">
        <f>Total!C765</f>
        <v>42170</v>
      </c>
      <c r="D11" s="112" t="s">
        <v>1092</v>
      </c>
      <c r="E11" s="101" t="str">
        <f>Total!E765</f>
        <v>Edificació</v>
      </c>
      <c r="F11" s="96" t="str">
        <f>Total!F765</f>
        <v>Projectes i Direccions d'Obra</v>
      </c>
      <c r="G11" s="112" t="str">
        <f>Total!G765</f>
        <v>PE+DO. INB-15278</v>
      </c>
      <c r="H11" s="112" t="str">
        <f>Total!H765</f>
        <v>Redacció del projecte bàsic i executiu i la posterior direcció d'obra de la nova construcció de l'Institut Viladomat, 3/2, a Barcelona.</v>
      </c>
      <c r="I11" s="130">
        <v>347270</v>
      </c>
    </row>
    <row r="12" spans="1:9" x14ac:dyDescent="0.2">
      <c r="A12" s="8">
        <v>11</v>
      </c>
      <c r="B12" s="101">
        <f>Total!B766</f>
        <v>42118</v>
      </c>
      <c r="C12" s="101">
        <f>Total!C766</f>
        <v>42170</v>
      </c>
      <c r="D12" s="112" t="s">
        <v>1092</v>
      </c>
      <c r="E12" s="101" t="str">
        <f>Total!E766</f>
        <v>Edificació</v>
      </c>
      <c r="F12" s="96" t="str">
        <f>Total!F766</f>
        <v>Projectes i Direccions d'Obra</v>
      </c>
      <c r="G12" s="112" t="str">
        <f>Total!G766</f>
        <v>PE+DO. PNT-14334</v>
      </c>
      <c r="H12" s="112" t="str">
        <f>Total!H766</f>
        <v>Redacció del projecte bàsic i executiu i la posterior direcció d'obra de la nova construcció Escola d'Arrabassada, 2L a Tarragona.</v>
      </c>
      <c r="I12" s="130">
        <v>335634</v>
      </c>
    </row>
    <row r="13" spans="1:9" x14ac:dyDescent="0.2">
      <c r="A13" s="8">
        <v>12</v>
      </c>
      <c r="B13" s="101">
        <f>Total!B767</f>
        <v>42121</v>
      </c>
      <c r="C13" s="101">
        <f>Total!C767</f>
        <v>42170</v>
      </c>
      <c r="D13" s="112" t="s">
        <v>1092</v>
      </c>
      <c r="E13" s="101" t="str">
        <f>Total!E767</f>
        <v>Edificació</v>
      </c>
      <c r="F13" s="96" t="str">
        <f>Total!F767</f>
        <v>Projectes i Direccions d'Obra</v>
      </c>
      <c r="G13" s="112" t="str">
        <f>Total!G767</f>
        <v>PE+DO. INB-14335</v>
      </c>
      <c r="H13" s="112" t="str">
        <f>Total!H767</f>
        <v>Redacció del projecte bàsic i executiu i la posterior direcció d'obra de la nova construcció Institut Maria Espinalt 4/3, a Barcelona.</v>
      </c>
      <c r="I13" s="130">
        <v>405007</v>
      </c>
    </row>
    <row r="14" spans="1:9" x14ac:dyDescent="0.2">
      <c r="A14" s="8">
        <v>13</v>
      </c>
      <c r="B14" s="101">
        <f>Total!B768</f>
        <v>42122</v>
      </c>
      <c r="C14" s="101">
        <f>Total!C768</f>
        <v>42137</v>
      </c>
      <c r="D14" s="112" t="s">
        <v>1092</v>
      </c>
      <c r="E14" s="101" t="str">
        <f>Total!E768</f>
        <v>Obra Civil</v>
      </c>
      <c r="F14" s="96" t="str">
        <f>Total!F768</f>
        <v>Control de Qualitat</v>
      </c>
      <c r="G14" s="112" t="str">
        <f>Total!G768</f>
        <v>CQ. TF-02676.7.2</v>
      </c>
      <c r="H14" s="112" t="str">
        <f>Total!H768</f>
        <v>Control de qualitat de les obres de perllongament de la línia d'FGC a Sabadell. Senyalització i enclavaments. Tram: Plaça Major-Cotxeres.</v>
      </c>
      <c r="I14" s="130">
        <v>40525.32</v>
      </c>
    </row>
    <row r="15" spans="1:9" x14ac:dyDescent="0.2">
      <c r="A15" s="8">
        <v>14</v>
      </c>
      <c r="B15" s="101">
        <f>Total!B769</f>
        <v>42122</v>
      </c>
      <c r="C15" s="101">
        <f>Total!C769</f>
        <v>42137</v>
      </c>
      <c r="D15" s="112" t="s">
        <v>1092</v>
      </c>
      <c r="E15" s="101" t="str">
        <f>Total!E769</f>
        <v>Obra Civil</v>
      </c>
      <c r="F15" s="96" t="str">
        <f>Total!F769</f>
        <v>Direccions d'Obra</v>
      </c>
      <c r="G15" s="112" t="str">
        <f>Total!G769</f>
        <v>DO. TF-02676.7.2</v>
      </c>
      <c r="H15" s="112" t="str">
        <f>Total!H769</f>
        <v>Direcció de les obres de perllongament de la línia d'FGC a Sabadell. Senyalització i enclavaments. Tram: Plaça Major-Cotxeres.</v>
      </c>
      <c r="I15" s="130">
        <v>144300</v>
      </c>
    </row>
    <row r="16" spans="1:9" x14ac:dyDescent="0.2">
      <c r="A16" s="8">
        <v>15</v>
      </c>
      <c r="B16" s="101">
        <f>Total!B770</f>
        <v>42123</v>
      </c>
      <c r="C16" s="101">
        <f>Total!C770</f>
        <v>42142</v>
      </c>
      <c r="D16" s="112" t="s">
        <v>1092</v>
      </c>
      <c r="E16" s="101" t="str">
        <f>Total!E770</f>
        <v>Edificació</v>
      </c>
      <c r="F16" s="96" t="str">
        <f>Total!F770</f>
        <v>Direccions d'Execució</v>
      </c>
      <c r="G16" s="112" t="str">
        <f>Total!G770</f>
        <v>DE. IAC-10037</v>
      </c>
      <c r="H16" s="112" t="str">
        <f>Total!H770</f>
        <v>Direcció d'execució de les obres d'adequació de la planta tercera de l'Institut La Llauna de Badalona.</v>
      </c>
      <c r="I16" s="130">
        <v>34552.870000000003</v>
      </c>
    </row>
    <row r="17" spans="1:9" x14ac:dyDescent="0.2">
      <c r="A17" s="8">
        <v>16</v>
      </c>
      <c r="B17" s="101">
        <f>Total!B771</f>
        <v>42123</v>
      </c>
      <c r="C17" s="101">
        <f>Total!C771</f>
        <v>42142</v>
      </c>
      <c r="D17" s="112" t="s">
        <v>1092</v>
      </c>
      <c r="E17" s="101" t="str">
        <f>Total!E771</f>
        <v>Edificació</v>
      </c>
      <c r="F17" s="96" t="str">
        <f>Total!F771</f>
        <v>Direccions d'Obra</v>
      </c>
      <c r="G17" s="112" t="str">
        <f>Total!G771</f>
        <v>DO. IAC-10037</v>
      </c>
      <c r="H17" s="112" t="str">
        <f>Total!H771</f>
        <v>Direcció d'obra de les obres d'adequació de la planta tercera de l'Institut La Llauna de Badalona.</v>
      </c>
      <c r="I17" s="130">
        <v>31612.2</v>
      </c>
    </row>
    <row r="18" spans="1:9" x14ac:dyDescent="0.2">
      <c r="A18" s="8">
        <v>17</v>
      </c>
      <c r="B18" s="101">
        <f>Total!B772</f>
        <v>42124</v>
      </c>
      <c r="C18" s="101">
        <f>Total!C772</f>
        <v>42142</v>
      </c>
      <c r="D18" s="112" t="s">
        <v>1092</v>
      </c>
      <c r="E18" s="101" t="str">
        <f>Total!E772</f>
        <v>Obra Civil</v>
      </c>
      <c r="F18" s="96" t="str">
        <f>Total!F772</f>
        <v>Projectes</v>
      </c>
      <c r="G18" s="112" t="str">
        <f>Total!G772</f>
        <v>PR. AT-00164-C3</v>
      </c>
      <c r="H18" s="112" t="str">
        <f>Total!H772</f>
        <v>Redacció del projecte constructiu de millora local. Eixamplament de la calçada i enllumenat de les rotondes del nou accés a l'AP-2 des de la C-51, de la rotonda de l'Albornar al pk 3,800 de la T-240. Tram: La Bisbal del Penedès.</v>
      </c>
      <c r="I18" s="130">
        <v>33300</v>
      </c>
    </row>
    <row r="19" spans="1:9" x14ac:dyDescent="0.2">
      <c r="I19" s="126">
        <f>SUM(I2:I18)</f>
        <v>2138093.3600000003</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I27"/>
  <sheetViews>
    <sheetView workbookViewId="0">
      <selection activeCell="A2" sqref="A2"/>
    </sheetView>
  </sheetViews>
  <sheetFormatPr baseColWidth="10" defaultRowHeight="12.75" x14ac:dyDescent="0.2"/>
  <cols>
    <col min="1" max="1" width="6.5703125" customWidth="1"/>
    <col min="4" max="4" width="17.85546875" customWidth="1"/>
    <col min="6" max="6" width="19.42578125" style="5" bestFit="1" customWidth="1"/>
    <col min="7" max="7" width="15" customWidth="1"/>
    <col min="8" max="8" width="60"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Total!B730</f>
        <v>42065</v>
      </c>
      <c r="C2" s="101">
        <f>Total!C730</f>
        <v>42081</v>
      </c>
      <c r="D2" s="112" t="s">
        <v>1092</v>
      </c>
      <c r="E2" s="101" t="str">
        <f>Total!E730</f>
        <v>Edificació</v>
      </c>
      <c r="F2" s="96" t="str">
        <f>Total!F730</f>
        <v>Direccions d'Obra</v>
      </c>
      <c r="G2" s="112" t="str">
        <f>Total!G730</f>
        <v>DO. INC-07391.A</v>
      </c>
      <c r="H2" s="112" t="str">
        <f>Total!H730</f>
        <v>Direcció d'obra de la nova construcció institut 3/0 línies (sense gimnàs) a l'Institut de Cabrils (Manresa).</v>
      </c>
      <c r="I2" s="121">
        <v>85075</v>
      </c>
    </row>
    <row r="3" spans="1:9" x14ac:dyDescent="0.2">
      <c r="A3" s="8">
        <v>2</v>
      </c>
      <c r="B3" s="101">
        <f>Total!B731</f>
        <v>42065</v>
      </c>
      <c r="C3" s="101">
        <f>Total!C731</f>
        <v>42086</v>
      </c>
      <c r="D3" s="112" t="s">
        <v>1092</v>
      </c>
      <c r="E3" s="101" t="str">
        <f>Total!E731</f>
        <v>Edificació</v>
      </c>
      <c r="F3" s="96" t="str">
        <f>Total!F731</f>
        <v>Direccions d'Execució</v>
      </c>
      <c r="G3" s="112" t="str">
        <f>Total!G731</f>
        <v>CSS. INC-07391.A</v>
      </c>
      <c r="H3" s="112" t="str">
        <f>Total!H731</f>
        <v>Serveis per a la coordinació de seguretat i salut de les obres de la nova construcció institut 3/0 línies (sense gimnàs) a l'Institut de Cabrils (Maresme).</v>
      </c>
      <c r="I3" s="121">
        <v>18500</v>
      </c>
    </row>
    <row r="4" spans="1:9" x14ac:dyDescent="0.2">
      <c r="A4" s="8">
        <v>3</v>
      </c>
      <c r="B4" s="101">
        <f>Total!B732</f>
        <v>42067</v>
      </c>
      <c r="C4" s="101">
        <f>Total!C732</f>
        <v>42086</v>
      </c>
      <c r="D4" s="112" t="s">
        <v>1092</v>
      </c>
      <c r="E4" s="101" t="str">
        <f>Total!E732</f>
        <v>Edificació</v>
      </c>
      <c r="F4" s="96" t="str">
        <f>Total!F732</f>
        <v>Control de Qualitat</v>
      </c>
      <c r="G4" s="112" t="str">
        <f>Total!G732</f>
        <v>CQ. INC-07391.A</v>
      </c>
      <c r="H4" s="112" t="str">
        <f>Total!H732</f>
        <v>Contracte de serveis per al control de qualitat de les obres de la nova construcció institut 3/0 línies (sense gimnàs) a l'Institut de Cabrils (Maresme).</v>
      </c>
      <c r="I4" s="121">
        <v>31421</v>
      </c>
    </row>
    <row r="5" spans="1:9" x14ac:dyDescent="0.2">
      <c r="A5" s="8">
        <v>4</v>
      </c>
      <c r="B5" s="101">
        <f>Total!B733</f>
        <v>42067</v>
      </c>
      <c r="C5" s="101">
        <f>Total!C733</f>
        <v>42086</v>
      </c>
      <c r="D5" s="112" t="s">
        <v>1092</v>
      </c>
      <c r="E5" s="101" t="str">
        <f>Total!E733</f>
        <v>Obra Civil</v>
      </c>
      <c r="F5" s="96" t="str">
        <f>Total!F733</f>
        <v>Projectes</v>
      </c>
      <c r="G5" s="112" t="str">
        <f>Total!G733</f>
        <v>PC. VT-13007 (AMPL)</v>
      </c>
      <c r="H5" s="112" t="str">
        <f>Total!H733</f>
        <v>Serveis per a l'assistència tècnica per a la redacció de l'ampliació del projecte de millora general. Connexió de la carretera C-37, pk 5,800,  amb la N-240, pk 17,450. Tram: Valls.</v>
      </c>
      <c r="I5" s="121">
        <v>41600</v>
      </c>
    </row>
    <row r="6" spans="1:9" x14ac:dyDescent="0.2">
      <c r="A6" s="8">
        <v>5</v>
      </c>
      <c r="B6" s="101">
        <f>Total!B734</f>
        <v>42068</v>
      </c>
      <c r="C6" s="101">
        <f>Total!C734</f>
        <v>42086</v>
      </c>
      <c r="D6" s="112" t="s">
        <v>1092</v>
      </c>
      <c r="E6" s="101" t="str">
        <f>Total!E734</f>
        <v>Obra Civil</v>
      </c>
      <c r="F6" s="96" t="str">
        <f>Total!F734</f>
        <v>Projectes</v>
      </c>
      <c r="G6" s="112" t="str">
        <f>Total!G734</f>
        <v>EV.E35-TM-00509</v>
      </c>
      <c r="H6" s="112" t="str">
        <f>Total!H734</f>
        <v>Serveis per a l'assistència tècnica per a la redacció de l'estudi dels canvis de via del Tram IV de la Línia 9 de Barcelona. Diagnosi, avaluació i estudi de les patalogies. Propostes de millora.</v>
      </c>
      <c r="I6" s="121">
        <v>90000</v>
      </c>
    </row>
    <row r="7" spans="1:9" x14ac:dyDescent="0.2">
      <c r="A7" s="8">
        <v>6</v>
      </c>
      <c r="B7" s="101">
        <f>Total!B735</f>
        <v>42068</v>
      </c>
      <c r="C7" s="101">
        <f>Total!C735</f>
        <v>42086</v>
      </c>
      <c r="D7" s="112" t="s">
        <v>1092</v>
      </c>
      <c r="E7" s="101" t="str">
        <f>Total!E735</f>
        <v>Obra Civil</v>
      </c>
      <c r="F7" s="96" t="str">
        <f>Total!F735</f>
        <v>Projectes</v>
      </c>
      <c r="G7" s="112" t="str">
        <f>Total!G735</f>
        <v>PC. MB-14065</v>
      </c>
      <c r="H7" s="112" t="str">
        <f>Total!H735</f>
        <v>Serveis per a l'assistència tècnica per a la redacció del projecte constructiu de millora local. Millora de nus. Nous ramals sentit nord a l'enllaç de Viladordis. Autopista C-16, pk 51,250. Tram: Manresa-Sant Fruitós de Bages.</v>
      </c>
      <c r="I7" s="121">
        <v>145050</v>
      </c>
    </row>
    <row r="8" spans="1:9" x14ac:dyDescent="0.2">
      <c r="A8" s="8">
        <v>7</v>
      </c>
      <c r="B8" s="101">
        <f>Total!B736</f>
        <v>42069</v>
      </c>
      <c r="C8" s="101">
        <f>Total!C736</f>
        <v>42086</v>
      </c>
      <c r="D8" s="112" t="s">
        <v>1092</v>
      </c>
      <c r="E8" s="101" t="str">
        <f>Total!E736</f>
        <v>Obra Civil</v>
      </c>
      <c r="F8" s="96" t="str">
        <f>Total!F736</f>
        <v>Projectes</v>
      </c>
      <c r="G8" s="112" t="str">
        <f>Total!G736</f>
        <v>PC. MB-14066</v>
      </c>
      <c r="H8" s="112" t="str">
        <f>Total!H736</f>
        <v>Serveis per a l'assistència tècnica per a la redacció del projecte constructiu de millora local. Millora de nus. Nous ramals sentit oest a l'enllaç del carrer Sallent. Ctra. C-55, Ronda nord de Manresa, pk 31,400 al 31,900. Tram: Manresa.</v>
      </c>
      <c r="I8" s="121">
        <v>115960</v>
      </c>
    </row>
    <row r="9" spans="1:9" x14ac:dyDescent="0.2">
      <c r="A9" s="8">
        <v>8</v>
      </c>
      <c r="B9" s="101">
        <f>Total!B737</f>
        <v>42072</v>
      </c>
      <c r="C9" s="101">
        <f>Total!C737</f>
        <v>42088</v>
      </c>
      <c r="D9" s="112" t="s">
        <v>1092</v>
      </c>
      <c r="E9" s="101" t="str">
        <f>Total!E737</f>
        <v>Obra Civil</v>
      </c>
      <c r="F9" s="96" t="str">
        <f>Total!F737</f>
        <v>Control de Qualitat</v>
      </c>
      <c r="G9" s="112" t="str">
        <f>Total!G737</f>
        <v>CQ. MB-13015</v>
      </c>
      <c r="H9" s="112" t="str">
        <f>Total!H737</f>
        <v>Control de qualitat de les obres de millora local. Millora de la seguretat viària. Millora de les característiques superficials del ferm i reestudi de la secció transversal. Carretera C-55. pk 18,500 al 26,500. Tram: Castellbell i el Vilar-Manresa.</v>
      </c>
      <c r="I9" s="121">
        <v>37443.29</v>
      </c>
    </row>
    <row r="10" spans="1:9" x14ac:dyDescent="0.2">
      <c r="A10" s="8">
        <v>9</v>
      </c>
      <c r="B10" s="101">
        <f>Total!B738</f>
        <v>42072</v>
      </c>
      <c r="C10" s="101">
        <f>Total!C738</f>
        <v>42088</v>
      </c>
      <c r="D10" s="112" t="s">
        <v>1092</v>
      </c>
      <c r="E10" s="101" t="str">
        <f>Total!E738</f>
        <v>Obra Civil</v>
      </c>
      <c r="F10" s="96" t="str">
        <f>Total!F738</f>
        <v>Control de Qualitat</v>
      </c>
      <c r="G10" s="112" t="str">
        <f>Total!G738</f>
        <v>CQ. DG-9032.6</v>
      </c>
      <c r="H10" s="112" t="str">
        <f>Total!H738</f>
        <v>Control de qualitat de les obres de millora general. Desdoblament de la carretera C-260. Del pk 29,000 de la C-260 al pk 754,350 de l'N-II. Tram: Figueres.</v>
      </c>
      <c r="I10" s="121">
        <v>72680.87</v>
      </c>
    </row>
    <row r="11" spans="1:9" x14ac:dyDescent="0.2">
      <c r="A11" s="8">
        <v>10</v>
      </c>
      <c r="B11" s="101">
        <f>Total!B739</f>
        <v>42072</v>
      </c>
      <c r="C11" s="101">
        <f>Total!C739</f>
        <v>42088</v>
      </c>
      <c r="D11" s="112" t="s">
        <v>1092</v>
      </c>
      <c r="E11" s="101" t="str">
        <f>Total!E739</f>
        <v>Obra Civil</v>
      </c>
      <c r="F11" s="96" t="str">
        <f>Total!F739</f>
        <v>Direccions d'Obra</v>
      </c>
      <c r="G11" s="112" t="str">
        <f>Total!G739</f>
        <v>CSS. DG-9032.6</v>
      </c>
      <c r="H11" s="112" t="str">
        <f>Total!H739</f>
        <v>Coordinació de seguretat i salut de les obres de millora general. Desdoblament de la ctra. C-260. Del pk 29,000 de la C-260 al pk 754,350 de l'N-II. Tram: Figueres.</v>
      </c>
      <c r="I11" s="121">
        <v>21000</v>
      </c>
    </row>
    <row r="12" spans="1:9" x14ac:dyDescent="0.2">
      <c r="A12" s="8">
        <v>11</v>
      </c>
      <c r="B12" s="101">
        <f>Total!B740</f>
        <v>42073</v>
      </c>
      <c r="C12" s="101">
        <f>Total!C740</f>
        <v>42093</v>
      </c>
      <c r="D12" s="112" t="s">
        <v>1092</v>
      </c>
      <c r="E12" s="101" t="str">
        <f>Total!E740</f>
        <v>Obra Civil</v>
      </c>
      <c r="F12" s="96" t="str">
        <f>Total!F740</f>
        <v>Direccions d'Obra</v>
      </c>
      <c r="G12" s="112" t="str">
        <f>Total!G740</f>
        <v>DO. AB-01055-C2.F1</v>
      </c>
      <c r="H12" s="112" t="str">
        <f>Total!H740</f>
        <v>Direcció de les obres del projecte complementari núm. 2 de millora local. Talussos. Estabilització de talussos. Ctra. C-62, pk 10,350 a 27,020. Fase 1. Tram: Olost-Olvan.</v>
      </c>
      <c r="I12" s="121">
        <v>22200</v>
      </c>
    </row>
    <row r="13" spans="1:9" x14ac:dyDescent="0.2">
      <c r="A13" s="8">
        <v>12</v>
      </c>
      <c r="B13" s="101">
        <f>Total!B741</f>
        <v>42073</v>
      </c>
      <c r="C13" s="101">
        <f>Total!C741</f>
        <v>42093</v>
      </c>
      <c r="D13" s="112" t="s">
        <v>1092</v>
      </c>
      <c r="E13" s="101" t="str">
        <f>Total!E741</f>
        <v>Edificació</v>
      </c>
      <c r="F13" s="96" t="str">
        <f>Total!F741</f>
        <v>Direccions d'Execució</v>
      </c>
      <c r="G13" s="112" t="str">
        <f>Total!G741</f>
        <v>CSS. HBB-11233</v>
      </c>
      <c r="H13" s="112" t="str">
        <f>Total!H741</f>
        <v>Coordinació de seguretat i salut de les obres de reforma de la unitat d'hospitalització i del servei de neonatologia de l'Hospital Germans Trias i Pujol, de Badalona.</v>
      </c>
      <c r="I13" s="121">
        <v>29250</v>
      </c>
    </row>
    <row r="14" spans="1:9" x14ac:dyDescent="0.2">
      <c r="A14" s="8">
        <v>13</v>
      </c>
      <c r="B14" s="101">
        <f>Total!B742</f>
        <v>42073</v>
      </c>
      <c r="C14" s="101">
        <f>Total!C742</f>
        <v>42093</v>
      </c>
      <c r="D14" s="112" t="s">
        <v>1092</v>
      </c>
      <c r="E14" s="101" t="str">
        <f>Total!E742</f>
        <v>Obra Civil</v>
      </c>
      <c r="F14" s="96" t="str">
        <f>Total!F742</f>
        <v>Direccions d'Obra</v>
      </c>
      <c r="G14" s="112" t="str">
        <f>Total!G742</f>
        <v>DO. MB-14046</v>
      </c>
      <c r="H14" s="112" t="str">
        <f>Total!H742</f>
        <v>Direcció de les obres del projecte de millora local. Millora de nus. Nou enllaç entre l'Eix Trasnversal (pk 189,700) i la Ctra. BV-5202 (pk 1,980). Tram: Sant Julià de Vilatorta.</v>
      </c>
      <c r="I14" s="121">
        <v>79600</v>
      </c>
    </row>
    <row r="15" spans="1:9" x14ac:dyDescent="0.2">
      <c r="A15" s="8">
        <v>14</v>
      </c>
      <c r="B15" s="101">
        <f>Total!B743</f>
        <v>42073</v>
      </c>
      <c r="C15" s="101">
        <f>Total!C743</f>
        <v>42093</v>
      </c>
      <c r="D15" s="112" t="s">
        <v>1092</v>
      </c>
      <c r="E15" s="101" t="str">
        <f>Total!E743</f>
        <v>Obra Civil</v>
      </c>
      <c r="F15" s="96" t="str">
        <f>Total!F743</f>
        <v>Control de Qualitat</v>
      </c>
      <c r="G15" s="112" t="str">
        <f>Total!G743</f>
        <v>CQ. MB-14046</v>
      </c>
      <c r="H15" s="112" t="str">
        <f>Total!H743</f>
        <v>Control de qualitat de les obres del projecte de millora local. Millora de nus. Nou enllaç entre l'Eix Transversal (pk 189,700) i la ctra. BV-5202 (pk 1,980). Tram: Sant Julià de Vilatorta.</v>
      </c>
      <c r="I15" s="121">
        <v>29341</v>
      </c>
    </row>
    <row r="16" spans="1:9" x14ac:dyDescent="0.2">
      <c r="A16" s="8">
        <v>15</v>
      </c>
      <c r="B16" s="101">
        <f>Total!B744</f>
        <v>42074</v>
      </c>
      <c r="C16" s="101">
        <f>Total!C744</f>
        <v>42093</v>
      </c>
      <c r="D16" s="112" t="s">
        <v>1092</v>
      </c>
      <c r="E16" s="101" t="str">
        <f>Total!E744</f>
        <v>Obra Civil</v>
      </c>
      <c r="F16" s="96" t="str">
        <f>Total!F744</f>
        <v>Projectes</v>
      </c>
      <c r="G16" s="112" t="str">
        <f>Total!G744</f>
        <v>EP. EP43</v>
      </c>
      <c r="H16" s="112" t="str">
        <f>Total!H744</f>
        <v>Serveis per a l'assistència tècnica per a la realització dels treballs de topografia corresponents als estudis i projectes d'obra civil i d'edificació.</v>
      </c>
      <c r="I16" s="121">
        <v>186000</v>
      </c>
    </row>
    <row r="17" spans="1:9" x14ac:dyDescent="0.2">
      <c r="A17" s="8">
        <v>16</v>
      </c>
      <c r="B17" s="101">
        <f>Total!B745</f>
        <v>42074</v>
      </c>
      <c r="C17" s="101">
        <f>Total!C745</f>
        <v>42093</v>
      </c>
      <c r="D17" s="112" t="s">
        <v>1092</v>
      </c>
      <c r="E17" s="101" t="str">
        <f>Total!E745</f>
        <v>Obra Civil</v>
      </c>
      <c r="F17" s="96" t="str">
        <f>Total!F745</f>
        <v>Projectes</v>
      </c>
      <c r="G17" s="112" t="str">
        <f>Total!G745</f>
        <v>PC. ML-14057</v>
      </c>
      <c r="H17" s="112" t="str">
        <f>Total!H745</f>
        <v>Redacció del proejecte constructiu de millora local. Variant puntual. Ctra. LV-4241, del pk 43,500 al 43,750. Tram: Sant Llorenç de Morunys - Límit Comarca Berguedà (Guixers).</v>
      </c>
      <c r="I17" s="121">
        <v>63560</v>
      </c>
    </row>
    <row r="18" spans="1:9" x14ac:dyDescent="0.2">
      <c r="A18" s="8">
        <v>17</v>
      </c>
      <c r="B18" s="101">
        <f>Total!B746</f>
        <v>42074</v>
      </c>
      <c r="C18" s="101">
        <f>Total!C746</f>
        <v>42093</v>
      </c>
      <c r="D18" s="112" t="s">
        <v>1092</v>
      </c>
      <c r="E18" s="101" t="str">
        <f>Total!E746</f>
        <v>Obra Civil</v>
      </c>
      <c r="F18" s="96" t="str">
        <f>Total!F746</f>
        <v>Projectes</v>
      </c>
      <c r="G18" s="112" t="str">
        <f>Total!G746</f>
        <v>PC. MG-14079</v>
      </c>
      <c r="H18" s="112" t="str">
        <f>Total!H746</f>
        <v>Redacció del projecte constructiu de millora local. Eixample i millora del traçat de la carretera N-141e, del pk 110,500 al 112,350. Tram: Bescanó.</v>
      </c>
      <c r="I18" s="121">
        <v>97500</v>
      </c>
    </row>
    <row r="19" spans="1:9" x14ac:dyDescent="0.2">
      <c r="A19" s="8">
        <v>18</v>
      </c>
      <c r="B19" s="101">
        <f>Total!B747</f>
        <v>42075</v>
      </c>
      <c r="C19" s="101">
        <f>Total!C747</f>
        <v>42093</v>
      </c>
      <c r="D19" s="112" t="s">
        <v>1092</v>
      </c>
      <c r="E19" s="101" t="str">
        <f>Total!E747</f>
        <v>Obra Civil</v>
      </c>
      <c r="F19" s="96" t="str">
        <f>Total!F747</f>
        <v>Projectes</v>
      </c>
      <c r="G19" s="112" t="str">
        <f>Total!G747</f>
        <v>PC. TF-02676.2-C2</v>
      </c>
      <c r="H19" s="112" t="str">
        <f>Total!H747</f>
        <v>Redacció del projecte complementari núm. 2 del perllongament de la línia d'FGC a Sabadell. Infraestructura. Urbanització tram inici soterrament - Sabadell Estació.</v>
      </c>
      <c r="I19" s="121">
        <v>46500</v>
      </c>
    </row>
    <row r="20" spans="1:9" x14ac:dyDescent="0.2">
      <c r="A20" s="8">
        <v>19</v>
      </c>
      <c r="B20" s="101">
        <f>Total!B748</f>
        <v>42079</v>
      </c>
      <c r="C20" s="101">
        <f>Total!C748</f>
        <v>42095</v>
      </c>
      <c r="D20" s="112" t="s">
        <v>1092</v>
      </c>
      <c r="E20" s="101" t="str">
        <f>Total!E748</f>
        <v>Edificació</v>
      </c>
      <c r="F20" s="96" t="str">
        <f>Total!F748</f>
        <v>Direccions d'Execució</v>
      </c>
      <c r="G20" s="112" t="str">
        <f>Total!G748</f>
        <v>CSS. INA-12903</v>
      </c>
      <c r="H20" s="112" t="str">
        <f>Total!H748</f>
        <v>Coordinació de seguretat i salut de les obres de la nova construcció institut 4/2 línies + 2 aules a l'Institut Lluís de Requesens de Molins de Rei (Baix Llobregat).</v>
      </c>
      <c r="I20" s="121">
        <v>19600</v>
      </c>
    </row>
    <row r="21" spans="1:9" x14ac:dyDescent="0.2">
      <c r="A21" s="8">
        <v>20</v>
      </c>
      <c r="B21" s="101">
        <f>Total!B749</f>
        <v>42081</v>
      </c>
      <c r="C21" s="101">
        <f>Total!C749</f>
        <v>42102</v>
      </c>
      <c r="D21" s="112" t="s">
        <v>1092</v>
      </c>
      <c r="E21" s="101" t="str">
        <f>Total!E749</f>
        <v>Edificació</v>
      </c>
      <c r="F21" s="96" t="str">
        <f>Total!F749</f>
        <v>Subministrament i Serveis</v>
      </c>
      <c r="G21" s="112" t="str">
        <f>Total!G749</f>
        <v>MEA.MEC-15L03</v>
      </c>
      <c r="H21" s="112" t="str">
        <f>Total!H749</f>
        <v>Asistència tècnica per a la realització d'auditories de qualitat del manteniment de 19 edificis dels Mossos d'Escuadra.</v>
      </c>
      <c r="I21" s="121">
        <v>135000</v>
      </c>
    </row>
    <row r="22" spans="1:9" x14ac:dyDescent="0.2">
      <c r="A22" s="8">
        <v>21</v>
      </c>
      <c r="B22" s="101">
        <f>Total!B750</f>
        <v>42087</v>
      </c>
      <c r="C22" s="101">
        <f>Total!C750</f>
        <v>42107</v>
      </c>
      <c r="D22" s="112" t="s">
        <v>1092</v>
      </c>
      <c r="E22" s="101" t="str">
        <f>Total!E750</f>
        <v>Edificació</v>
      </c>
      <c r="F22" s="96" t="str">
        <f>Total!F750</f>
        <v>Control de Qualitat</v>
      </c>
      <c r="G22" s="112" t="str">
        <f>Total!G750</f>
        <v>CQ. INA-12903</v>
      </c>
      <c r="H22" s="112" t="str">
        <f>Total!H750</f>
        <v>Control de qualitat de les obres de la nova construcció institut 4/2 línies + 2 aules a l'Institut Lluís de Requesens de Molins de Rei (Baix Llobregat).</v>
      </c>
      <c r="I22" s="121">
        <v>42735.93</v>
      </c>
    </row>
    <row r="23" spans="1:9" x14ac:dyDescent="0.2">
      <c r="A23" s="8">
        <v>23</v>
      </c>
      <c r="B23" s="101">
        <f>Total!B752</f>
        <v>42093</v>
      </c>
      <c r="C23" s="101">
        <f>Total!C752</f>
        <v>42109</v>
      </c>
      <c r="D23" s="112" t="s">
        <v>1092</v>
      </c>
      <c r="E23" s="101" t="str">
        <f>Total!E752</f>
        <v>Edificació</v>
      </c>
      <c r="F23" s="96" t="str">
        <f>Total!F752</f>
        <v>Direccions d'Execució</v>
      </c>
      <c r="G23" s="112" t="str">
        <f>Total!G752</f>
        <v>DE. CAP-10007</v>
      </c>
      <c r="H23" s="112" t="str">
        <f>Total!H752</f>
        <v>Direcció d'execució de les obres del nou CAP "Gornal", de l'Hospitalet de Llobregat.</v>
      </c>
      <c r="I23" s="121">
        <v>80111</v>
      </c>
    </row>
    <row r="24" spans="1:9" x14ac:dyDescent="0.2">
      <c r="A24" s="8">
        <v>24</v>
      </c>
      <c r="B24" s="101">
        <f>Total!B753</f>
        <v>42093</v>
      </c>
      <c r="C24" s="101">
        <f>Total!C753</f>
        <v>42109</v>
      </c>
      <c r="D24" s="112" t="s">
        <v>1092</v>
      </c>
      <c r="E24" s="101" t="str">
        <f>Total!E753</f>
        <v>Edificació</v>
      </c>
      <c r="F24" s="96" t="str">
        <f>Total!F753</f>
        <v>Direccions d'Execució</v>
      </c>
      <c r="G24" s="112" t="str">
        <f>Total!G753</f>
        <v>DE. CLT-10099.1+CLT-10099.2</v>
      </c>
      <c r="H24" s="112" t="str">
        <f>Total!H753</f>
        <v>Direcció d'execució conjunta de les obres de construcció del Consultori Local de l'Estartit, de Torroella de Montgrí i de les obres de construcció (instal.lacions) del consultori local de l'Estartit, de Torroella de Montgrí.</v>
      </c>
      <c r="I24" s="121">
        <v>27850</v>
      </c>
    </row>
    <row r="25" spans="1:9" x14ac:dyDescent="0.2">
      <c r="A25" s="8">
        <v>25</v>
      </c>
      <c r="B25" s="101">
        <f>Total!B754</f>
        <v>42094</v>
      </c>
      <c r="C25" s="101">
        <f>Total!C754</f>
        <v>42114</v>
      </c>
      <c r="D25" s="112" t="s">
        <v>1092</v>
      </c>
      <c r="E25" s="101" t="str">
        <f>Total!E754</f>
        <v>Edificació</v>
      </c>
      <c r="F25" s="96" t="str">
        <f>Total!F754</f>
        <v>Control de Qualitat</v>
      </c>
      <c r="G25" s="112" t="str">
        <f>Total!G754</f>
        <v>CQ. CAP-10007</v>
      </c>
      <c r="H25" s="112" t="str">
        <f>Total!H754</f>
        <v>Control de qualitat de les obres de construcció del Centre d'Atenció Primària El Gornal, de l'Hospitalet de Llobregat.</v>
      </c>
      <c r="I25" s="121">
        <v>38763.93</v>
      </c>
    </row>
    <row r="26" spans="1:9" x14ac:dyDescent="0.2">
      <c r="A26" s="8">
        <v>26</v>
      </c>
      <c r="B26" s="101">
        <f>Total!B755</f>
        <v>42094</v>
      </c>
      <c r="C26" s="101">
        <f>Total!C755</f>
        <v>42114</v>
      </c>
      <c r="D26" s="112" t="s">
        <v>1092</v>
      </c>
      <c r="E26" s="101" t="str">
        <f>Total!E755</f>
        <v>Edificació</v>
      </c>
      <c r="F26" s="96" t="str">
        <f>Total!F755</f>
        <v>Control de Qualitat</v>
      </c>
      <c r="G26" s="112" t="str">
        <f>Total!G755</f>
        <v>CQ. CLT-10099.1 + CLT-10099.2</v>
      </c>
      <c r="H26" s="112" t="str">
        <f>Total!H755</f>
        <v>Control de qualitat conjunt de les obres de construcció (excepte instal.lacions) del Consultori Local de l'Estartit, de Torroella de Montgrí i de les obres de construcció (instal.lacions) del Consultori Local de l'Estartit, de Torroella de Montgrí.</v>
      </c>
      <c r="I26" s="121">
        <v>16990.07</v>
      </c>
    </row>
    <row r="27" spans="1:9" x14ac:dyDescent="0.2">
      <c r="I27" s="126">
        <f>SUM(I2:I26)</f>
        <v>1573732.09</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I14"/>
  <sheetViews>
    <sheetView workbookViewId="0">
      <selection sqref="A1:XFD14"/>
    </sheetView>
  </sheetViews>
  <sheetFormatPr baseColWidth="10" defaultRowHeight="12.75" x14ac:dyDescent="0.2"/>
  <cols>
    <col min="1" max="1" width="4.42578125" customWidth="1"/>
    <col min="2" max="2" width="13.7109375" customWidth="1"/>
    <col min="3" max="3" width="15.28515625" bestFit="1" customWidth="1"/>
    <col min="4" max="4" width="17.28515625" customWidth="1"/>
    <col min="6" max="6" width="17.42578125" bestFit="1" customWidth="1"/>
    <col min="7" max="7" width="14.42578125" bestFit="1" customWidth="1"/>
    <col min="8" max="8" width="57.28515625" customWidth="1"/>
    <col min="9" max="9" width="20" bestFit="1" customWidth="1"/>
  </cols>
  <sheetData>
    <row r="1" spans="1:9" x14ac:dyDescent="0.2">
      <c r="A1" s="10"/>
      <c r="B1" s="37" t="s">
        <v>57</v>
      </c>
      <c r="C1" s="2" t="s">
        <v>499</v>
      </c>
      <c r="D1" s="124" t="s">
        <v>58</v>
      </c>
      <c r="E1" s="3" t="s">
        <v>59</v>
      </c>
      <c r="F1" s="123" t="s">
        <v>60</v>
      </c>
      <c r="G1" s="3" t="s">
        <v>61</v>
      </c>
      <c r="H1" s="38" t="s">
        <v>62</v>
      </c>
      <c r="I1" s="39" t="s">
        <v>63</v>
      </c>
    </row>
    <row r="2" spans="1:9" x14ac:dyDescent="0.2">
      <c r="A2" s="8">
        <v>1</v>
      </c>
      <c r="B2" s="101">
        <f>Total!B718</f>
        <v>42055</v>
      </c>
      <c r="C2" s="101">
        <f>Total!C718</f>
        <v>42086</v>
      </c>
      <c r="D2" s="112" t="s">
        <v>1092</v>
      </c>
      <c r="E2" s="101" t="str">
        <f>Total!E718</f>
        <v>Obra Civil</v>
      </c>
      <c r="F2" s="101" t="str">
        <f>Total!F718</f>
        <v>Direccions d'obra</v>
      </c>
      <c r="G2" s="101" t="str">
        <f>Total!G718</f>
        <v>DO. DG-9032.6</v>
      </c>
      <c r="H2" s="101" t="str">
        <f>Total!H718</f>
        <v>Direcció de les obres de millora general. Desdoblament de la carretera C-260. Del Pk 29,000 de la C-260 al pk 754,350 de l'N-II. Tram: Figueres.</v>
      </c>
      <c r="I2" s="121">
        <v>251708.33</v>
      </c>
    </row>
    <row r="3" spans="1:9" x14ac:dyDescent="0.2">
      <c r="A3" s="8">
        <v>2</v>
      </c>
      <c r="B3" s="101">
        <f>Total!B719</f>
        <v>42044</v>
      </c>
      <c r="C3" s="101">
        <f>Total!C719</f>
        <v>42060</v>
      </c>
      <c r="D3" s="112" t="s">
        <v>1092</v>
      </c>
      <c r="E3" s="101" t="str">
        <f>Total!E719</f>
        <v>Edificació</v>
      </c>
      <c r="F3" s="101" t="str">
        <f>Total!F719</f>
        <v>Direcció d'Execució</v>
      </c>
      <c r="G3" s="101" t="str">
        <f>Total!G719</f>
        <v>DE. CAP-10002</v>
      </c>
      <c r="H3" s="101" t="str">
        <f>Total!H719</f>
        <v>Serveis per a l'assistència tècnica per a la direcció d'execució de les obres de construcció del nou CAP Molí Nou, de Sant Boi de Llobregat.</v>
      </c>
      <c r="I3" s="121">
        <v>60123</v>
      </c>
    </row>
    <row r="4" spans="1:9" x14ac:dyDescent="0.2">
      <c r="A4" s="8">
        <v>3</v>
      </c>
      <c r="B4" s="101">
        <f>Total!B720</f>
        <v>42044</v>
      </c>
      <c r="C4" s="101">
        <f>Total!C720</f>
        <v>42060</v>
      </c>
      <c r="D4" s="112" t="s">
        <v>1092</v>
      </c>
      <c r="E4" s="101" t="str">
        <f>Total!E720</f>
        <v>Edificació</v>
      </c>
      <c r="F4" s="101" t="str">
        <f>Total!F720</f>
        <v>Direcció d'Execució</v>
      </c>
      <c r="G4" s="101" t="str">
        <f>Total!G720</f>
        <v>DE. PNM-13310</v>
      </c>
      <c r="H4" s="101" t="str">
        <f>Total!H720</f>
        <v>Serveis per a la verificació de l'assegurament de la qualitat del projecte executiu i direcció d'execució de les obres de Nova construcció de l'Escola Angeleta Ferrer de Mataró.</v>
      </c>
      <c r="I4" s="121">
        <v>110848</v>
      </c>
    </row>
    <row r="5" spans="1:9" x14ac:dyDescent="0.2">
      <c r="A5" s="8">
        <v>4</v>
      </c>
      <c r="B5" s="101">
        <f>Total!B721</f>
        <v>42045</v>
      </c>
      <c r="C5" s="101">
        <f>Total!C721</f>
        <v>42060</v>
      </c>
      <c r="D5" s="112" t="s">
        <v>1092</v>
      </c>
      <c r="E5" s="101" t="str">
        <f>Total!E721</f>
        <v>Edificació</v>
      </c>
      <c r="F5" s="101" t="str">
        <f>Total!F721</f>
        <v>Direcció d'Execució</v>
      </c>
      <c r="G5" s="101" t="str">
        <f>Total!G721</f>
        <v>DE. CAP-10070.1</v>
      </c>
      <c r="H5" s="101" t="str">
        <f>Total!H721</f>
        <v>Direcció d'execució de les obres de la Nova construcció del Centre d'Atenció Primària i de la Base Comarcal del SEM (Servei d'Emergències Mèdiques), a Roquetes.</v>
      </c>
      <c r="I5" s="121">
        <v>63985.79</v>
      </c>
    </row>
    <row r="6" spans="1:9" x14ac:dyDescent="0.2">
      <c r="A6" s="8">
        <v>5</v>
      </c>
      <c r="B6" s="101">
        <f>Total!B722</f>
        <v>42045</v>
      </c>
      <c r="C6" s="101">
        <f>Total!C722</f>
        <v>42060</v>
      </c>
      <c r="D6" s="112" t="s">
        <v>1092</v>
      </c>
      <c r="E6" s="101" t="str">
        <f>Total!E722</f>
        <v>Edificació</v>
      </c>
      <c r="F6" s="101" t="str">
        <f>Total!F722</f>
        <v>Direcció d'Obra</v>
      </c>
      <c r="G6" s="101" t="str">
        <f>Total!G722</f>
        <v>DO. CAP-10070.1</v>
      </c>
      <c r="H6" s="101" t="str">
        <f>Total!H722</f>
        <v>Direcció de les obres de la Nova construcció del Centre d'Atenció Primària i de la Base Comarcal del SEM (Servei d'Emergències Mèdiques) a Roquetes.</v>
      </c>
      <c r="I6" s="121">
        <v>61389.48</v>
      </c>
    </row>
    <row r="7" spans="1:9" x14ac:dyDescent="0.2">
      <c r="A7" s="8">
        <v>6</v>
      </c>
      <c r="B7" s="101">
        <f>Total!B723</f>
        <v>42047</v>
      </c>
      <c r="C7" s="101">
        <f>Total!C723</f>
        <v>42065</v>
      </c>
      <c r="D7" s="112" t="s">
        <v>1092</v>
      </c>
      <c r="E7" s="101" t="str">
        <f>Total!E723</f>
        <v>Edificació</v>
      </c>
      <c r="F7" s="101" t="str">
        <f>Total!F723</f>
        <v>Control de Qualitat</v>
      </c>
      <c r="G7" s="101" t="str">
        <f>Total!G723</f>
        <v>CQ. HBB-11233</v>
      </c>
      <c r="H7" s="101" t="str">
        <f>Total!H723</f>
        <v>Serveis per a l'assistència tècnica del control de qualitat de les obres de reforma de la unitat d'Hospitalització i del servei de neonatologia de l'Hospital Germans Trias i Pujol, de Badalona.</v>
      </c>
      <c r="I7" s="121">
        <v>68523.39</v>
      </c>
    </row>
    <row r="8" spans="1:9" x14ac:dyDescent="0.2">
      <c r="A8" s="8">
        <v>7</v>
      </c>
      <c r="B8" s="101">
        <f>Total!B724</f>
        <v>42047</v>
      </c>
      <c r="C8" s="101">
        <f>Total!C724</f>
        <v>42065</v>
      </c>
      <c r="D8" s="112" t="s">
        <v>1092</v>
      </c>
      <c r="E8" s="101" t="str">
        <f>Total!E724</f>
        <v>Obra Civil</v>
      </c>
      <c r="F8" s="101" t="str">
        <f>Total!F724</f>
        <v>Projectes</v>
      </c>
      <c r="G8" s="101" t="str">
        <f>Total!G724</f>
        <v>EV. AE-MC-14053</v>
      </c>
      <c r="H8" s="101" t="str">
        <f>Total!H724</f>
        <v>Serveis per a l'assistència tècnica per a la redacció de l'estudi de millora local. Seguretat viària. Estudi de l'accidentalitat provocada per animals en llibertat a la xarxa de ctres. De la Generalitat de Catalunya. Any 2014.</v>
      </c>
      <c r="I8" s="121">
        <v>33000</v>
      </c>
    </row>
    <row r="9" spans="1:9" x14ac:dyDescent="0.2">
      <c r="A9" s="8">
        <v>8</v>
      </c>
      <c r="B9" s="101">
        <f>Total!B725</f>
        <v>42047</v>
      </c>
      <c r="C9" s="101">
        <f>Total!C725</f>
        <v>42065</v>
      </c>
      <c r="D9" s="112" t="s">
        <v>1092</v>
      </c>
      <c r="E9" s="101" t="str">
        <f>Total!E725</f>
        <v>Edificació</v>
      </c>
      <c r="F9" s="101" t="str">
        <f>Total!F725</f>
        <v>Direccions d'Execució</v>
      </c>
      <c r="G9" s="101" t="str">
        <f>Total!G725</f>
        <v>DE. HBB-11233</v>
      </c>
      <c r="H9" s="101" t="str">
        <f>Total!H725</f>
        <v>Serveis per a l'assistència tècnica per a la direcció d'execució de les obres de Reforma de la unitat d'hospitalització i del servei de neonatologia de l'Hospital Germans Trias i Pujol, de Badalona.</v>
      </c>
      <c r="I9" s="121">
        <v>146299</v>
      </c>
    </row>
    <row r="10" spans="1:9" x14ac:dyDescent="0.2">
      <c r="A10" s="8">
        <v>9</v>
      </c>
      <c r="B10" s="101">
        <f>Total!B726</f>
        <v>42048</v>
      </c>
      <c r="C10" s="101">
        <f>Total!C726</f>
        <v>42065</v>
      </c>
      <c r="D10" s="112" t="s">
        <v>1092</v>
      </c>
      <c r="E10" s="101" t="str">
        <f>Total!E726</f>
        <v>Obra Civil</v>
      </c>
      <c r="F10" s="101" t="str">
        <f>Total!F726</f>
        <v>Direccions d'Obra</v>
      </c>
      <c r="G10" s="101" t="str">
        <f>Total!G726</f>
        <v>DO+CSS. XA-06925.2</v>
      </c>
      <c r="H10" s="101" t="str">
        <f>Total!H726</f>
        <v>Direcció de les obres i la coordinació de seguretat i salut de les obres del condicionament i millora del camí d'accés a Cortàs i Élier, des de la N-260. TM Bellver de Cerdanya (Ceredanya).</v>
      </c>
      <c r="I10" s="121">
        <v>22388.89</v>
      </c>
    </row>
    <row r="11" spans="1:9" x14ac:dyDescent="0.2">
      <c r="A11" s="8">
        <v>10</v>
      </c>
      <c r="B11" s="101">
        <f>Total!B727</f>
        <v>42051</v>
      </c>
      <c r="C11" s="101">
        <f>Total!C727</f>
        <v>42067</v>
      </c>
      <c r="D11" s="112" t="s">
        <v>1092</v>
      </c>
      <c r="E11" s="101" t="str">
        <f>Total!E727</f>
        <v>Obra Civil</v>
      </c>
      <c r="F11" s="101" t="str">
        <f>Total!F727</f>
        <v>Projectes</v>
      </c>
      <c r="G11" s="101" t="str">
        <f>Total!G727</f>
        <v>EV. E1-TX-14330</v>
      </c>
      <c r="H11" s="101" t="str">
        <f>Total!H727</f>
        <v>Serveis per a l'assistència tècnica per a la redacció de l'estudi de competitivitat i reptes estratègics de les empreses relacionades amb el transport de mercaderies per carretera a Catalunya.</v>
      </c>
      <c r="I11" s="121">
        <v>70000</v>
      </c>
    </row>
    <row r="12" spans="1:9" x14ac:dyDescent="0.2">
      <c r="A12" s="8">
        <v>11</v>
      </c>
      <c r="B12" s="101">
        <f>Total!B728</f>
        <v>42052</v>
      </c>
      <c r="C12" s="101">
        <f>Total!C728</f>
        <v>42072</v>
      </c>
      <c r="D12" s="112" t="s">
        <v>1092</v>
      </c>
      <c r="E12" s="101" t="str">
        <f>Total!E728</f>
        <v>Obra Civil</v>
      </c>
      <c r="F12" s="101" t="str">
        <f>Total!F728</f>
        <v>Projectes</v>
      </c>
      <c r="G12" s="101" t="str">
        <f>Total!G728</f>
        <v>EV. EV-NB-14086</v>
      </c>
      <c r="H12" s="101" t="str">
        <f>Total!H728</f>
        <v>Serveis per a l'assistència tècnica per a la redacció de l'estudi de viabilitat de millora general. Nova ctra. Vias de connexió entre els polígons industrials de Can Barri, A Bigues i Riells, i de Can Magre, a Santa Eulàlia de Ronçana.</v>
      </c>
      <c r="I12" s="121">
        <v>44000</v>
      </c>
    </row>
    <row r="13" spans="1:9" x14ac:dyDescent="0.2">
      <c r="A13" s="8">
        <v>12</v>
      </c>
      <c r="B13" s="101">
        <f>Total!B729</f>
        <v>42054</v>
      </c>
      <c r="C13" s="101">
        <f>Total!C729</f>
        <v>42072</v>
      </c>
      <c r="D13" s="112" t="s">
        <v>1092</v>
      </c>
      <c r="E13" s="101" t="str">
        <f>Total!E729</f>
        <v>Obra Civil</v>
      </c>
      <c r="F13" s="101" t="str">
        <f>Total!F729</f>
        <v>Direccions d'Obra</v>
      </c>
      <c r="G13" s="101" t="str">
        <f>Total!G729</f>
        <v>DO. TM-02609.30</v>
      </c>
      <c r="H13" s="101" t="str">
        <f>Total!H729</f>
        <v>Direcció de les obres de la L9 del Metro de Barcelona. Tram I (Aeroport - Bifurcació) i Tram II ( Provençana-Zona Universitària). Condicionament i millora de control d'accessos de Pous i altres ubicacions.</v>
      </c>
      <c r="I13" s="121">
        <v>17967</v>
      </c>
    </row>
    <row r="14" spans="1:9" x14ac:dyDescent="0.2">
      <c r="I14" s="126">
        <f>SUM(I2:I13)</f>
        <v>950232.88</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10"/>
  <sheetViews>
    <sheetView workbookViewId="0">
      <selection activeCell="A10" sqref="A10"/>
    </sheetView>
  </sheetViews>
  <sheetFormatPr baseColWidth="10" defaultColWidth="11.42578125" defaultRowHeight="12.75" x14ac:dyDescent="0.2"/>
  <cols>
    <col min="1" max="1" width="4.7109375" customWidth="1"/>
    <col min="2" max="2" width="12.42578125" bestFit="1" customWidth="1"/>
    <col min="3" max="3" width="15.28515625" bestFit="1" customWidth="1"/>
    <col min="4" max="4" width="17" bestFit="1" customWidth="1"/>
    <col min="5" max="5" width="9" bestFit="1" customWidth="1"/>
    <col min="6" max="6" width="25.28515625" bestFit="1" customWidth="1"/>
    <col min="7" max="7" width="21" bestFit="1" customWidth="1"/>
    <col min="8" max="8" width="37.85546875" customWidth="1"/>
    <col min="9" max="9" width="20" bestFit="1" customWidth="1"/>
  </cols>
  <sheetData>
    <row r="1" spans="1:9" x14ac:dyDescent="0.2">
      <c r="A1" s="10"/>
      <c r="B1" s="37" t="s">
        <v>57</v>
      </c>
      <c r="C1" s="2" t="s">
        <v>499</v>
      </c>
      <c r="D1" s="124" t="s">
        <v>58</v>
      </c>
      <c r="E1" s="3" t="s">
        <v>59</v>
      </c>
      <c r="F1" s="123" t="s">
        <v>60</v>
      </c>
      <c r="G1" s="3" t="s">
        <v>61</v>
      </c>
      <c r="H1" s="38" t="s">
        <v>62</v>
      </c>
      <c r="I1" s="39" t="s">
        <v>63</v>
      </c>
    </row>
    <row r="2" spans="1:9" x14ac:dyDescent="0.2">
      <c r="A2" s="8">
        <v>1</v>
      </c>
      <c r="B2" s="101">
        <f>Total!B710</f>
        <v>42013</v>
      </c>
      <c r="C2" s="101">
        <f>Total!C710</f>
        <v>42030</v>
      </c>
      <c r="D2" s="112" t="s">
        <v>1092</v>
      </c>
      <c r="E2" s="101" t="str">
        <f>Total!E710</f>
        <v>Obra Civil</v>
      </c>
      <c r="F2" s="101" t="str">
        <f>Total!F710</f>
        <v>Direcció d'Obra</v>
      </c>
      <c r="G2" s="101" t="str">
        <f>Total!G710</f>
        <v>DO. MG-06136</v>
      </c>
      <c r="H2" s="101" t="str">
        <f>Total!H710</f>
        <v>Serveis per a la direcció de les obres de millora local. Millora de nus. Rotonda a la carretera C-25, al pk 238,840. Tram: Riudellots de la Selva.</v>
      </c>
      <c r="I2" s="121">
        <v>20238.89</v>
      </c>
    </row>
    <row r="3" spans="1:9" x14ac:dyDescent="0.2">
      <c r="A3" s="8">
        <v>2</v>
      </c>
      <c r="B3" s="101">
        <f>Total!B711</f>
        <v>42025</v>
      </c>
      <c r="C3" s="101">
        <f>Total!C711</f>
        <v>42040</v>
      </c>
      <c r="D3" s="112" t="s">
        <v>1092</v>
      </c>
      <c r="E3" s="101" t="str">
        <f>Total!E711</f>
        <v>Edificació</v>
      </c>
      <c r="F3" s="101" t="str">
        <f>Total!F711</f>
        <v>Projectes</v>
      </c>
      <c r="G3" s="101" t="str">
        <f>Total!G711</f>
        <v>EG. EG12</v>
      </c>
      <c r="H3" s="101" t="str">
        <f>Total!H711</f>
        <v>Serveis per a l'assistència tècnica per a la realització dels informes preliminars dels emplaçaments dels projectes encarregats pel Servei Català de la Salut.</v>
      </c>
      <c r="I3" s="121">
        <v>32000</v>
      </c>
    </row>
    <row r="4" spans="1:9" x14ac:dyDescent="0.2">
      <c r="A4" s="8">
        <v>3</v>
      </c>
      <c r="B4" s="101">
        <f>Total!B712</f>
        <v>42025</v>
      </c>
      <c r="C4" s="101">
        <f>Total!C712</f>
        <v>42044</v>
      </c>
      <c r="D4" s="112" t="s">
        <v>1092</v>
      </c>
      <c r="E4" s="101" t="str">
        <f>Total!E712</f>
        <v>Edificació</v>
      </c>
      <c r="F4" s="101" t="str">
        <f>Total!F712</f>
        <v>Direccions d'execució</v>
      </c>
      <c r="G4" s="101" t="str">
        <f>Total!G712</f>
        <v>CSS. UPC-13295</v>
      </c>
      <c r="H4" s="101" t="str">
        <f>Total!H712</f>
        <v>Serveis per a l'assistència tècnica per a la coordinació de seguretat i salut de les obres de l'edifici I del Campus Diagonal - Besòs, a Barcelona. Construcció dels acabats finals de l'edifici.</v>
      </c>
      <c r="I4" s="121">
        <v>31807</v>
      </c>
    </row>
    <row r="5" spans="1:9" x14ac:dyDescent="0.2">
      <c r="A5" s="8">
        <v>4</v>
      </c>
      <c r="B5" s="101">
        <f>Total!B713</f>
        <v>42026</v>
      </c>
      <c r="C5" s="101">
        <f>Total!C713</f>
        <v>42044</v>
      </c>
      <c r="D5" s="112" t="s">
        <v>1092</v>
      </c>
      <c r="E5" s="101" t="str">
        <f>Total!E713</f>
        <v>Edificació</v>
      </c>
      <c r="F5" s="101" t="str">
        <f>Total!F713</f>
        <v>Direccions d'execució</v>
      </c>
      <c r="G5" s="101" t="str">
        <f>Total!G713</f>
        <v>CSS. UPC-13294</v>
      </c>
      <c r="H5" s="101" t="str">
        <f>Total!H713</f>
        <v>Serveis per a l'assistència tècnica de coordinació de seguretat i salut de les obres d'adaptació del projecte de l'edifici C del Campus Diagonal Besòs a Barcelona. Construcció dels acabats finals de l'edifici.</v>
      </c>
      <c r="I5" s="121">
        <v>38280</v>
      </c>
    </row>
    <row r="6" spans="1:9" x14ac:dyDescent="0.2">
      <c r="A6" s="8">
        <v>5</v>
      </c>
      <c r="B6" s="101">
        <f>Total!B714</f>
        <v>42026</v>
      </c>
      <c r="C6" s="101">
        <f>Total!C714</f>
        <v>42044</v>
      </c>
      <c r="D6" s="112" t="s">
        <v>1092</v>
      </c>
      <c r="E6" s="101" t="str">
        <f>Total!E714</f>
        <v>Edificació</v>
      </c>
      <c r="F6" s="101" t="str">
        <f>Total!F714</f>
        <v>Direccions d'execució</v>
      </c>
      <c r="G6" s="101" t="str">
        <f>Total!G714</f>
        <v>DE. UPC-13295</v>
      </c>
      <c r="H6" s="101" t="str">
        <f>Total!H714</f>
        <v>Serveis per l'assistència tècnica de la direcció d'execució de les obres de nova construcció dels acabats finals de l'edifici I del campus Diagonal-Besòs, a Barcelona.</v>
      </c>
      <c r="I6" s="121">
        <v>198700</v>
      </c>
    </row>
    <row r="7" spans="1:9" x14ac:dyDescent="0.2">
      <c r="A7" s="8">
        <v>6</v>
      </c>
      <c r="B7" s="101">
        <f>Total!B715</f>
        <v>42027</v>
      </c>
      <c r="C7" s="101">
        <f>Total!C715</f>
        <v>42044</v>
      </c>
      <c r="D7" s="112" t="s">
        <v>1092</v>
      </c>
      <c r="E7" s="101" t="str">
        <f>Total!E715</f>
        <v>Obra Civil</v>
      </c>
      <c r="F7" s="101" t="str">
        <f>Total!F715</f>
        <v>Direcció d'Obra</v>
      </c>
      <c r="G7" s="101" t="str">
        <f>Total!G715</f>
        <v>DO. MB-13015</v>
      </c>
      <c r="H7" s="101" t="str">
        <f>Total!H715</f>
        <v>Direcció de les obres de millora local. Millora de la seguretat viària. Millora de les característiques superficials del ferm i reestudi de la secció transversal. Carretera C-55. pk 18,500 al 26,500. Tram: Castellbell i el Vilar - Manresa.</v>
      </c>
      <c r="I7" s="121">
        <v>107244.44</v>
      </c>
    </row>
    <row r="8" spans="1:9" x14ac:dyDescent="0.2">
      <c r="A8" s="8">
        <v>7</v>
      </c>
      <c r="B8" s="101">
        <f>Total!B716</f>
        <v>42034</v>
      </c>
      <c r="C8" s="101">
        <f>Total!C716</f>
        <v>42051</v>
      </c>
      <c r="D8" s="112" t="s">
        <v>1092</v>
      </c>
      <c r="E8" s="101" t="str">
        <f>Total!E716</f>
        <v>Edificació</v>
      </c>
      <c r="F8" s="101" t="str">
        <f>Total!F716</f>
        <v>Control de Qualitat</v>
      </c>
      <c r="G8" s="101" t="str">
        <f>Total!G716</f>
        <v>CQ. UPC-13295</v>
      </c>
      <c r="H8" s="101" t="str">
        <f>Total!H716</f>
        <v>Serveis per a l'assistència tècnica per al control de qualitat de les obres de Nova Construcció dels acabats finals de l'edifici I del Campus Diagonal - Besòs, a Barcelona.</v>
      </c>
      <c r="I8" s="121">
        <v>60576.71</v>
      </c>
    </row>
    <row r="9" spans="1:9" x14ac:dyDescent="0.2">
      <c r="A9" s="8">
        <v>8</v>
      </c>
      <c r="B9" s="101">
        <f>Total!B717</f>
        <v>42034</v>
      </c>
      <c r="C9" s="101">
        <f>Total!C717</f>
        <v>42051</v>
      </c>
      <c r="D9" s="112" t="s">
        <v>1092</v>
      </c>
      <c r="E9" s="101" t="str">
        <f>Total!E717</f>
        <v>Edificació</v>
      </c>
      <c r="F9" s="101" t="str">
        <f>Total!F717</f>
        <v>Control de Qualitat</v>
      </c>
      <c r="G9" s="101" t="str">
        <f>Total!G717</f>
        <v>CQ. HTT-12005</v>
      </c>
      <c r="H9" s="101" t="str">
        <f>Total!H717</f>
        <v>Serveis per a l'assistència tècnica del control de qualitat de les obres d'ampliació i reforma de la 2a fase del Servei d'Urgències de l'Hospital Joan XXIII de Tarragona.</v>
      </c>
      <c r="I9" s="121">
        <v>33372.01</v>
      </c>
    </row>
    <row r="10" spans="1:9" x14ac:dyDescent="0.2">
      <c r="I10" s="126">
        <f>SUM(I2:I9)</f>
        <v>522219.05000000005</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I9"/>
  <sheetViews>
    <sheetView workbookViewId="0">
      <selection activeCell="A10" sqref="A10"/>
    </sheetView>
  </sheetViews>
  <sheetFormatPr baseColWidth="10" defaultColWidth="11.42578125" defaultRowHeight="12.75" x14ac:dyDescent="0.2"/>
  <cols>
    <col min="1" max="1" width="6" customWidth="1"/>
    <col min="2" max="2" width="12.42578125" bestFit="1" customWidth="1"/>
    <col min="3" max="3" width="15.28515625" bestFit="1" customWidth="1"/>
    <col min="4" max="4" width="17" bestFit="1" customWidth="1"/>
    <col min="6" max="6" width="16.5703125" bestFit="1" customWidth="1"/>
    <col min="7" max="7" width="16.28515625" bestFit="1" customWidth="1"/>
    <col min="8" max="8" width="50.85546875" customWidth="1"/>
    <col min="9" max="9" width="20" bestFit="1" customWidth="1"/>
  </cols>
  <sheetData>
    <row r="1" spans="1:9" x14ac:dyDescent="0.2">
      <c r="A1" s="10"/>
      <c r="B1" s="37" t="s">
        <v>57</v>
      </c>
      <c r="C1" s="2" t="s">
        <v>499</v>
      </c>
      <c r="D1" s="124" t="s">
        <v>58</v>
      </c>
      <c r="E1" s="3" t="s">
        <v>59</v>
      </c>
      <c r="F1" s="123" t="s">
        <v>60</v>
      </c>
      <c r="G1" s="3" t="s">
        <v>61</v>
      </c>
      <c r="H1" s="38" t="s">
        <v>62</v>
      </c>
      <c r="I1" s="39" t="s">
        <v>63</v>
      </c>
    </row>
    <row r="2" spans="1:9" x14ac:dyDescent="0.2">
      <c r="A2" s="8">
        <v>1</v>
      </c>
      <c r="B2" s="101">
        <f>Total!B703</f>
        <v>41975</v>
      </c>
      <c r="C2" s="101">
        <f>Total!C703</f>
        <v>41991</v>
      </c>
      <c r="D2" s="112" t="s">
        <v>1092</v>
      </c>
      <c r="E2" s="101" t="str">
        <f>Total!E703</f>
        <v>Edificació</v>
      </c>
      <c r="F2" s="112" t="str">
        <f>Total!F703</f>
        <v>Direccions d'execució</v>
      </c>
      <c r="G2" s="96" t="str">
        <f>Total!G703</f>
        <v>DE. UPC-13296</v>
      </c>
      <c r="H2" s="96" t="str">
        <f>Total!H703</f>
        <v>Serveis per a la verificació de l'assegurament de la qualitat del projecte executiu i direcció d'execució de les obres de nova construcció d'infraestructures generals i urbanització del Campus Diagona - Besòs, a Barcelona.</v>
      </c>
      <c r="I2" s="129">
        <f>Total!I703</f>
        <v>85279</v>
      </c>
    </row>
    <row r="3" spans="1:9" x14ac:dyDescent="0.2">
      <c r="A3" s="8">
        <v>2</v>
      </c>
      <c r="B3" s="101">
        <f>Total!B704</f>
        <v>41985</v>
      </c>
      <c r="C3" s="101">
        <f>Total!C704</f>
        <v>42011</v>
      </c>
      <c r="D3" s="112" t="s">
        <v>1092</v>
      </c>
      <c r="E3" s="101" t="str">
        <f>Total!E704</f>
        <v>Edificació</v>
      </c>
      <c r="F3" s="112" t="str">
        <f>Total!F704</f>
        <v>Direccions d'Obra</v>
      </c>
      <c r="G3" s="96" t="str">
        <f>Total!G704</f>
        <v>PE+DO. HBB-11233-C1</v>
      </c>
      <c r="H3" s="96" t="str">
        <f>Total!H704</f>
        <v>Serveis per a l'assistència tència per a la redacció del projecte i posterior direcció d'obra del projecte complementari núm. 1 de les obres del Servei de Neonatologia i Unitat d'Hospitalització d'Obstetrícia de l'Hospital Germans Trias i Pujol.</v>
      </c>
      <c r="I3" s="129">
        <f>Total!I704</f>
        <v>108504</v>
      </c>
    </row>
    <row r="4" spans="1:9" x14ac:dyDescent="0.2">
      <c r="A4" s="8">
        <v>3</v>
      </c>
      <c r="B4" s="101">
        <f>Total!B705</f>
        <v>41985</v>
      </c>
      <c r="C4" s="101">
        <f>Total!C705</f>
        <v>42037</v>
      </c>
      <c r="D4" s="112" t="s">
        <v>1092</v>
      </c>
      <c r="E4" s="101" t="str">
        <f>Total!E705</f>
        <v>Edificació</v>
      </c>
      <c r="F4" s="112" t="str">
        <f>Total!F705</f>
        <v>Direccions d'Obra</v>
      </c>
      <c r="G4" s="96" t="str">
        <f>Total!G705</f>
        <v>PE+DO. HGG-14321</v>
      </c>
      <c r="H4" s="96" t="str">
        <f>Total!H705</f>
        <v>Contracte de serveis per a l'assistència tècnica per a la redacció del projecte bàsic i executiu i la posterior direcció d'Obra de l'ampliació i reforma de les urgències de l'Hospital Doctor Josep Trueta, de Girona.</v>
      </c>
      <c r="I4" s="129">
        <f>Total!I705</f>
        <v>203696</v>
      </c>
    </row>
    <row r="5" spans="1:9" x14ac:dyDescent="0.2">
      <c r="A5" s="8">
        <v>4</v>
      </c>
      <c r="B5" s="101">
        <f>Total!B706</f>
        <v>41991</v>
      </c>
      <c r="C5" s="101">
        <f>Total!C706</f>
        <v>42011</v>
      </c>
      <c r="D5" s="112" t="s">
        <v>1092</v>
      </c>
      <c r="E5" s="101" t="str">
        <f>Total!E706</f>
        <v>Edificació</v>
      </c>
      <c r="F5" s="112" t="str">
        <f>Total!F706</f>
        <v>Control de Qualitat</v>
      </c>
      <c r="G5" s="96" t="str">
        <f>Total!G706</f>
        <v>CQ.UPC-13292.2</v>
      </c>
      <c r="H5" s="96" t="str">
        <f>Total!H706</f>
        <v>Serveis per al control de qualitat de les obres de nova construcció dels acabats de l'edifici A del Campus Diagonal Besòs a Barcelona (segona fase).</v>
      </c>
      <c r="I5" s="129">
        <f>Total!I706</f>
        <v>67260.11</v>
      </c>
    </row>
    <row r="6" spans="1:9" x14ac:dyDescent="0.2">
      <c r="A6" s="8">
        <v>5</v>
      </c>
      <c r="B6" s="101">
        <f>Total!B707</f>
        <v>41992</v>
      </c>
      <c r="C6" s="101">
        <f>Total!C707</f>
        <v>42044</v>
      </c>
      <c r="D6" s="112" t="s">
        <v>1092</v>
      </c>
      <c r="E6" s="101" t="str">
        <f>Total!E707</f>
        <v>Edificació</v>
      </c>
      <c r="F6" s="112" t="str">
        <f>Total!F707</f>
        <v>Projectes i Direccions d'Obra</v>
      </c>
      <c r="G6" s="96" t="str">
        <f>Total!G707</f>
        <v>PE+DO. CAP-13320</v>
      </c>
      <c r="H6" s="96" t="str">
        <f>Total!H707</f>
        <v>Serveis per a l'assistència tècnica per a la redacció del projecte bàsic i executiu i la posterior direcció d'obra del nou centre de salut. Servei d'Urgències i CMA, a Granollers.</v>
      </c>
      <c r="I6" s="129">
        <f>Total!I707</f>
        <v>856966</v>
      </c>
    </row>
    <row r="7" spans="1:9" x14ac:dyDescent="0.2">
      <c r="A7" s="8">
        <v>6</v>
      </c>
      <c r="B7" s="101">
        <f>Total!B708</f>
        <v>42004</v>
      </c>
      <c r="C7" s="101">
        <f>Total!C708</f>
        <v>42023</v>
      </c>
      <c r="D7" s="112" t="s">
        <v>1092</v>
      </c>
      <c r="E7" s="101" t="str">
        <f>Total!E708</f>
        <v>Edificació</v>
      </c>
      <c r="F7" s="112" t="str">
        <f>Total!F708</f>
        <v>Projectes i Direccions d'Obra</v>
      </c>
      <c r="G7" s="96" t="str">
        <f>Total!G708</f>
        <v>PE+DO. ECO-13201</v>
      </c>
      <c r="H7" s="96" t="str">
        <f>Total!H708</f>
        <v>Serveis per a l'assistència tècnica per a la redacció del projecte bàsic i executiu i la posterior direcció d'obra de la reforma de l'edifici situat a Via Laietana, 60, per ubicar-hi la seu de la Sindicatura de Comptes. (1v).</v>
      </c>
      <c r="I7" s="129">
        <f>Total!I708</f>
        <v>180881.94</v>
      </c>
    </row>
    <row r="8" spans="1:9" x14ac:dyDescent="0.2">
      <c r="A8" s="8">
        <v>7</v>
      </c>
      <c r="B8" s="101">
        <f>Total!B709</f>
        <v>42004</v>
      </c>
      <c r="C8" s="101">
        <f>Total!C709</f>
        <v>42023</v>
      </c>
      <c r="D8" s="112" t="s">
        <v>1092</v>
      </c>
      <c r="E8" s="101" t="str">
        <f>Total!E709</f>
        <v>Obra Civil</v>
      </c>
      <c r="F8" s="112" t="str">
        <f>Total!F709</f>
        <v>Projectes</v>
      </c>
      <c r="G8" s="96" t="str">
        <f>Total!G709</f>
        <v>ATI. TF-03474-F2</v>
      </c>
      <c r="H8" s="96" t="str">
        <f>Total!H709</f>
        <v>Serveis per a l'assistència tècnica per a l'execució de les tasques de seguretat /safety (fase 2) de les obres del perllongament dels FGC a Terrassa.</v>
      </c>
      <c r="I8" s="129">
        <f>Total!I709</f>
        <v>49000</v>
      </c>
    </row>
    <row r="9" spans="1:9" x14ac:dyDescent="0.2">
      <c r="I9" s="126">
        <f>SUM(I2:I8)</f>
        <v>1551587.0499999998</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I11"/>
  <sheetViews>
    <sheetView workbookViewId="0">
      <selection activeCell="G46" sqref="G46"/>
    </sheetView>
  </sheetViews>
  <sheetFormatPr baseColWidth="10" defaultColWidth="11.42578125" defaultRowHeight="12.75" x14ac:dyDescent="0.2"/>
  <cols>
    <col min="1" max="1" width="6" customWidth="1"/>
    <col min="2" max="2" width="12.42578125" bestFit="1" customWidth="1"/>
    <col min="3" max="3" width="15.28515625" bestFit="1" customWidth="1"/>
    <col min="6" max="6" width="19.42578125" bestFit="1" customWidth="1"/>
    <col min="7" max="7" width="27.140625" customWidth="1"/>
    <col min="8" max="8" width="38.7109375" customWidth="1"/>
    <col min="9" max="9" width="20" bestFit="1" customWidth="1"/>
  </cols>
  <sheetData>
    <row r="1" spans="1:9" x14ac:dyDescent="0.2">
      <c r="A1" s="10"/>
      <c r="B1" s="37" t="s">
        <v>57</v>
      </c>
      <c r="C1" s="2" t="s">
        <v>499</v>
      </c>
      <c r="D1" s="124" t="s">
        <v>58</v>
      </c>
      <c r="E1" s="3" t="s">
        <v>59</v>
      </c>
      <c r="F1" s="123" t="s">
        <v>60</v>
      </c>
      <c r="G1" s="3" t="s">
        <v>61</v>
      </c>
      <c r="H1" s="38" t="s">
        <v>62</v>
      </c>
      <c r="I1" s="39" t="s">
        <v>63</v>
      </c>
    </row>
    <row r="2" spans="1:9" x14ac:dyDescent="0.2">
      <c r="A2" s="8">
        <v>1</v>
      </c>
      <c r="B2" s="101">
        <f>Total!B694</f>
        <v>41946</v>
      </c>
      <c r="C2" s="101">
        <f>Total!C694</f>
        <v>41962</v>
      </c>
      <c r="D2" s="112" t="s">
        <v>1092</v>
      </c>
      <c r="E2" s="101" t="str">
        <f>Total!E694</f>
        <v>Edificació</v>
      </c>
      <c r="F2" s="112" t="str">
        <f>Total!F694</f>
        <v>Control de Qualitat</v>
      </c>
      <c r="G2" s="96" t="str">
        <f>Total!G694</f>
        <v>CQ. PNA-09212.A</v>
      </c>
      <c r="H2" s="96" t="str">
        <f>Total!H694</f>
        <v>Contracte de serveis per al control de qualitat de les obres de nova construcció escola 1 línia a l'Escola d'Abrera (Baix Llobregat).</v>
      </c>
      <c r="I2" s="129">
        <f>Total!I694</f>
        <v>45590.58</v>
      </c>
    </row>
    <row r="3" spans="1:9" x14ac:dyDescent="0.2">
      <c r="A3" s="8">
        <v>2</v>
      </c>
      <c r="B3" s="101">
        <f>Total!B695</f>
        <v>41946</v>
      </c>
      <c r="C3" s="101">
        <f>Total!C695</f>
        <v>41962</v>
      </c>
      <c r="D3" s="112" t="s">
        <v>1092</v>
      </c>
      <c r="E3" s="101" t="str">
        <f>Total!E695</f>
        <v>Edificació</v>
      </c>
      <c r="F3" s="112" t="str">
        <f>Total!F695</f>
        <v>Direccions d'Obra</v>
      </c>
      <c r="G3" s="96" t="str">
        <f>Total!G695</f>
        <v>DO. PNG-08479.A</v>
      </c>
      <c r="H3" s="96" t="str">
        <f>Total!H695</f>
        <v>Contracte de serveis per a la direcció de les obres de nova construcció escola 1 línia a l'Escola La Sínia de Calonge. (Baix Empordà).</v>
      </c>
      <c r="I3" s="129">
        <f>Total!I695</f>
        <v>77115</v>
      </c>
    </row>
    <row r="4" spans="1:9" x14ac:dyDescent="0.2">
      <c r="A4" s="8">
        <v>3</v>
      </c>
      <c r="B4" s="101">
        <f>Total!B696</f>
        <v>41946</v>
      </c>
      <c r="C4" s="101">
        <f>Total!C696</f>
        <v>41962</v>
      </c>
      <c r="D4" s="112" t="s">
        <v>1092</v>
      </c>
      <c r="E4" s="101" t="str">
        <f>Total!E696</f>
        <v>Edificació</v>
      </c>
      <c r="F4" s="112" t="str">
        <f>Total!F696</f>
        <v>Direccions d'Execució</v>
      </c>
      <c r="G4" s="96" t="str">
        <f>Total!G696</f>
        <v>DE. PNG-08479.A</v>
      </c>
      <c r="H4" s="96" t="str">
        <f>Total!H696</f>
        <v>Contracte de serveis per a la direcció d'execució de les obres de la nova contrucció escola 1 línia a l'Escola La Sínia de Calonge (Baix Empordà).</v>
      </c>
      <c r="I4" s="129">
        <f>Total!I696</f>
        <v>77434.19</v>
      </c>
    </row>
    <row r="5" spans="1:9" x14ac:dyDescent="0.2">
      <c r="A5" s="8">
        <v>4</v>
      </c>
      <c r="B5" s="101">
        <f>Total!B697</f>
        <v>41947</v>
      </c>
      <c r="C5" s="101">
        <f>Total!C697</f>
        <v>41967</v>
      </c>
      <c r="D5" s="112" t="s">
        <v>1092</v>
      </c>
      <c r="E5" s="101" t="str">
        <f>Total!E697</f>
        <v>Obra Civil</v>
      </c>
      <c r="F5" s="112" t="str">
        <f>Total!F697</f>
        <v>Projectes</v>
      </c>
      <c r="G5" s="96" t="str">
        <f>Total!G697</f>
        <v>PC. TA-07264.1</v>
      </c>
      <c r="H5" s="96" t="str">
        <f>Total!H697</f>
        <v>Contracte de serveis per a l'assistència tècnica per a la redacció del projecte constructiu del carril bus d'entrada a Barcelona a l'autopista B-23 del pk 0,000 al pk 7,260.</v>
      </c>
      <c r="I5" s="129">
        <f>Total!I697</f>
        <v>175670</v>
      </c>
    </row>
    <row r="6" spans="1:9" x14ac:dyDescent="0.2">
      <c r="A6" s="8">
        <v>5</v>
      </c>
      <c r="B6" s="101">
        <f>Total!B698</f>
        <v>41948</v>
      </c>
      <c r="C6" s="101">
        <f>Total!C698</f>
        <v>41967</v>
      </c>
      <c r="D6" s="112" t="s">
        <v>1092</v>
      </c>
      <c r="E6" s="101" t="str">
        <f>Total!E698</f>
        <v>Edificació</v>
      </c>
      <c r="F6" s="112" t="str">
        <f>Total!F698</f>
        <v>Control de Qualitat</v>
      </c>
      <c r="G6" s="96" t="str">
        <f>Total!G698</f>
        <v>CQ. PNG-08479.A</v>
      </c>
      <c r="H6" s="96" t="str">
        <f>Total!H698</f>
        <v>Contracte de serveis per a l'assistència tècnica del control de qualitat de les obres de la nova construcció escola 1 línia a l'Escola La Sínia de Calonge (Baix Empordà).</v>
      </c>
      <c r="I6" s="129">
        <f>Total!I698</f>
        <v>50665.45</v>
      </c>
    </row>
    <row r="7" spans="1:9" x14ac:dyDescent="0.2">
      <c r="A7" s="8">
        <v>6</v>
      </c>
      <c r="B7" s="101">
        <f>Total!B699</f>
        <v>41955</v>
      </c>
      <c r="C7" s="101">
        <f>Total!C699</f>
        <v>41974</v>
      </c>
      <c r="D7" s="112" t="s">
        <v>1092</v>
      </c>
      <c r="E7" s="101" t="str">
        <f>Total!E699</f>
        <v>Obra Civil</v>
      </c>
      <c r="F7" s="112" t="str">
        <f>Total!F699</f>
        <v>Projectes</v>
      </c>
      <c r="G7" s="96" t="str">
        <f>Total!G699</f>
        <v>PC. ML-14056</v>
      </c>
      <c r="H7" s="96" t="str">
        <f>Total!H699</f>
        <v>Serveis per a l'assistència tècnica per a la redacció del projecte constructiu de millora local. Vairant i eixample puntual. Ctra. LV-4241, pk 34,750 al 34,900 i del pk 35,200 al 35,550. Tram: Sant Llorenç de Morunys-límit comarca Berguedà (Guixers)</v>
      </c>
      <c r="I7" s="129">
        <f>Total!I699</f>
        <v>58500</v>
      </c>
    </row>
    <row r="8" spans="1:9" x14ac:dyDescent="0.2">
      <c r="A8" s="8">
        <v>7</v>
      </c>
      <c r="B8" s="101">
        <f>Total!B700</f>
        <v>41957</v>
      </c>
      <c r="C8" s="101">
        <f>Total!C700</f>
        <v>41983</v>
      </c>
      <c r="D8" s="112" t="s">
        <v>1092</v>
      </c>
      <c r="E8" s="101" t="str">
        <f>Total!E700</f>
        <v>Edificació</v>
      </c>
      <c r="F8" s="112" t="str">
        <f>Total!F700</f>
        <v>Direcció d'Execució</v>
      </c>
      <c r="G8" s="96" t="str">
        <f>Total!G700</f>
        <v>DE. UPC-13294</v>
      </c>
      <c r="H8" s="96" t="str">
        <f>Total!H700</f>
        <v>Servies per a la direcció d'execució de les obres d'adaptació del projecte de l'edifici C del Campus Diagonal Besòs a Barcelona. Construcció dels acabats finals de l'edifici.</v>
      </c>
      <c r="I8" s="129">
        <f>Total!I700</f>
        <v>191408</v>
      </c>
    </row>
    <row r="9" spans="1:9" x14ac:dyDescent="0.2">
      <c r="A9" s="8">
        <v>8</v>
      </c>
      <c r="B9" s="101">
        <f>Total!B701</f>
        <v>41960</v>
      </c>
      <c r="C9" s="101">
        <f>Total!C701</f>
        <v>41983</v>
      </c>
      <c r="D9" s="112" t="s">
        <v>1092</v>
      </c>
      <c r="E9" s="101" t="str">
        <f>Total!E701</f>
        <v>Edificació</v>
      </c>
      <c r="F9" s="112" t="str">
        <f>Total!F701</f>
        <v>Control de Qualitat</v>
      </c>
      <c r="G9" s="96" t="str">
        <f>Total!G701</f>
        <v>CQ.UPC-13294</v>
      </c>
      <c r="H9" s="96" t="str">
        <f>Total!H701</f>
        <v>Serveis per a l'assistència tècnica de control de qualitat de les obres d'adaptació del projecte de l'edifici C del Campus Diagonal Besòs a Barcelona. Construcció dels acabats finals de l'edifici.</v>
      </c>
      <c r="I9" s="129">
        <f>Total!I701</f>
        <v>60371.66</v>
      </c>
    </row>
    <row r="10" spans="1:9" x14ac:dyDescent="0.2">
      <c r="A10" s="8">
        <v>9</v>
      </c>
      <c r="B10" s="101">
        <f>Total!B702</f>
        <v>41963</v>
      </c>
      <c r="C10" s="101">
        <f>Total!C702</f>
        <v>42023</v>
      </c>
      <c r="D10" s="112" t="s">
        <v>1092</v>
      </c>
      <c r="E10" s="101" t="str">
        <f>Total!E702</f>
        <v>Edificació</v>
      </c>
      <c r="F10" s="112" t="str">
        <f>Total!F702</f>
        <v>Projectes i Direccions d'Obra</v>
      </c>
      <c r="G10" s="96" t="str">
        <f>Total!G702</f>
        <v>PE+DO. INM-10090</v>
      </c>
      <c r="H10" s="96" t="str">
        <f>Total!H702</f>
        <v>Assistència tècnica per a la redacció del projecte bàsic i executiu i la posterior direcció d'obra de la nova construcció de la secció de l'Institut 2/0 Can Record a Sant Esteve de Palautordera.</v>
      </c>
      <c r="I10" s="129">
        <f>Total!I702</f>
        <v>284059</v>
      </c>
    </row>
    <row r="11" spans="1:9" x14ac:dyDescent="0.2">
      <c r="I11" s="126">
        <f>SUM(I2:I10)</f>
        <v>1020813.88</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I15"/>
  <sheetViews>
    <sheetView workbookViewId="0">
      <selection sqref="A1:XFD15"/>
    </sheetView>
  </sheetViews>
  <sheetFormatPr baseColWidth="10" defaultColWidth="11.42578125" defaultRowHeight="12.75" x14ac:dyDescent="0.2"/>
  <cols>
    <col min="1" max="1" width="5.140625" customWidth="1"/>
    <col min="4" max="4" width="13.28515625" customWidth="1"/>
    <col min="5" max="5" width="8.85546875" customWidth="1"/>
    <col min="6" max="6" width="18.42578125" customWidth="1"/>
    <col min="7" max="7" width="22" customWidth="1"/>
    <col min="8" max="8" width="55.140625" customWidth="1"/>
    <col min="9" max="9" width="20" bestFit="1" customWidth="1"/>
  </cols>
  <sheetData>
    <row r="1" spans="1:9" x14ac:dyDescent="0.2">
      <c r="A1" s="10"/>
      <c r="B1" s="37" t="s">
        <v>57</v>
      </c>
      <c r="C1" s="2" t="s">
        <v>499</v>
      </c>
      <c r="D1" s="124" t="s">
        <v>58</v>
      </c>
      <c r="E1" s="3" t="s">
        <v>59</v>
      </c>
      <c r="F1" s="123" t="s">
        <v>60</v>
      </c>
      <c r="G1" s="3" t="s">
        <v>61</v>
      </c>
      <c r="H1" s="38" t="s">
        <v>62</v>
      </c>
      <c r="I1" s="39" t="s">
        <v>63</v>
      </c>
    </row>
    <row r="2" spans="1:9" x14ac:dyDescent="0.2">
      <c r="A2" s="8">
        <v>1</v>
      </c>
      <c r="B2" s="101">
        <f>Total!B680</f>
        <v>41915</v>
      </c>
      <c r="C2" s="101">
        <f>Total!C680</f>
        <v>41932</v>
      </c>
      <c r="D2" s="112" t="s">
        <v>1092</v>
      </c>
      <c r="E2" s="101" t="str">
        <f>Total!E680</f>
        <v>Edificació</v>
      </c>
      <c r="F2" s="112" t="str">
        <f>Total!F680</f>
        <v>Control de Qualitat</v>
      </c>
      <c r="G2" s="96" t="str">
        <f>Total!G680</f>
        <v>CQ. PNC-09228.A</v>
      </c>
      <c r="H2" s="96" t="str">
        <f>Total!H680</f>
        <v>Contracte de serveis per al control de qualitat de les obres de nova construcció escola 1 línia a l'Escola Els Vinyals de Lliçà de Vall (Vallès Oriental).</v>
      </c>
      <c r="I2" s="129">
        <f>Total!I680</f>
        <v>51127.47</v>
      </c>
    </row>
    <row r="3" spans="1:9" x14ac:dyDescent="0.2">
      <c r="A3" s="8">
        <v>2</v>
      </c>
      <c r="B3" s="101">
        <f>Total!B681</f>
        <v>41915</v>
      </c>
      <c r="C3" s="101">
        <f>Total!C681</f>
        <v>41932</v>
      </c>
      <c r="D3" s="112" t="s">
        <v>1092</v>
      </c>
      <c r="E3" s="101" t="str">
        <f>Total!E681</f>
        <v>Edificació</v>
      </c>
      <c r="F3" s="112" t="str">
        <f>Total!F681</f>
        <v>Direccions d'Execució</v>
      </c>
      <c r="G3" s="96" t="str">
        <f>Total!G681</f>
        <v>DE. PNC-09228.A</v>
      </c>
      <c r="H3" s="96" t="str">
        <f>Total!H681</f>
        <v>Contracte de serveis per la direcció d'execució de les obres de nova construcció escola 1 línia a l'Escola Els Vinyals de Lliçà de Vall (Vallès Oriental).</v>
      </c>
      <c r="I3" s="129">
        <f>Total!I681</f>
        <v>80038.81</v>
      </c>
    </row>
    <row r="4" spans="1:9" x14ac:dyDescent="0.2">
      <c r="A4" s="8">
        <v>3</v>
      </c>
      <c r="B4" s="101">
        <f>Total!B682</f>
        <v>41915</v>
      </c>
      <c r="C4" s="101">
        <f>Total!C682</f>
        <v>41932</v>
      </c>
      <c r="D4" s="112" t="s">
        <v>1092</v>
      </c>
      <c r="E4" s="101" t="str">
        <f>Total!E682</f>
        <v>Edificació</v>
      </c>
      <c r="F4" s="112" t="str">
        <f>Total!F682</f>
        <v>Direccions d'Obra</v>
      </c>
      <c r="G4" s="96" t="str">
        <f>Total!G682</f>
        <v>DO. PNC-09228.A</v>
      </c>
      <c r="H4" s="96" t="str">
        <f>Total!H682</f>
        <v>Contracte de serveis per a la direcció de les obres de nova construcció escola 1 línia a l'Escola Els Vinyals de Lliça de Vall (Vallès Oriental).</v>
      </c>
      <c r="I4" s="129">
        <f>Total!I682</f>
        <v>75492.13</v>
      </c>
    </row>
    <row r="5" spans="1:9" x14ac:dyDescent="0.2">
      <c r="A5" s="8">
        <v>4</v>
      </c>
      <c r="B5" s="101">
        <f>Total!B683</f>
        <v>41918</v>
      </c>
      <c r="C5" s="101">
        <f>Total!C683</f>
        <v>41934</v>
      </c>
      <c r="D5" s="112" t="s">
        <v>1092</v>
      </c>
      <c r="E5" s="101" t="str">
        <f>Total!E683</f>
        <v>Edificació</v>
      </c>
      <c r="F5" s="112" t="str">
        <f>Total!F683</f>
        <v>Control de Qualitat</v>
      </c>
      <c r="G5" s="96" t="str">
        <f>Total!G683</f>
        <v>CQ. PNB-12907</v>
      </c>
      <c r="H5" s="96" t="str">
        <f>Total!H683</f>
        <v>Control de qualitat de les obres de nova construcció escola 2 línies a l'Escola Can Fabra de Barcelona.</v>
      </c>
      <c r="I5" s="129">
        <f>Total!I683</f>
        <v>54806.5</v>
      </c>
    </row>
    <row r="6" spans="1:9" x14ac:dyDescent="0.2">
      <c r="A6" s="8">
        <v>5</v>
      </c>
      <c r="B6" s="101">
        <f>Total!B684</f>
        <v>41918</v>
      </c>
      <c r="C6" s="101">
        <f>Total!C684</f>
        <v>41934</v>
      </c>
      <c r="D6" s="112" t="s">
        <v>1092</v>
      </c>
      <c r="E6" s="101" t="str">
        <f>Total!E684</f>
        <v>Edificació</v>
      </c>
      <c r="F6" s="112" t="str">
        <f>Total!F684</f>
        <v>Direccions d'Execució</v>
      </c>
      <c r="G6" s="96" t="str">
        <f>Total!G684</f>
        <v>DE. PNB-12907</v>
      </c>
      <c r="H6" s="96" t="str">
        <f>Total!H684</f>
        <v>Direcció d'execució de les obres de nova construcció escola 2 línies a l'Escola Can Fabra de Barcelona</v>
      </c>
      <c r="I6" s="129">
        <f>Total!I684</f>
        <v>102235</v>
      </c>
    </row>
    <row r="7" spans="1:9" x14ac:dyDescent="0.2">
      <c r="A7" s="8">
        <v>6</v>
      </c>
      <c r="B7" s="101">
        <f>Total!B685</f>
        <v>41920</v>
      </c>
      <c r="C7" s="101">
        <f>Total!C685</f>
        <v>41948</v>
      </c>
      <c r="D7" s="112" t="s">
        <v>1092</v>
      </c>
      <c r="E7" s="101" t="str">
        <f>Total!E685</f>
        <v>Edificació</v>
      </c>
      <c r="F7" s="112" t="str">
        <f>Total!F685</f>
        <v>Direccions d'Execució</v>
      </c>
      <c r="G7" s="96" t="str">
        <f>Total!G685</f>
        <v>DE. CAP-13315</v>
      </c>
      <c r="H7" s="96" t="str">
        <f>Total!H685</f>
        <v>Serveis per a la verificació de l'assegurament de la qualitat del projecte executiu i direcció d'execució de les obres de construcció del nou CAP d'Amposta.</v>
      </c>
      <c r="I7" s="129">
        <f>Total!I685</f>
        <v>81776</v>
      </c>
    </row>
    <row r="8" spans="1:9" x14ac:dyDescent="0.2">
      <c r="A8" s="8">
        <v>7</v>
      </c>
      <c r="B8" s="101">
        <f>Total!B687</f>
        <v>41925</v>
      </c>
      <c r="C8" s="101">
        <f>Total!C687</f>
        <v>41948</v>
      </c>
      <c r="D8" s="101" t="s">
        <v>1427</v>
      </c>
      <c r="E8" s="96" t="str">
        <f>Total!E687</f>
        <v>Edificació</v>
      </c>
      <c r="F8" s="96" t="str">
        <f>Total!F687</f>
        <v>Projectes i Direccions d'Obra</v>
      </c>
      <c r="G8" s="96" t="str">
        <f>Total!G687</f>
        <v>PE+DO. IAV-14296</v>
      </c>
      <c r="H8" s="96" t="str">
        <f>Total!H687</f>
        <v>Serveis per a l'assistència tècnica per a la redacció del projecte bàsic i executiu i la posterior direcció d'obra de l'ampliació i adequació a 2/0 de la Secció d'Institut Can Periquet a Palau-Solità i Plegamans.</v>
      </c>
      <c r="I8" s="129">
        <f>Total!I687</f>
        <v>185324</v>
      </c>
    </row>
    <row r="9" spans="1:9" x14ac:dyDescent="0.2">
      <c r="A9" s="8">
        <v>8</v>
      </c>
      <c r="B9" s="101">
        <f>Total!B688</f>
        <v>41925</v>
      </c>
      <c r="C9" s="101">
        <f>Total!C688</f>
        <v>41948</v>
      </c>
      <c r="D9" s="112" t="s">
        <v>1092</v>
      </c>
      <c r="E9" s="101" t="str">
        <f>Total!E688</f>
        <v>Edificació</v>
      </c>
      <c r="F9" s="112" t="str">
        <f>Total!F688</f>
        <v>Projectes i Direccions d'Obra</v>
      </c>
      <c r="G9" s="96" t="str">
        <f>Total!G688</f>
        <v>PE+DO. CAP-14302</v>
      </c>
      <c r="H9" s="96" t="str">
        <f>Total!H688</f>
        <v>Servies per a l'assistència tècnica per a la redacció del projecte bàsic i executiu i la posterior direcció d'obra de l'ampliació i reforma del CAP Dr. Mirambell, de Caldes de Montbuí.</v>
      </c>
      <c r="I9" s="129">
        <f>Total!I688</f>
        <v>80883</v>
      </c>
    </row>
    <row r="10" spans="1:9" x14ac:dyDescent="0.2">
      <c r="A10" s="8">
        <v>9</v>
      </c>
      <c r="B10" s="101">
        <f>Total!B689</f>
        <v>41926</v>
      </c>
      <c r="C10" s="101">
        <f>Total!C689</f>
        <v>41953</v>
      </c>
      <c r="D10" s="112" t="s">
        <v>1092</v>
      </c>
      <c r="E10" s="101" t="str">
        <f>Total!E689</f>
        <v>Edificació</v>
      </c>
      <c r="F10" s="112" t="str">
        <f>Total!F689</f>
        <v>Direccions d'Obra</v>
      </c>
      <c r="G10" s="96" t="str">
        <f>Total!G689</f>
        <v>DO. PNA-09212.A</v>
      </c>
      <c r="H10" s="96" t="str">
        <f>Total!H689</f>
        <v>Direcció de les obres de la nova construcció escola 1 línia a l'Escola d'Abrera (Baix Llobregat).</v>
      </c>
      <c r="I10" s="129">
        <f>Total!I689</f>
        <v>74750</v>
      </c>
    </row>
    <row r="11" spans="1:9" x14ac:dyDescent="0.2">
      <c r="A11" s="8">
        <v>10</v>
      </c>
      <c r="B11" s="101">
        <f>Total!B690</f>
        <v>41926</v>
      </c>
      <c r="C11" s="101">
        <f>Total!C690</f>
        <v>41953</v>
      </c>
      <c r="D11" s="112" t="s">
        <v>1092</v>
      </c>
      <c r="E11" s="101" t="str">
        <f>Total!E690</f>
        <v>Edificació</v>
      </c>
      <c r="F11" s="112" t="str">
        <f>Total!F690</f>
        <v>Direccions d'Execució</v>
      </c>
      <c r="G11" s="96" t="str">
        <f>Total!G690</f>
        <v>DE. PNA-09212.A</v>
      </c>
      <c r="H11" s="96" t="str">
        <f>Total!H690</f>
        <v>Direcció d'execució de les obres de la nova construcció escola 1 línia a l'Escola d'Abrera (Baix Llobregat).</v>
      </c>
      <c r="I11" s="129">
        <f>Total!I690</f>
        <v>74865</v>
      </c>
    </row>
    <row r="12" spans="1:9" x14ac:dyDescent="0.2">
      <c r="A12" s="8">
        <v>11</v>
      </c>
      <c r="B12" s="101">
        <f>Total!B691</f>
        <v>41927</v>
      </c>
      <c r="C12" s="101">
        <f>Total!C691</f>
        <v>41946</v>
      </c>
      <c r="D12" s="112" t="s">
        <v>1092</v>
      </c>
      <c r="E12" s="101" t="str">
        <f>Total!E691</f>
        <v>Obra Civil</v>
      </c>
      <c r="F12" s="112" t="str">
        <f>Total!F691</f>
        <v>Direccions d'Obra</v>
      </c>
      <c r="G12" s="96" t="str">
        <f>Total!G691</f>
        <v>DB. TM-11019. FA+2</v>
      </c>
      <c r="H12" s="96" t="str">
        <f>Total!H691</f>
        <v>Direc. Conj. obres: actuacions millora evacuació i accessib.estació Poblenou línia 4 d'FMB. Fase A, actual. adaptació normativa i millora acces. Est. Peu Funicular FGC i execució obres proj. pas inferior línia BCN-Vallès FGC a Volpelleres.</v>
      </c>
      <c r="I12" s="129">
        <f>Total!I691</f>
        <v>119361.11</v>
      </c>
    </row>
    <row r="13" spans="1:9" x14ac:dyDescent="0.2">
      <c r="A13" s="8">
        <v>12</v>
      </c>
      <c r="B13" s="101">
        <f>Total!B692</f>
        <v>41939</v>
      </c>
      <c r="C13" s="101">
        <f>Total!C692</f>
        <v>41976</v>
      </c>
      <c r="D13" s="112" t="s">
        <v>1092</v>
      </c>
      <c r="E13" s="101" t="str">
        <f>Total!E692</f>
        <v>Edificació</v>
      </c>
      <c r="F13" s="112" t="str">
        <f>Total!F692</f>
        <v>Projectes i Direccions d'Obra</v>
      </c>
      <c r="G13" s="96" t="str">
        <f>Total!G692</f>
        <v>PE+DO. GET-14308</v>
      </c>
      <c r="H13" s="96" t="str">
        <f>Total!H692</f>
        <v>Assistència tència per a la redacció del projecte bàsic i executiu i la posterior direcció d'Obra de la nova construcció del Pavelló Poliesportiu a la zona esportiva de Campclar, a Tarragona.</v>
      </c>
      <c r="I13" s="129">
        <f>Total!I692</f>
        <v>724557</v>
      </c>
    </row>
    <row r="14" spans="1:9" x14ac:dyDescent="0.2">
      <c r="A14" s="8">
        <v>13</v>
      </c>
      <c r="B14" s="101">
        <f>Total!B693</f>
        <v>41941</v>
      </c>
      <c r="C14" s="101">
        <f>Total!C693</f>
        <v>41976</v>
      </c>
      <c r="D14" s="112" t="s">
        <v>1092</v>
      </c>
      <c r="E14" s="101" t="str">
        <f>Total!E693</f>
        <v>Edificació</v>
      </c>
      <c r="F14" s="112" t="str">
        <f>Total!F693</f>
        <v>Subministrament i Serveis</v>
      </c>
      <c r="G14" s="96" t="str">
        <f>Total!G693</f>
        <v>DIO. UPC-13000</v>
      </c>
      <c r="H14" s="96" t="str">
        <f>Total!H693</f>
        <v>Serv. per a la gestió, coord. i seguiment obres corresponents acabats de l'edifici A, acabats de l'edifici C, acabats de l'edifici I, infraestructures i urbanització, i adaptació dels solars BJK de la primera fase del Campus Diagona-Besòs UPC.</v>
      </c>
      <c r="I14" s="129">
        <f>Total!I693</f>
        <v>775500</v>
      </c>
    </row>
    <row r="15" spans="1:9" x14ac:dyDescent="0.2">
      <c r="I15" s="126">
        <f>SUM(I2:I14)</f>
        <v>2480716.02</v>
      </c>
    </row>
  </sheetData>
  <pageMargins left="0.7" right="0.7" top="0.75" bottom="0.75" header="0.3" footer="0.3"/>
  <pageSetup paperSize="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I13"/>
  <sheetViews>
    <sheetView workbookViewId="0">
      <selection activeCell="A13" sqref="A13"/>
    </sheetView>
  </sheetViews>
  <sheetFormatPr baseColWidth="10" defaultColWidth="11.42578125" defaultRowHeight="12.75" x14ac:dyDescent="0.2"/>
  <cols>
    <col min="6" max="6" width="18.85546875" customWidth="1"/>
    <col min="7" max="7" width="17.28515625" style="5" bestFit="1" customWidth="1"/>
    <col min="8" max="8" width="50.7109375" customWidth="1"/>
    <col min="9" max="9" width="20" bestFit="1" customWidth="1"/>
  </cols>
  <sheetData>
    <row r="1" spans="1:9" x14ac:dyDescent="0.2">
      <c r="A1" s="10"/>
      <c r="B1" s="37" t="s">
        <v>57</v>
      </c>
      <c r="C1" s="2" t="s">
        <v>499</v>
      </c>
      <c r="D1" s="124" t="s">
        <v>58</v>
      </c>
      <c r="E1" s="3" t="s">
        <v>59</v>
      </c>
      <c r="F1" s="123" t="s">
        <v>60</v>
      </c>
      <c r="G1" s="3" t="s">
        <v>61</v>
      </c>
      <c r="H1" s="38" t="s">
        <v>62</v>
      </c>
      <c r="I1" s="39" t="s">
        <v>63</v>
      </c>
    </row>
    <row r="2" spans="1:9" x14ac:dyDescent="0.2">
      <c r="A2" s="8">
        <v>1</v>
      </c>
      <c r="B2" s="101">
        <f>Total!B670</f>
        <v>41885</v>
      </c>
      <c r="C2" s="101">
        <f>Total!C670</f>
        <v>41904</v>
      </c>
      <c r="D2" s="112" t="s">
        <v>1092</v>
      </c>
      <c r="E2" s="101" t="str">
        <f>Total!E670</f>
        <v>Obra Civil</v>
      </c>
      <c r="F2" s="112" t="str">
        <f>Total!F670</f>
        <v>Projectes</v>
      </c>
      <c r="G2" s="96" t="str">
        <f>Total!G670</f>
        <v>EV.EC17</v>
      </c>
      <c r="H2" s="119" t="s">
        <v>1391</v>
      </c>
      <c r="I2" s="121">
        <v>187000</v>
      </c>
    </row>
    <row r="3" spans="1:9" x14ac:dyDescent="0.2">
      <c r="A3" s="8">
        <v>2</v>
      </c>
      <c r="B3" s="101">
        <f>Total!B671</f>
        <v>41886</v>
      </c>
      <c r="C3" s="101">
        <f>Total!C671</f>
        <v>41904</v>
      </c>
      <c r="D3" s="112" t="s">
        <v>1092</v>
      </c>
      <c r="E3" s="101" t="str">
        <f>Total!E671</f>
        <v>Obra Civil</v>
      </c>
      <c r="F3" s="112" t="str">
        <f>Total!F671</f>
        <v>Direcció d'Obra</v>
      </c>
      <c r="G3" s="96" t="str">
        <f>Total!G671</f>
        <v>DO.TF-02676.7.1</v>
      </c>
      <c r="H3" s="119" t="s">
        <v>1392</v>
      </c>
      <c r="I3" s="122">
        <v>112866.67</v>
      </c>
    </row>
    <row r="4" spans="1:9" x14ac:dyDescent="0.2">
      <c r="A4" s="8">
        <v>3</v>
      </c>
      <c r="B4" s="101">
        <f>Total!B672</f>
        <v>41887</v>
      </c>
      <c r="C4" s="101">
        <f>Total!C672</f>
        <v>41939</v>
      </c>
      <c r="D4" s="112" t="s">
        <v>1092</v>
      </c>
      <c r="E4" s="101" t="str">
        <f>Total!E672</f>
        <v>Obra Civil</v>
      </c>
      <c r="F4" s="112" t="str">
        <f>Total!F672</f>
        <v>Projectes</v>
      </c>
      <c r="G4" s="96" t="str">
        <f>Total!G672</f>
        <v>E1-TX-14313</v>
      </c>
      <c r="H4" s="119" t="s">
        <v>1393</v>
      </c>
      <c r="I4" s="122">
        <v>311500</v>
      </c>
    </row>
    <row r="5" spans="1:9" x14ac:dyDescent="0.2">
      <c r="A5" s="8">
        <v>4</v>
      </c>
      <c r="B5" s="101">
        <f>Total!B673</f>
        <v>41894</v>
      </c>
      <c r="C5" s="101">
        <f>Total!C673</f>
        <v>41990</v>
      </c>
      <c r="D5" s="112" t="s">
        <v>1092</v>
      </c>
      <c r="E5" s="101" t="str">
        <f>Total!E673</f>
        <v>Edificació</v>
      </c>
      <c r="F5" s="112" t="str">
        <f>Total!F673</f>
        <v>Projectes i Direccions d'Obra</v>
      </c>
      <c r="G5" s="96" t="str">
        <f>Total!G673</f>
        <v>PE+DO. INV-11218</v>
      </c>
      <c r="H5" s="119" t="s">
        <v>1394</v>
      </c>
      <c r="I5" s="122">
        <v>410216</v>
      </c>
    </row>
    <row r="6" spans="1:9" x14ac:dyDescent="0.2">
      <c r="A6" s="8">
        <v>5</v>
      </c>
      <c r="B6" s="101">
        <f>Total!B674</f>
        <v>41894</v>
      </c>
      <c r="C6" s="101">
        <f>Total!C674</f>
        <v>41990</v>
      </c>
      <c r="D6" s="112" t="s">
        <v>1092</v>
      </c>
      <c r="E6" s="101" t="str">
        <f>Total!E674</f>
        <v>Edificació</v>
      </c>
      <c r="F6" s="112" t="str">
        <f>Total!F674</f>
        <v>Projectes i Direccions d'Obra</v>
      </c>
      <c r="G6" s="96" t="str">
        <f>Total!G674</f>
        <v>PE+DO. INV-14298</v>
      </c>
      <c r="H6" s="119" t="s">
        <v>1395</v>
      </c>
      <c r="I6" s="122">
        <v>378240</v>
      </c>
    </row>
    <row r="7" spans="1:9" x14ac:dyDescent="0.2">
      <c r="A7" s="8">
        <v>6</v>
      </c>
      <c r="B7" s="101">
        <f>'Nº Anuncis Sumatori'!AB63</f>
        <v>0</v>
      </c>
      <c r="C7" s="101">
        <f>Total!C675</f>
        <v>41918</v>
      </c>
      <c r="D7" s="112" t="s">
        <v>1092</v>
      </c>
      <c r="E7" s="101" t="str">
        <f>Total!E675</f>
        <v>Edificació</v>
      </c>
      <c r="F7" s="112" t="str">
        <f>Total!F675</f>
        <v>Projectes</v>
      </c>
      <c r="G7" s="96" t="str">
        <f>Total!G675</f>
        <v>PM. GPV-08248.A-M2</v>
      </c>
      <c r="H7" s="119" t="s">
        <v>1395</v>
      </c>
      <c r="I7" s="121">
        <v>110000</v>
      </c>
    </row>
    <row r="8" spans="1:9" x14ac:dyDescent="0.2">
      <c r="A8" s="8">
        <v>7</v>
      </c>
      <c r="B8" s="101">
        <f>Total!B676</f>
        <v>41901</v>
      </c>
      <c r="C8" s="101">
        <f>Total!C676</f>
        <v>41990</v>
      </c>
      <c r="D8" s="112" t="s">
        <v>1092</v>
      </c>
      <c r="E8" s="101" t="str">
        <f>Total!E676</f>
        <v>Edificació</v>
      </c>
      <c r="F8" s="112" t="str">
        <f>Total!F676</f>
        <v>Projectes i Direccions d'Obra</v>
      </c>
      <c r="G8" s="96" t="str">
        <f>Total!G676</f>
        <v>PE+DO. INH-14297</v>
      </c>
      <c r="H8" s="119" t="s">
        <v>1395</v>
      </c>
      <c r="I8" s="122">
        <v>343653</v>
      </c>
    </row>
    <row r="9" spans="1:9" x14ac:dyDescent="0.2">
      <c r="A9" s="8">
        <v>8</v>
      </c>
      <c r="B9" s="101">
        <f>Total!B677</f>
        <v>41901</v>
      </c>
      <c r="C9" s="101">
        <f>Total!C677</f>
        <v>41990</v>
      </c>
      <c r="D9" s="112" t="s">
        <v>1092</v>
      </c>
      <c r="E9" s="101" t="str">
        <f>Total!E677</f>
        <v>Edificació</v>
      </c>
      <c r="F9" s="112" t="str">
        <f>Total!F677</f>
        <v>Projectes i Direccions d'Obra</v>
      </c>
      <c r="G9" s="96" t="str">
        <f>Total!G677</f>
        <v>PE+DO. INV-13322</v>
      </c>
      <c r="H9" s="119" t="s">
        <v>1395</v>
      </c>
      <c r="I9" s="122">
        <v>426077</v>
      </c>
    </row>
    <row r="10" spans="1:9" x14ac:dyDescent="0.2">
      <c r="A10" s="125">
        <v>9</v>
      </c>
      <c r="B10" s="128">
        <f>Total!B678</f>
        <v>41912</v>
      </c>
      <c r="C10" s="128">
        <f>Total!C678</f>
        <v>41932</v>
      </c>
      <c r="D10" s="127" t="s">
        <v>1092</v>
      </c>
      <c r="E10" s="128" t="str">
        <f>Total!E678</f>
        <v>Edificació</v>
      </c>
      <c r="F10" s="127" t="str">
        <f>Total!F678</f>
        <v>Direccions d'Execució</v>
      </c>
      <c r="G10" s="120" t="str">
        <f>Total!G678</f>
        <v>DE. JVX-14208+2</v>
      </c>
      <c r="H10" s="119" t="s">
        <v>1403</v>
      </c>
      <c r="I10" s="121">
        <v>175230</v>
      </c>
    </row>
    <row r="11" spans="1:9" x14ac:dyDescent="0.2">
      <c r="A11" s="125">
        <v>10</v>
      </c>
      <c r="B11" s="128">
        <f>Total!B679</f>
        <v>41912</v>
      </c>
      <c r="C11" s="128">
        <f>'Nº Anuncis Sumatori'!H22</f>
        <v>15</v>
      </c>
      <c r="D11" s="127" t="s">
        <v>1092</v>
      </c>
      <c r="E11" s="128" t="str">
        <f>Total!E679</f>
        <v>Obra Civil</v>
      </c>
      <c r="F11" s="127" t="str">
        <f>Total!F679</f>
        <v>Projectes</v>
      </c>
      <c r="G11" s="120" t="str">
        <f>Total!G679</f>
        <v>AT-TX-14313</v>
      </c>
      <c r="H11" s="119" t="s">
        <v>1404</v>
      </c>
      <c r="I11" s="121">
        <v>294500</v>
      </c>
    </row>
    <row r="12" spans="1:9" x14ac:dyDescent="0.2">
      <c r="A12" s="125">
        <v>11</v>
      </c>
      <c r="B12" s="128">
        <f>Total!B686</f>
        <v>41908</v>
      </c>
      <c r="C12" s="128">
        <f>Total!C686</f>
        <v>41946</v>
      </c>
      <c r="D12" s="120" t="s">
        <v>1092</v>
      </c>
      <c r="E12" s="128" t="str">
        <f>Total!E686</f>
        <v>Edificació</v>
      </c>
      <c r="F12" s="120" t="str">
        <f>Total!F686</f>
        <v>Subministrament i Serveis</v>
      </c>
      <c r="G12" s="120" t="str">
        <f>Total!G686</f>
        <v>MEA. MEC-14L04</v>
      </c>
      <c r="H12" s="120" t="str">
        <f>Total!H686</f>
        <v>Contracte de serveis per a la supervisió i control del manteniment de 216 edificis titularitat d'Infraestructures.cat. 4 lots.</v>
      </c>
      <c r="I12" s="121">
        <v>1352200</v>
      </c>
    </row>
    <row r="13" spans="1:9" x14ac:dyDescent="0.2">
      <c r="I13" s="126">
        <f>SUM(I2:I12)</f>
        <v>4101482.67</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6"/>
  <sheetViews>
    <sheetView workbookViewId="0">
      <selection sqref="A1:XFD6"/>
    </sheetView>
  </sheetViews>
  <sheetFormatPr baseColWidth="10" defaultColWidth="11.42578125" defaultRowHeight="12.75" x14ac:dyDescent="0.2"/>
  <cols>
    <col min="2" max="2" width="12.42578125" bestFit="1" customWidth="1"/>
    <col min="3" max="3" width="15.28515625" bestFit="1" customWidth="1"/>
    <col min="4" max="4" width="17" bestFit="1" customWidth="1"/>
    <col min="6" max="6" width="15.5703125" bestFit="1" customWidth="1"/>
    <col min="7" max="7" width="15" bestFit="1" customWidth="1"/>
    <col min="8" max="8" width="44.85546875" customWidth="1"/>
    <col min="9" max="9" width="11.7109375" bestFit="1" customWidth="1"/>
  </cols>
  <sheetData>
    <row r="1" spans="1:9" x14ac:dyDescent="0.2">
      <c r="A1" s="10"/>
      <c r="B1" s="37" t="s">
        <v>57</v>
      </c>
      <c r="C1" s="2" t="s">
        <v>499</v>
      </c>
      <c r="D1" s="2" t="s">
        <v>58</v>
      </c>
      <c r="E1" s="3" t="s">
        <v>59</v>
      </c>
      <c r="F1" s="3" t="s">
        <v>60</v>
      </c>
      <c r="G1" s="3" t="s">
        <v>61</v>
      </c>
      <c r="H1" s="38" t="s">
        <v>62</v>
      </c>
      <c r="I1" s="39" t="s">
        <v>63</v>
      </c>
    </row>
    <row r="2" spans="1:9" x14ac:dyDescent="0.2">
      <c r="A2" s="8">
        <v>1</v>
      </c>
      <c r="B2" s="101">
        <f>Total!B666</f>
        <v>41856</v>
      </c>
      <c r="C2" s="101">
        <f>Total!C666</f>
        <v>41885</v>
      </c>
      <c r="D2" s="101" t="s">
        <v>1092</v>
      </c>
      <c r="E2" s="101" t="str">
        <f>Total!E666</f>
        <v>Obra Civil</v>
      </c>
      <c r="F2" s="101" t="str">
        <f>Total!F666</f>
        <v>Direccions d'Obra</v>
      </c>
      <c r="G2" s="101" t="str">
        <f>Total!G666</f>
        <v>DO.RG-04116.2</v>
      </c>
      <c r="H2" s="115" t="s">
        <v>1379</v>
      </c>
      <c r="I2" s="116">
        <v>66300</v>
      </c>
    </row>
    <row r="3" spans="1:9" x14ac:dyDescent="0.2">
      <c r="A3" s="8">
        <v>2</v>
      </c>
      <c r="B3" s="101">
        <f>Total!B667</f>
        <v>41857</v>
      </c>
      <c r="C3" s="101">
        <f>Total!C667</f>
        <v>41911</v>
      </c>
      <c r="D3" s="101" t="s">
        <v>1092</v>
      </c>
      <c r="E3" s="101" t="str">
        <f>Total!E667</f>
        <v>Obra Civil</v>
      </c>
      <c r="F3" s="101" t="str">
        <f>Total!F667</f>
        <v>Projectes</v>
      </c>
      <c r="G3" s="101" t="str">
        <f>Total!G667</f>
        <v>PC.MC-14010</v>
      </c>
      <c r="H3" s="115" t="s">
        <v>1379</v>
      </c>
      <c r="I3" s="116">
        <v>96700</v>
      </c>
    </row>
    <row r="4" spans="1:9" x14ac:dyDescent="0.2">
      <c r="A4" s="8">
        <v>3</v>
      </c>
      <c r="B4" s="101">
        <f>Total!B668</f>
        <v>41857</v>
      </c>
      <c r="C4" s="101">
        <f>Total!C668</f>
        <v>41911</v>
      </c>
      <c r="D4" s="101" t="s">
        <v>1092</v>
      </c>
      <c r="E4" s="101" t="str">
        <f>Total!E668</f>
        <v>Obra Civil</v>
      </c>
      <c r="F4" s="101" t="str">
        <f>Total!F668</f>
        <v>Projectes</v>
      </c>
      <c r="G4" s="101" t="str">
        <f>Total!G668</f>
        <v>PC.MB-14021</v>
      </c>
      <c r="H4" s="115" t="s">
        <v>1379</v>
      </c>
      <c r="I4" s="116">
        <v>97450</v>
      </c>
    </row>
    <row r="5" spans="1:9" x14ac:dyDescent="0.2">
      <c r="A5" s="8">
        <v>4</v>
      </c>
      <c r="B5" s="101">
        <f>Total!B669</f>
        <v>41859</v>
      </c>
      <c r="C5" s="101">
        <f>Total!C669</f>
        <v>41911</v>
      </c>
      <c r="D5" s="101" t="s">
        <v>1092</v>
      </c>
      <c r="E5" s="101" t="str">
        <f>Total!E669</f>
        <v>Edificació</v>
      </c>
      <c r="F5" s="101" t="str">
        <f>Total!F669</f>
        <v>Projectes</v>
      </c>
      <c r="G5" s="101" t="str">
        <f>Total!G669</f>
        <v>EG.EG11</v>
      </c>
      <c r="H5" s="115" t="s">
        <v>1385</v>
      </c>
      <c r="I5" s="118">
        <v>96800</v>
      </c>
    </row>
    <row r="6" spans="1:9" x14ac:dyDescent="0.2">
      <c r="I6" s="117">
        <f>SUM(I2:I5)</f>
        <v>357250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40BE6-C4EF-41BE-B586-0765921E1961}">
  <dimension ref="A1:I60"/>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Total!B3474</f>
        <v>44896</v>
      </c>
      <c r="C2" s="101">
        <f>Total!C3474</f>
        <v>44916</v>
      </c>
      <c r="D2" s="112" t="s">
        <v>1092</v>
      </c>
      <c r="E2" s="332" t="str">
        <f>Total!E3474</f>
        <v>Edificació</v>
      </c>
      <c r="F2" s="96" t="str">
        <f>Total!F3474</f>
        <v>Direccions d'Execució</v>
      </c>
      <c r="G2" s="112" t="str">
        <f>Total!G3474</f>
        <v>CSS. SAH-21204</v>
      </c>
      <c r="H2" s="112" t="str">
        <f>Total!H3474</f>
        <v>Contracte de serveis per a l'assistència tècnica de coordinació de seguretat i salut de les obres del projecte executiu d'ampliació de l'Escola Castell d'Òdena per a un Institut escola de 2L d'infantil i primària i 2L d'ESO d'Òdena. Clau: SAH-21204</v>
      </c>
      <c r="I2" s="157">
        <f>Total!I3474</f>
        <v>18698.810000000001</v>
      </c>
    </row>
    <row r="3" spans="1:9" x14ac:dyDescent="0.2">
      <c r="A3" s="8">
        <v>2</v>
      </c>
      <c r="B3" s="101">
        <f>Total!B3475</f>
        <v>44896</v>
      </c>
      <c r="C3" s="101">
        <f>Total!C3475</f>
        <v>44914</v>
      </c>
      <c r="D3" s="112" t="s">
        <v>1092</v>
      </c>
      <c r="E3" s="332" t="str">
        <f>Total!E3475</f>
        <v>Obra Civil</v>
      </c>
      <c r="F3" s="96" t="str">
        <f>Total!F3475</f>
        <v>Control de Qualitat</v>
      </c>
      <c r="G3" s="112" t="str">
        <f>Total!G3475</f>
        <v>CQ.PC-ANB-20097</v>
      </c>
      <c r="H3" s="112" t="str">
        <f>Total!H3475</f>
        <v>Contracte de serveis per a l'assistència tècnica de control de qualitat de les obres del projecte constructiu "Nova parada d'autobusos a l'Avinguda Catalunya. Gironella". Clau: PC-ANB-20097</v>
      </c>
      <c r="I3" s="157">
        <f>Total!I3475</f>
        <v>6320.41</v>
      </c>
    </row>
    <row r="4" spans="1:9" x14ac:dyDescent="0.2">
      <c r="A4" s="8">
        <v>3</v>
      </c>
      <c r="B4" s="101">
        <f>Total!B3476</f>
        <v>44896</v>
      </c>
      <c r="C4" s="101">
        <f>Total!C3476</f>
        <v>44914</v>
      </c>
      <c r="D4" s="112" t="s">
        <v>1092</v>
      </c>
      <c r="E4" s="332" t="str">
        <f>Total!E3476</f>
        <v>Obra Civil</v>
      </c>
      <c r="F4" s="96" t="str">
        <f>Total!F3476</f>
        <v>Direccions d'Obra</v>
      </c>
      <c r="G4" s="112" t="str">
        <f>Total!G3476</f>
        <v>CSS. PC-ANB-20097</v>
      </c>
      <c r="H4" s="112" t="str">
        <f>Total!H3476</f>
        <v>Contracte de serveis per a l'assistència tècnica de coordinació de seguretat i salut de les obres del projecte constructiu de nova parada d'autobusos a l'avinguda Catalunya. Gironella. Clau: PC-ANB-20097</v>
      </c>
      <c r="I4" s="157">
        <f>Total!I3476</f>
        <v>5484.4</v>
      </c>
    </row>
    <row r="5" spans="1:9" x14ac:dyDescent="0.2">
      <c r="A5" s="8">
        <v>4</v>
      </c>
      <c r="B5" s="101">
        <f>Total!B3477</f>
        <v>44896</v>
      </c>
      <c r="C5" s="101">
        <f>Total!C3477</f>
        <v>44916</v>
      </c>
      <c r="D5" s="112" t="s">
        <v>1092</v>
      </c>
      <c r="E5" s="332" t="str">
        <f>Total!E3477</f>
        <v>Edificació</v>
      </c>
      <c r="F5" s="96" t="str">
        <f>Total!F3477</f>
        <v>Direccions d'Execució</v>
      </c>
      <c r="G5" s="112" t="str">
        <f>Total!G3477</f>
        <v>DE. SAH-21204</v>
      </c>
      <c r="H5" s="112" t="str">
        <f>Total!H3477</f>
        <v>Contracte de serveis per a l'assistència tècnica per a la direcció d'execució de les obres d'ampliació de l'Escola Castell d'Òdena per a un Institut escola de 2L d'infantil i primària i 2L d'ESO d'Òdena. Clau: SAH-21204</v>
      </c>
      <c r="I5" s="157">
        <f>Total!I3477</f>
        <v>79686.27</v>
      </c>
    </row>
    <row r="6" spans="1:9" x14ac:dyDescent="0.2">
      <c r="A6" s="8">
        <v>5</v>
      </c>
      <c r="B6" s="101">
        <f>Total!B3478</f>
        <v>44896</v>
      </c>
      <c r="C6" s="101">
        <f>Total!C3478</f>
        <v>44916</v>
      </c>
      <c r="D6" s="112" t="s">
        <v>1092</v>
      </c>
      <c r="E6" s="332" t="str">
        <f>Total!E3478</f>
        <v>Edificació</v>
      </c>
      <c r="F6" s="96" t="str">
        <f>Total!F3478</f>
        <v>Control de Qualitat</v>
      </c>
      <c r="G6" s="112" t="str">
        <f>Total!G3478</f>
        <v>CQ. SAH-21204</v>
      </c>
      <c r="H6" s="112" t="str">
        <f>Total!H3478</f>
        <v>Contracte de serveis per a l'assistència tècnica de control de qualitat de les obres d'ampliació de l'Escola Castell d'Òdena per a un Institut escola de 2L d'infantil i primària i 2L d'ESO d'Odena. Clau: SAH-21204</v>
      </c>
      <c r="I6" s="157">
        <f>Total!I3478</f>
        <v>32736</v>
      </c>
    </row>
    <row r="7" spans="1:9" x14ac:dyDescent="0.2">
      <c r="A7" s="8">
        <v>6</v>
      </c>
      <c r="B7" s="101">
        <f>Total!B3479</f>
        <v>44896</v>
      </c>
      <c r="C7" s="101">
        <f>Total!C3479</f>
        <v>44916</v>
      </c>
      <c r="D7" s="112" t="s">
        <v>1092</v>
      </c>
      <c r="E7" s="332" t="str">
        <f>Total!E3479</f>
        <v>Edificació</v>
      </c>
      <c r="F7" s="96" t="str">
        <f>Total!F3479</f>
        <v>Direccions d'Obra</v>
      </c>
      <c r="G7" s="112" t="str">
        <f>Total!G3479</f>
        <v>DO. SAH-21204</v>
      </c>
      <c r="H7" s="112" t="str">
        <f>Total!H3479</f>
        <v>Contracte de serveis per a l'assistència tècnica per a la direcció de les obres d'ampliació de l'Escola Castell d'Òdena per a un Institut escola de 2L d'infantil i primària i 2L d'ESO. Clau: SAH-21204</v>
      </c>
      <c r="I7" s="157">
        <f>Total!I3479</f>
        <v>78361.67</v>
      </c>
    </row>
    <row r="8" spans="1:9" x14ac:dyDescent="0.2">
      <c r="A8" s="8">
        <v>7</v>
      </c>
      <c r="B8" s="101">
        <f>Total!B3480</f>
        <v>44896</v>
      </c>
      <c r="C8" s="101">
        <f>Total!C3480</f>
        <v>44923</v>
      </c>
      <c r="D8" s="112" t="s">
        <v>1092</v>
      </c>
      <c r="E8" s="332" t="str">
        <f>Total!E3480</f>
        <v>Obra Civil</v>
      </c>
      <c r="F8" s="96" t="str">
        <f>Total!F3480</f>
        <v>Direccions d'Obra</v>
      </c>
      <c r="G8" s="112" t="str">
        <f>Total!G3480</f>
        <v>DO.PC-ANB-20097</v>
      </c>
      <c r="H8" s="112" t="str">
        <f>Total!H3480</f>
        <v>Contracte de serveis per a la direcció de les obres del projecte constructiu "Nova parada d'autobusos a l'Avinguda Catalunya. Gironella". Clau: PC-ANB-20097</v>
      </c>
      <c r="I8" s="157">
        <f>Total!I3480</f>
        <v>36994</v>
      </c>
    </row>
    <row r="9" spans="1:9" x14ac:dyDescent="0.2">
      <c r="A9" s="8">
        <v>8</v>
      </c>
      <c r="B9" s="101">
        <f>Total!B3481</f>
        <v>44897</v>
      </c>
      <c r="C9" s="101">
        <f>Total!C3481</f>
        <v>44935</v>
      </c>
      <c r="D9" s="112" t="s">
        <v>1092</v>
      </c>
      <c r="E9" s="332" t="str">
        <f>Total!E3481</f>
        <v>Edificació</v>
      </c>
      <c r="F9" s="96" t="str">
        <f>Total!F3481</f>
        <v>Direccions d'Execució</v>
      </c>
      <c r="G9" s="112" t="str">
        <f>Total!G3481</f>
        <v>CSS. PC-ANL-17088</v>
      </c>
      <c r="H9" s="112" t="str">
        <f>Total!H3481</f>
        <v>Contracte de serveis per a l'assistència tècnica de coordinació de seguretat i salut de les obres del projecte constructiu de nova estació d'autobusos. Tàrrega.</v>
      </c>
      <c r="I9" s="157">
        <f>Total!I3481</f>
        <v>27300</v>
      </c>
    </row>
    <row r="10" spans="1:9" x14ac:dyDescent="0.2">
      <c r="A10" s="8">
        <v>9</v>
      </c>
      <c r="B10" s="101">
        <f>Total!B3482</f>
        <v>44897</v>
      </c>
      <c r="C10" s="101">
        <f>Total!C3482</f>
        <v>44928</v>
      </c>
      <c r="D10" s="112" t="s">
        <v>1092</v>
      </c>
      <c r="E10" s="332" t="str">
        <f>Total!E3482</f>
        <v>Edificació</v>
      </c>
      <c r="F10" s="96" t="str">
        <f>Total!F3482</f>
        <v>Projectes i Direccions d'Obra</v>
      </c>
      <c r="G10" s="112" t="str">
        <f>Total!G3482</f>
        <v>PE+DO. GEC-22364</v>
      </c>
      <c r="H10" s="112" t="str">
        <f>Total!H3482</f>
        <v>Contracte de serveis per a la redacció del projecte bàsic i executiu i la posterior direcció de les obres de modernització i actualització de les instal·lacions per millorar l'eficiència energètica del CAR de Sant Cugat.</v>
      </c>
      <c r="I10" s="157">
        <f>Total!I3482</f>
        <v>780293.68</v>
      </c>
    </row>
    <row r="11" spans="1:9" x14ac:dyDescent="0.2">
      <c r="A11" s="8">
        <v>10</v>
      </c>
      <c r="B11" s="101">
        <f>Total!B3483</f>
        <v>44897</v>
      </c>
      <c r="C11" s="101">
        <f>Total!C3483</f>
        <v>44942</v>
      </c>
      <c r="D11" s="112" t="s">
        <v>1092</v>
      </c>
      <c r="E11" s="332" t="str">
        <f>Total!E3483</f>
        <v>Edificació</v>
      </c>
      <c r="F11" s="96" t="str">
        <f>Total!F3483</f>
        <v>Direccions d'Obra</v>
      </c>
      <c r="G11" s="112" t="str">
        <f>Total!G3483</f>
        <v>DO.PC-ANL-17088</v>
      </c>
      <c r="H11" s="112" t="str">
        <f>Total!H3483</f>
        <v>Contracte de serveis per a la Direcció de les obres de la Nova estació d'autobusos. Tàrrega.</v>
      </c>
      <c r="I11" s="157">
        <f>Total!I3483</f>
        <v>170226.77</v>
      </c>
    </row>
    <row r="12" spans="1:9" x14ac:dyDescent="0.2">
      <c r="A12" s="8">
        <v>11</v>
      </c>
      <c r="B12" s="101">
        <f>Total!B3484</f>
        <v>44897</v>
      </c>
      <c r="C12" s="101">
        <f>Total!C3484</f>
        <v>44918</v>
      </c>
      <c r="D12" s="112" t="s">
        <v>1092</v>
      </c>
      <c r="E12" s="332" t="str">
        <f>Total!E3484</f>
        <v>Obra Civil</v>
      </c>
      <c r="F12" s="96" t="str">
        <f>Total!F3484</f>
        <v>Direccions d'Obra</v>
      </c>
      <c r="G12" s="112" t="str">
        <f>Total!G3484</f>
        <v>DO. ML-16017.F2.1 / F2.2</v>
      </c>
      <c r="H12" s="112" t="str">
        <f>Total!H3484</f>
        <v>Contracte de serveis per a la direcció conjunta de les obres del "Projecte constructiu ruta cicloturística al corredor de Lleida - La Pobla de Segur. Fase 2. Balaguer - La Pobla de Segur. Tram 1. Balaguer - Sant Llorenç de Montgai.Projecte constructiu…</v>
      </c>
      <c r="I12" s="157">
        <f>Total!I3484</f>
        <v>102442.93</v>
      </c>
    </row>
    <row r="13" spans="1:9" x14ac:dyDescent="0.2">
      <c r="A13" s="8">
        <v>12</v>
      </c>
      <c r="B13" s="101">
        <f>Total!B3485</f>
        <v>44897</v>
      </c>
      <c r="C13" s="101">
        <f>Total!C3485</f>
        <v>44935</v>
      </c>
      <c r="D13" s="112" t="s">
        <v>1092</v>
      </c>
      <c r="E13" s="332" t="str">
        <f>Total!E3485</f>
        <v>Obra Civil</v>
      </c>
      <c r="F13" s="96" t="str">
        <f>Total!F3485</f>
        <v>Direccions d'Obra</v>
      </c>
      <c r="G13" s="112" t="str">
        <f>Total!G3485</f>
        <v>DO. XT-15006</v>
      </c>
      <c r="H13" s="112" t="str">
        <f>Total!H3485</f>
        <v>Contracte de serveis per a la direcció de les obres de millora local. Via verda. Pista bici paral·lela a la carretera T-323, del PK 0+000 al 5+050. Tram: Mont-roig del Camp.</v>
      </c>
      <c r="I13" s="157">
        <f>Total!I3485</f>
        <v>48064.43</v>
      </c>
    </row>
    <row r="14" spans="1:9" x14ac:dyDescent="0.2">
      <c r="A14" s="8">
        <v>13</v>
      </c>
      <c r="B14" s="101">
        <f>Total!B3486</f>
        <v>44897</v>
      </c>
      <c r="C14" s="101">
        <f>Total!C3486</f>
        <v>44935</v>
      </c>
      <c r="D14" s="112" t="s">
        <v>1092</v>
      </c>
      <c r="E14" s="332" t="str">
        <f>Total!E3486</f>
        <v>Obra Civil</v>
      </c>
      <c r="F14" s="96" t="str">
        <f>Total!F3486</f>
        <v>Control de Qualitat</v>
      </c>
      <c r="G14" s="112" t="str">
        <f>Total!G3486</f>
        <v>CQ. XT-15006</v>
      </c>
      <c r="H14" s="112" t="str">
        <f>Total!H3486</f>
        <v>Contracte de serveis per a l'assistència tècnica de Control de Qualitat de les obres de millora local. Via verda. Pista bici paral·lela a la carretera T-323, del PK 0+000 al 5+050. Tram: Mont-roig del Camp.</v>
      </c>
      <c r="I14" s="157">
        <f>Total!I3486</f>
        <v>15071.62</v>
      </c>
    </row>
    <row r="15" spans="1:9" x14ac:dyDescent="0.2">
      <c r="A15" s="8">
        <v>14</v>
      </c>
      <c r="B15" s="101">
        <f>Total!B3487</f>
        <v>44897</v>
      </c>
      <c r="C15" s="101">
        <f>Total!C3487</f>
        <v>44935</v>
      </c>
      <c r="D15" s="112" t="s">
        <v>1092</v>
      </c>
      <c r="E15" s="332" t="str">
        <f>Total!E3487</f>
        <v>Obra Civil</v>
      </c>
      <c r="F15" s="96" t="str">
        <f>Total!F3487</f>
        <v>Control de Qualitat</v>
      </c>
      <c r="G15" s="112" t="str">
        <f>Total!G3487</f>
        <v>CQ. PC-AIT-18119</v>
      </c>
      <c r="H15" s="112" t="str">
        <f>Total!H3487</f>
        <v xml:space="preserve">Contracte de serveis per a l'assistència tècnica de control de qualitat de les obres de condicionament de dues parades de línies de transport interurbà de passatgers a la travessera urbana de la carretera N-420a. </v>
      </c>
      <c r="I15" s="157">
        <f>Total!I3487</f>
        <v>5880</v>
      </c>
    </row>
    <row r="16" spans="1:9" x14ac:dyDescent="0.2">
      <c r="A16" s="8">
        <v>15</v>
      </c>
      <c r="B16" s="101">
        <f>Total!B3488</f>
        <v>44897</v>
      </c>
      <c r="C16" s="101">
        <f>Total!C3488</f>
        <v>44935</v>
      </c>
      <c r="D16" s="112" t="s">
        <v>1092</v>
      </c>
      <c r="E16" s="332" t="str">
        <f>Total!E3488</f>
        <v>Edificació</v>
      </c>
      <c r="F16" s="96" t="str">
        <f>Total!F3488</f>
        <v>Control de Qualitat</v>
      </c>
      <c r="G16" s="112" t="str">
        <f>Total!G3488</f>
        <v>CQ. PC-ANL-17088</v>
      </c>
      <c r="H16" s="112" t="str">
        <f>Total!H3488</f>
        <v>Contracte de serveis per al Control de qualitat de les obres de la Nova estació d'autobusos. Tàrrega.</v>
      </c>
      <c r="I16" s="157">
        <f>Total!I3488</f>
        <v>24930.799999999999</v>
      </c>
    </row>
    <row r="17" spans="1:9" x14ac:dyDescent="0.2">
      <c r="A17" s="8">
        <v>16</v>
      </c>
      <c r="B17" s="101">
        <f>Total!B3489</f>
        <v>44897</v>
      </c>
      <c r="C17" s="101">
        <f>Total!C3489</f>
        <v>44914</v>
      </c>
      <c r="D17" s="112" t="s">
        <v>1092</v>
      </c>
      <c r="E17" s="332" t="str">
        <f>Total!E3489</f>
        <v>Edificació</v>
      </c>
      <c r="F17" s="96" t="str">
        <f>Total!F3489</f>
        <v>Direccions d'Execució</v>
      </c>
      <c r="G17" s="112" t="str">
        <f>Total!G3489</f>
        <v xml:space="preserve">CSS.DXB-20239 </v>
      </c>
      <c r="H17" s="112" t="str">
        <f>Total!H3489</f>
        <v>Contracte de serveis per a l'assistència tècnica per la coordinació de seguretat i salut de les obres de reforma interior d'un edifici administratiu situat al C/Aragó 330-332 de Barcelona.</v>
      </c>
      <c r="I17" s="157">
        <f>Total!I3489</f>
        <v>23773.01</v>
      </c>
    </row>
    <row r="18" spans="1:9" x14ac:dyDescent="0.2">
      <c r="A18" s="8">
        <v>17</v>
      </c>
      <c r="B18" s="101">
        <f>Total!B3490</f>
        <v>44897</v>
      </c>
      <c r="C18" s="101">
        <f>Total!C3490</f>
        <v>44935</v>
      </c>
      <c r="D18" s="112" t="s">
        <v>1092</v>
      </c>
      <c r="E18" s="332" t="str">
        <f>Total!E3490</f>
        <v>Obra Civil</v>
      </c>
      <c r="F18" s="96" t="str">
        <f>Total!F3490</f>
        <v>Direccions d'Obra</v>
      </c>
      <c r="G18" s="112" t="str">
        <f>Total!G3490</f>
        <v>CSS. XT-15006</v>
      </c>
      <c r="H18" s="112" t="str">
        <f>Total!H3490</f>
        <v>Contracte de serveis per a l'assistència tècnica de coordinació de seguretat i salut de les obres de millora local. Via verda. Pista bici paral·lela a la carretera T-323, del PK 0+000 al 5+050. Tram: Mont-roig del Camp.</v>
      </c>
      <c r="I18" s="157">
        <f>Total!I3490</f>
        <v>6618.37</v>
      </c>
    </row>
    <row r="19" spans="1:9" x14ac:dyDescent="0.2">
      <c r="A19" s="8">
        <v>18</v>
      </c>
      <c r="B19" s="101">
        <f>Total!B3491</f>
        <v>44897</v>
      </c>
      <c r="C19" s="101">
        <f>Total!C3491</f>
        <v>44935</v>
      </c>
      <c r="D19" s="112" t="s">
        <v>1092</v>
      </c>
      <c r="E19" s="332" t="str">
        <f>Total!E3491</f>
        <v>Edificació</v>
      </c>
      <c r="F19" s="96" t="str">
        <f>Total!F3491</f>
        <v>Direccions d'Obra</v>
      </c>
      <c r="G19" s="112" t="str">
        <f>Total!G3491</f>
        <v xml:space="preserve">DO. PC-AIT-18119 </v>
      </c>
      <c r="H19" s="112" t="str">
        <f>Total!H3491</f>
        <v>Contracte de serveis per a la direcció de les obres de condicionament de dues parades de línies de transport interurbà de passatgers a la travessera urbana de la carretera N-420a. Falset.</v>
      </c>
      <c r="I19" s="157">
        <f>Total!I3491</f>
        <v>28499.38</v>
      </c>
    </row>
    <row r="20" spans="1:9" x14ac:dyDescent="0.2">
      <c r="A20" s="8">
        <v>19</v>
      </c>
      <c r="B20" s="101">
        <f>Total!B3492</f>
        <v>44900</v>
      </c>
      <c r="C20" s="101">
        <f>Total!C3492</f>
        <v>44937</v>
      </c>
      <c r="D20" s="112" t="s">
        <v>1092</v>
      </c>
      <c r="E20" s="332" t="str">
        <f>Total!E3492</f>
        <v>Obra Civil</v>
      </c>
      <c r="F20" s="96" t="str">
        <f>Total!F3492</f>
        <v>Direccions d'Obra</v>
      </c>
      <c r="G20" s="112" t="str">
        <f>Total!G3492</f>
        <v>CSS. MB-12048-A1</v>
      </c>
      <c r="H20" s="112" t="str">
        <f>Total!H3492</f>
        <v>Contracte serveis per a l'assistència tècnica de coordinació de seguretat i salut de les obres de millora local. Seguretat viària. R eordenació d'accessos a la C-35, PK 55+450 a 57+600. Tram: Sant Celoni. Clau: MB-12048-A1</v>
      </c>
      <c r="I20" s="157">
        <f>Total!I3492</f>
        <v>15323.5</v>
      </c>
    </row>
    <row r="21" spans="1:9" x14ac:dyDescent="0.2">
      <c r="A21" s="8">
        <v>20</v>
      </c>
      <c r="B21" s="101">
        <f>Total!B3493</f>
        <v>44900</v>
      </c>
      <c r="C21" s="101">
        <f>Total!C3493</f>
        <v>44937</v>
      </c>
      <c r="D21" s="112" t="s">
        <v>1092</v>
      </c>
      <c r="E21" s="332" t="str">
        <f>Total!E3493</f>
        <v>Edificació</v>
      </c>
      <c r="F21" s="96" t="str">
        <f>Total!F3493</f>
        <v>Projectes</v>
      </c>
      <c r="G21" s="112" t="str">
        <f>Total!G3493</f>
        <v>PC. PC-BNB-22049</v>
      </c>
      <c r="H21" s="112" t="str">
        <f>Total!H3493</f>
        <v>Contracte de serveis per a l'assistència tècnica per a la redacció del projecte constructiu. Via ciclista a la C-31 del PK 186+485 al 187+237. Viladecans.</v>
      </c>
      <c r="I21" s="157">
        <f>Total!I3493</f>
        <v>34500</v>
      </c>
    </row>
    <row r="22" spans="1:9" x14ac:dyDescent="0.2">
      <c r="A22" s="8">
        <v>21</v>
      </c>
      <c r="B22" s="101">
        <f>Total!B3494</f>
        <v>44900</v>
      </c>
      <c r="C22" s="101">
        <f>Total!C3494</f>
        <v>44937</v>
      </c>
      <c r="D22" s="112" t="s">
        <v>1092</v>
      </c>
      <c r="E22" s="332" t="str">
        <f>Total!E3494</f>
        <v>Obra Civil</v>
      </c>
      <c r="F22" s="96" t="str">
        <f>Total!F3494</f>
        <v>Control de Qualitat</v>
      </c>
      <c r="G22" s="112" t="str">
        <f>Total!G3494</f>
        <v>CQ. MB-12048-A1</v>
      </c>
      <c r="H22" s="112" t="str">
        <f>Total!H3494</f>
        <v>Contracte de serveis per a l'assistència tècnica de Control de Qualitat de les obres de millora local. Seguretat viària. Reordenació d'accessos a la C-35, PK 55+450 a 57+600. Tram: Sant Celoni.</v>
      </c>
      <c r="I22" s="157">
        <f>Total!I3494</f>
        <v>23495.46</v>
      </c>
    </row>
    <row r="23" spans="1:9" x14ac:dyDescent="0.2">
      <c r="A23" s="8">
        <v>22</v>
      </c>
      <c r="B23" s="101">
        <f>Total!B3495</f>
        <v>44900</v>
      </c>
      <c r="C23" s="101">
        <f>Total!C3495</f>
        <v>44937</v>
      </c>
      <c r="D23" s="112" t="s">
        <v>1092</v>
      </c>
      <c r="E23" s="332" t="str">
        <f>Total!E3495</f>
        <v>Obra Civil</v>
      </c>
      <c r="F23" s="96" t="str">
        <f>Total!F3495</f>
        <v>Direccions d'Obra</v>
      </c>
      <c r="G23" s="112" t="str">
        <f>Total!G3495</f>
        <v>DO. MB-12048-A1</v>
      </c>
      <c r="H23" s="112" t="str">
        <f>Total!H3495</f>
        <v>Contracte de serveis per a la direcció de les obres de millora local. Seguretat viària. Reordenació d'accessos a la C-35, PK 55+450 a 57+600. Tram: Sant Celoni.</v>
      </c>
      <c r="I23" s="157">
        <f>Total!I3495</f>
        <v>69502.03</v>
      </c>
    </row>
    <row r="24" spans="1:9" x14ac:dyDescent="0.2">
      <c r="A24" s="8">
        <v>23</v>
      </c>
      <c r="B24" s="101">
        <f>Total!B3496</f>
        <v>44908</v>
      </c>
      <c r="C24" s="101">
        <f>Total!C3496</f>
        <v>44935</v>
      </c>
      <c r="D24" s="112" t="s">
        <v>1092</v>
      </c>
      <c r="E24" s="332" t="str">
        <f>Total!E3496</f>
        <v>Obra Civil</v>
      </c>
      <c r="F24" s="96" t="str">
        <f>Total!F3496</f>
        <v>Direccions d'Obra</v>
      </c>
      <c r="G24" s="112" t="str">
        <f>Total!G3496</f>
        <v>ATAM. DB-05111.2</v>
      </c>
      <c r="H24" s="112" t="str">
        <f>Total!H3496</f>
        <v>Contracte de serveis per a l'assistència tècnica ambiental de les obres de millora general. Desdoblament de la carretera B-224, del PK 24+000 al 26+000. Tram: Sant Esteve Sesrovires - Martorell.</v>
      </c>
      <c r="I24" s="157">
        <f>Total!I3496</f>
        <v>100540.56</v>
      </c>
    </row>
    <row r="25" spans="1:9" x14ac:dyDescent="0.2">
      <c r="A25" s="8">
        <v>24</v>
      </c>
      <c r="B25" s="101">
        <f>Total!B3497</f>
        <v>44910</v>
      </c>
      <c r="C25" s="101">
        <f>Total!C3497</f>
        <v>44937</v>
      </c>
      <c r="D25" s="112" t="s">
        <v>1092</v>
      </c>
      <c r="E25" s="332" t="str">
        <f>Total!E3497</f>
        <v>Edificació</v>
      </c>
      <c r="F25" s="96" t="str">
        <f>Total!F3497</f>
        <v>Direccions d'Execució</v>
      </c>
      <c r="G25" s="112" t="str">
        <f>Total!G3497</f>
        <v>CSS. PPO-21282.A1</v>
      </c>
      <c r="H25" s="112" t="str">
        <f>Total!H3497</f>
        <v>Contracte de serveis per a l'assistència tècnica per a la coordinació de seguretat i salut de les obres del "Projecte Actualitzat. Instal·lacions pel maneig de la fauna a la casa forestal de la Vall a Roquetes al Parc Natural dels Ports".</v>
      </c>
      <c r="I25" s="157">
        <f>Total!I3497</f>
        <v>2466.04</v>
      </c>
    </row>
    <row r="26" spans="1:9" x14ac:dyDescent="0.2">
      <c r="A26" s="8">
        <v>25</v>
      </c>
      <c r="B26" s="101">
        <f>Total!B3498</f>
        <v>44910</v>
      </c>
      <c r="C26" s="101">
        <f>Total!C3498</f>
        <v>44935</v>
      </c>
      <c r="D26" s="112" t="s">
        <v>1092</v>
      </c>
      <c r="E26" s="332" t="str">
        <f>Total!E3498</f>
        <v>Edificació</v>
      </c>
      <c r="F26" s="96" t="str">
        <f>Total!F3498</f>
        <v>Direccions d'Execució</v>
      </c>
      <c r="G26" s="112" t="str">
        <f>Total!G3498</f>
        <v>CSS. PNL-17289</v>
      </c>
      <c r="H26" s="112" t="str">
        <f>Total!H3498</f>
        <v>Contracte de serveis per a l'assistència tècnica de coordinació de seguretat i salut de les obres del projecte executiu de nova construcció de l'Escola El Roser-ZER Plaurcén del Poal.</v>
      </c>
      <c r="I26" s="157">
        <f>Total!I3498</f>
        <v>10149.06</v>
      </c>
    </row>
    <row r="27" spans="1:9" x14ac:dyDescent="0.2">
      <c r="A27" s="8">
        <v>26</v>
      </c>
      <c r="B27" s="101">
        <f>Total!B3499</f>
        <v>44910</v>
      </c>
      <c r="C27" s="101">
        <f>Total!C3499</f>
        <v>44937</v>
      </c>
      <c r="D27" s="112" t="s">
        <v>1092</v>
      </c>
      <c r="E27" s="332" t="str">
        <f>Total!E3499</f>
        <v>Edificació</v>
      </c>
      <c r="F27" s="96" t="str">
        <f>Total!F3499</f>
        <v>Control de Qualitat</v>
      </c>
      <c r="G27" s="112" t="str">
        <f>Total!G3499</f>
        <v>CQ. PPO-21282.A1</v>
      </c>
      <c r="H27" s="112" t="str">
        <f>Total!H3499</f>
        <v>Contracte de serveis per a l'assistència tècnica pel control de qualitat de les obres del "Projecte Actualitzat. Instal·lacions pel maneig de la fauna a la casa forestal de la Vall a Roquetes al Parc Natural dels Ports".</v>
      </c>
      <c r="I27" s="157">
        <f>Total!I3499</f>
        <v>2457.35</v>
      </c>
    </row>
    <row r="28" spans="1:9" x14ac:dyDescent="0.2">
      <c r="A28" s="8">
        <v>27</v>
      </c>
      <c r="B28" s="101">
        <f>Total!B3500</f>
        <v>44910</v>
      </c>
      <c r="C28" s="101">
        <f>Total!C3500</f>
        <v>44937</v>
      </c>
      <c r="D28" s="112" t="s">
        <v>1092</v>
      </c>
      <c r="E28" s="332" t="str">
        <f>Total!E3500</f>
        <v>Edificació</v>
      </c>
      <c r="F28" s="96" t="str">
        <f>Total!F3500</f>
        <v>Direccions d'Obra</v>
      </c>
      <c r="G28" s="112" t="str">
        <f>Total!G3500</f>
        <v>DO. PPO-21282.A1</v>
      </c>
      <c r="H28" s="112" t="str">
        <f>Total!H3500</f>
        <v>Contracte de serveis per a la direcció de les obres del "Projecte Actualitzat. Instal·lacions pel maneig de la fauna a la casa forestal de la Vall a Roquetes al Parc Natural dels Ports".</v>
      </c>
      <c r="I28" s="157">
        <f>Total!I3500</f>
        <v>11156.96</v>
      </c>
    </row>
    <row r="29" spans="1:9" x14ac:dyDescent="0.2">
      <c r="A29" s="8">
        <v>28</v>
      </c>
      <c r="B29" s="101">
        <f>Total!B3501</f>
        <v>44910</v>
      </c>
      <c r="C29" s="101">
        <f>Total!C3501</f>
        <v>44935</v>
      </c>
      <c r="D29" s="112" t="s">
        <v>1092</v>
      </c>
      <c r="E29" s="332" t="str">
        <f>Total!E3501</f>
        <v>Edificació</v>
      </c>
      <c r="F29" s="96" t="str">
        <f>Total!F3501</f>
        <v>Direccions d'Execució</v>
      </c>
      <c r="G29" s="112" t="str">
        <f>Total!G3501</f>
        <v>DE. PNL-17289</v>
      </c>
      <c r="H29" s="112" t="str">
        <f>Total!H3501</f>
        <v>Contracte de serveis per a la direcció d'execució de les obres de nova construcció de l'Escola El Roser-ZER Plaurcén del Poal (4 uts).</v>
      </c>
      <c r="I29" s="157">
        <f>Total!I3501</f>
        <v>35752</v>
      </c>
    </row>
    <row r="30" spans="1:9" x14ac:dyDescent="0.2">
      <c r="A30" s="8">
        <v>29</v>
      </c>
      <c r="B30" s="101">
        <f>Total!B3502</f>
        <v>44910</v>
      </c>
      <c r="C30" s="101">
        <f>Total!C3502</f>
        <v>44935</v>
      </c>
      <c r="D30" s="112" t="s">
        <v>1092</v>
      </c>
      <c r="E30" s="332" t="str">
        <f>Total!E3502</f>
        <v>Edificació</v>
      </c>
      <c r="F30" s="96" t="str">
        <f>Total!F3502</f>
        <v>Direcció d'obra</v>
      </c>
      <c r="G30" s="112" t="str">
        <f>Total!G3502</f>
        <v>DO. PNL-17289</v>
      </c>
      <c r="H30" s="112" t="str">
        <f>Total!H3502</f>
        <v>Contracte de serveis per a la direcció de les obres de la nova construcció de l'Escola El Roser-ZER Plaurcén del Poal (4 uts).</v>
      </c>
      <c r="I30" s="157">
        <f>Total!I3502</f>
        <v>27918.55</v>
      </c>
    </row>
    <row r="31" spans="1:9" x14ac:dyDescent="0.2">
      <c r="A31" s="8">
        <v>30</v>
      </c>
      <c r="B31" s="101">
        <f>Total!B3503</f>
        <v>44910</v>
      </c>
      <c r="C31" s="101">
        <f>Total!C3503</f>
        <v>44935</v>
      </c>
      <c r="D31" s="112" t="s">
        <v>1092</v>
      </c>
      <c r="E31" s="332" t="str">
        <f>Total!E3503</f>
        <v>Edificació</v>
      </c>
      <c r="F31" s="96" t="str">
        <f>Total!F3503</f>
        <v>Control de Qualitat</v>
      </c>
      <c r="G31" s="112" t="str">
        <f>Total!G3503</f>
        <v>CQ. PNL-17289</v>
      </c>
      <c r="H31" s="112" t="str">
        <f>Total!H3503</f>
        <v>Contracte de serveis per a l'assistència tècnica de control de qualitat de les obres de nova construcció de l'Escola El Roser-ZER Plaurcén del Poal (4 uts).</v>
      </c>
      <c r="I31" s="157">
        <f>Total!I3503</f>
        <v>16202.33</v>
      </c>
    </row>
    <row r="32" spans="1:9" x14ac:dyDescent="0.2">
      <c r="A32" s="8">
        <v>31</v>
      </c>
      <c r="B32" s="101">
        <f>Total!B3504</f>
        <v>44910</v>
      </c>
      <c r="C32" s="101">
        <f>Total!C3504</f>
        <v>44942</v>
      </c>
      <c r="D32" s="112" t="s">
        <v>1092</v>
      </c>
      <c r="E32" s="332" t="str">
        <f>Total!E3504</f>
        <v>Obra Civil</v>
      </c>
      <c r="F32" s="96" t="str">
        <f>Total!F3504</f>
        <v>Direcció d'obra</v>
      </c>
      <c r="G32" s="112" t="str">
        <f>Total!G3504</f>
        <v>DO. XC-10020.2.3-F1-AA</v>
      </c>
      <c r="H32" s="112" t="str">
        <f>Total!H3504</f>
        <v>Contracte de serveis per a la direcció de les obres de Via ciclista del Ter. Pont de la Rovira ¿ camí del càmping. Fase 1. Tram: Sant Pau de Segúries.</v>
      </c>
      <c r="I32" s="157">
        <f>Total!I3504</f>
        <v>25794.07</v>
      </c>
    </row>
    <row r="33" spans="1:9" x14ac:dyDescent="0.2">
      <c r="A33" s="8">
        <v>32</v>
      </c>
      <c r="B33" s="101">
        <f>Total!B3505</f>
        <v>44910</v>
      </c>
      <c r="C33" s="101">
        <f>Total!C3505</f>
        <v>44928</v>
      </c>
      <c r="D33" s="112" t="s">
        <v>1092</v>
      </c>
      <c r="E33" s="332" t="str">
        <f>Total!E3505</f>
        <v>Edificació</v>
      </c>
      <c r="F33" s="96" t="str">
        <f>Total!F3505</f>
        <v>Projectes</v>
      </c>
      <c r="G33" s="112" t="str">
        <f>Total!G3505</f>
        <v>PC. RET-22319</v>
      </c>
      <c r="H33" s="112" t="str">
        <f>Total!H3505</f>
        <v>Contracte de serveis per a l'assistència tècnica per a la redacció del projecte constructiu "Recuperació ecològica de la finca del Vinyet al terme municipal de Tarragona."</v>
      </c>
      <c r="I33" s="157">
        <f>Total!I3505</f>
        <v>44900</v>
      </c>
    </row>
    <row r="34" spans="1:9" x14ac:dyDescent="0.2">
      <c r="A34" s="8">
        <v>33</v>
      </c>
      <c r="B34" s="101">
        <f>Total!B3506</f>
        <v>44910</v>
      </c>
      <c r="C34" s="101">
        <f>Total!C3506</f>
        <v>44942</v>
      </c>
      <c r="D34" s="112" t="s">
        <v>1092</v>
      </c>
      <c r="E34" s="332" t="str">
        <f>Total!E3506</f>
        <v>Obra Civil</v>
      </c>
      <c r="F34" s="96" t="str">
        <f>Total!F3506</f>
        <v>Control de Qualitat</v>
      </c>
      <c r="G34" s="112" t="str">
        <f>Total!G3506</f>
        <v>CQ. XC-10020.2.3-F1-AA</v>
      </c>
      <c r="H34" s="112" t="str">
        <f>Total!H3506</f>
        <v>Contracte de serveis per a l'assistència tècnica de Control de Qualitat de les obres de Via ciclista del Ter. Pont de la Rovira ¿ camí del càmping. Fase 1. Tram: Sant Pau de Segúries.</v>
      </c>
      <c r="I34" s="157">
        <f>Total!I3506</f>
        <v>4967.79</v>
      </c>
    </row>
    <row r="35" spans="1:9" x14ac:dyDescent="0.2">
      <c r="A35" s="8">
        <v>34</v>
      </c>
      <c r="B35" s="101">
        <f>Total!B3507</f>
        <v>44910</v>
      </c>
      <c r="C35" s="101">
        <f>Total!C3507</f>
        <v>44942</v>
      </c>
      <c r="D35" s="112" t="s">
        <v>1092</v>
      </c>
      <c r="E35" s="332" t="str">
        <f>Total!E3507</f>
        <v>Obra Civil</v>
      </c>
      <c r="F35" s="96" t="str">
        <f>Total!F3507</f>
        <v>Direcció d'obra</v>
      </c>
      <c r="G35" s="112" t="str">
        <f>Total!G3507</f>
        <v>CSS. XC-10020.2.3-F1-AA</v>
      </c>
      <c r="H35" s="112" t="str">
        <f>Total!H3507</f>
        <v>Contracte de serveis per a l'assistència tècnica de coordinació de seguretat i salut de les obres de Via ciclista del Ter. Pont de la Rovira ¿ camí del càmping. Fase 1. Tram: Sant Pau de Segúries.</v>
      </c>
      <c r="I35" s="157">
        <f>Total!I3507</f>
        <v>5176.01</v>
      </c>
    </row>
    <row r="36" spans="1:9" x14ac:dyDescent="0.2">
      <c r="A36" s="8">
        <v>35</v>
      </c>
      <c r="B36" s="101">
        <f>Total!B3508</f>
        <v>44911</v>
      </c>
      <c r="C36" s="101">
        <f>Total!C3508</f>
        <v>44935</v>
      </c>
      <c r="D36" s="112" t="s">
        <v>1092</v>
      </c>
      <c r="E36" s="332" t="str">
        <f>Total!E3508</f>
        <v>Obra Civil</v>
      </c>
      <c r="F36" s="96" t="str">
        <f>Total!F3508</f>
        <v>Projectes</v>
      </c>
      <c r="G36" s="112" t="str">
        <f>Total!G3508</f>
        <v>PC. PC-CFE-21083</v>
      </c>
      <c r="H36" s="112" t="str">
        <f>Total!H3508</f>
        <v>Contracte de serveis per a l'assistència tècnica a la redacció del projecte constructiu "Millora de característiques superficials de la C-221 del PK 54+900 al 65+500. Batea".</v>
      </c>
      <c r="I36" s="157">
        <f>Total!I3508</f>
        <v>93455</v>
      </c>
    </row>
    <row r="37" spans="1:9" x14ac:dyDescent="0.2">
      <c r="A37" s="8">
        <v>36</v>
      </c>
      <c r="B37" s="101">
        <f>Total!B3509</f>
        <v>44911</v>
      </c>
      <c r="C37" s="101">
        <f>Total!C3509</f>
        <v>44935</v>
      </c>
      <c r="D37" s="112" t="s">
        <v>1092</v>
      </c>
      <c r="E37" s="332" t="str">
        <f>Total!E3509</f>
        <v>Obra Civil</v>
      </c>
      <c r="F37" s="96" t="str">
        <f>Total!F3509</f>
        <v>Projectes</v>
      </c>
      <c r="G37" s="112" t="str">
        <f>Total!G3509</f>
        <v>PC. MT-15024-C1</v>
      </c>
      <c r="H37" s="112" t="str">
        <f>Total!H3509</f>
        <v>Contracte de serveis per a l'assistència tècnica a la redacció del projecte constructiu: "Nova rotonda a la C-31 al PK 145+620 amb el carrer Santa Coloma. Cunit".</v>
      </c>
      <c r="I37" s="157">
        <f>Total!I3509</f>
        <v>37300</v>
      </c>
    </row>
    <row r="38" spans="1:9" x14ac:dyDescent="0.2">
      <c r="A38" s="8">
        <v>37</v>
      </c>
      <c r="B38" s="101">
        <f>Total!B3510</f>
        <v>44911</v>
      </c>
      <c r="C38" s="101">
        <f>Total!C3510</f>
        <v>44935</v>
      </c>
      <c r="D38" s="112" t="s">
        <v>1092</v>
      </c>
      <c r="E38" s="332" t="str">
        <f>Total!E3510</f>
        <v>Obra Civil</v>
      </c>
      <c r="F38" s="96" t="str">
        <f>Total!F3510</f>
        <v>Projectes</v>
      </c>
      <c r="G38" s="112" t="str">
        <f>Total!G3510</f>
        <v>PC. PC-CPB-22006</v>
      </c>
      <c r="H38" s="112" t="str">
        <f>Total!H3510</f>
        <v>Contracte de serveis per a l'assistència tècnica a la redacció del projecte constructiu: "Rotonda d'accés a la C-32 des de la BP-5002 al PK 1+615. Alella".</v>
      </c>
      <c r="I38" s="157">
        <f>Total!I3510</f>
        <v>41200</v>
      </c>
    </row>
    <row r="39" spans="1:9" x14ac:dyDescent="0.2">
      <c r="A39" s="8">
        <v>38</v>
      </c>
      <c r="B39" s="101">
        <f>Total!B3511</f>
        <v>44916</v>
      </c>
      <c r="C39" s="101">
        <f>Total!C3511</f>
        <v>44937</v>
      </c>
      <c r="D39" s="112" t="s">
        <v>1092</v>
      </c>
      <c r="E39" s="332" t="str">
        <f>Total!E3511</f>
        <v>Obra Civil</v>
      </c>
      <c r="F39" s="96" t="str">
        <f>Total!F3511</f>
        <v>Control de Qualitat</v>
      </c>
      <c r="G39" s="112" t="str">
        <f>Total!G3511</f>
        <v>CQ. XB-16010</v>
      </c>
      <c r="H39" s="112" t="str">
        <f>Total!H3511</f>
        <v>Contracte de serveis per a l'assistència tècnica de control de qualitat de les obres de millora local. Via verda a la carretera BV-4501, del PK 2+470 (parc de l'Agulla) al 5+960. Tram: Manresa - Santpedor.</v>
      </c>
      <c r="I39" s="157">
        <f>Total!I3511</f>
        <v>7707.99</v>
      </c>
    </row>
    <row r="40" spans="1:9" x14ac:dyDescent="0.2">
      <c r="A40" s="8">
        <v>39</v>
      </c>
      <c r="B40" s="101">
        <f>Total!B3512</f>
        <v>44916</v>
      </c>
      <c r="C40" s="101">
        <f>Total!C3512</f>
        <v>44942</v>
      </c>
      <c r="D40" s="112" t="s">
        <v>1092</v>
      </c>
      <c r="E40" s="332" t="str">
        <f>Total!E3512</f>
        <v>Obra Civil</v>
      </c>
      <c r="F40" s="96" t="str">
        <f>Total!F3512</f>
        <v>Projectes</v>
      </c>
      <c r="G40" s="112" t="str">
        <f>Total!G3512</f>
        <v>PC. PAP-22330</v>
      </c>
      <c r="H40" s="112" t="str">
        <f>Total!H3512</f>
        <v>Contracte de serveis per a l'assistència tècnica per a la redacció del Projecte Constructiu. Restauració ambiental del Pla de Salito al Parc Natural de l'Alt Pirineu.</v>
      </c>
      <c r="I40" s="157">
        <f>Total!I3512</f>
        <v>36750</v>
      </c>
    </row>
    <row r="41" spans="1:9" x14ac:dyDescent="0.2">
      <c r="A41" s="8">
        <v>40</v>
      </c>
      <c r="B41" s="101">
        <f>Total!B3513</f>
        <v>44916</v>
      </c>
      <c r="C41" s="101">
        <f>Total!C3513</f>
        <v>44937</v>
      </c>
      <c r="D41" s="112" t="s">
        <v>1092</v>
      </c>
      <c r="E41" s="332" t="str">
        <f>Total!E3513</f>
        <v>Obra Civil</v>
      </c>
      <c r="F41" s="96" t="str">
        <f>Total!F3513</f>
        <v>Direccions d'Obra</v>
      </c>
      <c r="G41" s="112" t="str">
        <f>Total!G3513</f>
        <v>DO. XB-16010</v>
      </c>
      <c r="H41" s="112" t="str">
        <f>Total!H3513</f>
        <v>Contracte de serveis per a la direcció de les obres de Millora local. Via verda a la carretera BV-4501, del PK 2+470 (parc de l'Agulla) al 5+960. Tram: Manresa - Santpedor.</v>
      </c>
      <c r="I41" s="157">
        <f>Total!I3513</f>
        <v>33803.019999999997</v>
      </c>
    </row>
    <row r="42" spans="1:9" x14ac:dyDescent="0.2">
      <c r="A42" s="8">
        <v>41</v>
      </c>
      <c r="B42" s="101">
        <f>Total!B3514</f>
        <v>44916</v>
      </c>
      <c r="C42" s="101">
        <f>Total!C3514</f>
        <v>44942</v>
      </c>
      <c r="D42" s="112" t="s">
        <v>1092</v>
      </c>
      <c r="E42" s="332" t="str">
        <f>Total!E3514</f>
        <v>Obra Civil</v>
      </c>
      <c r="F42" s="96" t="str">
        <f>Total!F3514</f>
        <v>Projectes</v>
      </c>
      <c r="G42" s="112" t="str">
        <f>Total!G3514</f>
        <v>PC. MCC-19264</v>
      </c>
      <c r="H42" s="112" t="str">
        <f>Total!H3514</f>
        <v>Contracte de serveis per a l'assistència tècnica per a la redacció del Projecte Constructiu. Millora de la connectivitat terrestre. Permeabilització infraestructures. La Múnia - Marmellar.</v>
      </c>
      <c r="I42" s="157">
        <f>Total!I3514</f>
        <v>57700</v>
      </c>
    </row>
    <row r="43" spans="1:9" x14ac:dyDescent="0.2">
      <c r="A43" s="8">
        <v>42</v>
      </c>
      <c r="B43" s="101">
        <f>Total!B3515</f>
        <v>44916</v>
      </c>
      <c r="C43" s="101">
        <f>Total!C3515</f>
        <v>44942</v>
      </c>
      <c r="D43" s="112" t="s">
        <v>1092</v>
      </c>
      <c r="E43" s="332" t="str">
        <f>Total!E3515</f>
        <v>Obra Civil</v>
      </c>
      <c r="F43" s="96" t="str">
        <f>Total!F3515</f>
        <v>Projectes</v>
      </c>
      <c r="G43" s="112" t="str">
        <f>Total!G3515</f>
        <v>PC. MCB-22363</v>
      </c>
      <c r="H43" s="112" t="str">
        <f>Total!H3515</f>
        <v>Contracte de serveis per a l'assistència tècnica per a la redacció del Projecte Constructiu. Millora connectivitat. Pas de fauna. Carretera N-150 pk 15+900 al Torrent de la Grípia. Terrassa.</v>
      </c>
      <c r="I43" s="157">
        <f>Total!I3515</f>
        <v>48092</v>
      </c>
    </row>
    <row r="44" spans="1:9" x14ac:dyDescent="0.2">
      <c r="A44" s="8">
        <v>43</v>
      </c>
      <c r="B44" s="101">
        <f>Total!B3516</f>
        <v>44916</v>
      </c>
      <c r="C44" s="101">
        <f>Total!C3516</f>
        <v>44937</v>
      </c>
      <c r="D44" s="112" t="s">
        <v>1092</v>
      </c>
      <c r="E44" s="332" t="str">
        <f>Total!E3516</f>
        <v>Obra Civil</v>
      </c>
      <c r="F44" s="96" t="str">
        <f>Total!F3516</f>
        <v>Direccions d'Obra</v>
      </c>
      <c r="G44" s="112" t="str">
        <f>Total!G3516</f>
        <v>CSS. XB-16010</v>
      </c>
      <c r="H44" s="112" t="str">
        <f>Total!H3516</f>
        <v>Contracte de serveis per a l'assistència tècnica de coordinació de seguretat i salut de les obres del projecte constructiu de millora local. Via verda a la carretera BV-4501, del PK 2+470 (parc de l'Agulla) al 5+960. Tram: Manresa ¿ Santpedor.</v>
      </c>
      <c r="I44" s="157">
        <f>Total!I3516</f>
        <v>9549.6</v>
      </c>
    </row>
    <row r="45" spans="1:9" x14ac:dyDescent="0.2">
      <c r="A45" s="8">
        <v>44</v>
      </c>
      <c r="B45" s="101">
        <f>Total!B3517</f>
        <v>44916</v>
      </c>
      <c r="C45" s="101">
        <f>Total!C3517</f>
        <v>44942</v>
      </c>
      <c r="D45" s="112" t="s">
        <v>1092</v>
      </c>
      <c r="E45" s="332" t="str">
        <f>Total!E3517</f>
        <v>Obra Civil</v>
      </c>
      <c r="F45" s="96" t="str">
        <f>Total!F3517</f>
        <v>Projectes</v>
      </c>
      <c r="G45" s="112" t="str">
        <f>Total!G3517</f>
        <v>SC. EEI-22337</v>
      </c>
      <c r="H45" s="112" t="str">
        <f>Total!H3517</f>
        <v>Contracte de serveis per a l'assistència tècnica per a la redacció del Plec de Conservació Ambiental. Control i gestió d'espècies de flora exòtica invasora.</v>
      </c>
      <c r="I45" s="157">
        <f>Total!I3517</f>
        <v>29900</v>
      </c>
    </row>
    <row r="46" spans="1:9" x14ac:dyDescent="0.2">
      <c r="A46" s="8">
        <v>45</v>
      </c>
      <c r="B46" s="101">
        <f>Total!B3518</f>
        <v>44917</v>
      </c>
      <c r="C46" s="101">
        <f>Total!C3518</f>
        <v>44944</v>
      </c>
      <c r="D46" s="112" t="s">
        <v>1092</v>
      </c>
      <c r="E46" s="332" t="str">
        <f>Total!E3518</f>
        <v>Obra Civil</v>
      </c>
      <c r="F46" s="96" t="str">
        <f>Total!F3518</f>
        <v>Direccions d'Obra</v>
      </c>
      <c r="G46" s="112" t="str">
        <f>Total!G3518</f>
        <v>ATAM. XC-10020.2.3-F1-AA</v>
      </c>
      <c r="H46" s="112" t="str">
        <f>Total!H3518</f>
        <v>Contracte de serveis per a l'assistència tècnica ambiental de les obres de Via ciclista del Ter. Pont de la Rovira ¿ camí del càmping. Fase 1. Tram: Sant Pau de Segúries.</v>
      </c>
      <c r="I46" s="157">
        <f>Total!I3518</f>
        <v>4543.8</v>
      </c>
    </row>
    <row r="47" spans="1:9" x14ac:dyDescent="0.2">
      <c r="A47" s="8">
        <v>46</v>
      </c>
      <c r="B47" s="101">
        <f>Total!B3519</f>
        <v>44917</v>
      </c>
      <c r="C47" s="101">
        <f>Total!C3519</f>
        <v>44944</v>
      </c>
      <c r="D47" s="112" t="s">
        <v>1092</v>
      </c>
      <c r="E47" s="332" t="str">
        <f>Total!E3519</f>
        <v>Obra Civil</v>
      </c>
      <c r="F47" s="96" t="str">
        <f>Total!F3519</f>
        <v>Direccions d'Obra</v>
      </c>
      <c r="G47" s="112" t="str">
        <f>Total!G3519</f>
        <v>PC. PC-CGB-21103</v>
      </c>
      <c r="H47" s="112" t="str">
        <f>Total!H3519</f>
        <v>Contracte de serveis per a l'assistència tècnica per a la redacció del projecte constructiu. Rehabilitació d'obra de fàbrica a la B-402 al PK 5+800 sobre el riu Llobregat. La Pobla de Lillet.</v>
      </c>
      <c r="I47" s="157">
        <f>Total!I3519</f>
        <v>47100</v>
      </c>
    </row>
    <row r="48" spans="1:9" x14ac:dyDescent="0.2">
      <c r="A48" s="8">
        <v>47</v>
      </c>
      <c r="B48" s="101">
        <f>Total!B3520</f>
        <v>44917</v>
      </c>
      <c r="C48" s="101">
        <f>Total!C3520</f>
        <v>44937</v>
      </c>
      <c r="D48" s="112" t="s">
        <v>1092</v>
      </c>
      <c r="E48" s="332" t="str">
        <f>Total!E3520</f>
        <v>Obra Civil</v>
      </c>
      <c r="F48" s="96" t="str">
        <f>Total!F3520</f>
        <v>Control de Qualitat</v>
      </c>
      <c r="G48" s="112" t="str">
        <f>Total!G3520</f>
        <v>CQ. ML-16017.F2.1 / F2.2</v>
      </c>
      <c r="H48" s="112" t="str">
        <f>Total!H3520</f>
        <v>Control de qualitat conjunt de les obres del "Projecte constructiu ruta cicloturística al corredor de Lleida - La Pobla de Segur. Fase 2. Balaguer - La Pobla de Segur.</v>
      </c>
      <c r="I48" s="157">
        <f>Total!I3520</f>
        <v>22062.31</v>
      </c>
    </row>
    <row r="49" spans="1:9" x14ac:dyDescent="0.2">
      <c r="A49" s="8">
        <v>48</v>
      </c>
      <c r="B49" s="101">
        <f>Total!B3521</f>
        <v>44917</v>
      </c>
      <c r="C49" s="101">
        <f>Total!C3521</f>
        <v>44942</v>
      </c>
      <c r="D49" s="112" t="s">
        <v>1092</v>
      </c>
      <c r="E49" s="332" t="str">
        <f>Total!E3521</f>
        <v>Obra Civil</v>
      </c>
      <c r="F49" s="96" t="str">
        <f>Total!F3521</f>
        <v>Direccions d'Obra</v>
      </c>
      <c r="G49" s="112" t="str">
        <f>Total!G3521</f>
        <v>ATAM. ML-16017.F2.1 ML-16017.F</v>
      </c>
      <c r="H49" s="112" t="str">
        <f>Total!H3521</f>
        <v>Contracte de serveis per a l'assistència tècnica ambiental conjunta de les obres del "Projecte constructiu ruta cicloturística al corredor de Lleida - La Pobla de Segur. Fase 2. Balaguer - La Pobla de Segur.</v>
      </c>
      <c r="I49" s="157">
        <f>Total!I3521</f>
        <v>11305.15</v>
      </c>
    </row>
    <row r="50" spans="1:9" x14ac:dyDescent="0.2">
      <c r="A50" s="8">
        <v>49</v>
      </c>
      <c r="B50" s="101">
        <f>Total!B3522</f>
        <v>44917</v>
      </c>
      <c r="C50" s="101">
        <f>Total!C3522</f>
        <v>44944</v>
      </c>
      <c r="D50" s="112" t="s">
        <v>1092</v>
      </c>
      <c r="E50" s="332" t="str">
        <f>Total!E3522</f>
        <v>Edificació</v>
      </c>
      <c r="F50" s="96" t="str">
        <f>Total!F3522</f>
        <v>Projectes</v>
      </c>
      <c r="G50" s="112" t="str">
        <f>Total!G3522</f>
        <v>PC. PDE-22361</v>
      </c>
      <c r="H50" s="112" t="str">
        <f>Total!H3522</f>
        <v>Contracte de serveis per a l'assistència tècnica per a la redacció del Projecte Constructiu. Projecte de restauració ambiental de les antigues instal·lacions de la piscifactoria de l'illa de la Gaita al Parc Natural del Delta de l'Ebre. Clau: PDE-22361</v>
      </c>
      <c r="I50" s="157">
        <f>Total!I3522</f>
        <v>48300</v>
      </c>
    </row>
    <row r="51" spans="1:9" x14ac:dyDescent="0.2">
      <c r="A51" s="8">
        <v>50</v>
      </c>
      <c r="B51" s="101">
        <f>Total!B3523</f>
        <v>44917</v>
      </c>
      <c r="C51" s="101">
        <f>Total!C3523</f>
        <v>44942</v>
      </c>
      <c r="D51" s="112" t="s">
        <v>1092</v>
      </c>
      <c r="E51" s="332" t="str">
        <f>Total!E3523</f>
        <v>Obra Civil</v>
      </c>
      <c r="F51" s="96" t="str">
        <f>Total!F3523</f>
        <v>Direccions d'Obra</v>
      </c>
      <c r="G51" s="112" t="str">
        <f>Total!G3523</f>
        <v>CSS. ML-16017.F2.1+ML-16017.F2</v>
      </c>
      <c r="H51" s="112" t="str">
        <f>Total!H3523</f>
        <v>Assistència tècnica conjunta de coordinació de seguretat i salut de les obres dels projectes constructius de "Ruta cicloturística al corredor de Lleida - la Pobla de Segur. Fase 2. Balaguer - la Pobla de Segur.</v>
      </c>
      <c r="I51" s="157">
        <f>Total!I3523</f>
        <v>19200</v>
      </c>
    </row>
    <row r="52" spans="1:9" x14ac:dyDescent="0.2">
      <c r="A52" s="8">
        <v>51</v>
      </c>
      <c r="B52" s="101">
        <f>Total!B3524</f>
        <v>44918</v>
      </c>
      <c r="C52" s="101">
        <f>Total!C3524</f>
        <v>44949</v>
      </c>
      <c r="D52" s="112" t="s">
        <v>1092</v>
      </c>
      <c r="E52" s="332" t="str">
        <f>Total!E3524</f>
        <v>Obra Civil</v>
      </c>
      <c r="F52" s="96" t="str">
        <f>Total!F3524</f>
        <v>Projectes</v>
      </c>
      <c r="G52" s="112" t="str">
        <f>Total!G3524</f>
        <v>PC. PC-CFB-22015</v>
      </c>
      <c r="H52" s="112" t="str">
        <f>Total!H3524</f>
        <v>Contracte de serveis per a l'assistència tècnica per a la redacció del projecte constructiu de reforçament del ferm i obres complementàries a la C-37 del PK 148+250 al 153+870. Manlleu-Torelló.</v>
      </c>
      <c r="I52" s="157">
        <f>Total!I3524</f>
        <v>64800</v>
      </c>
    </row>
    <row r="53" spans="1:9" x14ac:dyDescent="0.2">
      <c r="A53" s="8">
        <v>52</v>
      </c>
      <c r="B53" s="101">
        <f>Total!B3525</f>
        <v>44918</v>
      </c>
      <c r="C53" s="101">
        <f>Total!C3525</f>
        <v>44949</v>
      </c>
      <c r="D53" s="112" t="s">
        <v>1092</v>
      </c>
      <c r="E53" s="332" t="str">
        <f>Total!E3525</f>
        <v>Obra Civil</v>
      </c>
      <c r="F53" s="96" t="str">
        <f>Total!F3525</f>
        <v>Projectes</v>
      </c>
      <c r="G53" s="112" t="str">
        <f>Total!G3525</f>
        <v>PC. PC-CPB-22052</v>
      </c>
      <c r="H53" s="112" t="str">
        <f>Total!H3525</f>
        <v>Contracte de serveis per a l'assistència tècnica per a la redacció del projecte constructiu de millora d'enllaç a la C-55 al PK 28+535. Manresa.</v>
      </c>
      <c r="I53" s="157">
        <f>Total!I3525</f>
        <v>73450</v>
      </c>
    </row>
    <row r="54" spans="1:9" x14ac:dyDescent="0.2">
      <c r="A54" s="8">
        <v>53</v>
      </c>
      <c r="B54" s="101">
        <f>Total!B3526</f>
        <v>44918</v>
      </c>
      <c r="C54" s="101">
        <f>Total!C3526</f>
        <v>44949</v>
      </c>
      <c r="D54" s="112" t="s">
        <v>1092</v>
      </c>
      <c r="E54" s="332" t="str">
        <f>Total!E3526</f>
        <v>Obra Civil</v>
      </c>
      <c r="F54" s="96" t="str">
        <f>Total!F3526</f>
        <v>Projectes</v>
      </c>
      <c r="G54" s="112" t="str">
        <f>Total!G3526</f>
        <v>EV. EP-BNB-22010</v>
      </c>
      <c r="H54" s="112" t="str">
        <f>Total!H3526</f>
        <v>Redacció de l'estudi previ de viabilitat de la utilització de la galeria d'evacuació del Túnel de Vallvidrera com a via ciclista i de la seva connectivitat amb Barcelona i Sant Cugat.</v>
      </c>
      <c r="I54" s="157">
        <f>Total!I3526</f>
        <v>60930</v>
      </c>
    </row>
    <row r="55" spans="1:9" x14ac:dyDescent="0.2">
      <c r="A55" s="8">
        <v>54</v>
      </c>
      <c r="B55" s="101">
        <f>Total!B3527</f>
        <v>44922</v>
      </c>
      <c r="C55" s="101">
        <f>Total!C3527</f>
        <v>44942</v>
      </c>
      <c r="D55" s="112" t="s">
        <v>1092</v>
      </c>
      <c r="E55" s="332" t="str">
        <f>Total!E3527</f>
        <v>Obra Civil</v>
      </c>
      <c r="F55" s="96" t="str">
        <f>Total!F3527</f>
        <v>Projectes</v>
      </c>
      <c r="G55" s="112" t="str">
        <f>Total!G3527</f>
        <v>PC. PPO-22355</v>
      </c>
      <c r="H55" s="112" t="str">
        <f>Total!H3527</f>
        <v>Contracte de serveis per a l'assistència tècnica per a la redacció del projecte constructiu de reordenació de l'entorn del centre de visitants de la Terra Alta del Parc Natural del Ports.</v>
      </c>
      <c r="I55" s="157">
        <f>Total!I3527</f>
        <v>38500</v>
      </c>
    </row>
    <row r="56" spans="1:9" x14ac:dyDescent="0.2">
      <c r="A56" s="8">
        <v>55</v>
      </c>
      <c r="B56" s="101">
        <f>Total!B3528</f>
        <v>44925</v>
      </c>
      <c r="C56" s="101">
        <f>Total!C3528</f>
        <v>44942</v>
      </c>
      <c r="D56" s="112" t="s">
        <v>1092</v>
      </c>
      <c r="E56" s="332" t="str">
        <f>Total!E3528</f>
        <v>Obra Civil</v>
      </c>
      <c r="F56" s="96" t="str">
        <f>Total!F3528</f>
        <v>Control de Qualitat</v>
      </c>
      <c r="G56" s="112" t="str">
        <f>Total!G3528</f>
        <v>CQ. PC-BNG-18005</v>
      </c>
      <c r="H56" s="112" t="str">
        <f>Total!H3528</f>
        <v>Contracte de serveis per a l'assistència tècnica de control de qualitat de les obres de la via ciclista a la GI-524 del PK 0+600 al 3+400. Tram: Olot - Can Blanc (Santa Pau).</v>
      </c>
      <c r="I56" s="157">
        <f>Total!I3528</f>
        <v>15395</v>
      </c>
    </row>
    <row r="57" spans="1:9" x14ac:dyDescent="0.2">
      <c r="A57" s="8">
        <v>56</v>
      </c>
      <c r="B57" s="101">
        <f>Total!B3529</f>
        <v>44925</v>
      </c>
      <c r="C57" s="101">
        <f>Total!C3529</f>
        <v>44942</v>
      </c>
      <c r="D57" s="112" t="s">
        <v>1092</v>
      </c>
      <c r="E57" s="332" t="str">
        <f>Total!E3529</f>
        <v>Obra Civil</v>
      </c>
      <c r="F57" s="96" t="str">
        <f>Total!F3529</f>
        <v>Direccions d'Obra</v>
      </c>
      <c r="G57" s="112" t="str">
        <f>Total!G3529</f>
        <v>DO. PC-BNG-18005</v>
      </c>
      <c r="H57" s="112" t="str">
        <f>Total!H3529</f>
        <v>Contracte de serveis per a la direcció de les obres la via ciclista a la GI-524 del PK 0+600 al 3+400. Tram: Olot - Can Blanc (Santa Pau).</v>
      </c>
      <c r="I57" s="157">
        <f>Total!I3529</f>
        <v>42870.19</v>
      </c>
    </row>
    <row r="58" spans="1:9" x14ac:dyDescent="0.2">
      <c r="A58" s="8">
        <v>57</v>
      </c>
      <c r="B58" s="101">
        <f>Total!B3530</f>
        <v>44925</v>
      </c>
      <c r="C58" s="101">
        <f>Total!C3530</f>
        <v>44942</v>
      </c>
      <c r="D58" s="112" t="s">
        <v>1092</v>
      </c>
      <c r="E58" s="332" t="str">
        <f>Total!E3530</f>
        <v>Obra Civil</v>
      </c>
      <c r="F58" s="96" t="str">
        <f>Total!F3530</f>
        <v>Direccions d'Obra</v>
      </c>
      <c r="G58" s="112" t="str">
        <f>Total!G3530</f>
        <v>CSS. PC-BNG-18005</v>
      </c>
      <c r="H58" s="112" t="str">
        <f>Total!H3530</f>
        <v>Contracte de serveis per a l'assistència tècnica de coordinació de seguretat i salut de les obres de la via ciclista a la GI-524 del PK 0+600 al 3+400. Tram: Olot - Can Blanc (Santa Pau).</v>
      </c>
      <c r="I58" s="157">
        <f>Total!I3530</f>
        <v>9039.01</v>
      </c>
    </row>
    <row r="59" spans="1:9" x14ac:dyDescent="0.2">
      <c r="A59" s="8">
        <v>58</v>
      </c>
      <c r="B59" s="101">
        <f>Total!B3531</f>
        <v>44925</v>
      </c>
      <c r="C59" s="101">
        <f>Total!C3531</f>
        <v>44956</v>
      </c>
      <c r="D59" s="112" t="s">
        <v>1092</v>
      </c>
      <c r="E59" s="332" t="str">
        <f>Total!E3531</f>
        <v>Edificació</v>
      </c>
      <c r="F59" s="96" t="str">
        <f>Total!F3531</f>
        <v>Projectes i Direccions d'Obra</v>
      </c>
      <c r="G59" s="112" t="str">
        <f>Total!G3531</f>
        <v>PE+DO. CAP-22335</v>
      </c>
      <c r="H59" s="112" t="str">
        <f>Total!H3531</f>
        <v>Concurs de projecte per a la redacció del projecte bàsic i executiu i la posterior direcció de les obres del Nou CAP Sant Boi-5, Sant Boi del Llobregat.</v>
      </c>
      <c r="I59" s="157">
        <f>Total!I3531</f>
        <v>559125.39</v>
      </c>
    </row>
    <row r="60" spans="1:9" x14ac:dyDescent="0.2">
      <c r="I60" s="126">
        <f>SUM(I2:I59)</f>
        <v>3333762.72</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I3"/>
  <sheetViews>
    <sheetView workbookViewId="0">
      <selection sqref="A1:I3"/>
    </sheetView>
  </sheetViews>
  <sheetFormatPr baseColWidth="10" defaultColWidth="11.42578125" defaultRowHeight="12.75" x14ac:dyDescent="0.2"/>
  <cols>
    <col min="6" max="6" width="17.140625" customWidth="1"/>
    <col min="7" max="7" width="17.7109375" customWidth="1"/>
    <col min="8" max="8" width="47" customWidth="1"/>
    <col min="9" max="9" width="19.5703125" customWidth="1"/>
  </cols>
  <sheetData>
    <row r="1" spans="1:9" x14ac:dyDescent="0.2">
      <c r="A1" s="10"/>
      <c r="B1" s="37" t="s">
        <v>57</v>
      </c>
      <c r="C1" s="2" t="s">
        <v>499</v>
      </c>
      <c r="D1" s="2" t="s">
        <v>58</v>
      </c>
      <c r="E1" s="3" t="s">
        <v>59</v>
      </c>
      <c r="F1" s="3" t="s">
        <v>60</v>
      </c>
      <c r="G1" s="3" t="s">
        <v>61</v>
      </c>
      <c r="H1" s="38" t="s">
        <v>62</v>
      </c>
      <c r="I1" s="39" t="s">
        <v>63</v>
      </c>
    </row>
    <row r="2" spans="1:9" x14ac:dyDescent="0.2">
      <c r="A2" s="8">
        <v>1</v>
      </c>
      <c r="B2" s="101">
        <f>Total!B665</f>
        <v>41851</v>
      </c>
      <c r="C2" s="101">
        <f>Total!C665</f>
        <v>41883</v>
      </c>
      <c r="D2" s="101" t="s">
        <v>1092</v>
      </c>
      <c r="E2" s="101" t="str">
        <f>Total!E665</f>
        <v>Obra Civil</v>
      </c>
      <c r="F2" s="101" t="str">
        <f>Total!F665</f>
        <v>Direccions d'Obra</v>
      </c>
      <c r="G2" s="101" t="str">
        <f>Total!G665</f>
        <v>DO.TM-02609.27</v>
      </c>
      <c r="H2" s="115" t="s">
        <v>1376</v>
      </c>
      <c r="I2" s="116">
        <v>140800</v>
      </c>
    </row>
    <row r="3" spans="1:9" x14ac:dyDescent="0.2">
      <c r="I3" s="117">
        <f>SUM(I2:I2)</f>
        <v>140800</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I6"/>
  <sheetViews>
    <sheetView workbookViewId="0"/>
  </sheetViews>
  <sheetFormatPr baseColWidth="10" defaultColWidth="11.42578125" defaultRowHeight="12.75" x14ac:dyDescent="0.2"/>
  <cols>
    <col min="7" max="7" width="21.28515625" customWidth="1"/>
    <col min="8" max="8" width="52.85546875" customWidth="1"/>
    <col min="9" max="9" width="20" bestFit="1" customWidth="1"/>
  </cols>
  <sheetData>
    <row r="1" spans="1:9" x14ac:dyDescent="0.2">
      <c r="A1" s="10"/>
      <c r="B1" s="37" t="s">
        <v>57</v>
      </c>
      <c r="C1" s="2" t="s">
        <v>499</v>
      </c>
      <c r="D1" s="2" t="s">
        <v>58</v>
      </c>
      <c r="E1" s="3" t="s">
        <v>59</v>
      </c>
      <c r="F1" s="3" t="s">
        <v>60</v>
      </c>
      <c r="G1" s="3" t="s">
        <v>61</v>
      </c>
      <c r="H1" s="38" t="s">
        <v>62</v>
      </c>
      <c r="I1" s="39" t="s">
        <v>63</v>
      </c>
    </row>
    <row r="2" spans="1:9" x14ac:dyDescent="0.2">
      <c r="A2" s="8">
        <v>1</v>
      </c>
      <c r="B2" s="101">
        <f>Total!B661</f>
        <v>41795</v>
      </c>
      <c r="C2" s="101">
        <f>Total!C661</f>
        <v>41876</v>
      </c>
      <c r="D2" s="101" t="s">
        <v>1092</v>
      </c>
      <c r="E2" s="112" t="str">
        <f>Total!E661</f>
        <v>Edificació</v>
      </c>
      <c r="F2" s="112" t="str">
        <f>Total!F661</f>
        <v>Projectes i Direccions d'Obra</v>
      </c>
      <c r="H2" s="112" t="str">
        <f>Total!H661</f>
        <v>Serveis per a l'assistència tècnica per a la redacció del projecte bàsic i executiu i la posterior direcció d'obra de la nova construcció d'infraestructures generals i urbanització del Campus Diagonal-Besòs, a Barcelona.</v>
      </c>
      <c r="I2" s="113">
        <f>Total!I661</f>
        <v>242255.7</v>
      </c>
    </row>
    <row r="3" spans="1:9" x14ac:dyDescent="0.2">
      <c r="A3" s="8">
        <v>2</v>
      </c>
      <c r="B3" s="101">
        <f>Total!B662</f>
        <v>41810</v>
      </c>
      <c r="C3" s="101">
        <f>Total!C662</f>
        <v>41827</v>
      </c>
      <c r="D3" s="101" t="s">
        <v>1092</v>
      </c>
      <c r="E3" s="112" t="str">
        <f>Total!E662</f>
        <v>Edificació</v>
      </c>
      <c r="F3" s="112" t="str">
        <f>Total!F662</f>
        <v>Direccions d'Execució</v>
      </c>
      <c r="G3" s="112" t="str">
        <f>Total!G661</f>
        <v>PE+DO. UPC-13296</v>
      </c>
      <c r="H3" s="112" t="str">
        <f>Total!H662</f>
        <v>Serveis per a la verificació de l'assegurament de la qualitat del projecte executiu i direcció d'execució de les obres de Nova construcció de l'Institut de Cabrils.</v>
      </c>
      <c r="I3" s="113">
        <f>Total!I662</f>
        <v>93464</v>
      </c>
    </row>
    <row r="4" spans="1:9" x14ac:dyDescent="0.2">
      <c r="A4" s="8">
        <v>3</v>
      </c>
      <c r="B4" s="101">
        <f>Total!B663</f>
        <v>41817</v>
      </c>
      <c r="C4" s="101">
        <f>Total!C663</f>
        <v>41834</v>
      </c>
      <c r="D4" s="101" t="s">
        <v>1092</v>
      </c>
      <c r="E4" s="112" t="str">
        <f>Total!E663</f>
        <v>Obra Civil</v>
      </c>
      <c r="F4" s="112" t="str">
        <f>Total!F663</f>
        <v>Control de Qualitat</v>
      </c>
      <c r="G4" s="112" t="str">
        <f>Total!G662</f>
        <v>DE.INC-07391.A</v>
      </c>
      <c r="H4" s="112" t="str">
        <f>Total!H663</f>
        <v>Contracte de serveis per a l'assistència tècnica de control de qualitat del projecte complementari núm. 1 del perllongament de la línia d'FGC a Sabadell. Infraestructura. Superestructura de via i catenària. Tram: inici de soterrament Plaça Major.</v>
      </c>
      <c r="I4" s="113">
        <f>Total!I663</f>
        <v>82836.62</v>
      </c>
    </row>
    <row r="5" spans="1:9" x14ac:dyDescent="0.2">
      <c r="A5" s="8">
        <v>4</v>
      </c>
      <c r="B5" s="101">
        <f>Total!B664</f>
        <v>41820</v>
      </c>
      <c r="C5" s="101">
        <f>Total!C664</f>
        <v>41836</v>
      </c>
      <c r="D5" s="101" t="s">
        <v>1092</v>
      </c>
      <c r="E5" s="112" t="str">
        <f>Total!E664</f>
        <v>Obra Civil</v>
      </c>
      <c r="F5" s="112" t="str">
        <f>Total!F664</f>
        <v>Control de Qualitat</v>
      </c>
      <c r="G5" s="112" t="str">
        <f>Total!G663</f>
        <v>CQ.TF-02676.2-C1</v>
      </c>
      <c r="H5" s="112" t="str">
        <f>Total!H664</f>
        <v>Contracte de serveis per a l'assistència de control de qualitat de les obres del perllongament de la línia d'FGC a Sabadell. Arquitectura i instal.lacions de les estacions Sabadell Estació i Plaça Major.</v>
      </c>
      <c r="I5" s="113">
        <f>Total!I664</f>
        <v>131395.13</v>
      </c>
    </row>
    <row r="6" spans="1:9" x14ac:dyDescent="0.2">
      <c r="I6" s="117">
        <f>SUM(I2:I5)</f>
        <v>549951.44999999995</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I11"/>
  <sheetViews>
    <sheetView workbookViewId="0">
      <selection activeCell="H45" sqref="H45"/>
    </sheetView>
  </sheetViews>
  <sheetFormatPr baseColWidth="10" defaultColWidth="11.42578125" defaultRowHeight="12.75" x14ac:dyDescent="0.2"/>
  <cols>
    <col min="9" max="9" width="20" bestFit="1" customWidth="1"/>
  </cols>
  <sheetData>
    <row r="1" spans="1:9" x14ac:dyDescent="0.2">
      <c r="A1" s="10"/>
      <c r="B1" s="37" t="s">
        <v>57</v>
      </c>
      <c r="C1" s="2" t="s">
        <v>499</v>
      </c>
      <c r="D1" s="2" t="s">
        <v>58</v>
      </c>
      <c r="E1" s="3" t="s">
        <v>59</v>
      </c>
      <c r="F1" s="3" t="s">
        <v>60</v>
      </c>
      <c r="G1" s="3" t="s">
        <v>61</v>
      </c>
      <c r="H1" s="38" t="s">
        <v>62</v>
      </c>
      <c r="I1" s="39" t="s">
        <v>63</v>
      </c>
    </row>
    <row r="2" spans="1:9" x14ac:dyDescent="0.2">
      <c r="A2" s="8">
        <v>1</v>
      </c>
      <c r="B2" s="101">
        <f>Total!B652</f>
        <v>41775</v>
      </c>
      <c r="C2" s="101">
        <f>Total!C652</f>
        <v>41792</v>
      </c>
      <c r="D2" s="101" t="s">
        <v>1092</v>
      </c>
      <c r="E2" s="112" t="str">
        <f>Total!E652</f>
        <v>Edificació</v>
      </c>
      <c r="F2" s="112" t="str">
        <f>Total!F652</f>
        <v>Direccions d'Execució</v>
      </c>
      <c r="G2" s="112" t="str">
        <f>Total!G652</f>
        <v>DE. CLT-12917+1</v>
      </c>
      <c r="H2" s="112" t="str">
        <f>Total!H652</f>
        <v>Serveis per a la verificació de l'assegurament de la qualitat del projecte executiu i direcció d'execució conjunta de les obres del Nou Consultori Local de la Canonja i la Remodelació de la instal. Elèctrica de l'Hospital Germans Trias i Pujol.</v>
      </c>
      <c r="I2" s="113">
        <f>Total!I652</f>
        <v>197826.5</v>
      </c>
    </row>
    <row r="3" spans="1:9" x14ac:dyDescent="0.2">
      <c r="A3" s="94">
        <v>2</v>
      </c>
      <c r="B3" s="101">
        <f>Total!B653</f>
        <v>41775</v>
      </c>
      <c r="C3" s="101">
        <f>Total!C653</f>
        <v>41792</v>
      </c>
      <c r="D3" s="101" t="s">
        <v>1092</v>
      </c>
      <c r="E3" s="112" t="str">
        <f>Total!E653</f>
        <v>Obra Civil</v>
      </c>
      <c r="F3" s="112" t="str">
        <f>Total!F653</f>
        <v>Projectes</v>
      </c>
      <c r="G3" s="112" t="str">
        <f>Total!G653</f>
        <v>PB. B-TX-07266</v>
      </c>
      <c r="H3" s="112" t="str">
        <f>Total!H653</f>
        <v>Serveis per a l'assistència tècnica per a la redacció del projecte bàsic d'integració urbana de la línia ferroviària Lleida-La Pobla al municipi de Balaguer.</v>
      </c>
      <c r="I3" s="113">
        <f>Total!I653</f>
        <v>62140</v>
      </c>
    </row>
    <row r="4" spans="1:9" x14ac:dyDescent="0.2">
      <c r="A4" s="94">
        <v>3</v>
      </c>
      <c r="B4" s="101">
        <f>Total!B654</f>
        <v>41775</v>
      </c>
      <c r="C4" s="101">
        <f>Total!C654</f>
        <v>41792</v>
      </c>
      <c r="D4" s="101" t="s">
        <v>1092</v>
      </c>
      <c r="E4" s="112" t="str">
        <f>Total!E654</f>
        <v>Obra Civil</v>
      </c>
      <c r="F4" s="112" t="str">
        <f>Total!F654</f>
        <v>Projectes</v>
      </c>
      <c r="G4" s="112" t="str">
        <f>Total!G654</f>
        <v>PC. MB-14007</v>
      </c>
      <c r="H4" s="112" t="str">
        <f>Total!H654</f>
        <v>Serveis per a l'assistència tècnica per a la redacció del projecte constructiu de millora local. Millora de nus. Millora de l'enllaç entre la carretera de Viladordils i la ronda de Manresa. Carretera C-55, pk 29,700. Tram: Manresa.</v>
      </c>
      <c r="I4" s="113">
        <f>Total!I654</f>
        <v>62250</v>
      </c>
    </row>
    <row r="5" spans="1:9" x14ac:dyDescent="0.2">
      <c r="A5" s="94">
        <v>4</v>
      </c>
      <c r="B5" s="101">
        <f>Total!B655</f>
        <v>41778</v>
      </c>
      <c r="C5" s="101">
        <f>Total!C655</f>
        <v>41794</v>
      </c>
      <c r="D5" s="101" t="s">
        <v>1092</v>
      </c>
      <c r="E5" s="112" t="str">
        <f>Total!E655</f>
        <v>Edificació</v>
      </c>
      <c r="F5" s="112" t="str">
        <f>Total!F655</f>
        <v>Projectes i Direccions d'Obra</v>
      </c>
      <c r="G5" s="112" t="str">
        <f>Total!G655</f>
        <v>PE+DO. CAP-13318</v>
      </c>
      <c r="H5" s="112" t="str">
        <f>Total!H655</f>
        <v>Serveis per a l'assistència tència per a la redacció del projecte bàsic i executiu i la posterior direcció d'obra de l'adequació d'espais del CAP Rambla Marina, de L'Hospitalet de Llobregat. (1v).</v>
      </c>
      <c r="I5" s="113">
        <f>Total!I655</f>
        <v>87168</v>
      </c>
    </row>
    <row r="6" spans="1:9" x14ac:dyDescent="0.2">
      <c r="A6" s="94">
        <v>5</v>
      </c>
      <c r="B6" s="101">
        <f>Total!B656</f>
        <v>41781</v>
      </c>
      <c r="C6" s="101">
        <f>Total!C656</f>
        <v>41834</v>
      </c>
      <c r="D6" s="101" t="s">
        <v>1092</v>
      </c>
      <c r="E6" s="112" t="str">
        <f>Total!E656</f>
        <v>Obra Civil</v>
      </c>
      <c r="F6" s="112" t="str">
        <f>Total!F656</f>
        <v>Direccions d'Obra</v>
      </c>
      <c r="G6" s="112" t="str">
        <f>Total!G656</f>
        <v>CSS.TF-02676.6.1+2</v>
      </c>
      <c r="H6" s="112" t="str">
        <f>Total!H656</f>
        <v>Serveis per a l'assistència tència de coordinació de seguretat i salut conjunta de les obres "Exec. Obres perllongament línia FGC a Sabadell. Alimentació eléctrica", "Exec. Obres proj. Complementari 1. Infraestructura"i "Exec. Obres perllonagament…</v>
      </c>
      <c r="I6" s="113">
        <f>Total!I656</f>
        <v>252000</v>
      </c>
    </row>
    <row r="7" spans="1:9" x14ac:dyDescent="0.2">
      <c r="A7" s="94">
        <v>6</v>
      </c>
      <c r="B7" s="101">
        <f>Total!B657</f>
        <v>41781</v>
      </c>
      <c r="C7" s="101">
        <f>Total!C657</f>
        <v>41829</v>
      </c>
      <c r="D7" s="101" t="s">
        <v>1092</v>
      </c>
      <c r="E7" s="112" t="str">
        <f>Total!E657</f>
        <v>Obra Civil</v>
      </c>
      <c r="F7" s="112" t="str">
        <f>Total!F657</f>
        <v>Direccions d'obra</v>
      </c>
      <c r="G7" s="112" t="str">
        <f>Total!G657</f>
        <v>DB.TF-02676.6.1+2</v>
      </c>
      <c r="H7" s="112" t="str">
        <f>Total!H657</f>
        <v>Serveis per a la direcció conjunta de les obres "Exec. Obres perllongament línia FGC a Sabadell. Alimentació eléctrica", "Exec. Obres proj. Complementari 1. Infraestructura"i "Exec. Obres perllonagament…</v>
      </c>
      <c r="I7" s="113">
        <f>Total!I657</f>
        <v>1339316.67</v>
      </c>
    </row>
    <row r="8" spans="1:9" x14ac:dyDescent="0.2">
      <c r="A8" s="114">
        <v>7</v>
      </c>
      <c r="B8" s="101">
        <f>Total!B658</f>
        <v>41787</v>
      </c>
      <c r="C8" s="101">
        <f>Total!C658</f>
        <v>41806</v>
      </c>
      <c r="D8" s="101" t="s">
        <v>1092</v>
      </c>
      <c r="E8" s="112" t="str">
        <f>Total!E658</f>
        <v>Obra Civil</v>
      </c>
      <c r="F8" s="112" t="str">
        <f>Total!F658</f>
        <v>Control de Qualitat</v>
      </c>
      <c r="G8" s="112" t="str">
        <f>Total!G658</f>
        <v>CQ.TF-02676.6.1</v>
      </c>
      <c r="H8" s="112" t="str">
        <f>Total!H658</f>
        <v>Serveis per a l'assistència tècnica de control de qualitat del projecte constructiu del perllongament de la línia d'FGC a Sabadell. Alimentació elèctrica, comunicacions i instal.lacions no ferroviàries del túnel. Tram: inici soterrament-Plaça Major.</v>
      </c>
      <c r="I8" s="113">
        <f>Total!I658</f>
        <v>116007.11</v>
      </c>
    </row>
    <row r="9" spans="1:9" x14ac:dyDescent="0.2">
      <c r="A9" s="114">
        <v>8</v>
      </c>
      <c r="B9" s="101">
        <f>Total!B659</f>
        <v>41787</v>
      </c>
      <c r="C9" s="101">
        <f>Total!C659</f>
        <v>41806</v>
      </c>
      <c r="D9" s="101" t="s">
        <v>1092</v>
      </c>
      <c r="E9" s="112" t="str">
        <f>Total!E659</f>
        <v>Obra Civil</v>
      </c>
      <c r="F9" s="112" t="str">
        <f>Total!F659</f>
        <v>Direccions d'obra</v>
      </c>
      <c r="G9" s="112" t="str">
        <f>Total!G659</f>
        <v>DO.MB-10041</v>
      </c>
      <c r="H9" s="112" t="str">
        <f>Total!H659</f>
        <v>Serveis per a la direcció de les obres de millora local. Eixamplament puntual. Carretera C-55, del pk 28,550 al 30,000. Tram: Manresa.</v>
      </c>
      <c r="I9" s="113">
        <f>Total!I659</f>
        <v>76833.33</v>
      </c>
    </row>
    <row r="10" spans="1:9" x14ac:dyDescent="0.2">
      <c r="A10" s="114">
        <v>9</v>
      </c>
      <c r="B10" s="101">
        <f>Total!B660</f>
        <v>41788</v>
      </c>
      <c r="C10" s="101">
        <f>Total!C660</f>
        <v>41806</v>
      </c>
      <c r="D10" s="101" t="s">
        <v>1092</v>
      </c>
      <c r="E10" s="112" t="str">
        <f>Total!E660</f>
        <v>Obra Civil</v>
      </c>
      <c r="F10" s="112" t="str">
        <f>Total!F660</f>
        <v>Projectes</v>
      </c>
      <c r="G10" s="112" t="str">
        <f>Total!G660</f>
        <v>EV.TX-14294</v>
      </c>
      <c r="H10" s="112" t="str">
        <f>Total!H660</f>
        <v>Serveis per a l'assistència tècnica per a la redacció de les normes tècniques sobre seguretat contra incendis a la Xarxa Ferroviària Soterrada de Catalunya.</v>
      </c>
      <c r="I10" s="113">
        <f>Total!I660</f>
        <v>88806.61</v>
      </c>
    </row>
    <row r="11" spans="1:9" x14ac:dyDescent="0.2">
      <c r="I11" s="117">
        <f>SUM(I2:I10)</f>
        <v>2282348.2199999997</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I7"/>
  <sheetViews>
    <sheetView workbookViewId="0">
      <selection sqref="A1:I7"/>
    </sheetView>
  </sheetViews>
  <sheetFormatPr baseColWidth="10" defaultColWidth="11.42578125" defaultRowHeight="12.75" x14ac:dyDescent="0.2"/>
  <cols>
    <col min="4" max="4" width="17" customWidth="1"/>
    <col min="6" max="6" width="17.5703125" customWidth="1"/>
    <col min="7" max="7" width="15.28515625" customWidth="1"/>
    <col min="8" max="8" width="27.140625" customWidth="1"/>
    <col min="9" max="9" width="13.28515625" bestFit="1" customWidth="1"/>
  </cols>
  <sheetData>
    <row r="1" spans="1:9" x14ac:dyDescent="0.2">
      <c r="A1" s="10"/>
      <c r="B1" s="37" t="s">
        <v>57</v>
      </c>
      <c r="C1" s="2" t="s">
        <v>499</v>
      </c>
      <c r="D1" s="2" t="s">
        <v>58</v>
      </c>
      <c r="E1" s="3" t="s">
        <v>59</v>
      </c>
      <c r="F1" s="3" t="s">
        <v>60</v>
      </c>
      <c r="G1" s="3" t="s">
        <v>61</v>
      </c>
      <c r="H1" s="38" t="s">
        <v>62</v>
      </c>
      <c r="I1" s="39" t="s">
        <v>63</v>
      </c>
    </row>
    <row r="2" spans="1:9" x14ac:dyDescent="0.2">
      <c r="A2" s="8">
        <v>1</v>
      </c>
      <c r="B2" s="101">
        <f>Total!B647</f>
        <v>41732</v>
      </c>
      <c r="C2" s="101">
        <f>Total!C647</f>
        <v>41752</v>
      </c>
      <c r="D2" s="101" t="s">
        <v>1092</v>
      </c>
      <c r="E2" s="112" t="str">
        <f>Total!E647</f>
        <v>Edificació</v>
      </c>
      <c r="F2" s="112" t="str">
        <f>Total!F647</f>
        <v>Direcció d'Execució</v>
      </c>
      <c r="G2" s="112" t="str">
        <f>Total!G647</f>
        <v>DE. INT-09371</v>
      </c>
      <c r="H2" s="112" t="str">
        <f>Total!H647</f>
        <v>Serveis per la direcció d'execució de les obres de Nova Construcció 4/0 línies de l'Institut la Talaia de Segur de Calafell.</v>
      </c>
      <c r="I2" s="113">
        <f>Total!I647</f>
        <v>111550</v>
      </c>
    </row>
    <row r="3" spans="1:9" x14ac:dyDescent="0.2">
      <c r="A3" s="94">
        <v>2</v>
      </c>
      <c r="B3" s="101">
        <f>Total!B648</f>
        <v>41732</v>
      </c>
      <c r="C3" s="101">
        <f>Total!C648</f>
        <v>41752</v>
      </c>
      <c r="D3" s="101" t="s">
        <v>1092</v>
      </c>
      <c r="E3" s="112" t="str">
        <f>Total!E648</f>
        <v>Edificació</v>
      </c>
      <c r="F3" s="112" t="str">
        <f>Total!F648</f>
        <v>Control de Qualitat</v>
      </c>
      <c r="G3" s="112" t="str">
        <f>Total!G648</f>
        <v>CQ. INT-09371</v>
      </c>
      <c r="H3" s="112" t="str">
        <f>Total!H648</f>
        <v>Serveis per al control de qualitat de les obres de Nova construcció 4/0 línies de l'Insititu La Talaia de Segur de Calafell.</v>
      </c>
      <c r="I3" s="113">
        <f>Total!I648</f>
        <v>73505.53</v>
      </c>
    </row>
    <row r="4" spans="1:9" x14ac:dyDescent="0.2">
      <c r="A4" s="94">
        <v>3</v>
      </c>
      <c r="B4" s="101">
        <f>Total!B649</f>
        <v>41733</v>
      </c>
      <c r="C4" s="101">
        <f>Total!C649</f>
        <v>41771</v>
      </c>
      <c r="D4" s="101" t="s">
        <v>1092</v>
      </c>
      <c r="E4" s="112" t="str">
        <f>Total!E649</f>
        <v>Subministrament i Serveis</v>
      </c>
      <c r="F4" s="112" t="str">
        <f>Total!F649</f>
        <v>Subministrament i Serveis</v>
      </c>
      <c r="G4" s="112" t="str">
        <f>Total!G649</f>
        <v>MSQ. MEX-13L01</v>
      </c>
      <c r="H4" s="112" t="str">
        <f>Total!H649</f>
        <v>Serveis per la realització d'assaigs per a la verificació de cels Rasos a 400 edificis. 8 lots.</v>
      </c>
      <c r="I4" s="113">
        <f>Total!I649</f>
        <v>934306.23</v>
      </c>
    </row>
    <row r="5" spans="1:9" x14ac:dyDescent="0.2">
      <c r="A5" s="94">
        <v>4</v>
      </c>
      <c r="B5" s="101">
        <f>Total!B650</f>
        <v>41737</v>
      </c>
      <c r="C5" s="101">
        <f>Total!C650</f>
        <v>41759</v>
      </c>
      <c r="D5" s="101" t="s">
        <v>1092</v>
      </c>
      <c r="E5" s="112" t="str">
        <f>Total!E650</f>
        <v>Edificació</v>
      </c>
      <c r="F5" s="112" t="str">
        <f>Total!F650</f>
        <v>Direccions d'Obra</v>
      </c>
      <c r="G5" s="112" t="str">
        <f>Total!G650</f>
        <v>DO. PNG-09218.A</v>
      </c>
      <c r="H5" s="112" t="str">
        <f>Total!H650</f>
        <v>Serveis per a la direcció de les obres de la nova construcció Escola 1 línia La Benaula de Caldes de Malavella. La Selva.</v>
      </c>
      <c r="I5" s="113">
        <f>Total!I650</f>
        <v>76636.36</v>
      </c>
    </row>
    <row r="6" spans="1:9" x14ac:dyDescent="0.2">
      <c r="A6" s="94">
        <v>5</v>
      </c>
      <c r="B6" s="101">
        <f>Total!B651</f>
        <v>41737</v>
      </c>
      <c r="C6" s="101">
        <f>Total!C651</f>
        <v>41759</v>
      </c>
      <c r="D6" s="101" t="s">
        <v>1092</v>
      </c>
      <c r="E6" s="112" t="str">
        <f>Total!E651</f>
        <v>Edificació</v>
      </c>
      <c r="F6" s="112" t="str">
        <f>Total!F651</f>
        <v>Direccions d'Execució</v>
      </c>
      <c r="G6" s="112" t="str">
        <f>Total!G651</f>
        <v>DE. PNG-09218.A</v>
      </c>
      <c r="H6" s="112" t="str">
        <f>Total!H651</f>
        <v>Serveis per a la direcció d'execució de les obres de la nova construcció Escola 1 línia La Benaula de Caldes de Malavella. La Selva.</v>
      </c>
      <c r="I6" s="113">
        <f>Total!I651</f>
        <v>81164.88</v>
      </c>
    </row>
    <row r="7" spans="1:9" x14ac:dyDescent="0.2">
      <c r="I7" s="117">
        <f>SUM(I2:I6)</f>
        <v>1277163</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I11"/>
  <sheetViews>
    <sheetView topLeftCell="C1" workbookViewId="0">
      <selection activeCell="B9" sqref="B9:I10"/>
    </sheetView>
  </sheetViews>
  <sheetFormatPr baseColWidth="10" defaultColWidth="11.42578125" defaultRowHeight="12.75" x14ac:dyDescent="0.2"/>
  <cols>
    <col min="1" max="1" width="5.140625" customWidth="1"/>
    <col min="4" max="4" width="17" bestFit="1" customWidth="1"/>
    <col min="6" max="6" width="17.140625" customWidth="1"/>
    <col min="7" max="7" width="17" customWidth="1"/>
    <col min="8" max="8" width="16.5703125" customWidth="1"/>
    <col min="9" max="9" width="20" bestFit="1" customWidth="1"/>
  </cols>
  <sheetData>
    <row r="1" spans="1:9" x14ac:dyDescent="0.2">
      <c r="A1" s="10"/>
      <c r="B1" s="37" t="s">
        <v>57</v>
      </c>
      <c r="C1" s="2" t="s">
        <v>499</v>
      </c>
      <c r="D1" s="2" t="s">
        <v>58</v>
      </c>
      <c r="E1" s="3" t="s">
        <v>59</v>
      </c>
      <c r="F1" s="3" t="s">
        <v>60</v>
      </c>
      <c r="G1" s="3" t="s">
        <v>61</v>
      </c>
      <c r="H1" s="38" t="s">
        <v>62</v>
      </c>
      <c r="I1" s="39" t="s">
        <v>63</v>
      </c>
    </row>
    <row r="2" spans="1:9" x14ac:dyDescent="0.2">
      <c r="A2" s="8">
        <v>1</v>
      </c>
      <c r="B2" s="95">
        <v>41705</v>
      </c>
      <c r="C2" s="95">
        <v>41757</v>
      </c>
      <c r="D2" s="96" t="s">
        <v>1092</v>
      </c>
      <c r="E2" s="96" t="s">
        <v>392</v>
      </c>
      <c r="F2" s="96" t="s">
        <v>9</v>
      </c>
      <c r="G2" s="97" t="s">
        <v>1323</v>
      </c>
      <c r="H2" s="97" t="s">
        <v>1324</v>
      </c>
      <c r="I2" s="87">
        <f>Total!I638</f>
        <v>328772</v>
      </c>
    </row>
    <row r="3" spans="1:9" x14ac:dyDescent="0.2">
      <c r="A3" s="94">
        <v>2</v>
      </c>
      <c r="B3" s="95">
        <v>41705</v>
      </c>
      <c r="C3" s="95">
        <v>41757</v>
      </c>
      <c r="D3" s="97" t="s">
        <v>1092</v>
      </c>
      <c r="E3" s="96" t="s">
        <v>392</v>
      </c>
      <c r="F3" s="96" t="s">
        <v>9</v>
      </c>
      <c r="G3" s="97" t="s">
        <v>1325</v>
      </c>
      <c r="H3" s="97" t="s">
        <v>1326</v>
      </c>
      <c r="I3" s="87">
        <f>Total!I639</f>
        <v>311962</v>
      </c>
    </row>
    <row r="4" spans="1:9" x14ac:dyDescent="0.2">
      <c r="A4" s="109">
        <v>3</v>
      </c>
      <c r="B4" s="110">
        <v>41711</v>
      </c>
      <c r="C4" s="110">
        <v>41729</v>
      </c>
      <c r="D4" s="97" t="s">
        <v>1092</v>
      </c>
      <c r="E4" s="97" t="s">
        <v>392</v>
      </c>
      <c r="F4" s="97" t="s">
        <v>9</v>
      </c>
      <c r="G4" s="97" t="s">
        <v>1327</v>
      </c>
      <c r="H4" s="97" t="s">
        <v>1328</v>
      </c>
      <c r="I4" s="87">
        <f>Total!I640</f>
        <v>73125</v>
      </c>
    </row>
    <row r="5" spans="1:9" x14ac:dyDescent="0.2">
      <c r="A5" s="94">
        <v>4</v>
      </c>
      <c r="B5" s="95">
        <v>41715</v>
      </c>
      <c r="C5" s="95">
        <v>41731</v>
      </c>
      <c r="D5" s="97" t="s">
        <v>1092</v>
      </c>
      <c r="E5" s="96" t="s">
        <v>392</v>
      </c>
      <c r="F5" s="96" t="s">
        <v>9</v>
      </c>
      <c r="G5" s="97" t="s">
        <v>1329</v>
      </c>
      <c r="H5" s="97" t="s">
        <v>1330</v>
      </c>
      <c r="I5" s="87">
        <f>Total!I641</f>
        <v>109694.25</v>
      </c>
    </row>
    <row r="6" spans="1:9" x14ac:dyDescent="0.2">
      <c r="A6" s="94">
        <v>5</v>
      </c>
      <c r="B6" s="95">
        <v>41716</v>
      </c>
      <c r="C6" s="95">
        <v>41764</v>
      </c>
      <c r="D6" s="97" t="s">
        <v>1092</v>
      </c>
      <c r="E6" s="96" t="s">
        <v>392</v>
      </c>
      <c r="F6" s="96" t="s">
        <v>9</v>
      </c>
      <c r="G6" s="97" t="s">
        <v>1331</v>
      </c>
      <c r="H6" s="97" t="s">
        <v>1333</v>
      </c>
      <c r="I6" s="87">
        <f>Total!I642</f>
        <v>248475</v>
      </c>
    </row>
    <row r="7" spans="1:9" x14ac:dyDescent="0.2">
      <c r="A7" s="94">
        <v>6</v>
      </c>
      <c r="B7" s="95">
        <v>41716</v>
      </c>
      <c r="C7" s="95">
        <v>41764</v>
      </c>
      <c r="D7" s="97" t="s">
        <v>1092</v>
      </c>
      <c r="E7" s="96" t="s">
        <v>392</v>
      </c>
      <c r="F7" s="96" t="s">
        <v>9</v>
      </c>
      <c r="G7" s="97" t="s">
        <v>1332</v>
      </c>
      <c r="H7" s="97" t="s">
        <v>1334</v>
      </c>
      <c r="I7" s="87">
        <f>Total!I643</f>
        <v>262450</v>
      </c>
    </row>
    <row r="8" spans="1:9" x14ac:dyDescent="0.2">
      <c r="A8" s="94">
        <v>7</v>
      </c>
      <c r="B8" s="101">
        <f>Total!B644</f>
        <v>41716</v>
      </c>
      <c r="C8" s="101">
        <f>Total!C644</f>
        <v>41732</v>
      </c>
      <c r="D8" s="101" t="s">
        <v>1092</v>
      </c>
      <c r="E8" s="112" t="str">
        <f>Total!E644</f>
        <v>Obra Civil</v>
      </c>
      <c r="F8" s="112" t="str">
        <f>Total!F644</f>
        <v>Direccions d'Obra</v>
      </c>
      <c r="G8" s="112" t="str">
        <f>Total!G644</f>
        <v>DO.SC-SCC-12050+1</v>
      </c>
      <c r="H8" s="112" t="str">
        <f>Total!H644</f>
        <v>Direcció i  coord. seguretat i salut conjunta de les obres de Conservació semi integral. Conservació plantacions i messures correctores imp. amb.  Obres com. Lleida i Tarragona 2013-2014 clau: SC-SCC-12050 i Barcelona i Girona 2013-2014. SC-SCC-12051</v>
      </c>
      <c r="I8" s="113">
        <f>Total!I644</f>
        <v>85840</v>
      </c>
    </row>
    <row r="9" spans="1:9" x14ac:dyDescent="0.2">
      <c r="A9" s="94">
        <v>8</v>
      </c>
      <c r="B9" s="101">
        <f>Total!B645</f>
        <v>41722</v>
      </c>
      <c r="C9" s="101">
        <f>Total!C645</f>
        <v>41738</v>
      </c>
      <c r="D9" s="101" t="s">
        <v>1092</v>
      </c>
      <c r="E9" s="112" t="str">
        <f>Total!E645</f>
        <v>Edificació</v>
      </c>
      <c r="F9" s="112" t="str">
        <f>Total!F645</f>
        <v>Projectes</v>
      </c>
      <c r="G9" s="112" t="str">
        <f>Total!G645</f>
        <v>PE. UPC-13292</v>
      </c>
      <c r="H9" s="112" t="str">
        <f>Total!H645</f>
        <v>Serveis per a l'assistència tècnica per a la redacció del projecte d'adaptació del projecte de l'Edifici A del Campus Diagonal-Besós, a Barcelona. Construcció dels acabats finals de l'Edifici. (Fase 1 i Fase 2).</v>
      </c>
      <c r="I9" s="113">
        <f>Total!I645</f>
        <v>120000</v>
      </c>
    </row>
    <row r="10" spans="1:9" x14ac:dyDescent="0.2">
      <c r="A10" s="94">
        <v>9</v>
      </c>
      <c r="B10" s="101">
        <f>Total!B646</f>
        <v>41726</v>
      </c>
      <c r="C10" s="101">
        <f>Total!C646</f>
        <v>41752</v>
      </c>
      <c r="D10" s="101" t="s">
        <v>1092</v>
      </c>
      <c r="E10" s="112" t="str">
        <f>Total!E646</f>
        <v>Edificació</v>
      </c>
      <c r="F10" s="112" t="str">
        <f>Total!F646</f>
        <v>Direcció d'Execució</v>
      </c>
      <c r="G10" s="112" t="str">
        <f>Total!G646</f>
        <v>DE+CSS. INM-10010.A1+1</v>
      </c>
      <c r="H10" s="112" t="str">
        <f>Total!H646</f>
        <v>Direcció de les obres de contrucció d'una residencia d'avis Valletes a Amposta.</v>
      </c>
      <c r="I10" s="113">
        <f>Total!I646</f>
        <v>125000</v>
      </c>
    </row>
    <row r="11" spans="1:9" x14ac:dyDescent="0.2">
      <c r="I11" s="111">
        <f>SUM(I2:I10)</f>
        <v>1665318.25</v>
      </c>
    </row>
  </sheetData>
  <pageMargins left="0.7" right="0.7" top="0.75" bottom="0.75" header="0.3" footer="0.3"/>
  <pageSetup paperSize="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J10"/>
  <sheetViews>
    <sheetView workbookViewId="0">
      <selection activeCell="D2" sqref="D2"/>
    </sheetView>
  </sheetViews>
  <sheetFormatPr baseColWidth="10" defaultColWidth="11.42578125" defaultRowHeight="12.75" x14ac:dyDescent="0.2"/>
  <cols>
    <col min="1" max="1" width="4.7109375" customWidth="1"/>
    <col min="4" max="4" width="18.28515625" customWidth="1"/>
    <col min="5" max="5" width="11.7109375" customWidth="1"/>
    <col min="6" max="6" width="12" customWidth="1"/>
    <col min="7" max="7" width="16.5703125" customWidth="1"/>
    <col min="8" max="8" width="23" customWidth="1"/>
    <col min="9" max="9" width="20" bestFit="1" customWidth="1"/>
  </cols>
  <sheetData>
    <row r="1" spans="1:10" x14ac:dyDescent="0.2">
      <c r="A1" s="10"/>
      <c r="B1" s="37" t="s">
        <v>57</v>
      </c>
      <c r="C1" s="2" t="s">
        <v>499</v>
      </c>
      <c r="D1" s="2" t="s">
        <v>58</v>
      </c>
      <c r="E1" s="3" t="s">
        <v>59</v>
      </c>
      <c r="F1" s="3" t="s">
        <v>60</v>
      </c>
      <c r="G1" s="3" t="s">
        <v>61</v>
      </c>
      <c r="H1" s="38" t="s">
        <v>62</v>
      </c>
      <c r="I1" s="39" t="s">
        <v>63</v>
      </c>
    </row>
    <row r="2" spans="1:10" x14ac:dyDescent="0.2">
      <c r="A2" s="8">
        <v>1</v>
      </c>
      <c r="B2" s="95">
        <v>41674</v>
      </c>
      <c r="C2" s="95">
        <v>41694</v>
      </c>
      <c r="D2" s="96" t="s">
        <v>1092</v>
      </c>
      <c r="E2" s="96" t="s">
        <v>392</v>
      </c>
      <c r="F2" s="96" t="s">
        <v>1257</v>
      </c>
      <c r="G2" s="97" t="s">
        <v>1307</v>
      </c>
      <c r="H2" s="97" t="s">
        <v>1308</v>
      </c>
      <c r="I2" s="98">
        <v>134183</v>
      </c>
    </row>
    <row r="3" spans="1:10" x14ac:dyDescent="0.2">
      <c r="A3" s="94">
        <v>2</v>
      </c>
      <c r="B3" s="95">
        <v>41674</v>
      </c>
      <c r="C3" s="95">
        <v>41694</v>
      </c>
      <c r="D3" s="97" t="s">
        <v>1092</v>
      </c>
      <c r="E3" s="97" t="s">
        <v>392</v>
      </c>
      <c r="F3" s="97" t="s">
        <v>9</v>
      </c>
      <c r="G3" s="97" t="s">
        <v>1309</v>
      </c>
      <c r="H3" s="97" t="s">
        <v>1310</v>
      </c>
      <c r="I3" s="98">
        <v>104134</v>
      </c>
    </row>
    <row r="4" spans="1:10" x14ac:dyDescent="0.2">
      <c r="A4" s="94">
        <v>3</v>
      </c>
      <c r="B4" s="95">
        <v>41677</v>
      </c>
      <c r="C4" s="95">
        <v>41696</v>
      </c>
      <c r="D4" s="97" t="s">
        <v>1092</v>
      </c>
      <c r="E4" s="97" t="s">
        <v>422</v>
      </c>
      <c r="F4" s="97" t="s">
        <v>396</v>
      </c>
      <c r="G4" s="97" t="s">
        <v>1311</v>
      </c>
      <c r="H4" s="97" t="s">
        <v>1312</v>
      </c>
      <c r="I4" s="98">
        <v>92933.33</v>
      </c>
    </row>
    <row r="5" spans="1:10" x14ac:dyDescent="0.2">
      <c r="A5" s="94">
        <v>4</v>
      </c>
      <c r="B5" s="95">
        <v>41681</v>
      </c>
      <c r="C5" s="95">
        <v>41701</v>
      </c>
      <c r="D5" s="97" t="s">
        <v>1092</v>
      </c>
      <c r="E5" s="97" t="s">
        <v>422</v>
      </c>
      <c r="F5" s="97" t="s">
        <v>701</v>
      </c>
      <c r="G5" s="97" t="s">
        <v>1313</v>
      </c>
      <c r="H5" s="97" t="s">
        <v>1314</v>
      </c>
      <c r="I5" s="98">
        <v>175000</v>
      </c>
    </row>
    <row r="6" spans="1:10" x14ac:dyDescent="0.2">
      <c r="A6" s="94">
        <v>5</v>
      </c>
      <c r="B6" s="95">
        <v>41682</v>
      </c>
      <c r="C6" s="95">
        <v>41708</v>
      </c>
      <c r="D6" s="97" t="s">
        <v>1092</v>
      </c>
      <c r="E6" s="97" t="s">
        <v>392</v>
      </c>
      <c r="F6" s="97" t="s">
        <v>9</v>
      </c>
      <c r="G6" s="97" t="s">
        <v>1315</v>
      </c>
      <c r="H6" s="97" t="s">
        <v>1316</v>
      </c>
      <c r="I6" s="98">
        <v>155333</v>
      </c>
      <c r="J6" s="83"/>
    </row>
    <row r="7" spans="1:10" x14ac:dyDescent="0.2">
      <c r="A7" s="94">
        <v>6</v>
      </c>
      <c r="B7" s="95">
        <v>41688</v>
      </c>
      <c r="C7" s="95">
        <v>41708</v>
      </c>
      <c r="D7" s="97" t="s">
        <v>1092</v>
      </c>
      <c r="E7" s="97" t="s">
        <v>392</v>
      </c>
      <c r="F7" s="97" t="s">
        <v>701</v>
      </c>
      <c r="G7" s="97" t="s">
        <v>1317</v>
      </c>
      <c r="H7" s="97" t="s">
        <v>1318</v>
      </c>
      <c r="I7" s="98">
        <v>206000</v>
      </c>
    </row>
    <row r="8" spans="1:10" x14ac:dyDescent="0.2">
      <c r="A8" s="94">
        <v>7</v>
      </c>
      <c r="B8" s="95">
        <v>41694</v>
      </c>
      <c r="C8" s="95">
        <v>41710</v>
      </c>
      <c r="D8" s="97" t="s">
        <v>1092</v>
      </c>
      <c r="E8" s="97" t="s">
        <v>422</v>
      </c>
      <c r="F8" s="97" t="s">
        <v>701</v>
      </c>
      <c r="G8" s="97" t="s">
        <v>1319</v>
      </c>
      <c r="H8" s="97" t="s">
        <v>1320</v>
      </c>
      <c r="I8" s="98">
        <v>60614</v>
      </c>
    </row>
    <row r="9" spans="1:10" x14ac:dyDescent="0.2">
      <c r="A9" s="94">
        <v>8</v>
      </c>
      <c r="B9" s="95">
        <v>41698</v>
      </c>
      <c r="C9" s="95">
        <v>41725</v>
      </c>
      <c r="D9" s="97" t="s">
        <v>1092</v>
      </c>
      <c r="E9" s="97" t="s">
        <v>422</v>
      </c>
      <c r="F9" s="97" t="s">
        <v>701</v>
      </c>
      <c r="G9" s="97" t="s">
        <v>1321</v>
      </c>
      <c r="H9" s="97" t="s">
        <v>1322</v>
      </c>
      <c r="I9" s="98">
        <v>182064</v>
      </c>
    </row>
    <row r="10" spans="1:10" x14ac:dyDescent="0.2">
      <c r="I10" s="93">
        <f>SUM(I2:I9)</f>
        <v>1110261.33</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I5"/>
  <sheetViews>
    <sheetView workbookViewId="0">
      <selection sqref="A1:XFD1048576"/>
    </sheetView>
  </sheetViews>
  <sheetFormatPr baseColWidth="10" defaultColWidth="11.42578125" defaultRowHeight="12.75" x14ac:dyDescent="0.2"/>
  <cols>
    <col min="1" max="1" width="4.7109375" customWidth="1"/>
    <col min="4" max="4" width="18.28515625" customWidth="1"/>
    <col min="5" max="5" width="11.7109375" customWidth="1"/>
    <col min="6" max="6" width="12" customWidth="1"/>
    <col min="7" max="7" width="16.5703125" customWidth="1"/>
    <col min="8" max="8" width="23" customWidth="1"/>
    <col min="9" max="9" width="20" bestFit="1" customWidth="1"/>
  </cols>
  <sheetData>
    <row r="1" spans="1:9" x14ac:dyDescent="0.2">
      <c r="A1" s="10"/>
      <c r="B1" s="37" t="s">
        <v>57</v>
      </c>
      <c r="C1" s="2" t="s">
        <v>499</v>
      </c>
      <c r="D1" s="2" t="s">
        <v>58</v>
      </c>
      <c r="E1" s="3" t="s">
        <v>59</v>
      </c>
      <c r="F1" s="3" t="s">
        <v>60</v>
      </c>
      <c r="G1" s="3" t="s">
        <v>61</v>
      </c>
      <c r="H1" s="38" t="s">
        <v>62</v>
      </c>
      <c r="I1" s="39" t="s">
        <v>63</v>
      </c>
    </row>
    <row r="2" spans="1:9" x14ac:dyDescent="0.2">
      <c r="A2" s="8">
        <v>1</v>
      </c>
      <c r="B2" s="95">
        <v>41647</v>
      </c>
      <c r="C2" s="95">
        <v>41666</v>
      </c>
      <c r="D2" s="96" t="s">
        <v>1092</v>
      </c>
      <c r="E2" s="96" t="s">
        <v>392</v>
      </c>
      <c r="F2" s="96" t="s">
        <v>701</v>
      </c>
      <c r="G2" s="97" t="s">
        <v>1297</v>
      </c>
      <c r="H2" s="97" t="s">
        <v>1298</v>
      </c>
      <c r="I2" s="98">
        <v>52800</v>
      </c>
    </row>
    <row r="3" spans="1:9" x14ac:dyDescent="0.2">
      <c r="A3" s="94">
        <v>2</v>
      </c>
      <c r="B3" s="95">
        <v>41655</v>
      </c>
      <c r="C3" s="95">
        <v>41673</v>
      </c>
      <c r="D3" s="97" t="s">
        <v>1092</v>
      </c>
      <c r="E3" s="97" t="s">
        <v>422</v>
      </c>
      <c r="F3" s="97" t="s">
        <v>701</v>
      </c>
      <c r="G3" s="97" t="s">
        <v>1303</v>
      </c>
      <c r="H3" s="97" t="s">
        <v>1304</v>
      </c>
      <c r="I3" s="98">
        <v>73600</v>
      </c>
    </row>
    <row r="4" spans="1:9" x14ac:dyDescent="0.2">
      <c r="A4" s="94">
        <v>3</v>
      </c>
      <c r="B4" s="95">
        <v>41663</v>
      </c>
      <c r="C4" s="95">
        <v>41680</v>
      </c>
      <c r="D4" s="97" t="s">
        <v>1092</v>
      </c>
      <c r="E4" s="97" t="s">
        <v>392</v>
      </c>
      <c r="F4" s="97" t="s">
        <v>9</v>
      </c>
      <c r="G4" s="97" t="s">
        <v>1305</v>
      </c>
      <c r="H4" s="97" t="s">
        <v>1306</v>
      </c>
      <c r="I4" s="98">
        <v>102991.43</v>
      </c>
    </row>
    <row r="5" spans="1:9" x14ac:dyDescent="0.2">
      <c r="I5" s="93">
        <f>SUM(I2:I4)</f>
        <v>229391.43</v>
      </c>
    </row>
  </sheetData>
  <pageMargins left="0.7" right="0.7" top="0.75" bottom="0.75" header="0.3" footer="0.3"/>
  <pageSetup paperSize="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I5"/>
  <sheetViews>
    <sheetView workbookViewId="0">
      <selection sqref="A1:XFD1048576"/>
    </sheetView>
  </sheetViews>
  <sheetFormatPr baseColWidth="10" defaultColWidth="11.42578125" defaultRowHeight="12.75" x14ac:dyDescent="0.2"/>
  <cols>
    <col min="1" max="1" width="4.7109375" customWidth="1"/>
    <col min="4" max="4" width="18.28515625" customWidth="1"/>
    <col min="5" max="5" width="11.7109375" customWidth="1"/>
    <col min="6" max="6" width="12" customWidth="1"/>
    <col min="7" max="7" width="16.5703125" customWidth="1"/>
    <col min="8" max="8" width="23" customWidth="1"/>
    <col min="9" max="9" width="20" bestFit="1" customWidth="1"/>
  </cols>
  <sheetData>
    <row r="1" spans="1:9" x14ac:dyDescent="0.2">
      <c r="A1" s="10"/>
      <c r="B1" s="37" t="s">
        <v>57</v>
      </c>
      <c r="C1" s="2" t="s">
        <v>499</v>
      </c>
      <c r="D1" s="2" t="s">
        <v>58</v>
      </c>
      <c r="E1" s="3" t="s">
        <v>59</v>
      </c>
      <c r="F1" s="3" t="s">
        <v>60</v>
      </c>
      <c r="G1" s="3" t="s">
        <v>61</v>
      </c>
      <c r="H1" s="38" t="s">
        <v>62</v>
      </c>
      <c r="I1" s="39" t="s">
        <v>63</v>
      </c>
    </row>
    <row r="2" spans="1:9" x14ac:dyDescent="0.2">
      <c r="A2" s="8">
        <v>1</v>
      </c>
      <c r="B2" s="9">
        <v>41611</v>
      </c>
      <c r="C2" s="9">
        <v>41666</v>
      </c>
      <c r="D2" s="9" t="str">
        <f>Total!D598</f>
        <v>Infraestructures.cat</v>
      </c>
      <c r="E2" s="86" t="s">
        <v>422</v>
      </c>
      <c r="F2" s="78" t="s">
        <v>701</v>
      </c>
      <c r="G2" s="105" t="s">
        <v>924</v>
      </c>
      <c r="H2" s="34" t="s">
        <v>1292</v>
      </c>
      <c r="I2" s="106">
        <v>964000</v>
      </c>
    </row>
    <row r="3" spans="1:9" x14ac:dyDescent="0.2">
      <c r="A3" s="94">
        <v>2</v>
      </c>
      <c r="B3" s="95">
        <v>41638</v>
      </c>
      <c r="C3" s="95">
        <v>41666</v>
      </c>
      <c r="D3" s="95" t="str">
        <f>Total!D598</f>
        <v>Infraestructures.cat</v>
      </c>
      <c r="E3" s="94" t="s">
        <v>422</v>
      </c>
      <c r="F3" s="94" t="s">
        <v>701</v>
      </c>
      <c r="G3" s="97" t="s">
        <v>1294</v>
      </c>
      <c r="H3" s="97" t="s">
        <v>1293</v>
      </c>
      <c r="I3" s="102">
        <v>175600</v>
      </c>
    </row>
    <row r="4" spans="1:9" x14ac:dyDescent="0.2">
      <c r="A4" s="94">
        <v>3</v>
      </c>
      <c r="B4" s="95">
        <v>41638</v>
      </c>
      <c r="C4" s="95">
        <v>41666</v>
      </c>
      <c r="D4" s="95" t="str">
        <f>Total!D598</f>
        <v>Infraestructures.cat</v>
      </c>
      <c r="E4" s="94" t="s">
        <v>422</v>
      </c>
      <c r="F4" s="94" t="s">
        <v>701</v>
      </c>
      <c r="G4" s="97" t="s">
        <v>1295</v>
      </c>
      <c r="H4" s="97" t="s">
        <v>1296</v>
      </c>
      <c r="I4" s="102">
        <v>166660</v>
      </c>
    </row>
    <row r="5" spans="1:9" x14ac:dyDescent="0.2">
      <c r="I5" s="93">
        <f>SUM(I2:I4)</f>
        <v>1306260</v>
      </c>
    </row>
  </sheetData>
  <pageMargins left="0.7" right="0.7" top="0.75" bottom="0.75" header="0.3" footer="0.3"/>
  <pageSetup paperSize="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I12"/>
  <sheetViews>
    <sheetView workbookViewId="0">
      <selection activeCell="C10" sqref="C9:C10"/>
    </sheetView>
  </sheetViews>
  <sheetFormatPr baseColWidth="10" defaultColWidth="11.42578125" defaultRowHeight="12.75" x14ac:dyDescent="0.2"/>
  <cols>
    <col min="1" max="1" width="5.140625" customWidth="1"/>
    <col min="2" max="2" width="12.28515625" bestFit="1" customWidth="1"/>
    <col min="4" max="4" width="17" bestFit="1" customWidth="1"/>
    <col min="6" max="6" width="21.28515625" customWidth="1"/>
    <col min="7" max="7" width="19.42578125" bestFit="1" customWidth="1"/>
    <col min="8" max="8" width="54.42578125" customWidth="1"/>
    <col min="9" max="9" width="20" bestFit="1" customWidth="1"/>
  </cols>
  <sheetData>
    <row r="1" spans="1:9" x14ac:dyDescent="0.2">
      <c r="A1" s="10"/>
      <c r="B1" s="37" t="s">
        <v>57</v>
      </c>
      <c r="C1" s="2" t="s">
        <v>499</v>
      </c>
      <c r="D1" s="2" t="s">
        <v>58</v>
      </c>
      <c r="E1" s="3" t="s">
        <v>59</v>
      </c>
      <c r="F1" s="3" t="s">
        <v>60</v>
      </c>
      <c r="G1" s="3" t="s">
        <v>61</v>
      </c>
      <c r="H1" s="38" t="s">
        <v>62</v>
      </c>
      <c r="I1" s="39" t="s">
        <v>63</v>
      </c>
    </row>
    <row r="2" spans="1:9" x14ac:dyDescent="0.2">
      <c r="A2" s="8">
        <v>1</v>
      </c>
      <c r="B2" s="9">
        <v>41582</v>
      </c>
      <c r="C2" s="9">
        <v>41654</v>
      </c>
      <c r="D2" s="9" t="str">
        <f>Total!D598</f>
        <v>Infraestructures.cat</v>
      </c>
      <c r="E2" s="9" t="s">
        <v>392</v>
      </c>
      <c r="F2" s="78" t="s">
        <v>9</v>
      </c>
      <c r="G2" s="31" t="s">
        <v>1269</v>
      </c>
      <c r="H2" s="34" t="s">
        <v>1268</v>
      </c>
      <c r="I2" s="79">
        <v>248970</v>
      </c>
    </row>
    <row r="3" spans="1:9" x14ac:dyDescent="0.2">
      <c r="A3" s="8">
        <v>2</v>
      </c>
      <c r="B3" s="9">
        <v>41585</v>
      </c>
      <c r="C3" s="9">
        <v>41603</v>
      </c>
      <c r="D3" s="9" t="str">
        <f>Total!D599</f>
        <v>Infraestructures.cat</v>
      </c>
      <c r="E3" s="9" t="s">
        <v>392</v>
      </c>
      <c r="F3" s="67" t="s">
        <v>1272</v>
      </c>
      <c r="G3" s="20" t="s">
        <v>1270</v>
      </c>
      <c r="H3" s="20" t="s">
        <v>1271</v>
      </c>
      <c r="I3" s="92">
        <v>85300</v>
      </c>
    </row>
    <row r="4" spans="1:9" x14ac:dyDescent="0.2">
      <c r="A4" s="8">
        <v>3</v>
      </c>
      <c r="B4" s="9">
        <v>41585</v>
      </c>
      <c r="C4" s="9">
        <v>41603</v>
      </c>
      <c r="D4" s="9" t="str">
        <f>Total!D600</f>
        <v>Infraestructures.cat</v>
      </c>
      <c r="E4" s="86" t="s">
        <v>1273</v>
      </c>
      <c r="F4" s="67" t="s">
        <v>1276</v>
      </c>
      <c r="G4" s="20" t="s">
        <v>1275</v>
      </c>
      <c r="H4" s="20" t="s">
        <v>1274</v>
      </c>
      <c r="I4" s="92">
        <v>94777.78</v>
      </c>
    </row>
    <row r="5" spans="1:9" x14ac:dyDescent="0.2">
      <c r="A5" s="94">
        <v>4</v>
      </c>
      <c r="B5" s="95">
        <v>41589</v>
      </c>
      <c r="C5" s="95">
        <v>41605</v>
      </c>
      <c r="D5" s="100" t="str">
        <f>Total!D600</f>
        <v>Infraestructures.cat</v>
      </c>
      <c r="E5" s="101" t="s">
        <v>392</v>
      </c>
      <c r="F5" s="96" t="s">
        <v>1272</v>
      </c>
      <c r="G5" s="97" t="s">
        <v>1277</v>
      </c>
      <c r="H5" s="97" t="s">
        <v>1280</v>
      </c>
      <c r="I5" s="103">
        <v>98000</v>
      </c>
    </row>
    <row r="6" spans="1:9" x14ac:dyDescent="0.2">
      <c r="A6" s="94">
        <v>5</v>
      </c>
      <c r="B6" s="95">
        <v>41589</v>
      </c>
      <c r="C6" s="95">
        <v>41605</v>
      </c>
      <c r="D6" s="100" t="str">
        <f>Total!D600</f>
        <v>Infraestructures.cat</v>
      </c>
      <c r="E6" s="101" t="s">
        <v>392</v>
      </c>
      <c r="F6" s="96" t="s">
        <v>1276</v>
      </c>
      <c r="G6" s="97" t="s">
        <v>1278</v>
      </c>
      <c r="H6" s="97" t="s">
        <v>1281</v>
      </c>
      <c r="I6" s="102">
        <v>90000</v>
      </c>
    </row>
    <row r="7" spans="1:9" x14ac:dyDescent="0.2">
      <c r="A7" s="94">
        <v>6</v>
      </c>
      <c r="B7" s="95">
        <v>41589</v>
      </c>
      <c r="C7" s="95">
        <v>41605</v>
      </c>
      <c r="D7" s="100" t="str">
        <f>Total!D600</f>
        <v>Infraestructures.cat</v>
      </c>
      <c r="E7" s="101" t="s">
        <v>392</v>
      </c>
      <c r="F7" s="96" t="s">
        <v>71</v>
      </c>
      <c r="G7" s="97" t="s">
        <v>1279</v>
      </c>
      <c r="H7" s="97" t="s">
        <v>1282</v>
      </c>
      <c r="I7" s="102">
        <v>39079.879999999997</v>
      </c>
    </row>
    <row r="8" spans="1:9" x14ac:dyDescent="0.2">
      <c r="A8" s="94">
        <v>7</v>
      </c>
      <c r="B8" s="95">
        <f>Total!B620</f>
        <v>41594</v>
      </c>
      <c r="C8" s="95">
        <v>41659</v>
      </c>
      <c r="D8" s="100" t="str">
        <f>Total!D600</f>
        <v>Infraestructures.cat</v>
      </c>
      <c r="E8" s="101" t="s">
        <v>1273</v>
      </c>
      <c r="F8" s="96" t="s">
        <v>1285</v>
      </c>
      <c r="G8" s="97" t="s">
        <v>1283</v>
      </c>
      <c r="H8" s="97" t="s">
        <v>1284</v>
      </c>
      <c r="I8" s="103">
        <v>294600</v>
      </c>
    </row>
    <row r="9" spans="1:9" x14ac:dyDescent="0.2">
      <c r="A9" s="94">
        <v>8</v>
      </c>
      <c r="B9" s="95">
        <v>41596</v>
      </c>
      <c r="C9" s="95">
        <v>41624</v>
      </c>
      <c r="D9" s="100" t="str">
        <f>Total!D600</f>
        <v>Infraestructures.cat</v>
      </c>
      <c r="E9" s="101" t="s">
        <v>1273</v>
      </c>
      <c r="F9" s="96" t="s">
        <v>1285</v>
      </c>
      <c r="G9" s="97" t="s">
        <v>1286</v>
      </c>
      <c r="H9" s="97" t="s">
        <v>1289</v>
      </c>
      <c r="I9" s="103">
        <v>97400</v>
      </c>
    </row>
    <row r="10" spans="1:9" x14ac:dyDescent="0.2">
      <c r="A10" s="94">
        <v>9</v>
      </c>
      <c r="B10" s="95">
        <v>41596</v>
      </c>
      <c r="C10" s="95">
        <v>41624</v>
      </c>
      <c r="D10" s="100" t="str">
        <f>Total!D600</f>
        <v>Infraestructures.cat</v>
      </c>
      <c r="E10" s="101" t="s">
        <v>1273</v>
      </c>
      <c r="F10" s="96" t="s">
        <v>1285</v>
      </c>
      <c r="G10" s="97" t="s">
        <v>1287</v>
      </c>
      <c r="H10" s="97" t="s">
        <v>1290</v>
      </c>
      <c r="I10" s="102">
        <v>113300</v>
      </c>
    </row>
    <row r="11" spans="1:9" x14ac:dyDescent="0.2">
      <c r="A11" s="94">
        <v>10</v>
      </c>
      <c r="B11" s="95">
        <v>41597</v>
      </c>
      <c r="C11" s="95">
        <v>41659</v>
      </c>
      <c r="D11" s="100" t="str">
        <f>Total!D600</f>
        <v>Infraestructures.cat</v>
      </c>
      <c r="E11" s="101" t="s">
        <v>1273</v>
      </c>
      <c r="F11" s="96" t="s">
        <v>1285</v>
      </c>
      <c r="G11" s="97" t="s">
        <v>1288</v>
      </c>
      <c r="H11" s="97" t="s">
        <v>1291</v>
      </c>
      <c r="I11" s="102">
        <v>216400</v>
      </c>
    </row>
    <row r="12" spans="1:9" x14ac:dyDescent="0.2">
      <c r="I12" s="93">
        <f>SUM(I2:I11)</f>
        <v>1377827.6600000001</v>
      </c>
    </row>
  </sheetData>
  <pageMargins left="0.7" right="0.7" top="0.75" bottom="0.75" header="0.3" footer="0.3"/>
  <pageSetup paperSize="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K9"/>
  <sheetViews>
    <sheetView workbookViewId="0">
      <selection activeCell="I9" sqref="I9"/>
    </sheetView>
  </sheetViews>
  <sheetFormatPr baseColWidth="10" defaultColWidth="11.42578125" defaultRowHeight="12.75" x14ac:dyDescent="0.2"/>
  <cols>
    <col min="1" max="1" width="3.7109375" customWidth="1"/>
    <col min="2" max="2" width="12.42578125" bestFit="1" customWidth="1"/>
    <col min="3" max="3" width="15.28515625" bestFit="1" customWidth="1"/>
    <col min="4" max="4" width="17" bestFit="1" customWidth="1"/>
    <col min="5" max="5" width="8.85546875" bestFit="1" customWidth="1"/>
    <col min="6" max="6" width="19" bestFit="1" customWidth="1"/>
    <col min="7" max="7" width="18" bestFit="1" customWidth="1"/>
    <col min="8" max="8" width="55.28515625" customWidth="1"/>
    <col min="9" max="9" width="20" bestFit="1" customWidth="1"/>
    <col min="11" max="11" width="11.7109375" bestFit="1" customWidth="1"/>
  </cols>
  <sheetData>
    <row r="1" spans="1:11" x14ac:dyDescent="0.2">
      <c r="A1" s="10"/>
      <c r="B1" s="37" t="s">
        <v>57</v>
      </c>
      <c r="C1" s="2" t="s">
        <v>499</v>
      </c>
      <c r="D1" s="2" t="s">
        <v>58</v>
      </c>
      <c r="E1" s="3" t="s">
        <v>59</v>
      </c>
      <c r="F1" s="3" t="s">
        <v>60</v>
      </c>
      <c r="G1" s="3" t="s">
        <v>61</v>
      </c>
      <c r="H1" s="38" t="s">
        <v>62</v>
      </c>
      <c r="I1" s="39" t="s">
        <v>63</v>
      </c>
    </row>
    <row r="2" spans="1:11" x14ac:dyDescent="0.2">
      <c r="A2" s="8">
        <v>1</v>
      </c>
      <c r="B2" s="9">
        <v>41550</v>
      </c>
      <c r="C2" s="9">
        <v>41596</v>
      </c>
      <c r="D2" s="9" t="str">
        <f>Total!D598</f>
        <v>Infraestructures.cat</v>
      </c>
      <c r="E2" s="9" t="s">
        <v>392</v>
      </c>
      <c r="F2" s="9" t="s">
        <v>10</v>
      </c>
      <c r="G2" s="9" t="s">
        <v>1253</v>
      </c>
      <c r="H2" s="34" t="s">
        <v>1254</v>
      </c>
      <c r="I2" s="79">
        <v>1027080.45</v>
      </c>
    </row>
    <row r="3" spans="1:11" x14ac:dyDescent="0.2">
      <c r="A3" s="8">
        <v>2</v>
      </c>
      <c r="B3" s="9">
        <v>41550</v>
      </c>
      <c r="C3" s="9">
        <v>41568</v>
      </c>
      <c r="D3" s="9" t="str">
        <f>Total!D598</f>
        <v>Infraestructures.cat</v>
      </c>
      <c r="E3" s="9" t="s">
        <v>392</v>
      </c>
      <c r="F3" s="9" t="s">
        <v>71</v>
      </c>
      <c r="G3" s="9" t="s">
        <v>1255</v>
      </c>
      <c r="H3" s="34" t="s">
        <v>1256</v>
      </c>
      <c r="I3" s="79">
        <v>57637.41</v>
      </c>
    </row>
    <row r="4" spans="1:11" x14ac:dyDescent="0.2">
      <c r="A4" s="8">
        <v>3</v>
      </c>
      <c r="B4" s="9">
        <v>41556</v>
      </c>
      <c r="C4" s="9">
        <v>41610</v>
      </c>
      <c r="D4" s="9" t="str">
        <f>Total!D600</f>
        <v>Infraestructures.cat</v>
      </c>
      <c r="E4" s="9" t="s">
        <v>392</v>
      </c>
      <c r="F4" s="34" t="s">
        <v>9</v>
      </c>
      <c r="G4" s="9" t="s">
        <v>1258</v>
      </c>
      <c r="H4" s="34" t="s">
        <v>1260</v>
      </c>
      <c r="I4" s="79">
        <v>247310</v>
      </c>
    </row>
    <row r="5" spans="1:11" x14ac:dyDescent="0.2">
      <c r="A5" s="8">
        <v>4</v>
      </c>
      <c r="B5" s="9">
        <v>41556</v>
      </c>
      <c r="C5" s="9">
        <v>41610</v>
      </c>
      <c r="D5" s="9" t="str">
        <f>Total!D600</f>
        <v>Infraestructures.cat</v>
      </c>
      <c r="E5" s="9" t="s">
        <v>392</v>
      </c>
      <c r="F5" s="34" t="s">
        <v>701</v>
      </c>
      <c r="G5" s="9" t="s">
        <v>1259</v>
      </c>
      <c r="H5" s="34" t="s">
        <v>1261</v>
      </c>
      <c r="I5" s="79">
        <v>253154</v>
      </c>
    </row>
    <row r="6" spans="1:11" x14ac:dyDescent="0.2">
      <c r="A6" s="8">
        <v>5</v>
      </c>
      <c r="B6" s="9">
        <v>41576</v>
      </c>
      <c r="C6" s="9">
        <v>41626</v>
      </c>
      <c r="D6" s="31" t="str">
        <f>Total!D600</f>
        <v>Infraestructures.cat</v>
      </c>
      <c r="E6" s="9" t="s">
        <v>392</v>
      </c>
      <c r="F6" s="34" t="s">
        <v>9</v>
      </c>
      <c r="G6" s="20" t="s">
        <v>1262</v>
      </c>
      <c r="H6" s="20" t="s">
        <v>1265</v>
      </c>
      <c r="I6" s="16">
        <v>271946</v>
      </c>
      <c r="K6" s="1"/>
    </row>
    <row r="7" spans="1:11" x14ac:dyDescent="0.2">
      <c r="A7" s="8">
        <v>6</v>
      </c>
      <c r="B7" s="9">
        <v>41576</v>
      </c>
      <c r="C7" s="9">
        <v>41626</v>
      </c>
      <c r="D7" s="31" t="str">
        <f>Total!D600</f>
        <v>Infraestructures.cat</v>
      </c>
      <c r="E7" s="9" t="s">
        <v>392</v>
      </c>
      <c r="F7" s="34" t="s">
        <v>9</v>
      </c>
      <c r="G7" s="20" t="s">
        <v>1263</v>
      </c>
      <c r="H7" s="20" t="s">
        <v>1266</v>
      </c>
      <c r="I7" s="16">
        <v>318777</v>
      </c>
    </row>
    <row r="8" spans="1:11" x14ac:dyDescent="0.2">
      <c r="A8" s="8">
        <v>7</v>
      </c>
      <c r="B8" s="9">
        <v>41576</v>
      </c>
      <c r="C8" s="9">
        <v>41626</v>
      </c>
      <c r="D8" s="31" t="str">
        <f>Total!D600</f>
        <v>Infraestructures.cat</v>
      </c>
      <c r="E8" s="9" t="s">
        <v>392</v>
      </c>
      <c r="F8" s="34" t="s">
        <v>9</v>
      </c>
      <c r="G8" s="20" t="s">
        <v>1264</v>
      </c>
      <c r="H8" s="20" t="s">
        <v>1267</v>
      </c>
      <c r="I8" s="16">
        <v>158097</v>
      </c>
    </row>
    <row r="9" spans="1:11" x14ac:dyDescent="0.2">
      <c r="I9" s="93">
        <f>SUM(I2:I8)</f>
        <v>2334001.86</v>
      </c>
    </row>
  </sheetData>
  <pageMargins left="0.7" right="0.7" top="0.75" bottom="0.75" header="0.3" footer="0.3"/>
  <pageSetup paperSize="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CF731-0A4B-44D9-897B-E7B9B417E673}">
  <dimension ref="A1:I42"/>
  <sheetViews>
    <sheetView workbookViewId="0">
      <selection activeCell="I42" sqref="I42"/>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Total!B3434</f>
        <v>44868</v>
      </c>
      <c r="C2" s="101">
        <f>Total!C3434</f>
        <v>44886</v>
      </c>
      <c r="D2" s="112" t="s">
        <v>1092</v>
      </c>
      <c r="E2" s="332" t="str">
        <f>Total!E3434</f>
        <v>Obra Civil</v>
      </c>
      <c r="F2" s="96" t="str">
        <f>Total!F3434</f>
        <v>Direccions d'Obra</v>
      </c>
      <c r="G2" s="112" t="str">
        <f>Total!G3434</f>
        <v>CSS. XC-10020.3</v>
      </c>
      <c r="H2" s="112" t="str">
        <f>Total!H3434</f>
        <v>Contracte de serveis per a l'assistència tècnica de coordinació de seguretat i salut de les obres del projecte constructiu de la "Via ciclista del Ter. Llanars - Vilallonga de Ter".</v>
      </c>
      <c r="I2" s="157">
        <f>Total!I3434</f>
        <v>8375.17</v>
      </c>
    </row>
    <row r="3" spans="1:9" x14ac:dyDescent="0.2">
      <c r="A3" s="8">
        <v>2</v>
      </c>
      <c r="B3" s="101">
        <f>Total!B3435</f>
        <v>44868</v>
      </c>
      <c r="C3" s="101">
        <f>Total!C3435</f>
        <v>44886</v>
      </c>
      <c r="D3" s="112" t="s">
        <v>1092</v>
      </c>
      <c r="E3" s="332" t="str">
        <f>Total!E3435</f>
        <v>Obra Civil</v>
      </c>
      <c r="F3" s="96" t="str">
        <f>Total!F3435</f>
        <v>Direccions d'Obra</v>
      </c>
      <c r="G3" s="112" t="str">
        <f>Total!G3435</f>
        <v>DO. XC-10020.3</v>
      </c>
      <c r="H3" s="112" t="str">
        <f>Total!H3435</f>
        <v>Contracte de serveis per a la direcció de les obres de la "Via ciclista del Ter. Llanars - Vilallonga de Ter".</v>
      </c>
      <c r="I3" s="157">
        <f>Total!I3435</f>
        <v>40807.18</v>
      </c>
    </row>
    <row r="4" spans="1:9" x14ac:dyDescent="0.2">
      <c r="A4" s="8">
        <v>3</v>
      </c>
      <c r="B4" s="101">
        <f>Total!B3436</f>
        <v>44868</v>
      </c>
      <c r="C4" s="101">
        <f>Total!C3436</f>
        <v>44886</v>
      </c>
      <c r="D4" s="112" t="s">
        <v>1092</v>
      </c>
      <c r="E4" s="332" t="str">
        <f>Total!E3436</f>
        <v>Obra Civil</v>
      </c>
      <c r="F4" s="96" t="str">
        <f>Total!F3436</f>
        <v>Control de Qualitat</v>
      </c>
      <c r="G4" s="112" t="str">
        <f>Total!G3436</f>
        <v>CQ. XC-10020.3</v>
      </c>
      <c r="H4" s="112" t="str">
        <f>Total!H3436</f>
        <v>Contracte de serveis per a l'assistència tècnica de control de qualitat de les obres de la "Via ciclista del Ter. Llanars - Vilallonga de Ter".</v>
      </c>
      <c r="I4" s="157">
        <f>Total!I3436</f>
        <v>15838.51</v>
      </c>
    </row>
    <row r="5" spans="1:9" x14ac:dyDescent="0.2">
      <c r="A5" s="8">
        <v>4</v>
      </c>
      <c r="B5" s="101">
        <f>Total!B3437</f>
        <v>44872</v>
      </c>
      <c r="C5" s="101">
        <f>Total!C3437</f>
        <v>44893</v>
      </c>
      <c r="D5" s="112" t="s">
        <v>1092</v>
      </c>
      <c r="E5" s="332" t="str">
        <f>Total!E3437</f>
        <v>Obra Civil</v>
      </c>
      <c r="F5" s="96" t="str">
        <f>Total!F3437</f>
        <v>Direccions d'Obra</v>
      </c>
      <c r="G5" s="112" t="str">
        <f>Total!G3437</f>
        <v>DO.TA-13277-AA</v>
      </c>
      <c r="H5" s="112" t="str">
        <f>Total!H3437</f>
        <v>Contracte de serveis per a la direcció de les obres de la Parada d'autobusos de Juneda.</v>
      </c>
      <c r="I5" s="157">
        <f>Total!I3437</f>
        <v>21278.400000000001</v>
      </c>
    </row>
    <row r="6" spans="1:9" x14ac:dyDescent="0.2">
      <c r="A6" s="8">
        <v>5</v>
      </c>
      <c r="B6" s="101">
        <f>Total!B3438</f>
        <v>44873</v>
      </c>
      <c r="C6" s="101">
        <f>Total!C3438</f>
        <v>44893</v>
      </c>
      <c r="D6" s="112" t="s">
        <v>1092</v>
      </c>
      <c r="E6" s="332" t="str">
        <f>Total!E3438</f>
        <v>Edificació</v>
      </c>
      <c r="F6" s="96" t="str">
        <f>Total!F3438</f>
        <v>Projectes i Direccions d'Obra</v>
      </c>
      <c r="G6" s="112" t="str">
        <f>Total!G3438</f>
        <v>PE+DO BSV-22331</v>
      </c>
      <c r="H6" s="112" t="str">
        <f>Total!H3438</f>
        <v>Redacció del projecte bàsic i executiu i la posterior direcció de les obr es de reforma per a la millora de les instal·lacions de clima i renovació d'aire a la Residència i Centre de Dia A.C. Sandino de Bar celona.</v>
      </c>
      <c r="I6" s="157">
        <f>Total!I3438</f>
        <v>91200</v>
      </c>
    </row>
    <row r="7" spans="1:9" x14ac:dyDescent="0.2">
      <c r="A7" s="8">
        <v>6</v>
      </c>
      <c r="B7" s="101">
        <f>Total!B3439</f>
        <v>44873</v>
      </c>
      <c r="C7" s="101">
        <f>Total!C3439</f>
        <v>44893</v>
      </c>
      <c r="D7" s="112" t="s">
        <v>1092</v>
      </c>
      <c r="E7" s="332" t="str">
        <f>Total!E3439</f>
        <v>Obra Civil</v>
      </c>
      <c r="F7" s="96" t="str">
        <f>Total!F3439</f>
        <v>Projectes</v>
      </c>
      <c r="G7" s="112" t="str">
        <f>Total!G3439</f>
        <v>PC. PC-CPL-22021</v>
      </c>
      <c r="H7" s="112" t="str">
        <f>Total!H3439</f>
        <v>Contracte de serveis per a l'assistència tècnica per a la redacció del projecte constructiu: "Rotonda a la intersecció de la C-14 al PK 89+375 amb l'LV-3025 al PK 20+375. Agramunt".</v>
      </c>
      <c r="I7" s="157">
        <f>Total!I3439</f>
        <v>33500</v>
      </c>
    </row>
    <row r="8" spans="1:9" x14ac:dyDescent="0.2">
      <c r="A8" s="8">
        <v>7</v>
      </c>
      <c r="B8" s="101">
        <f>Total!B3440</f>
        <v>44875</v>
      </c>
      <c r="C8" s="101">
        <f>Total!C3440</f>
        <v>44893</v>
      </c>
      <c r="D8" s="112" t="s">
        <v>1092</v>
      </c>
      <c r="E8" s="332" t="str">
        <f>Total!E3440</f>
        <v>Edificació</v>
      </c>
      <c r="F8" s="96" t="str">
        <f>Total!F3440</f>
        <v>Projectes i Direccions d'Obra</v>
      </c>
      <c r="G8" s="112" t="str">
        <f>Total!G3440</f>
        <v>PE+DO APC-22272</v>
      </c>
      <c r="H8" s="112" t="str">
        <f>Total!H3440</f>
        <v>Red. proj. bàsic, proj. executiu i posterior direcció obres rehabilitació i millora eficiència energètica i instal. plaques fotovoltaiques al Palau de l'Abat i de la Sagristia en edif. Monestir de S. Pere de Rodes al Port de la Selva.</v>
      </c>
      <c r="I8" s="157">
        <f>Total!I3440</f>
        <v>91110.03</v>
      </c>
    </row>
    <row r="9" spans="1:9" x14ac:dyDescent="0.2">
      <c r="A9" s="8">
        <v>8</v>
      </c>
      <c r="B9" s="101">
        <f>Total!B3441</f>
        <v>44875</v>
      </c>
      <c r="C9" s="101">
        <f>Total!C3441</f>
        <v>44893</v>
      </c>
      <c r="D9" s="112" t="s">
        <v>1092</v>
      </c>
      <c r="E9" s="332" t="str">
        <f>Total!E3441</f>
        <v>Edificació</v>
      </c>
      <c r="F9" s="96" t="str">
        <f>Total!F3441</f>
        <v>Direccions d'Obra</v>
      </c>
      <c r="G9" s="112" t="str">
        <f>Total!G3441</f>
        <v>DO. PNG-18302</v>
      </c>
      <c r="H9" s="112" t="str">
        <f>Total!H3441</f>
        <v>Contracte de serveis per a la direcció de les obres de Nova Construcció de l'Escola 6 unitats Vall-llobrega a Vall-llobrega.</v>
      </c>
      <c r="I9" s="157">
        <f>Total!I3441</f>
        <v>39065.129999999997</v>
      </c>
    </row>
    <row r="10" spans="1:9" x14ac:dyDescent="0.2">
      <c r="A10" s="8">
        <v>9</v>
      </c>
      <c r="B10" s="101">
        <f>Total!B3442</f>
        <v>44875</v>
      </c>
      <c r="C10" s="101">
        <f>Total!C3442</f>
        <v>44893</v>
      </c>
      <c r="D10" s="112" t="s">
        <v>1092</v>
      </c>
      <c r="E10" s="332" t="str">
        <f>Total!E3442</f>
        <v>Edificació</v>
      </c>
      <c r="F10" s="96" t="str">
        <f>Total!F3442</f>
        <v>Direccions d'Execució</v>
      </c>
      <c r="G10" s="112" t="str">
        <f>Total!G3442</f>
        <v>CSS. PNG-18302</v>
      </c>
      <c r="H10" s="112" t="str">
        <f>Total!H3442</f>
        <v>Contracte de serveis per a l'assistència tècnica de coordinació de seguretat i salut de les obres del projecte executiu de nova cons trucció de l'Escola 6 unitats Vall-llobrega a Vall-llobrega.</v>
      </c>
      <c r="I10" s="157">
        <f>Total!I3442</f>
        <v>11434.78</v>
      </c>
    </row>
    <row r="11" spans="1:9" x14ac:dyDescent="0.2">
      <c r="A11" s="8">
        <v>10</v>
      </c>
      <c r="B11" s="101">
        <f>Total!B3443</f>
        <v>44875</v>
      </c>
      <c r="C11" s="101">
        <f>Total!C3443</f>
        <v>44893</v>
      </c>
      <c r="D11" s="112" t="s">
        <v>1092</v>
      </c>
      <c r="E11" s="332" t="str">
        <f>Total!E3443</f>
        <v>Edificació</v>
      </c>
      <c r="F11" s="96" t="str">
        <f>Total!F3443</f>
        <v>Control de Qualitat</v>
      </c>
      <c r="G11" s="112" t="str">
        <f>Total!G3443</f>
        <v>CQ. PNG-18302</v>
      </c>
      <c r="H11" s="112" t="str">
        <f>Total!H3443</f>
        <v>Contracte de serveis per a l'assistència tècnica de control de qualitat de les obres de Nova Construcció de l'Escola 6 unitats Vall- llobrega a Vall-llobrega.</v>
      </c>
      <c r="I11" s="157">
        <f>Total!I3443</f>
        <v>25204.2</v>
      </c>
    </row>
    <row r="12" spans="1:9" x14ac:dyDescent="0.2">
      <c r="A12" s="8">
        <v>11</v>
      </c>
      <c r="B12" s="101">
        <f>Total!B3444</f>
        <v>44880</v>
      </c>
      <c r="C12" s="101">
        <f>Total!C3444</f>
        <v>44914</v>
      </c>
      <c r="D12" s="112" t="s">
        <v>1092</v>
      </c>
      <c r="E12" s="332" t="str">
        <f>Total!E3444</f>
        <v>Edificació</v>
      </c>
      <c r="F12" s="96" t="str">
        <f>Total!F3444</f>
        <v>Projectes i Direccions d'Obra</v>
      </c>
      <c r="G12" s="112" t="str">
        <f>Total!G3444</f>
        <v>PE+DO. BSE-22274</v>
      </c>
      <c r="H12" s="112" t="str">
        <f>Total!H3444</f>
        <v>Concurs de projectes per a la redacció del projecte bàsic i executiu i la posterior direcció de les Obres de reforma i ampliació per a l'adequació del Centre Empresseguera de Lleida, al nou model assistencial.</v>
      </c>
      <c r="I12" s="157">
        <f>Total!I3444</f>
        <v>326625.2</v>
      </c>
    </row>
    <row r="13" spans="1:9" x14ac:dyDescent="0.2">
      <c r="A13" s="8">
        <v>12</v>
      </c>
      <c r="B13" s="101">
        <f>Total!B3445</f>
        <v>44880</v>
      </c>
      <c r="C13" s="101">
        <f>Total!C3445</f>
        <v>44914</v>
      </c>
      <c r="D13" s="112" t="s">
        <v>1092</v>
      </c>
      <c r="E13" s="332" t="str">
        <f>Total!E3445</f>
        <v>Edificació</v>
      </c>
      <c r="F13" s="96" t="str">
        <f>Total!F3445</f>
        <v>Projectes i Direccions d'Obra</v>
      </c>
      <c r="G13" s="112" t="str">
        <f>Total!G3445</f>
        <v>PE+DO. BSE-22271</v>
      </c>
      <c r="H13" s="112" t="str">
        <f>Total!H3445</f>
        <v>Concurs de projectes per a la redacció del projecte bàsic i executiu i la posterior direcció de les Obres de reforma i ampliació per a l'adequació del Centre Calldetenes, al nou model assistencial.</v>
      </c>
      <c r="I13" s="157">
        <f>Total!I3445</f>
        <v>310650</v>
      </c>
    </row>
    <row r="14" spans="1:9" x14ac:dyDescent="0.2">
      <c r="A14" s="8">
        <v>13</v>
      </c>
      <c r="B14" s="101">
        <f>Total!B3446</f>
        <v>44882</v>
      </c>
      <c r="C14" s="101">
        <f>Total!C3446</f>
        <v>44900</v>
      </c>
      <c r="D14" s="112" t="s">
        <v>1092</v>
      </c>
      <c r="E14" s="332" t="str">
        <f>Total!E3446</f>
        <v>Edificació</v>
      </c>
      <c r="F14" s="96" t="str">
        <f>Total!F3446</f>
        <v>Direccions d'Execució</v>
      </c>
      <c r="G14" s="112" t="str">
        <f>Total!G3446</f>
        <v>DE. JVX-18300</v>
      </c>
      <c r="H14" s="112" t="str">
        <f>Total!H3446</f>
        <v>Contracte de serveis per a l'assistència tècnica per a la direcció d'execució de les obres de condicionament d'espais a l'edifici judicial del Canyeret de Lleida.</v>
      </c>
      <c r="I14" s="157">
        <f>Total!I3446</f>
        <v>35600</v>
      </c>
    </row>
    <row r="15" spans="1:9" x14ac:dyDescent="0.2">
      <c r="A15" s="8">
        <v>14</v>
      </c>
      <c r="B15" s="101">
        <f>Total!B3447</f>
        <v>44882</v>
      </c>
      <c r="C15" s="101">
        <f>Total!C3447</f>
        <v>44900</v>
      </c>
      <c r="D15" s="112" t="s">
        <v>1092</v>
      </c>
      <c r="E15" s="332" t="str">
        <f>Total!E3447</f>
        <v>Edificació</v>
      </c>
      <c r="F15" s="96" t="str">
        <f>Total!F3447</f>
        <v>Control de Qualitat</v>
      </c>
      <c r="G15" s="112" t="str">
        <f>Total!G3447</f>
        <v>CQ. JVX-18300</v>
      </c>
      <c r="H15" s="112" t="str">
        <f>Total!H3447</f>
        <v>Contracte de serveis per a l'assistència tècnica per al control de qualitat de les obres de condicionament d'espais a l'edifici judicial del Canyeret a Lleida.</v>
      </c>
      <c r="I15" s="157">
        <f>Total!I3447</f>
        <v>11673.6</v>
      </c>
    </row>
    <row r="16" spans="1:9" x14ac:dyDescent="0.2">
      <c r="A16" s="8">
        <v>15</v>
      </c>
      <c r="B16" s="101">
        <f>Total!B3448</f>
        <v>44882</v>
      </c>
      <c r="C16" s="101">
        <f>Total!C3448</f>
        <v>44900</v>
      </c>
      <c r="D16" s="112" t="s">
        <v>1092</v>
      </c>
      <c r="E16" s="332" t="str">
        <f>Total!E3448</f>
        <v>Obra Civil</v>
      </c>
      <c r="F16" s="96" t="str">
        <f>Total!F3448</f>
        <v xml:space="preserve">Projectes </v>
      </c>
      <c r="G16" s="112" t="str">
        <f>Total!G3448</f>
        <v>EV. EX-CXC-22025</v>
      </c>
      <c r="H16" s="112" t="str">
        <f>Total!H3448</f>
        <v>Contracte de serveis per a l'assistència tècnica per a la redacció dels treballs de "Redacció dels annexos d'actualització d'estudis i projectes de Carreteres de la DGIM".</v>
      </c>
      <c r="I16" s="157">
        <f>Total!I3448</f>
        <v>160000</v>
      </c>
    </row>
    <row r="17" spans="1:9" x14ac:dyDescent="0.2">
      <c r="A17" s="8">
        <v>16</v>
      </c>
      <c r="B17" s="101">
        <f>Total!B3449</f>
        <v>44882</v>
      </c>
      <c r="C17" s="101">
        <f>Total!C3449</f>
        <v>44900</v>
      </c>
      <c r="D17" s="112" t="s">
        <v>1092</v>
      </c>
      <c r="E17" s="332" t="str">
        <f>Total!E3449</f>
        <v>Edificació</v>
      </c>
      <c r="F17" s="96" t="str">
        <f>Total!F3449</f>
        <v>Direccions d'Execució</v>
      </c>
      <c r="G17" s="112" t="str">
        <f>Total!G3449</f>
        <v>CSS. JVX-18300</v>
      </c>
      <c r="H17" s="112" t="str">
        <f>Total!H3449</f>
        <v>Contracte de serveis per a l'assistència tècnica de coordinació de seguretat i salut de les obres del projecte executiu de condicionament d'espais a l'edifici judicial del Canyeret de Lleida.</v>
      </c>
      <c r="I17" s="157">
        <f>Total!I3449</f>
        <v>8900</v>
      </c>
    </row>
    <row r="18" spans="1:9" x14ac:dyDescent="0.2">
      <c r="A18" s="8">
        <v>17</v>
      </c>
      <c r="B18" s="101">
        <f>Total!B3450</f>
        <v>44883</v>
      </c>
      <c r="C18" s="101">
        <f>Total!C3450</f>
        <v>44907</v>
      </c>
      <c r="D18" s="112" t="s">
        <v>1092</v>
      </c>
      <c r="E18" s="332" t="str">
        <f>Total!E3450</f>
        <v>Edificació</v>
      </c>
      <c r="F18" s="96" t="str">
        <f>Total!F3450</f>
        <v>Direccions d'Execució</v>
      </c>
      <c r="G18" s="112" t="str">
        <f>Total!G3450</f>
        <v>CSS. DXT-21305</v>
      </c>
      <c r="H18" s="112" t="str">
        <f>Total!H3450</f>
        <v>Contracte de serveis per a l'assistència tècnica de coordinació de seguretat i salut de les obres de Reforma per a la Subdirecció General d'Avaluacions Mèdiques a Tarragona situat a l'Avinguda Ramon i Cajal, 53 de Tarragona.</v>
      </c>
      <c r="I18" s="157">
        <f>Total!I3450</f>
        <v>5172.6099999999997</v>
      </c>
    </row>
    <row r="19" spans="1:9" x14ac:dyDescent="0.2">
      <c r="A19" s="8">
        <v>18</v>
      </c>
      <c r="B19" s="101">
        <f>Total!B3451</f>
        <v>44883</v>
      </c>
      <c r="C19" s="101">
        <f>Total!C3451</f>
        <v>44907</v>
      </c>
      <c r="D19" s="112" t="s">
        <v>1092</v>
      </c>
      <c r="E19" s="332" t="str">
        <f>Total!E3451</f>
        <v>Edificació</v>
      </c>
      <c r="F19" s="96" t="str">
        <f>Total!F3451</f>
        <v>Direccions d'Execució</v>
      </c>
      <c r="G19" s="112" t="str">
        <f>Total!G3451</f>
        <v>DE. DXT-21305</v>
      </c>
      <c r="H19" s="112" t="str">
        <f>Total!H3451</f>
        <v>Contracte de serveis per a la direcció d'execució de les obres de Reforma per a la Subdirecció General d'Avaluacions Mèdiques a Tarragona situat a l'Avinguda Ramon i Cajal, 53 de Tarragona.</v>
      </c>
      <c r="I19" s="157">
        <f>Total!I3451</f>
        <v>20690.439999999999</v>
      </c>
    </row>
    <row r="20" spans="1:9" x14ac:dyDescent="0.2">
      <c r="A20" s="8">
        <v>19</v>
      </c>
      <c r="B20" s="101">
        <f>Total!B3452</f>
        <v>44883</v>
      </c>
      <c r="C20" s="101">
        <f>Total!C3452</f>
        <v>44900</v>
      </c>
      <c r="D20" s="112" t="s">
        <v>1092</v>
      </c>
      <c r="E20" s="332" t="str">
        <f>Total!E3452</f>
        <v>Obra Civil</v>
      </c>
      <c r="F20" s="96" t="str">
        <f>Total!F3452</f>
        <v>Projectes</v>
      </c>
      <c r="G20" s="112" t="str">
        <f>Total!G3452</f>
        <v>IA. IA. CIB-21087</v>
      </c>
      <c r="H20" s="112" t="str">
        <f>Total!H3452</f>
        <v>Assistència tècnica per a la redacció de l'Estudi d'impacte ambiental del projecte constructiu de la millora de la connectivitat i nous enllaços de la C-32 al Maresme del PK84+250 al PK 134+750. Montgat - Tordera.</v>
      </c>
      <c r="I20" s="157">
        <f>Total!I3452</f>
        <v>117300</v>
      </c>
    </row>
    <row r="21" spans="1:9" x14ac:dyDescent="0.2">
      <c r="A21" s="8">
        <v>20</v>
      </c>
      <c r="B21" s="101">
        <f>Total!B3453</f>
        <v>44883</v>
      </c>
      <c r="C21" s="101">
        <f>Total!C3453</f>
        <v>44902</v>
      </c>
      <c r="D21" s="112" t="s">
        <v>1092</v>
      </c>
      <c r="E21" s="332" t="str">
        <f>Total!E3453</f>
        <v>Edificació</v>
      </c>
      <c r="F21" s="96" t="str">
        <f>Total!F3453</f>
        <v>Direccions d'Execució</v>
      </c>
      <c r="G21" s="112" t="str">
        <f>Total!G3453</f>
        <v>DE. PNG-18302</v>
      </c>
      <c r="H21" s="112" t="str">
        <f>Total!H3453</f>
        <v>Contracte de serveis per a la direcció d'execució de les obres de Nova Construcció de l'Escola 6 unitats Vall-llobrega a Vall-llobre ga.</v>
      </c>
      <c r="I21" s="157">
        <f>Total!I3453</f>
        <v>50652.3</v>
      </c>
    </row>
    <row r="22" spans="1:9" x14ac:dyDescent="0.2">
      <c r="A22" s="8">
        <v>21</v>
      </c>
      <c r="B22" s="101">
        <f>Total!B3454</f>
        <v>44883</v>
      </c>
      <c r="C22" s="101">
        <f>Total!C3454</f>
        <v>44907</v>
      </c>
      <c r="D22" s="112" t="s">
        <v>1092</v>
      </c>
      <c r="E22" s="332" t="str">
        <f>Total!E3454</f>
        <v>Edificació</v>
      </c>
      <c r="F22" s="96" t="str">
        <f>Total!F3454</f>
        <v>Direccions d'Obra</v>
      </c>
      <c r="G22" s="112" t="str">
        <f>Total!G3454</f>
        <v>DO. DXT-21305</v>
      </c>
      <c r="H22" s="112" t="str">
        <f>Total!H3454</f>
        <v>Contracte de serveis per a la direcció de les obres de Reforma per a la Subdirecció General d'Avaluacions Mèdiques a Tarragona situat a l'Avinguda Ramon i Cajal, 53 de Tarragona.</v>
      </c>
      <c r="I22" s="157">
        <f>Total!I3454</f>
        <v>21340</v>
      </c>
    </row>
    <row r="23" spans="1:9" x14ac:dyDescent="0.2">
      <c r="A23" s="8">
        <v>22</v>
      </c>
      <c r="B23" s="101">
        <f>Total!B3455</f>
        <v>44883</v>
      </c>
      <c r="C23" s="101">
        <f>Total!C3455</f>
        <v>44902</v>
      </c>
      <c r="D23" s="112" t="s">
        <v>1092</v>
      </c>
      <c r="E23" s="332" t="str">
        <f>Total!E3455</f>
        <v>Obra Civil</v>
      </c>
      <c r="F23" s="96" t="str">
        <f>Total!F3455</f>
        <v>Projectes</v>
      </c>
      <c r="G23" s="112" t="str">
        <f>Total!G3455</f>
        <v>PC. PC-CGB-21104</v>
      </c>
      <c r="H23" s="112" t="str">
        <f>Total!H3455</f>
        <v>Contracte de serveis per a l'assistència tècnica per a la redacció del projecte constructiu de rehabilitació del mur de protecció a la B-402 al PK 8+500 vers el riu Llobregat. La Pobla de Lillet.</v>
      </c>
      <c r="I23" s="157">
        <f>Total!I3455</f>
        <v>45300</v>
      </c>
    </row>
    <row r="24" spans="1:9" x14ac:dyDescent="0.2">
      <c r="A24" s="8">
        <v>23</v>
      </c>
      <c r="B24" s="101">
        <f>Total!B3456</f>
        <v>44883</v>
      </c>
      <c r="C24" s="101">
        <f>Total!C3456</f>
        <v>44900</v>
      </c>
      <c r="D24" s="112" t="s">
        <v>1092</v>
      </c>
      <c r="E24" s="332" t="str">
        <f>Total!E3456</f>
        <v>Edificació</v>
      </c>
      <c r="F24" s="96" t="str">
        <f>Total!F3456</f>
        <v>Projectes i Direccions d'Obra</v>
      </c>
      <c r="G24" s="112" t="str">
        <f>Total!G3456</f>
        <v>PE+DO BSE-22290</v>
      </c>
      <c r="H24" s="112" t="str">
        <f>Total!H3456</f>
        <v>Concurs de projecte per a la redacció del projecte bàsic i executiu i la posterior direcció d'obra de nova construcció d'una Unitat Integrada d'Atenció a Infants i Adolescents (Barnahus) a Manresa.</v>
      </c>
      <c r="I24" s="157">
        <f>Total!I3456</f>
        <v>138614.28</v>
      </c>
    </row>
    <row r="25" spans="1:9" x14ac:dyDescent="0.2">
      <c r="A25" s="8">
        <v>24</v>
      </c>
      <c r="B25" s="101">
        <f>Total!B3457</f>
        <v>44883</v>
      </c>
      <c r="C25" s="101">
        <f>Total!C3457</f>
        <v>44902</v>
      </c>
      <c r="D25" s="112" t="s">
        <v>1092</v>
      </c>
      <c r="E25" s="332" t="str">
        <f>Total!E3457</f>
        <v>Edificació</v>
      </c>
      <c r="F25" s="96" t="str">
        <f>Total!F3457</f>
        <v>Control de Qualitat</v>
      </c>
      <c r="G25" s="112" t="str">
        <f>Total!G3457</f>
        <v>CQ. DXT-21305</v>
      </c>
      <c r="H25" s="112" t="str">
        <f>Total!H3457</f>
        <v>Contracte de serveis per a l'assistència tècnica de Control de Qualitat de les obres de Reforma per a la Subdirecció General d'Avaluacions Mèdiques a Tarragona situat a l'Avinguda Ramon i Cajal, 53 de Tarragona.</v>
      </c>
      <c r="I25" s="157">
        <f>Total!I3457</f>
        <v>6408.22</v>
      </c>
    </row>
    <row r="26" spans="1:9" x14ac:dyDescent="0.2">
      <c r="A26" s="8">
        <v>25</v>
      </c>
      <c r="B26" s="101">
        <f>Total!B3458</f>
        <v>44886</v>
      </c>
      <c r="C26" s="101">
        <f>Total!C3458</f>
        <v>44902</v>
      </c>
      <c r="D26" s="112" t="s">
        <v>1092</v>
      </c>
      <c r="E26" s="332" t="str">
        <f>Total!E3458</f>
        <v>Edificació</v>
      </c>
      <c r="F26" s="96" t="str">
        <f>Total!F3458</f>
        <v>Projectes i Direccions d'Obra</v>
      </c>
      <c r="G26" s="112" t="str">
        <f>Total!G3458</f>
        <v>PE+DO BSE-22292</v>
      </c>
      <c r="H26" s="112" t="str">
        <f>Total!H3458</f>
        <v>Concurs de projecte per a la redacció del projecte bàsic i executiu i la posterior direcció de les Obres de Nova Construcció d'una U nitat Integrada d'Atenció a Infants i Adolescents (Barnahus) a Terrassa.</v>
      </c>
      <c r="I26" s="157">
        <f>Total!I3458</f>
        <v>138614.28</v>
      </c>
    </row>
    <row r="27" spans="1:9" x14ac:dyDescent="0.2">
      <c r="A27" s="8">
        <v>26</v>
      </c>
      <c r="B27" s="101">
        <f>Total!B3459</f>
        <v>44886</v>
      </c>
      <c r="C27" s="101">
        <f>Total!C3459</f>
        <v>44914</v>
      </c>
      <c r="D27" s="112" t="s">
        <v>1092</v>
      </c>
      <c r="E27" s="332" t="str">
        <f>Total!E3459</f>
        <v>Obra Civil</v>
      </c>
      <c r="F27" s="96" t="str">
        <f>Total!F3459</f>
        <v>Direccions d'Obra</v>
      </c>
      <c r="G27" s="112" t="str">
        <f>Total!G3459</f>
        <v>DO. DB-05111.2</v>
      </c>
      <c r="H27" s="112" t="str">
        <f>Total!H3459</f>
        <v>Contracte de serveis per a la direcció de les obres de millora general. Desdoblament de la carretera B-224, del PK 24+000 al 26+000. Tram: Sant Esteve Sesrovires - Martorell.</v>
      </c>
      <c r="I27" s="157">
        <f>Total!I3459</f>
        <v>835992.11</v>
      </c>
    </row>
    <row r="28" spans="1:9" x14ac:dyDescent="0.2">
      <c r="A28" s="8">
        <v>27</v>
      </c>
      <c r="B28" s="101">
        <f>Total!B3460</f>
        <v>44886</v>
      </c>
      <c r="C28" s="101">
        <f>Total!C3460</f>
        <v>44914</v>
      </c>
      <c r="D28" s="112" t="s">
        <v>1092</v>
      </c>
      <c r="E28" s="332" t="str">
        <f>Total!E3460</f>
        <v>Obra Civil</v>
      </c>
      <c r="F28" s="96" t="str">
        <f>Total!F3460</f>
        <v>Control de Qualitat</v>
      </c>
      <c r="G28" s="112" t="str">
        <f>Total!G3460</f>
        <v>CQ. DB-05111.2</v>
      </c>
      <c r="H28" s="112" t="str">
        <f>Total!H3460</f>
        <v>Contracte de serveis per a l'assistència tècnica de control de qualitat de les obres de millora general. Desdoblament de la carretera B-224, del PK 24+000 al 26+000. Tram: Sant Esteve Sesrovires - Martorell.</v>
      </c>
      <c r="I28" s="157">
        <f>Total!I3460</f>
        <v>322968.90999999997</v>
      </c>
    </row>
    <row r="29" spans="1:9" x14ac:dyDescent="0.2">
      <c r="A29" s="8">
        <v>28</v>
      </c>
      <c r="B29" s="101">
        <f>Total!B3461</f>
        <v>44886</v>
      </c>
      <c r="C29" s="101">
        <f>Total!C3461</f>
        <v>44902</v>
      </c>
      <c r="D29" s="112" t="s">
        <v>1092</v>
      </c>
      <c r="E29" s="332" t="str">
        <f>Total!E3461</f>
        <v>Obra Civil</v>
      </c>
      <c r="F29" s="96" t="str">
        <f>Total!F3461</f>
        <v>Direccions d'Obra</v>
      </c>
      <c r="G29" s="112" t="str">
        <f>Total!G3461</f>
        <v>CSS. DB-05111.2</v>
      </c>
      <c r="H29" s="112" t="str">
        <f>Total!H3461</f>
        <v>Contracte de serveis per a l'assistència tècnica de coordinació de seguretat i salut de les obres del projecte constructiu de millora general. Desdoblament de la carretera B-224, del PK 24+000 al 26+000. Tram: Sant Esteve Sesrovires - Martorell.</v>
      </c>
      <c r="I29" s="157">
        <f>Total!I3461</f>
        <v>115934.51</v>
      </c>
    </row>
    <row r="30" spans="1:9" x14ac:dyDescent="0.2">
      <c r="A30" s="8">
        <v>29</v>
      </c>
      <c r="B30" s="101">
        <f>Total!B3462</f>
        <v>44887</v>
      </c>
      <c r="C30" s="101">
        <f>Total!C3462</f>
        <v>44907</v>
      </c>
      <c r="D30" s="112" t="s">
        <v>1092</v>
      </c>
      <c r="E30" s="332" t="str">
        <f>Total!E3462</f>
        <v>Edificació</v>
      </c>
      <c r="F30" s="96" t="str">
        <f>Total!F3462</f>
        <v>Control de Qualitat</v>
      </c>
      <c r="G30" s="112" t="str">
        <f>Total!G3462</f>
        <v>MEA. MEC-22L08</v>
      </c>
      <c r="H30" s="112" t="str">
        <f>Total!H3462</f>
        <v>Contracte de serveis per l'assistència tècnica per a la realització d'auditories de qualitat de manteniment de 5 equipaments. 2 lots.</v>
      </c>
      <c r="I30" s="157">
        <f>Total!I3462</f>
        <v>99500</v>
      </c>
    </row>
    <row r="31" spans="1:9" x14ac:dyDescent="0.2">
      <c r="A31" s="8">
        <v>30</v>
      </c>
      <c r="B31" s="101">
        <f>Total!B3463</f>
        <v>44887</v>
      </c>
      <c r="C31" s="101">
        <f>Total!C3463</f>
        <v>44914</v>
      </c>
      <c r="D31" s="112" t="s">
        <v>1092</v>
      </c>
      <c r="E31" s="332" t="str">
        <f>Total!E3463</f>
        <v>Obra Civil</v>
      </c>
      <c r="F31" s="96" t="str">
        <f>Total!F3463</f>
        <v>Direccions d'Obra</v>
      </c>
      <c r="G31" s="112" t="str">
        <f>Total!G3463</f>
        <v>ATI-TM-02609.0-T3</v>
      </c>
      <c r="H31" s="112" t="str">
        <f>Total!H3463</f>
        <v>Contracte de serveis per a l'assistència tècnica per a l'enginyeria d'integració de sistemes i infraestructures de les diferents fases de posada en servei del tram III de la Línia 9 de Metro de Barcelona.</v>
      </c>
      <c r="I31" s="157">
        <f>Total!I3463</f>
        <v>6791714.1799999997</v>
      </c>
    </row>
    <row r="32" spans="1:9" x14ac:dyDescent="0.2">
      <c r="A32" s="8">
        <v>31</v>
      </c>
      <c r="B32" s="101">
        <f>Total!B3464</f>
        <v>44889</v>
      </c>
      <c r="C32" s="101">
        <f>Total!C3464</f>
        <v>44907</v>
      </c>
      <c r="D32" s="112" t="s">
        <v>1092</v>
      </c>
      <c r="E32" s="332" t="str">
        <f>Total!E3464</f>
        <v>Obra Civil</v>
      </c>
      <c r="F32" s="96" t="str">
        <f>Total!F3464</f>
        <v>Projectes</v>
      </c>
      <c r="G32" s="112" t="str">
        <f>Total!G3464</f>
        <v>EV. EU-MXB-22022</v>
      </c>
      <c r="H32" s="112" t="str">
        <f>Total!H3464</f>
        <v>Contracte de serveis per a l'assistència tècnica per a la redacció dels treballs "Mapes estratègics de soroll del Ferrocarril Metropolità de Barcelona. Fase 4 (2022-2027)".</v>
      </c>
      <c r="I32" s="157">
        <f>Total!I3464</f>
        <v>13220</v>
      </c>
    </row>
    <row r="33" spans="1:9" x14ac:dyDescent="0.2">
      <c r="A33" s="8">
        <v>32</v>
      </c>
      <c r="B33" s="101">
        <f>Total!B3465</f>
        <v>44889</v>
      </c>
      <c r="C33" s="101">
        <f>Total!C3465</f>
        <v>44923</v>
      </c>
      <c r="D33" s="112" t="s">
        <v>1092</v>
      </c>
      <c r="E33" s="332" t="str">
        <f>Total!E3465</f>
        <v>Obra Civil</v>
      </c>
      <c r="F33" s="96" t="str">
        <f>Total!F3465</f>
        <v>Projectes</v>
      </c>
      <c r="G33" s="112" t="str">
        <f>Total!G3465</f>
        <v>PC. PC-CIB-22004</v>
      </c>
      <c r="H33" s="112" t="str">
        <f>Total!H3465</f>
        <v>Contracte de serveis per a l'assistència tècnica per a la redacció del projecte constructiu: "Condicionament de la B-431 del PK 48+500 al 72+700. Avinyó-Prats de Lluçanès".</v>
      </c>
      <c r="I33" s="157">
        <f>Total!I3465</f>
        <v>274950</v>
      </c>
    </row>
    <row r="34" spans="1:9" x14ac:dyDescent="0.2">
      <c r="A34" s="8">
        <v>33</v>
      </c>
      <c r="B34" s="101">
        <f>Total!B3466</f>
        <v>44890</v>
      </c>
      <c r="C34" s="101">
        <f>Total!C3466</f>
        <v>44907</v>
      </c>
      <c r="D34" s="112" t="s">
        <v>1092</v>
      </c>
      <c r="E34" s="332" t="str">
        <f>Total!E3466</f>
        <v>Edificació</v>
      </c>
      <c r="F34" s="96" t="str">
        <f>Total!F3466</f>
        <v>Control de Qualitat</v>
      </c>
      <c r="G34" s="112" t="str">
        <f>Total!G3466</f>
        <v>CQ. SAH-21203</v>
      </c>
      <c r="H34" s="112" t="str">
        <f>Total!H3466</f>
        <v>Contracte de serveis per a l'assistència tècnica de control de qualitat de les obres d'Ampliació de l'Escola Pompeu Fabra per a un Institut Escola de 2L d'infantil i primària, i 2L d'ESO a El Pont de Vilomara i Rocafort.</v>
      </c>
      <c r="I34" s="157">
        <f>Total!I3466</f>
        <v>37687.64</v>
      </c>
    </row>
    <row r="35" spans="1:9" x14ac:dyDescent="0.2">
      <c r="A35" s="8">
        <v>34</v>
      </c>
      <c r="B35" s="101">
        <f>Total!B3467</f>
        <v>44890</v>
      </c>
      <c r="C35" s="101">
        <f>Total!C3467</f>
        <v>44907</v>
      </c>
      <c r="D35" s="112" t="s">
        <v>1092</v>
      </c>
      <c r="E35" s="332" t="str">
        <f>Total!E3467</f>
        <v>Edificació</v>
      </c>
      <c r="F35" s="96" t="str">
        <f>Total!F3467</f>
        <v>Direccions d'Obra</v>
      </c>
      <c r="G35" s="112" t="str">
        <f>Total!G3467</f>
        <v>DO. SAH-21203</v>
      </c>
      <c r="H35" s="112" t="str">
        <f>Total!H3467</f>
        <v>Contracte de serveis per a la direcció de les obres d'Ampliació de l'Escola Pompeu Fabra per a un Institut Escola de 2L d'infantil i primària, i 2L d'ESO a El Pont de Vilomara i Rocafort.</v>
      </c>
      <c r="I35" s="157">
        <f>Total!I3467</f>
        <v>88982.03</v>
      </c>
    </row>
    <row r="36" spans="1:9" x14ac:dyDescent="0.2">
      <c r="A36" s="8">
        <v>35</v>
      </c>
      <c r="B36" s="101">
        <f>Total!B3468</f>
        <v>44890</v>
      </c>
      <c r="C36" s="101">
        <f>Total!C3468</f>
        <v>44914</v>
      </c>
      <c r="D36" s="112" t="s">
        <v>1092</v>
      </c>
      <c r="E36" s="332" t="str">
        <f>Total!E3468</f>
        <v>Edificació</v>
      </c>
      <c r="F36" s="96" t="str">
        <f>Total!F3468</f>
        <v>Direccions d'Execució</v>
      </c>
      <c r="G36" s="112" t="str">
        <f>Total!G3468</f>
        <v>DE. JVX-20276</v>
      </c>
      <c r="H36" s="112" t="str">
        <f>Total!H3468</f>
        <v>Contracte de serveis per a la direcció d'execució de les obres RAM de condicionament de la P15 per a la ubicació de la Fiscalia i re organització funcional en la P07 a l'edifici judicial de Sabadell.</v>
      </c>
      <c r="I36" s="157">
        <f>Total!I3468</f>
        <v>26800</v>
      </c>
    </row>
    <row r="37" spans="1:9" x14ac:dyDescent="0.2">
      <c r="A37" s="8">
        <v>36</v>
      </c>
      <c r="B37" s="101">
        <f>Total!B3469</f>
        <v>44890</v>
      </c>
      <c r="C37" s="101">
        <f>Total!C3469</f>
        <v>44914</v>
      </c>
      <c r="D37" s="112" t="s">
        <v>1092</v>
      </c>
      <c r="E37" s="332" t="str">
        <f>Total!E3469</f>
        <v>Edificació</v>
      </c>
      <c r="F37" s="96" t="str">
        <f>Total!F3469</f>
        <v>Control de Qualitat</v>
      </c>
      <c r="G37" s="112" t="str">
        <f>Total!G3469</f>
        <v>CQ. JVX-20276</v>
      </c>
      <c r="H37" s="112" t="str">
        <f>Total!H3469</f>
        <v>Contracte de serveis per a l'assistència tècnica de Control de Qualitat de les obres RAM de condicionament de la P15 per a la ubicació de la Fiscalia i reorganització funcional en la P07 a l'edifici judicial de Sabadell.</v>
      </c>
      <c r="I37" s="157">
        <f>Total!I3469</f>
        <v>9085.68</v>
      </c>
    </row>
    <row r="38" spans="1:9" x14ac:dyDescent="0.2">
      <c r="A38" s="8">
        <v>37</v>
      </c>
      <c r="B38" s="101">
        <f>Total!B3470</f>
        <v>44890</v>
      </c>
      <c r="C38" s="101">
        <f>Total!C3470</f>
        <v>44907</v>
      </c>
      <c r="D38" s="112" t="s">
        <v>1092</v>
      </c>
      <c r="E38" s="332" t="str">
        <f>Total!E3470</f>
        <v>Edificació</v>
      </c>
      <c r="F38" s="96" t="str">
        <f>Total!F3470</f>
        <v>Direccions d'Execució</v>
      </c>
      <c r="G38" s="112" t="str">
        <f>Total!G3470</f>
        <v>CSS. SAH-21203</v>
      </c>
      <c r="H38" s="112" t="str">
        <f>Total!H3470</f>
        <v>Contracte de serveis per a l'assistència tècnica de coordinació de seguretat i salut de les obres del projecte executiu d'ampliació de l'Escola Pompeu Fabra per a un Institut Escola de 2L d'infantil i primària, i 2L d'ESO a El Pont de Vilomara i Rocafort.</v>
      </c>
      <c r="I38" s="157">
        <f>Total!I3470</f>
        <v>17939.32</v>
      </c>
    </row>
    <row r="39" spans="1:9" x14ac:dyDescent="0.2">
      <c r="A39" s="8">
        <v>38</v>
      </c>
      <c r="B39" s="101">
        <f>Total!B3471</f>
        <v>44890</v>
      </c>
      <c r="C39" s="101">
        <f>Total!C3471</f>
        <v>44907</v>
      </c>
      <c r="D39" s="112" t="s">
        <v>1092</v>
      </c>
      <c r="E39" s="332" t="str">
        <f>Total!E3471</f>
        <v>Edificació</v>
      </c>
      <c r="F39" s="96" t="str">
        <f>Total!F3471</f>
        <v>Direccions d'Execució</v>
      </c>
      <c r="G39" s="112" t="str">
        <f>Total!G3471</f>
        <v>DE. SAH-21203</v>
      </c>
      <c r="H39" s="112" t="str">
        <f>Total!H3471</f>
        <v>Contracte de serveis per a la direcció d'execució de les obres d'Ampliació de l'Escola Pompeu Fabra per a un Institut Escola de 2L d 'infantil i primària, i 2L d'ESO a El Pont de Vilomara i Rocafort.</v>
      </c>
      <c r="I39" s="157">
        <f>Total!I3471</f>
        <v>93677.02</v>
      </c>
    </row>
    <row r="40" spans="1:9" x14ac:dyDescent="0.2">
      <c r="A40" s="8">
        <v>39</v>
      </c>
      <c r="B40" s="101">
        <f>Total!B3472</f>
        <v>44890</v>
      </c>
      <c r="C40" s="101">
        <f>Total!C3472</f>
        <v>44914</v>
      </c>
      <c r="D40" s="112" t="s">
        <v>1092</v>
      </c>
      <c r="E40" s="332" t="str">
        <f>Total!E3472</f>
        <v>Edificació</v>
      </c>
      <c r="F40" s="96" t="str">
        <f>Total!F3472</f>
        <v>Direccions d'Execució</v>
      </c>
      <c r="G40" s="112" t="str">
        <f>Total!G3472</f>
        <v>CSS. JVX-20276</v>
      </c>
      <c r="H40" s="112" t="str">
        <f>Total!H3472</f>
        <v>Contracte de serveis per a l'assistència tècnica de coordinació de seguretat i salut de les obres RAM de condicionament de la P15 per a la ubicació de la Fiscalia i reorganització funcional en la P07 a l'edifici judicial de Sabadell.</v>
      </c>
      <c r="I40" s="157">
        <f>Total!I3472</f>
        <v>5763</v>
      </c>
    </row>
    <row r="41" spans="1:9" x14ac:dyDescent="0.2">
      <c r="A41" s="8">
        <v>40</v>
      </c>
      <c r="B41" s="101">
        <f>Total!B3473</f>
        <v>44895</v>
      </c>
      <c r="C41" s="101">
        <f>Total!C3473</f>
        <v>44916</v>
      </c>
      <c r="D41" s="112" t="s">
        <v>1092</v>
      </c>
      <c r="E41" s="332" t="str">
        <f>Total!E3473</f>
        <v>Obra Civil</v>
      </c>
      <c r="F41" s="96" t="str">
        <f>Total!F3473</f>
        <v>Projectes</v>
      </c>
      <c r="G41" s="112" t="str">
        <f>Total!G3473</f>
        <v>ATAM. XC-10020.3</v>
      </c>
      <c r="H41" s="112" t="str">
        <f>Total!H3473</f>
        <v>Contracte de serveis per a l'assistència tècnica ambiental de l'execució de les obres del projecte constructiu de "Via ciclista del Ter. Llanars - Vilallonga de Ter". Clau: XC-10020.3</v>
      </c>
      <c r="I41" s="157">
        <f>Total!I3473</f>
        <v>8777.2800000000007</v>
      </c>
    </row>
    <row r="42" spans="1:9" x14ac:dyDescent="0.2">
      <c r="I42" s="126">
        <f>SUM(I2:I41)</f>
        <v>10518346.009999998</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J10"/>
  <sheetViews>
    <sheetView zoomScale="106" zoomScaleNormal="106" workbookViewId="0">
      <selection activeCell="B9" sqref="B9"/>
    </sheetView>
  </sheetViews>
  <sheetFormatPr baseColWidth="10" defaultColWidth="9.140625" defaultRowHeight="12.75" x14ac:dyDescent="0.2"/>
  <cols>
    <col min="1" max="1" width="2" bestFit="1" customWidth="1"/>
    <col min="2" max="2" width="12.42578125" bestFit="1" customWidth="1"/>
    <col min="3" max="3" width="15.42578125" bestFit="1" customWidth="1"/>
    <col min="4" max="4" width="17" bestFit="1" customWidth="1"/>
    <col min="5" max="5" width="9.28515625" bestFit="1" customWidth="1"/>
    <col min="6" max="6" width="16.28515625" bestFit="1" customWidth="1"/>
    <col min="7" max="7" width="18.140625" bestFit="1" customWidth="1"/>
    <col min="8" max="8" width="52.42578125" customWidth="1"/>
    <col min="9" max="9" width="20.140625" bestFit="1" customWidth="1"/>
    <col min="10" max="10" width="13.5703125" bestFit="1" customWidth="1"/>
  </cols>
  <sheetData>
    <row r="1" spans="1:10" x14ac:dyDescent="0.2">
      <c r="A1" s="10"/>
      <c r="B1" s="37" t="s">
        <v>57</v>
      </c>
      <c r="C1" s="2" t="s">
        <v>499</v>
      </c>
      <c r="D1" s="2" t="s">
        <v>58</v>
      </c>
      <c r="E1" s="3" t="s">
        <v>59</v>
      </c>
      <c r="F1" s="3" t="s">
        <v>60</v>
      </c>
      <c r="G1" s="3" t="s">
        <v>61</v>
      </c>
      <c r="H1" s="38" t="s">
        <v>62</v>
      </c>
      <c r="I1" s="39" t="s">
        <v>63</v>
      </c>
    </row>
    <row r="2" spans="1:10" s="84" customFormat="1" x14ac:dyDescent="0.2">
      <c r="A2" s="85">
        <v>1</v>
      </c>
      <c r="B2" s="86">
        <f>Total!B598</f>
        <v>41519</v>
      </c>
      <c r="C2" s="86">
        <f>Total!C598</f>
        <v>41542</v>
      </c>
      <c r="D2" s="86" t="str">
        <f>Total!D598</f>
        <v>Infraestructures.cat</v>
      </c>
      <c r="E2" s="86" t="str">
        <f>Total!E598</f>
        <v>Obra Civil</v>
      </c>
      <c r="F2" s="86" t="str">
        <f>Total!F598</f>
        <v>Projectes</v>
      </c>
      <c r="G2" s="86" t="str">
        <f>Total!G598</f>
        <v xml:space="preserve">PC. DC-05068-C1.3 </v>
      </c>
      <c r="H2" s="78" t="str">
        <f>Total!H598</f>
        <v>Contracte de serveis per a l'assistència tècnica per a la redacció del projecte complementari núm.1. Millora local. Mesures correctores d’impacte ambiental. Desdoblament de l’Eix Transversal. Carretera C-25, del PK 180+400 al PK 235+800. Tram: Vic – Caldes de Malavella. Clau: PC. DC-05068-C1.3</v>
      </c>
      <c r="I2" s="89">
        <f>Total!I598</f>
        <v>60000</v>
      </c>
      <c r="J2" s="90"/>
    </row>
    <row r="3" spans="1:10" s="84" customFormat="1" x14ac:dyDescent="0.2">
      <c r="A3" s="67">
        <v>2</v>
      </c>
      <c r="B3" s="86">
        <f>Total!B599</f>
        <v>41523</v>
      </c>
      <c r="C3" s="86">
        <f>Total!C599</f>
        <v>41547</v>
      </c>
      <c r="D3" s="86" t="str">
        <f>Total!D599</f>
        <v>Infraestructures.cat</v>
      </c>
      <c r="E3" s="86" t="str">
        <f>Total!E599</f>
        <v>Obra Civil</v>
      </c>
      <c r="F3" s="86" t="str">
        <f>Total!F599</f>
        <v>Projectes</v>
      </c>
      <c r="G3" s="86" t="str">
        <f>Total!G599</f>
        <v>PC. MB-13013</v>
      </c>
      <c r="H3" s="78" t="str">
        <f>Total!H599</f>
        <v>Contracte de serveis per a l'assistència tècnica per a la redacció del projecte constructiu de millora local. Seguretat viària. Millora de les característiques superficials del ferm i reestudi de la secció transversal. Carretera C-58. PK 30+365 al 37+790. Tram: Vacarisses - Castellbell i el Vilar. Clau: MB-13013</v>
      </c>
      <c r="I3" s="89">
        <f>Total!I599</f>
        <v>123900</v>
      </c>
    </row>
    <row r="4" spans="1:10" s="84" customFormat="1" x14ac:dyDescent="0.2">
      <c r="A4" s="67">
        <v>3</v>
      </c>
      <c r="B4" s="86">
        <f>Total!B600</f>
        <v>41523</v>
      </c>
      <c r="C4" s="86">
        <f>Total!C600</f>
        <v>41547</v>
      </c>
      <c r="D4" s="86" t="str">
        <f>Total!D600</f>
        <v>Infraestructures.cat</v>
      </c>
      <c r="E4" s="86" t="str">
        <f>Total!E600</f>
        <v>Obra Civil</v>
      </c>
      <c r="F4" s="86" t="str">
        <f>Total!F600</f>
        <v>Projectes</v>
      </c>
      <c r="G4" s="86" t="str">
        <f>Total!G600</f>
        <v>PC. MB-13010</v>
      </c>
      <c r="H4" s="78" t="str">
        <f>Total!H600</f>
        <v>Contracte de serveis per a l'assistència tècnica per a la redacció del projecte constructiu de millora local. Seguretat viària. Millora de les característiques superficials del ferm i reestudi de la secció transversal. Carretera C-58. PK 25+360 al 30+635. Tram: Viladecavalls - Vacarisses. Clau: MB-13010</v>
      </c>
      <c r="I4" s="89">
        <f>Total!I600</f>
        <v>110700</v>
      </c>
    </row>
    <row r="5" spans="1:10" s="84" customFormat="1" x14ac:dyDescent="0.2">
      <c r="A5" s="67">
        <v>4</v>
      </c>
      <c r="B5" s="86">
        <f>Total!B601</f>
        <v>41523</v>
      </c>
      <c r="C5" s="86">
        <f>Total!C601</f>
        <v>41547</v>
      </c>
      <c r="D5" s="86" t="str">
        <f>Total!D601</f>
        <v>Infraestructures.cat</v>
      </c>
      <c r="E5" s="86" t="str">
        <f>Total!E601</f>
        <v>Obra Civil</v>
      </c>
      <c r="F5" s="86" t="str">
        <f>Total!F601</f>
        <v>Projectes</v>
      </c>
      <c r="G5" s="86" t="str">
        <f>Total!G601</f>
        <v>PC. MB-13015</v>
      </c>
      <c r="H5" s="78" t="str">
        <f>Total!H601</f>
        <v>Contracte de serveis per a la redacció del projecte constructiu de millora local. Millora de la seguretat viària. Millora de les característiques superficials del ferm i reestudi de la secció transversal. Carretera C-55. PK 18+500 al 26+500. Tram: Castellbell i el Vilar - Manresa. Clau: MB-13015</v>
      </c>
      <c r="I5" s="89">
        <f>Total!I601</f>
        <v>65300</v>
      </c>
    </row>
    <row r="6" spans="1:10" s="84" customFormat="1" x14ac:dyDescent="0.2">
      <c r="A6" s="67">
        <v>5</v>
      </c>
      <c r="B6" s="86">
        <f>Total!B602</f>
        <v>41523</v>
      </c>
      <c r="C6" s="86">
        <f>Total!C602</f>
        <v>41547</v>
      </c>
      <c r="D6" s="86" t="str">
        <f>Total!D602</f>
        <v>Infraestructures.cat</v>
      </c>
      <c r="E6" s="86" t="str">
        <f>Total!E602</f>
        <v>Obra Civil</v>
      </c>
      <c r="F6" s="86" t="str">
        <f>Total!F602</f>
        <v>Projectes</v>
      </c>
      <c r="G6" s="86" t="str">
        <f>Total!G602</f>
        <v>PC. MB-13009</v>
      </c>
      <c r="H6" s="78" t="str">
        <f>Total!H602</f>
        <v>Contracte de serveis per a l'assistència tècnica per a la redacció del projecte constructiu de millora local. Seguretat viària. Millora de les característiques superficials del ferm i reestudi de la secció transversal. Carretera C-16. PK 97+138 al 112+630 Tram: Berga - Guardiola de Berguedà. Clau: MB-13009</v>
      </c>
      <c r="I6" s="89">
        <f>Total!I602</f>
        <v>97450</v>
      </c>
    </row>
    <row r="7" spans="1:10" s="84" customFormat="1" x14ac:dyDescent="0.2">
      <c r="A7" s="67">
        <v>6</v>
      </c>
      <c r="B7" s="86">
        <f>Total!B603</f>
        <v>41527</v>
      </c>
      <c r="C7" s="86">
        <f>Total!C603</f>
        <v>41547</v>
      </c>
      <c r="D7" s="86" t="str">
        <f>Total!D603</f>
        <v>Infraestructures.cat</v>
      </c>
      <c r="E7" s="86" t="str">
        <f>Total!E603</f>
        <v>Edificació</v>
      </c>
      <c r="F7" s="86" t="str">
        <f>Total!F603</f>
        <v>Direccions d'Obra</v>
      </c>
      <c r="G7" s="86" t="str">
        <f>Total!G603</f>
        <v>DO. INC-09235.A</v>
      </c>
      <c r="H7" s="78" t="str">
        <f>Total!H603</f>
        <v>Contracte de serveis per a la direcció de les obres de nova construcció SES 3/0 L (sense gimnàs) de la Secció d'Institut de l'Alt Foix de Sant Martí Sarroca (Alt Penedès). Clau:INC-09235.A</v>
      </c>
      <c r="I7" s="89">
        <f>Total!I603</f>
        <v>96203</v>
      </c>
    </row>
    <row r="8" spans="1:10" s="84" customFormat="1" x14ac:dyDescent="0.2">
      <c r="A8" s="67">
        <v>7</v>
      </c>
      <c r="B8" s="86">
        <f>Total!B604</f>
        <v>41529</v>
      </c>
      <c r="C8" s="86">
        <f>Total!C604</f>
        <v>41547</v>
      </c>
      <c r="D8" s="86" t="str">
        <f>Total!D604</f>
        <v>Infraestructures.cat</v>
      </c>
      <c r="E8" s="86" t="str">
        <f>Total!E604</f>
        <v>Edificació</v>
      </c>
      <c r="F8" s="86" t="str">
        <f>Total!F604</f>
        <v>Control de Qualitat</v>
      </c>
      <c r="G8" s="86" t="str">
        <f>Total!G604</f>
        <v>CQ. PNG-09207-C2+2</v>
      </c>
      <c r="H8" s="78" t="str">
        <f>Total!H604</f>
        <v>Contracte de serveis per a l'assistència tècnica conjunta pel control de qualitat de les obres corresponents al "projecte complementari núm.2: gimnàs-vestidors-porxo- mitja pista i acabats urbanització a l'Escola Pericot de Girona. Clau:PNG-09207-C2", "Nova construcció de l'Escola Sa Forcanera de Blanes. Clau:PNG-10096.A" i "Nova construcció de l'Escola La Benaula de Caldes de Malavella. Clau:PNG-09218"</v>
      </c>
      <c r="I8" s="89">
        <f>Total!I604</f>
        <v>101107.96</v>
      </c>
    </row>
    <row r="9" spans="1:10" s="84" customFormat="1" ht="13.5" thickBot="1" x14ac:dyDescent="0.25">
      <c r="A9" s="67">
        <v>8</v>
      </c>
      <c r="B9" s="86">
        <f>Total!B605</f>
        <v>41533</v>
      </c>
      <c r="C9" s="86">
        <f>Total!C605</f>
        <v>41549</v>
      </c>
      <c r="D9" s="86" t="str">
        <f>Total!D605</f>
        <v>Infraestructures.cat</v>
      </c>
      <c r="E9" s="86" t="str">
        <f>Total!E605</f>
        <v>Edificació</v>
      </c>
      <c r="F9" s="86" t="s">
        <v>1257</v>
      </c>
      <c r="G9" s="86" t="str">
        <f>Total!G605</f>
        <v>CSS.UPC-13291-2</v>
      </c>
      <c r="H9" s="86" t="str">
        <f>Total!H605</f>
        <v>Serveis per a la assistència tècnica de coordinació de seguretat i saltu conjunta de les obres de l'edifici A del Campus Diagonal-Besòs a Barcelona. Nova construcció de l'estructura sobre rasant. Obres edifici A del Campus Diagonal-Besòs a Barcelona.</v>
      </c>
      <c r="I9" s="91">
        <f>Total!I605</f>
        <v>100237.5</v>
      </c>
    </row>
    <row r="10" spans="1:10" ht="13.5" thickBot="1" x14ac:dyDescent="0.25">
      <c r="B10" s="80"/>
      <c r="H10" s="82"/>
      <c r="I10" s="81">
        <f>SUM(I2:I9)</f>
        <v>754898.46</v>
      </c>
    </row>
  </sheetData>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K14"/>
  <sheetViews>
    <sheetView workbookViewId="0">
      <selection activeCell="E3" sqref="E3"/>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51"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s="84" customFormat="1" x14ac:dyDescent="0.2">
      <c r="A2" s="85">
        <v>1</v>
      </c>
      <c r="B2" s="86">
        <f>Total!B596</f>
        <v>41494</v>
      </c>
      <c r="C2" s="86">
        <f>Total!C596</f>
        <v>41536</v>
      </c>
      <c r="D2" s="86" t="str">
        <f>Total!D596</f>
        <v>Infraestructures.cat</v>
      </c>
      <c r="E2" s="86" t="str">
        <f>Total!E596</f>
        <v>Edificació</v>
      </c>
      <c r="F2" s="86" t="str">
        <f>Total!F596</f>
        <v>Direccions d'Execució</v>
      </c>
      <c r="G2" s="86" t="str">
        <f>Total!G596</f>
        <v>DE. UPC-13291+2</v>
      </c>
      <c r="H2" s="86" t="str">
        <f>Total!H596</f>
        <v>Contracte de serveis per a la direcció d'execució conjunta de les obres de l’edifici A del Campus Diagonal - Besòs, a Barcelona. Nova Construcció de l'estructura sobre rasant. Clau: UPC-13291, Obres de l’edifici A del Campus Diagonal - Besòs, a Barcelona. Constru cció dels acabats finals de l’edifici, 1a. Fase.Clau:UPC-13292.1 i Obres de l’edifici A del Campus Diagonal - Besòs, a Barcelona. Construcció dels acabats finals de l’edifici, 2a. Fase.Clau: UPC-13292.2</v>
      </c>
      <c r="I2" s="87">
        <f>Total!I596</f>
        <v>590467</v>
      </c>
    </row>
    <row r="3" spans="1:11" s="84" customFormat="1" ht="13.5" thickBot="1" x14ac:dyDescent="0.25">
      <c r="A3" s="85">
        <f t="shared" ref="A3" si="0">A2+1</f>
        <v>2</v>
      </c>
      <c r="B3" s="86">
        <f>Total!B597</f>
        <v>41494</v>
      </c>
      <c r="C3" s="86">
        <f>Total!C597</f>
        <v>41536</v>
      </c>
      <c r="D3" s="86" t="str">
        <f>Total!D597</f>
        <v>Infraestructures.cat</v>
      </c>
      <c r="E3" s="86" t="str">
        <f>Total!E597</f>
        <v>Edificació</v>
      </c>
      <c r="F3" s="86" t="str">
        <f>Total!F597</f>
        <v>Direccions d'Execució</v>
      </c>
      <c r="G3" s="86" t="str">
        <f>Total!G597</f>
        <v>DO. UPC-13291+2</v>
      </c>
      <c r="H3" s="86" t="str">
        <f>Total!H597</f>
        <v>Contracte de serveis per a la direcció d'obra conjunta de les obres de l’edifici A del Campus Diagonal - Besòs, a Barcelona. Nova Construcció de l'estructura sobre rasant. Clau:UPC-13291, Obres de l’edifici A del Campus Diagonal - Besòs, a Barcelona. Construcció dels acabats finals de l’edifici, 1a. Fase. Clau: UPC-13292.1 i Obres de l’edifici A del Campus Diagonal - Besòs, a Barcelona. Construcció dels acabats finals de l’edifici, 2a. Fase.Clau: UPC-13292.2</v>
      </c>
      <c r="I3" s="87">
        <f>Total!I597</f>
        <v>498503.32</v>
      </c>
      <c r="K3" s="88"/>
    </row>
    <row r="4" spans="1:11" ht="13.5" hidden="1" thickBot="1" x14ac:dyDescent="0.25">
      <c r="A4" s="8" t="e">
        <f>#REF!+1</f>
        <v>#REF!</v>
      </c>
      <c r="B4" s="9"/>
      <c r="C4" s="9"/>
      <c r="D4" s="34"/>
      <c r="E4" s="34"/>
      <c r="F4" s="34"/>
      <c r="G4" s="34"/>
      <c r="H4" s="34"/>
      <c r="I4" s="6"/>
    </row>
    <row r="5" spans="1:11" ht="13.5" hidden="1" thickBot="1" x14ac:dyDescent="0.25">
      <c r="A5" s="8" t="e">
        <f>A4+1</f>
        <v>#REF!</v>
      </c>
      <c r="B5" s="9"/>
      <c r="C5" s="9"/>
      <c r="D5" s="34"/>
      <c r="E5" s="34"/>
      <c r="F5" s="34"/>
      <c r="G5" s="34"/>
      <c r="H5" s="34"/>
      <c r="I5" s="6"/>
    </row>
    <row r="6" spans="1:11" ht="13.5" hidden="1" thickBot="1" x14ac:dyDescent="0.25">
      <c r="A6" s="8" t="e">
        <f t="shared" ref="A6:A13" si="1">A5+1</f>
        <v>#REF!</v>
      </c>
      <c r="B6" s="9"/>
      <c r="C6" s="9"/>
      <c r="D6" s="34"/>
      <c r="E6" s="34"/>
      <c r="F6" s="34"/>
      <c r="G6" s="34"/>
      <c r="H6" s="34"/>
      <c r="I6" s="6"/>
    </row>
    <row r="7" spans="1:11" ht="13.5" hidden="1" thickBot="1" x14ac:dyDescent="0.25">
      <c r="A7" s="8" t="e">
        <f t="shared" si="1"/>
        <v>#REF!</v>
      </c>
      <c r="B7" s="9"/>
      <c r="C7" s="9"/>
      <c r="D7" s="34"/>
      <c r="E7" s="34"/>
      <c r="F7" s="34"/>
      <c r="G7" s="34"/>
      <c r="H7" s="34"/>
      <c r="I7" s="6"/>
    </row>
    <row r="8" spans="1:11" ht="13.5" hidden="1" thickBot="1" x14ac:dyDescent="0.25">
      <c r="A8" s="8" t="e">
        <f t="shared" si="1"/>
        <v>#REF!</v>
      </c>
      <c r="B8" s="9"/>
      <c r="C8" s="9"/>
      <c r="D8" s="34"/>
      <c r="E8" s="34"/>
      <c r="F8" s="34"/>
      <c r="G8" s="34"/>
      <c r="H8" s="34"/>
      <c r="I8" s="6"/>
    </row>
    <row r="9" spans="1:11" ht="13.5" hidden="1" thickBot="1" x14ac:dyDescent="0.25">
      <c r="A9" s="8" t="e">
        <f t="shared" si="1"/>
        <v>#REF!</v>
      </c>
      <c r="B9" s="9"/>
      <c r="C9" s="9"/>
      <c r="D9" s="34"/>
      <c r="E9" s="34"/>
      <c r="F9" s="34"/>
      <c r="G9" s="34"/>
      <c r="H9" s="34"/>
      <c r="I9" s="6"/>
    </row>
    <row r="10" spans="1:11" ht="13.5" hidden="1" thickBot="1" x14ac:dyDescent="0.25">
      <c r="A10" s="8" t="e">
        <f t="shared" si="1"/>
        <v>#REF!</v>
      </c>
      <c r="B10" s="9"/>
      <c r="C10" s="9"/>
      <c r="D10" s="34"/>
      <c r="E10" s="34"/>
      <c r="F10" s="34"/>
      <c r="G10" s="34"/>
      <c r="H10" s="34"/>
      <c r="I10" s="6"/>
    </row>
    <row r="11" spans="1:11" ht="13.5" hidden="1" thickBot="1" x14ac:dyDescent="0.25">
      <c r="A11" s="8" t="e">
        <f t="shared" si="1"/>
        <v>#REF!</v>
      </c>
      <c r="B11" s="9"/>
      <c r="C11" s="9"/>
      <c r="D11" s="34"/>
      <c r="E11" s="34"/>
      <c r="F11" s="34"/>
      <c r="G11" s="34"/>
      <c r="H11" s="34"/>
      <c r="I11" s="6"/>
    </row>
    <row r="12" spans="1:11" ht="13.5" hidden="1" thickBot="1" x14ac:dyDescent="0.25">
      <c r="A12" s="8" t="e">
        <f t="shared" si="1"/>
        <v>#REF!</v>
      </c>
      <c r="B12" s="9"/>
      <c r="C12" s="9"/>
      <c r="D12" s="34"/>
      <c r="E12" s="34"/>
      <c r="F12" s="34"/>
      <c r="G12" s="34"/>
      <c r="H12" s="34"/>
      <c r="I12" s="6"/>
    </row>
    <row r="13" spans="1:11" ht="13.5" hidden="1" thickBot="1" x14ac:dyDescent="0.25">
      <c r="A13" s="8" t="e">
        <f t="shared" si="1"/>
        <v>#REF!</v>
      </c>
      <c r="B13" s="9"/>
      <c r="C13" s="9"/>
      <c r="D13" s="34"/>
      <c r="E13" s="34"/>
      <c r="F13" s="34"/>
      <c r="G13" s="34"/>
      <c r="H13" s="34"/>
      <c r="I13" s="6"/>
    </row>
    <row r="14" spans="1:11" ht="13.5" thickBot="1" x14ac:dyDescent="0.25">
      <c r="I14" s="33">
        <f>SUM(I2:I13)</f>
        <v>1088970.32</v>
      </c>
    </row>
  </sheetData>
  <pageMargins left="0.75" right="0.75" top="1" bottom="1" header="0.5" footer="0.5"/>
  <pageSetup paperSize="9" orientation="portrait" horizontalDpi="4294967292" verticalDpi="4294967292"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K15"/>
  <sheetViews>
    <sheetView topLeftCell="B1" workbookViewId="0">
      <selection activeCell="A15" sqref="A1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Total!B593</f>
        <v>41460</v>
      </c>
      <c r="C2" s="9">
        <f>Total!C593</f>
        <v>41519</v>
      </c>
      <c r="D2" s="34" t="str">
        <f>Total!D593</f>
        <v>Infraestructures.cat</v>
      </c>
      <c r="E2" s="34" t="str">
        <f>Total!E593</f>
        <v>Edificació</v>
      </c>
      <c r="F2" s="34" t="str">
        <f>Total!F593</f>
        <v>Projectes i Direccions d'Obra</v>
      </c>
      <c r="G2" s="34" t="str">
        <f>Total!G593</f>
        <v>PE+DB. INA-12903 (1v)</v>
      </c>
      <c r="H2" s="34" t="str">
        <f>Total!H593</f>
        <v>Contracte de serveis per a l'assistència tècnica per a la redacció del projecte bàsic i executiu, l'avantprojecte,l'estudi de seguretat i salut, l'estudi geotècnic, el projecte d'activitats per a llicència ambiental, i la certificació d'eficiència energètica del projecte i posterior Direcció d'obra i certificació d'eficiència energètica de final d'obra de la nova construcció Institut Lluís de Requesens de Molins de Rei. Clau: INA-12903(1v)</v>
      </c>
      <c r="I2" s="6">
        <f>Total!I593</f>
        <v>415154</v>
      </c>
    </row>
    <row r="3" spans="1:11" x14ac:dyDescent="0.2">
      <c r="A3" s="8">
        <f t="shared" ref="A3:A5" si="0">A2+1</f>
        <v>2</v>
      </c>
      <c r="B3" s="9">
        <f>Total!B594</f>
        <v>41473</v>
      </c>
      <c r="C3" s="9">
        <f>Total!C594</f>
        <v>41533</v>
      </c>
      <c r="D3" s="34" t="str">
        <f>Total!D594</f>
        <v>Infraestructures.cat</v>
      </c>
      <c r="E3" s="34" t="str">
        <f>Total!E594</f>
        <v>Edificació</v>
      </c>
      <c r="F3" s="34" t="str">
        <f>Total!F594</f>
        <v>Direccions d'Execució</v>
      </c>
      <c r="G3" s="34" t="str">
        <f>Total!G594</f>
        <v>DE. INC-07455</v>
      </c>
      <c r="H3" s="34" t="str">
        <f>Total!H594</f>
        <v>Contracte de serveis per a la direcció d'execució de les obres de Nova construcció de l'Institut Cal Gravat de Manresa. Clau: INC-07455</v>
      </c>
      <c r="I3" s="6">
        <f>Total!I594</f>
        <v>139724</v>
      </c>
      <c r="K3" s="1"/>
    </row>
    <row r="4" spans="1:11" ht="13.5" thickBot="1" x14ac:dyDescent="0.25">
      <c r="A4" s="8">
        <f>A3+1</f>
        <v>3</v>
      </c>
      <c r="B4" s="9">
        <f>Total!B595</f>
        <v>41473</v>
      </c>
      <c r="C4" s="9">
        <f>Total!C595</f>
        <v>41533</v>
      </c>
      <c r="D4" s="34" t="str">
        <f>Total!D595</f>
        <v>Infraestructures.cat</v>
      </c>
      <c r="E4" s="34" t="str">
        <f>Total!E595</f>
        <v>Edificació</v>
      </c>
      <c r="F4" s="34" t="str">
        <f>Total!F595</f>
        <v>Control de Qualitat</v>
      </c>
      <c r="G4" s="34" t="str">
        <f>Total!G595</f>
        <v>CQ. INC-07455</v>
      </c>
      <c r="H4" s="34" t="str">
        <f>Total!H595</f>
        <v>Contracte de serveis per a l'assistència tècnica de control de qualitat de les obres de Nova construcció de l'Institut Cal Gravat de Manresa. Clau:INC-07455</v>
      </c>
      <c r="I4" s="6">
        <f>Total!I595</f>
        <v>67494.2</v>
      </c>
    </row>
    <row r="5" spans="1:11" hidden="1" x14ac:dyDescent="0.2">
      <c r="A5" s="8">
        <f t="shared" si="0"/>
        <v>4</v>
      </c>
      <c r="B5" s="9"/>
      <c r="C5" s="9"/>
      <c r="D5" s="34"/>
      <c r="E5" s="34"/>
      <c r="F5" s="34"/>
      <c r="G5" s="34"/>
      <c r="H5" s="34"/>
      <c r="I5" s="6"/>
    </row>
    <row r="6" spans="1:11" hidden="1" x14ac:dyDescent="0.2">
      <c r="A6" s="8">
        <f>A5+1</f>
        <v>5</v>
      </c>
      <c r="B6" s="9"/>
      <c r="C6" s="9"/>
      <c r="D6" s="34"/>
      <c r="E6" s="34"/>
      <c r="F6" s="34"/>
      <c r="G6" s="34"/>
      <c r="H6" s="34"/>
      <c r="I6" s="6"/>
    </row>
    <row r="7" spans="1:11" hidden="1" x14ac:dyDescent="0.2">
      <c r="A7" s="8">
        <f t="shared" ref="A7:A14" si="1">A6+1</f>
        <v>6</v>
      </c>
      <c r="B7" s="9"/>
      <c r="C7" s="9"/>
      <c r="D7" s="34"/>
      <c r="E7" s="34"/>
      <c r="F7" s="34"/>
      <c r="G7" s="34"/>
      <c r="H7" s="34"/>
      <c r="I7" s="6"/>
    </row>
    <row r="8" spans="1:11" hidden="1" x14ac:dyDescent="0.2">
      <c r="A8" s="8">
        <f t="shared" si="1"/>
        <v>7</v>
      </c>
      <c r="B8" s="9"/>
      <c r="C8" s="9"/>
      <c r="D8" s="34"/>
      <c r="E8" s="34"/>
      <c r="F8" s="34"/>
      <c r="G8" s="34"/>
      <c r="H8" s="34"/>
      <c r="I8" s="6"/>
    </row>
    <row r="9" spans="1:11" hidden="1" x14ac:dyDescent="0.2">
      <c r="A9" s="8">
        <f t="shared" si="1"/>
        <v>8</v>
      </c>
      <c r="B9" s="9"/>
      <c r="C9" s="9"/>
      <c r="D9" s="34"/>
      <c r="E9" s="34"/>
      <c r="F9" s="34"/>
      <c r="G9" s="34"/>
      <c r="H9" s="34"/>
      <c r="I9" s="6"/>
    </row>
    <row r="10" spans="1:11" hidden="1" x14ac:dyDescent="0.2">
      <c r="A10" s="8">
        <f t="shared" si="1"/>
        <v>9</v>
      </c>
      <c r="B10" s="9"/>
      <c r="C10" s="9"/>
      <c r="D10" s="34"/>
      <c r="E10" s="34"/>
      <c r="F10" s="34"/>
      <c r="G10" s="34"/>
      <c r="H10" s="34"/>
      <c r="I10" s="6"/>
    </row>
    <row r="11" spans="1:11" hidden="1" x14ac:dyDescent="0.2">
      <c r="A11" s="8">
        <f t="shared" si="1"/>
        <v>10</v>
      </c>
      <c r="B11" s="9"/>
      <c r="C11" s="9"/>
      <c r="D11" s="34"/>
      <c r="E11" s="34"/>
      <c r="F11" s="34"/>
      <c r="G11" s="34"/>
      <c r="H11" s="34"/>
      <c r="I11" s="6"/>
    </row>
    <row r="12" spans="1:11" hidden="1" x14ac:dyDescent="0.2">
      <c r="A12" s="8">
        <f t="shared" si="1"/>
        <v>11</v>
      </c>
      <c r="B12" s="9"/>
      <c r="C12" s="9"/>
      <c r="D12" s="34"/>
      <c r="E12" s="34"/>
      <c r="F12" s="34"/>
      <c r="G12" s="34"/>
      <c r="H12" s="34"/>
      <c r="I12" s="6"/>
    </row>
    <row r="13" spans="1:11" hidden="1" x14ac:dyDescent="0.2">
      <c r="A13" s="8">
        <f t="shared" si="1"/>
        <v>12</v>
      </c>
      <c r="B13" s="9"/>
      <c r="C13" s="9"/>
      <c r="D13" s="34"/>
      <c r="E13" s="34"/>
      <c r="F13" s="34"/>
      <c r="G13" s="34"/>
      <c r="H13" s="34"/>
      <c r="I13" s="6"/>
    </row>
    <row r="14" spans="1:11" ht="13.5" hidden="1" thickBot="1" x14ac:dyDescent="0.25">
      <c r="A14" s="8">
        <f t="shared" si="1"/>
        <v>13</v>
      </c>
      <c r="B14" s="9"/>
      <c r="C14" s="9"/>
      <c r="D14" s="34"/>
      <c r="E14" s="34"/>
      <c r="F14" s="34"/>
      <c r="G14" s="34"/>
      <c r="H14" s="34"/>
      <c r="I14" s="6"/>
    </row>
    <row r="15" spans="1:11" ht="13.5" thickBot="1" x14ac:dyDescent="0.25">
      <c r="I15" s="33">
        <f>SUM(I2:I14)</f>
        <v>622372.19999999995</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15"/>
  <sheetViews>
    <sheetView workbookViewId="0">
      <selection activeCell="A15" sqref="A1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Total!B590</f>
        <v>41428</v>
      </c>
      <c r="C2" s="9">
        <f>Total!C590</f>
        <v>41444</v>
      </c>
      <c r="D2" s="34" t="str">
        <f>Total!D590</f>
        <v>Infraestructures.cat</v>
      </c>
      <c r="E2" s="34" t="str">
        <f>Total!E590</f>
        <v>Edificació</v>
      </c>
      <c r="F2" s="34" t="str">
        <f>Total!F590</f>
        <v>Projectes i Direccions d'Obra</v>
      </c>
      <c r="G2" s="34" t="str">
        <f>Total!G590</f>
        <v>PE+DO TM-99500.1A-M1-C5</v>
      </c>
      <c r="H2" s="34" t="str">
        <f>Total!H590</f>
        <v>Contracte de serveis per a l'assistència tècnica per a la redacció del projecte constructiu i la posterior direcció de les obres de vestidors de les instal·lacions esportives de la Vall d'Hebron (Teixonera). Clau: TM-99500.1A-M1-C5</v>
      </c>
      <c r="I2" s="6">
        <f>Total!I590</f>
        <v>112517</v>
      </c>
    </row>
    <row r="3" spans="1:11" x14ac:dyDescent="0.2">
      <c r="A3" s="8">
        <f t="shared" ref="A3:A5" si="0">A2+1</f>
        <v>2</v>
      </c>
      <c r="B3" s="9">
        <f>Total!B591</f>
        <v>41453</v>
      </c>
      <c r="C3" s="9">
        <f>Total!C591</f>
        <v>41470</v>
      </c>
      <c r="D3" s="34" t="str">
        <f>Total!D591</f>
        <v>Infraestructures.cat</v>
      </c>
      <c r="E3" s="34" t="str">
        <f>Total!E591</f>
        <v>Obra Civil</v>
      </c>
      <c r="F3" s="34" t="str">
        <f>Total!F591</f>
        <v>Direccions d'Obra</v>
      </c>
      <c r="G3" s="34" t="str">
        <f>Total!G591</f>
        <v>DO. VX-09312.1</v>
      </c>
      <c r="H3" s="34" t="str">
        <f>Total!H591</f>
        <v>Contracte de serveis per a l'assistència tècnica per a la direcció de les obres del projecte constructiu de la xarxa de distribució dels regs de l'entorn de embassament de Rialb. Xarxa de Peramola - Bassella marge dret TTMM Peramola-Bassella (Alt Urgell). Separata. Clau: VX.09312.1</v>
      </c>
      <c r="I3" s="6">
        <f>Total!I591</f>
        <v>120000</v>
      </c>
      <c r="K3" s="1"/>
    </row>
    <row r="4" spans="1:11" ht="13.5" thickBot="1" x14ac:dyDescent="0.25">
      <c r="A4" s="8">
        <f t="shared" si="0"/>
        <v>3</v>
      </c>
      <c r="B4" s="9">
        <f>Total!B592</f>
        <v>41453</v>
      </c>
      <c r="C4" s="9">
        <f>Total!C592</f>
        <v>41470</v>
      </c>
      <c r="D4" s="34" t="str">
        <f>Total!D592</f>
        <v>Infraestructures.cat</v>
      </c>
      <c r="E4" s="34" t="str">
        <f>Total!E592</f>
        <v>Obra Civil</v>
      </c>
      <c r="F4" s="34" t="str">
        <f>Total!F592</f>
        <v>Projectes</v>
      </c>
      <c r="G4" s="34" t="str">
        <f>Total!G592</f>
        <v>EV. EC16</v>
      </c>
      <c r="H4" s="34" t="str">
        <f>Total!H592</f>
        <v>Contracte de serveis per a l'assistència tècnica per a la realització dels treballs de cartografia corresponents als estudis i projectes d'obra civil que són encarregats pels Departaments de la Generalitat. Clau: EC16</v>
      </c>
      <c r="I4" s="6">
        <f>Total!I592</f>
        <v>199000</v>
      </c>
    </row>
    <row r="5" spans="1:11" hidden="1" x14ac:dyDescent="0.2">
      <c r="A5" s="8">
        <f t="shared" si="0"/>
        <v>4</v>
      </c>
      <c r="B5" s="9"/>
      <c r="C5" s="9"/>
      <c r="D5" s="34"/>
      <c r="E5" s="34"/>
      <c r="F5" s="34"/>
      <c r="G5" s="34"/>
      <c r="H5" s="34"/>
      <c r="I5" s="6"/>
    </row>
    <row r="6" spans="1:11" hidden="1" x14ac:dyDescent="0.2">
      <c r="A6" s="8">
        <f>A5+1</f>
        <v>5</v>
      </c>
      <c r="B6" s="9"/>
      <c r="C6" s="9"/>
      <c r="D6" s="34"/>
      <c r="E6" s="34"/>
      <c r="F6" s="34"/>
      <c r="G6" s="34"/>
      <c r="H6" s="34"/>
      <c r="I6" s="6"/>
    </row>
    <row r="7" spans="1:11" hidden="1" x14ac:dyDescent="0.2">
      <c r="A7" s="8">
        <f t="shared" ref="A7:A14" si="1">A6+1</f>
        <v>6</v>
      </c>
      <c r="B7" s="9"/>
      <c r="C7" s="9"/>
      <c r="D7" s="34"/>
      <c r="E7" s="34"/>
      <c r="F7" s="34"/>
      <c r="G7" s="34"/>
      <c r="H7" s="34"/>
      <c r="I7" s="6"/>
    </row>
    <row r="8" spans="1:11" hidden="1" x14ac:dyDescent="0.2">
      <c r="A8" s="8">
        <f t="shared" si="1"/>
        <v>7</v>
      </c>
      <c r="B8" s="9"/>
      <c r="C8" s="9"/>
      <c r="D8" s="34"/>
      <c r="E8" s="34"/>
      <c r="F8" s="34"/>
      <c r="G8" s="34"/>
      <c r="H8" s="34"/>
      <c r="I8" s="6"/>
    </row>
    <row r="9" spans="1:11" hidden="1" x14ac:dyDescent="0.2">
      <c r="A9" s="8">
        <f t="shared" si="1"/>
        <v>8</v>
      </c>
      <c r="B9" s="9"/>
      <c r="C9" s="9"/>
      <c r="D9" s="34"/>
      <c r="E9" s="34"/>
      <c r="F9" s="34"/>
      <c r="G9" s="34"/>
      <c r="H9" s="34"/>
      <c r="I9" s="6"/>
    </row>
    <row r="10" spans="1:11" hidden="1" x14ac:dyDescent="0.2">
      <c r="A10" s="8">
        <f t="shared" si="1"/>
        <v>9</v>
      </c>
      <c r="B10" s="9"/>
      <c r="C10" s="9"/>
      <c r="D10" s="34"/>
      <c r="E10" s="34"/>
      <c r="F10" s="34"/>
      <c r="G10" s="34"/>
      <c r="H10" s="34"/>
      <c r="I10" s="6"/>
    </row>
    <row r="11" spans="1:11" hidden="1" x14ac:dyDescent="0.2">
      <c r="A11" s="8">
        <f t="shared" si="1"/>
        <v>10</v>
      </c>
      <c r="B11" s="9"/>
      <c r="C11" s="9"/>
      <c r="D11" s="34"/>
      <c r="E11" s="34"/>
      <c r="F11" s="34"/>
      <c r="G11" s="34"/>
      <c r="H11" s="34"/>
      <c r="I11" s="6"/>
    </row>
    <row r="12" spans="1:11" hidden="1" x14ac:dyDescent="0.2">
      <c r="A12" s="8">
        <f t="shared" si="1"/>
        <v>11</v>
      </c>
      <c r="B12" s="9"/>
      <c r="C12" s="9"/>
      <c r="D12" s="34"/>
      <c r="E12" s="34"/>
      <c r="F12" s="34"/>
      <c r="G12" s="34"/>
      <c r="H12" s="34"/>
      <c r="I12" s="6"/>
    </row>
    <row r="13" spans="1:11" hidden="1" x14ac:dyDescent="0.2">
      <c r="A13" s="8">
        <f t="shared" si="1"/>
        <v>12</v>
      </c>
      <c r="B13" s="9"/>
      <c r="C13" s="9"/>
      <c r="D13" s="34"/>
      <c r="E13" s="34"/>
      <c r="F13" s="34"/>
      <c r="G13" s="34"/>
      <c r="H13" s="34"/>
      <c r="I13" s="6"/>
    </row>
    <row r="14" spans="1:11" ht="13.5" hidden="1" thickBot="1" x14ac:dyDescent="0.25">
      <c r="A14" s="8">
        <f t="shared" si="1"/>
        <v>13</v>
      </c>
      <c r="B14" s="9"/>
      <c r="C14" s="9"/>
      <c r="D14" s="34"/>
      <c r="E14" s="34"/>
      <c r="F14" s="34"/>
      <c r="G14" s="34"/>
      <c r="H14" s="34"/>
      <c r="I14" s="6"/>
    </row>
    <row r="15" spans="1:11" ht="13.5" thickBot="1" x14ac:dyDescent="0.25">
      <c r="I15" s="33">
        <f>SUM(I2:I14)</f>
        <v>431517</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K15"/>
  <sheetViews>
    <sheetView workbookViewId="0">
      <selection activeCell="B15" sqref="B1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53.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Total!B585</f>
        <v>41408</v>
      </c>
      <c r="C2" s="9">
        <f>Total!C585</f>
        <v>41428</v>
      </c>
      <c r="D2" s="34" t="str">
        <f>Total!D585</f>
        <v>Infraestructures.cat</v>
      </c>
      <c r="E2" s="34" t="str">
        <f>Total!E585</f>
        <v>Edificació</v>
      </c>
      <c r="F2" s="34" t="str">
        <f>Total!F585</f>
        <v>Control de Qualitat</v>
      </c>
      <c r="G2" s="34" t="str">
        <f>Total!G585</f>
        <v>CQ. INM-08407</v>
      </c>
      <c r="H2" s="34" t="str">
        <f>Total!H585</f>
        <v>Contracte de serveis per a l'assistència tècnica del control de qualitat de les obres per a la Nova construcció 2 línies de l'Institut de Sant Vicenç de Montalt. Clau: INM-08407</v>
      </c>
      <c r="I2" s="6">
        <f>Total!I585</f>
        <v>54904.14</v>
      </c>
    </row>
    <row r="3" spans="1:11" x14ac:dyDescent="0.2">
      <c r="A3" s="8">
        <f t="shared" ref="A3:A5" si="0">A2+1</f>
        <v>2</v>
      </c>
      <c r="B3" s="9">
        <f>Total!B586</f>
        <v>41408</v>
      </c>
      <c r="C3" s="9">
        <f>Total!C586</f>
        <v>41428</v>
      </c>
      <c r="D3" s="34" t="str">
        <f>Total!D586</f>
        <v>Infraestructures.cat</v>
      </c>
      <c r="E3" s="34" t="str">
        <f>Total!E586</f>
        <v>Edificació</v>
      </c>
      <c r="F3" s="34" t="str">
        <f>Total!F586</f>
        <v>Direccions d'Execució</v>
      </c>
      <c r="G3" s="34" t="str">
        <f>Total!G586</f>
        <v>DE. INM-08407</v>
      </c>
      <c r="H3" s="34" t="str">
        <f>Total!H586</f>
        <v>Contracte de serveis per a la direcció d'execució de les obres per a la Nova construcció 2 línies de l'Institut de Sant Vicenç de Montalt. Clau: INM-08407</v>
      </c>
      <c r="I3" s="6">
        <f>Total!I586</f>
        <v>121601</v>
      </c>
      <c r="K3" s="1"/>
    </row>
    <row r="4" spans="1:11" x14ac:dyDescent="0.2">
      <c r="A4" s="8">
        <f t="shared" si="0"/>
        <v>3</v>
      </c>
      <c r="B4" s="9">
        <f>Total!B587</f>
        <v>41409</v>
      </c>
      <c r="C4" s="9">
        <f>Total!C587</f>
        <v>41428</v>
      </c>
      <c r="D4" s="34" t="str">
        <f>Total!D587</f>
        <v>Infraestructures.cat</v>
      </c>
      <c r="E4" s="34" t="str">
        <f>Total!E587</f>
        <v>Edificació</v>
      </c>
      <c r="F4" s="34" t="str">
        <f>Total!F587</f>
        <v>Direccions d'Obra</v>
      </c>
      <c r="G4" s="34" t="str">
        <f>Total!G587</f>
        <v>DO. PNT-12010</v>
      </c>
      <c r="H4" s="34" t="str">
        <f>Total!H587</f>
        <v>Contracte de serveis per a la direcció de les obres de la nova construcció 2 línies de l'Escola La Canaleta de Vila-seca. Clau: PNT-12010</v>
      </c>
      <c r="I4" s="6">
        <f>Total!I587</f>
        <v>86893</v>
      </c>
    </row>
    <row r="5" spans="1:11" x14ac:dyDescent="0.2">
      <c r="A5" s="8">
        <f t="shared" si="0"/>
        <v>4</v>
      </c>
      <c r="B5" s="9">
        <f>Total!B588</f>
        <v>41425</v>
      </c>
      <c r="C5" s="9">
        <f>Total!C588</f>
        <v>41444</v>
      </c>
      <c r="D5" s="34" t="str">
        <f>Total!D588</f>
        <v>Infraestructures.cat</v>
      </c>
      <c r="E5" s="34" t="str">
        <f>Total!E588</f>
        <v>Edificació</v>
      </c>
      <c r="F5" s="34" t="str">
        <f>Total!F588</f>
        <v>Projectes i Direccions d'Obra</v>
      </c>
      <c r="G5" s="34" t="str">
        <f>Total!G588</f>
        <v>PE+DB. CAP-13206 (1v)</v>
      </c>
      <c r="H5" s="34" t="str">
        <f>Total!H588</f>
        <v>Contracte de serveis per a l'assistència tècnica per a la redacció del projecte bàsic i executiu i posterior Direcció d'obra de l'ampliació del CAP El Pla de Sant Feliu de Llobregat. Clau: CAP-13206</v>
      </c>
      <c r="I5" s="6">
        <f>Total!I588</f>
        <v>199427</v>
      </c>
    </row>
    <row r="6" spans="1:11" ht="13.5" thickBot="1" x14ac:dyDescent="0.25">
      <c r="A6" s="8">
        <f>A5+1</f>
        <v>5</v>
      </c>
      <c r="B6" s="9">
        <f>Total!B589</f>
        <v>41425</v>
      </c>
      <c r="C6" s="9">
        <f>Total!C589</f>
        <v>41442</v>
      </c>
      <c r="D6" s="34" t="str">
        <f>Total!D589</f>
        <v>Infraestructures.cat</v>
      </c>
      <c r="E6" s="34" t="str">
        <f>Total!E589</f>
        <v>Edificació</v>
      </c>
      <c r="F6" s="34" t="str">
        <f>Total!F589</f>
        <v>Direccions d'Execució</v>
      </c>
      <c r="G6" s="34" t="str">
        <f>Total!G589</f>
        <v>DE. INL-12909</v>
      </c>
      <c r="H6" s="34" t="str">
        <f>Total!H589</f>
        <v>Contracte de serveis per a la direcció d'execució de les obres per a la Nova construcció de la Secció d'Institut de La Seu d'Urgell, 2/0. Clau: INL-12909</v>
      </c>
      <c r="I6" s="6">
        <f>Total!I589</f>
        <v>65733</v>
      </c>
    </row>
    <row r="7" spans="1:11" hidden="1" x14ac:dyDescent="0.2">
      <c r="A7" s="8">
        <f t="shared" ref="A7:A14" si="1">A6+1</f>
        <v>6</v>
      </c>
      <c r="B7" s="9"/>
      <c r="C7" s="9"/>
      <c r="D7" s="34"/>
      <c r="E7" s="34"/>
      <c r="F7" s="34"/>
      <c r="G7" s="34"/>
      <c r="H7" s="34"/>
      <c r="I7" s="6"/>
    </row>
    <row r="8" spans="1:11" hidden="1" x14ac:dyDescent="0.2">
      <c r="A8" s="8">
        <f t="shared" si="1"/>
        <v>7</v>
      </c>
      <c r="B8" s="9"/>
      <c r="C8" s="9"/>
      <c r="D8" s="34"/>
      <c r="E8" s="34"/>
      <c r="F8" s="34"/>
      <c r="G8" s="34"/>
      <c r="H8" s="34"/>
      <c r="I8" s="6"/>
    </row>
    <row r="9" spans="1:11" hidden="1" x14ac:dyDescent="0.2">
      <c r="A9" s="8">
        <f t="shared" si="1"/>
        <v>8</v>
      </c>
      <c r="B9" s="9"/>
      <c r="C9" s="9"/>
      <c r="D9" s="34"/>
      <c r="E9" s="34"/>
      <c r="F9" s="34"/>
      <c r="G9" s="34"/>
      <c r="H9" s="34"/>
      <c r="I9" s="6"/>
    </row>
    <row r="10" spans="1:11" hidden="1" x14ac:dyDescent="0.2">
      <c r="A10" s="8">
        <f t="shared" si="1"/>
        <v>9</v>
      </c>
      <c r="B10" s="9"/>
      <c r="C10" s="9"/>
      <c r="D10" s="34"/>
      <c r="E10" s="34"/>
      <c r="F10" s="34"/>
      <c r="G10" s="34"/>
      <c r="H10" s="34"/>
      <c r="I10" s="6"/>
    </row>
    <row r="11" spans="1:11" hidden="1" x14ac:dyDescent="0.2">
      <c r="A11" s="8">
        <f t="shared" si="1"/>
        <v>10</v>
      </c>
      <c r="B11" s="9"/>
      <c r="C11" s="9"/>
      <c r="D11" s="34"/>
      <c r="E11" s="34"/>
      <c r="F11" s="34"/>
      <c r="G11" s="34"/>
      <c r="H11" s="34"/>
      <c r="I11" s="6"/>
    </row>
    <row r="12" spans="1:11" hidden="1" x14ac:dyDescent="0.2">
      <c r="A12" s="8">
        <f t="shared" si="1"/>
        <v>11</v>
      </c>
      <c r="B12" s="9"/>
      <c r="C12" s="9"/>
      <c r="D12" s="34"/>
      <c r="E12" s="34"/>
      <c r="F12" s="34"/>
      <c r="G12" s="34"/>
      <c r="H12" s="34"/>
      <c r="I12" s="6"/>
    </row>
    <row r="13" spans="1:11" hidden="1" x14ac:dyDescent="0.2">
      <c r="A13" s="8">
        <f t="shared" si="1"/>
        <v>12</v>
      </c>
      <c r="B13" s="9"/>
      <c r="C13" s="9"/>
      <c r="D13" s="34"/>
      <c r="E13" s="34"/>
      <c r="F13" s="34"/>
      <c r="G13" s="34"/>
      <c r="H13" s="34"/>
      <c r="I13" s="6"/>
    </row>
    <row r="14" spans="1:11" ht="13.5" hidden="1" thickBot="1" x14ac:dyDescent="0.25">
      <c r="A14" s="8">
        <f t="shared" si="1"/>
        <v>13</v>
      </c>
      <c r="B14" s="9"/>
      <c r="C14" s="9"/>
      <c r="D14" s="34"/>
      <c r="E14" s="34"/>
      <c r="F14" s="34"/>
      <c r="G14" s="34"/>
      <c r="H14" s="34"/>
      <c r="I14" s="6"/>
    </row>
    <row r="15" spans="1:11" ht="13.5" thickBot="1" x14ac:dyDescent="0.25">
      <c r="I15" s="33">
        <f>SUM(I2:I14)</f>
        <v>528558.14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K15"/>
  <sheetViews>
    <sheetView workbookViewId="0">
      <selection activeCell="I19" sqref="I19"/>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Total!B580</f>
        <v>41368</v>
      </c>
      <c r="C2" s="9">
        <f>Total!C580</f>
        <v>41386</v>
      </c>
      <c r="D2" s="34" t="str">
        <f>Total!D580</f>
        <v>Infraestructures.cat</v>
      </c>
      <c r="E2" s="34" t="str">
        <f>Total!E580</f>
        <v>Edificació</v>
      </c>
      <c r="F2" s="34" t="str">
        <f>Total!F580</f>
        <v>Direccions d'Execució</v>
      </c>
      <c r="G2" s="34" t="str">
        <f>Total!G580</f>
        <v>DE. PNG-10080</v>
      </c>
      <c r="H2" s="34" t="str">
        <f>Total!H580</f>
        <v>Contracte de serveis per a la verificació de l'assegurament de la qualitat del projecte executiu i direcció d'execució de les obres de Nova construcció de l'Escola Montserrat Vayreda, de Roses. Clau: PNG-10080</v>
      </c>
      <c r="I2" s="6">
        <f>Total!I580</f>
        <v>115730.99</v>
      </c>
    </row>
    <row r="3" spans="1:11" x14ac:dyDescent="0.2">
      <c r="A3" s="8">
        <f t="shared" ref="A3:A5" si="0">A2+1</f>
        <v>2</v>
      </c>
      <c r="B3" s="9">
        <f>Total!B581</f>
        <v>41368</v>
      </c>
      <c r="C3" s="9">
        <f>Total!C581</f>
        <v>41386</v>
      </c>
      <c r="D3" s="34" t="str">
        <f>Total!D581</f>
        <v>Infraestructures.cat</v>
      </c>
      <c r="E3" s="34" t="str">
        <f>Total!E581</f>
        <v>Edificació</v>
      </c>
      <c r="F3" s="34" t="str">
        <f>Total!F581</f>
        <v>Direccions d'Execució</v>
      </c>
      <c r="G3" s="34" t="str">
        <f>Total!G581</f>
        <v>DE. HTT-12005</v>
      </c>
      <c r="H3" s="34" t="str">
        <f>Total!H581</f>
        <v>Contracte de serveis per a la verificació de l'assegurament de la qualitat del projecte executiu i direcció d'execució de les obres d'Ampliació i reforma de la 2a fase del Servei d'Urgències de l'Hospital Joan XXIII de Tarragona. Clau: HTT-12005</v>
      </c>
      <c r="I3" s="6">
        <f>Total!I581</f>
        <v>79099</v>
      </c>
      <c r="K3" s="1"/>
    </row>
    <row r="4" spans="1:11" x14ac:dyDescent="0.2">
      <c r="A4" s="8">
        <f t="shared" si="0"/>
        <v>3</v>
      </c>
      <c r="B4" s="9">
        <f>Total!B582</f>
        <v>41379</v>
      </c>
      <c r="C4" s="9">
        <f>Total!C582</f>
        <v>41407</v>
      </c>
      <c r="D4" s="34" t="str">
        <f>Total!D582</f>
        <v>Infraestructures.cat</v>
      </c>
      <c r="E4" s="34" t="str">
        <f>Total!E582</f>
        <v>Edificació</v>
      </c>
      <c r="F4" s="34" t="str">
        <f>Total!F582</f>
        <v>Direccions d'Execució</v>
      </c>
      <c r="G4" s="34" t="str">
        <f>Total!G582</f>
        <v>DE. PNT-12010</v>
      </c>
      <c r="H4" s="34" t="str">
        <f>Total!H582</f>
        <v>Contracte de serveis per a la direcció d'execució de les obres de nova construcció de l'Escola La Canaleta de Vila-Seca. Clau: PNT-12010</v>
      </c>
      <c r="I4" s="6">
        <f>Total!I582</f>
        <v>95065</v>
      </c>
    </row>
    <row r="5" spans="1:11" x14ac:dyDescent="0.2">
      <c r="A5" s="8">
        <f t="shared" si="0"/>
        <v>4</v>
      </c>
      <c r="B5" s="9">
        <f>Total!B583</f>
        <v>41389</v>
      </c>
      <c r="C5" s="9">
        <f>Total!C583</f>
        <v>41407</v>
      </c>
      <c r="D5" s="34" t="str">
        <f>Total!D583</f>
        <v>Infraestructures.cat</v>
      </c>
      <c r="E5" s="34" t="str">
        <f>Total!E583</f>
        <v>Edificació</v>
      </c>
      <c r="F5" s="34" t="str">
        <f>Total!F583</f>
        <v>Direccions d'Execució</v>
      </c>
      <c r="G5" s="34" t="str">
        <f>Total!G583</f>
        <v>DE. CCT-11212</v>
      </c>
      <c r="H5" s="34" t="str">
        <f>Total!H583</f>
        <v>Contracte de serveis per a la verificació de l'assegurament de la qualitat del projecte executiu i direcció d'execució de les obres de Nova construcció d'una Comissaria a l'Ametlla de Mar. Clau: CCT-11212</v>
      </c>
      <c r="I5" s="6">
        <f>Total!I583</f>
        <v>77095</v>
      </c>
    </row>
    <row r="6" spans="1:11" ht="13.5" thickBot="1" x14ac:dyDescent="0.25">
      <c r="A6" s="8">
        <f>A5+1</f>
        <v>5</v>
      </c>
      <c r="B6" s="9">
        <f>Total!B584</f>
        <v>41390</v>
      </c>
      <c r="C6" s="9">
        <f>Total!C584</f>
        <v>41442</v>
      </c>
      <c r="D6" s="34" t="str">
        <f>Total!D584</f>
        <v>Infraestructures.cat</v>
      </c>
      <c r="E6" s="34" t="str">
        <f>Total!E584</f>
        <v>Obra Civil</v>
      </c>
      <c r="F6" s="34" t="str">
        <f>Total!F584</f>
        <v>Projectes</v>
      </c>
      <c r="G6" s="34" t="str">
        <f>Total!G584</f>
        <v>PC. NE-03018.3</v>
      </c>
      <c r="H6" s="34" t="str">
        <f>Total!H584</f>
        <v>Contracte de serveis per a la redacció del projecte constructiu de millora general. Nova carretera. PK 0+000 al 10+950. Anell viari del Delta de l'Ebre. Tram 3: Camarles - l'Aldea. Clau: NE-03018.3</v>
      </c>
      <c r="I6" s="6">
        <f>Total!I584</f>
        <v>249100</v>
      </c>
    </row>
    <row r="7" spans="1:11" hidden="1" x14ac:dyDescent="0.2">
      <c r="A7" s="8">
        <f t="shared" ref="A7:A14" si="1">A6+1</f>
        <v>6</v>
      </c>
      <c r="B7" s="9"/>
      <c r="C7" s="9"/>
      <c r="D7" s="34"/>
      <c r="E7" s="34"/>
      <c r="F7" s="34"/>
      <c r="G7" s="34"/>
      <c r="H7" s="34"/>
      <c r="I7" s="6"/>
    </row>
    <row r="8" spans="1:11" hidden="1" x14ac:dyDescent="0.2">
      <c r="A8" s="8">
        <f t="shared" si="1"/>
        <v>7</v>
      </c>
      <c r="B8" s="9"/>
      <c r="C8" s="9"/>
      <c r="D8" s="34"/>
      <c r="E8" s="34"/>
      <c r="F8" s="34"/>
      <c r="G8" s="34"/>
      <c r="H8" s="34"/>
      <c r="I8" s="6"/>
    </row>
    <row r="9" spans="1:11" hidden="1" x14ac:dyDescent="0.2">
      <c r="A9" s="8">
        <f t="shared" si="1"/>
        <v>8</v>
      </c>
      <c r="B9" s="9"/>
      <c r="C9" s="9"/>
      <c r="D9" s="34"/>
      <c r="E9" s="34"/>
      <c r="F9" s="34"/>
      <c r="G9" s="34"/>
      <c r="H9" s="34"/>
      <c r="I9" s="6"/>
    </row>
    <row r="10" spans="1:11" hidden="1" x14ac:dyDescent="0.2">
      <c r="A10" s="8">
        <f t="shared" si="1"/>
        <v>9</v>
      </c>
      <c r="B10" s="9"/>
      <c r="C10" s="9"/>
      <c r="D10" s="34"/>
      <c r="E10" s="34"/>
      <c r="F10" s="34"/>
      <c r="G10" s="34"/>
      <c r="H10" s="34"/>
      <c r="I10" s="6"/>
    </row>
    <row r="11" spans="1:11" hidden="1" x14ac:dyDescent="0.2">
      <c r="A11" s="8">
        <f t="shared" si="1"/>
        <v>10</v>
      </c>
      <c r="B11" s="9"/>
      <c r="C11" s="9"/>
      <c r="D11" s="34"/>
      <c r="E11" s="34"/>
      <c r="F11" s="34"/>
      <c r="G11" s="34"/>
      <c r="H11" s="34"/>
      <c r="I11" s="6"/>
    </row>
    <row r="12" spans="1:11" hidden="1" x14ac:dyDescent="0.2">
      <c r="A12" s="8">
        <f t="shared" si="1"/>
        <v>11</v>
      </c>
      <c r="B12" s="9"/>
      <c r="C12" s="9"/>
      <c r="D12" s="34"/>
      <c r="E12" s="34"/>
      <c r="F12" s="34"/>
      <c r="G12" s="34"/>
      <c r="H12" s="34"/>
      <c r="I12" s="6"/>
    </row>
    <row r="13" spans="1:11" hidden="1" x14ac:dyDescent="0.2">
      <c r="A13" s="8">
        <f t="shared" si="1"/>
        <v>12</v>
      </c>
      <c r="B13" s="9"/>
      <c r="C13" s="9"/>
      <c r="D13" s="34"/>
      <c r="E13" s="34"/>
      <c r="F13" s="34"/>
      <c r="G13" s="34"/>
      <c r="H13" s="34"/>
      <c r="I13" s="6"/>
    </row>
    <row r="14" spans="1:11" ht="13.5" hidden="1" thickBot="1" x14ac:dyDescent="0.25">
      <c r="A14" s="8">
        <f t="shared" si="1"/>
        <v>13</v>
      </c>
      <c r="B14" s="9"/>
      <c r="C14" s="9"/>
      <c r="D14" s="34"/>
      <c r="E14" s="34"/>
      <c r="F14" s="34"/>
      <c r="G14" s="34"/>
      <c r="H14" s="34"/>
      <c r="I14" s="6"/>
    </row>
    <row r="15" spans="1:11" ht="13.5" thickBot="1" x14ac:dyDescent="0.25">
      <c r="I15" s="33">
        <f>SUM(I2:I14)</f>
        <v>616089.99</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K15"/>
  <sheetViews>
    <sheetView topLeftCell="H1" workbookViewId="0">
      <selection activeCell="A3" sqref="A3"/>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Total!B574</f>
        <v>41310</v>
      </c>
      <c r="C2" s="9">
        <f>Total!C574</f>
        <v>41330</v>
      </c>
      <c r="D2" s="34" t="str">
        <f>Total!D574</f>
        <v>Infraestructures.cat</v>
      </c>
      <c r="E2" s="34" t="str">
        <f>Total!E574</f>
        <v>Edificació</v>
      </c>
      <c r="F2" s="34" t="str">
        <f>Total!F574</f>
        <v>Projectes i Direccions d'Obra</v>
      </c>
      <c r="G2" s="34" t="str">
        <f>Total!G574</f>
        <v>PE+DO CLT-12917 2v</v>
      </c>
      <c r="H2" s="34" t="str">
        <f>Total!H574</f>
        <v>Contracte de serveis per a l’assistència tècnica per a la redacció del projecte bàsic, el projecte executiu i posterior direcció d'obra corresponent a la construcció del Consultori Local de la Canonja. Clau: CLT-12917(2v)</v>
      </c>
      <c r="I2" s="6">
        <f>Total!I574</f>
        <v>166933</v>
      </c>
    </row>
    <row r="3" spans="1:11" x14ac:dyDescent="0.2">
      <c r="A3" s="8">
        <f t="shared" ref="A3:A5" si="0">A2+1</f>
        <v>2</v>
      </c>
      <c r="B3" s="9">
        <f>Total!B575</f>
        <v>41310</v>
      </c>
      <c r="C3" s="9">
        <f>Total!C575</f>
        <v>41330</v>
      </c>
      <c r="D3" s="34" t="str">
        <f>Total!D575</f>
        <v>Infraestructures.cat</v>
      </c>
      <c r="E3" s="34" t="str">
        <f>Total!E575</f>
        <v>Edificació</v>
      </c>
      <c r="F3" s="34" t="str">
        <f>Total!F575</f>
        <v>Projectes i Direccions d'Obra</v>
      </c>
      <c r="G3" s="34" t="str">
        <f>Total!G575</f>
        <v>PE+DO SNG-12935 (2v)</v>
      </c>
      <c r="H3" s="34" t="str">
        <f>Total!H575</f>
        <v>Contracte de serveis per a l’assistència tècnica per a la redacció del projecte bàsic, el projecte executiu i posterior direcció d'obra corresponent a la nova construcció (1a fase) d'un Institut Escola d'1 línia de secundària a Sant Joan de les Abadesses. Clau:SNG-12935(2v)</v>
      </c>
      <c r="I3" s="6">
        <f>Total!I575</f>
        <v>158078.57</v>
      </c>
      <c r="K3" s="1"/>
    </row>
    <row r="4" spans="1:11" x14ac:dyDescent="0.2">
      <c r="A4" s="8">
        <f t="shared" si="0"/>
        <v>3</v>
      </c>
      <c r="B4" s="9">
        <f>Total!B576</f>
        <v>41324</v>
      </c>
      <c r="C4" s="9">
        <f>Total!C576</f>
        <v>41344</v>
      </c>
      <c r="D4" s="34" t="str">
        <f>Total!D576</f>
        <v>Infraestructures.cat</v>
      </c>
      <c r="E4" s="34" t="str">
        <f>Total!E576</f>
        <v>Obra Civil</v>
      </c>
      <c r="F4" s="34" t="str">
        <f>Total!F576</f>
        <v>Projectes</v>
      </c>
      <c r="G4" s="34" t="str">
        <f>Total!G576</f>
        <v>IA. IA-DL-12053</v>
      </c>
      <c r="H4" s="34" t="str">
        <f>Total!H576</f>
        <v>Contracte de serveis per a l'assistència tècnica per a la redacció de l'estudi d'impacte ambiental de millora general. Desdoblament. Carretera C-13 del PK 24+000 al 33+590. Tram: Térmens-la Sentiu de Sió. Clau: IA-DL-12053</v>
      </c>
      <c r="I4" s="6">
        <f>Total!I576</f>
        <v>75300</v>
      </c>
    </row>
    <row r="5" spans="1:11" x14ac:dyDescent="0.2">
      <c r="A5" s="8">
        <f t="shared" si="0"/>
        <v>4</v>
      </c>
      <c r="B5" s="9">
        <f>Total!B577</f>
        <v>41324</v>
      </c>
      <c r="C5" s="9">
        <f>Total!C577</f>
        <v>41340</v>
      </c>
      <c r="D5" s="34" t="str">
        <f>Total!D577</f>
        <v>Infraestructures.cat</v>
      </c>
      <c r="E5" s="34" t="str">
        <f>Total!E577</f>
        <v>Edificació</v>
      </c>
      <c r="F5" s="34" t="str">
        <f>Total!F577</f>
        <v>Projectes</v>
      </c>
      <c r="G5" s="34" t="str">
        <f>Total!G577</f>
        <v>EP. EP41</v>
      </c>
      <c r="H5" s="34" t="str">
        <f>Total!H577</f>
        <v>Contracte de serveis per a l'assistència tècnica per a la realització dels treballs de topografia corresponents als estudis i projectes d'obra civil i d'edificació. Clau: EP41</v>
      </c>
      <c r="I5" s="6">
        <f>Total!I577</f>
        <v>198000</v>
      </c>
    </row>
    <row r="6" spans="1:11" x14ac:dyDescent="0.2">
      <c r="A6" s="8">
        <f>A5+1</f>
        <v>5</v>
      </c>
      <c r="B6" s="9">
        <f>Total!B578</f>
        <v>41326</v>
      </c>
      <c r="C6" s="9">
        <f>Total!C578</f>
        <v>41344</v>
      </c>
      <c r="D6" s="34" t="str">
        <f>Total!D578</f>
        <v>Infraestructures.cat</v>
      </c>
      <c r="E6" s="34" t="str">
        <f>Total!E578</f>
        <v>Obra Civil</v>
      </c>
      <c r="F6" s="34" t="str">
        <f>Total!F578</f>
        <v>Projectes</v>
      </c>
      <c r="G6" s="34" t="str">
        <f>Total!G578</f>
        <v>PB. B-TM-06299.4.1</v>
      </c>
      <c r="H6" s="34" t="str">
        <f>Total!H578</f>
        <v>Contracte de serveis per a l'assistència tècnica per a la redacció del projecte bàsic de rehabilitació i consolidació estructural del túnel de la línia 2 de l'FMB. Tram: Sant Roc - Gorg. Clau: B-TM-06299.4.1</v>
      </c>
      <c r="I6" s="6">
        <f>Total!I578</f>
        <v>123714</v>
      </c>
    </row>
    <row r="7" spans="1:11" ht="13.5" thickBot="1" x14ac:dyDescent="0.25">
      <c r="A7" s="8">
        <f t="shared" ref="A7:A14" si="1">A6+1</f>
        <v>6</v>
      </c>
      <c r="B7" s="9">
        <f>Total!B579</f>
        <v>41330</v>
      </c>
      <c r="C7" s="9">
        <f>Total!C579</f>
        <v>41379</v>
      </c>
      <c r="D7" s="34" t="str">
        <f>Total!D579</f>
        <v>Infraestructures.cat</v>
      </c>
      <c r="E7" s="34" t="str">
        <f>Total!E579</f>
        <v>Obra Civil</v>
      </c>
      <c r="F7" s="34" t="str">
        <f>Total!F579</f>
        <v>Projectes</v>
      </c>
      <c r="G7" s="34" t="str">
        <f>Total!G579</f>
        <v>EI. EI-DL-12053</v>
      </c>
      <c r="H7" s="34" t="str">
        <f>Total!H579</f>
        <v>Contracte de serveis per a la redacció de l'estudi informatiu de millora general. Desdoblament. Carretera C-13 del PK 24+000 al 33+590. Tram: Térmens - La Sentiu de Sió. Clau: EI-DL-12053</v>
      </c>
      <c r="I7" s="6">
        <f>Total!I579</f>
        <v>227700</v>
      </c>
    </row>
    <row r="8" spans="1:11" hidden="1" x14ac:dyDescent="0.2">
      <c r="A8" s="8">
        <f t="shared" si="1"/>
        <v>7</v>
      </c>
      <c r="B8" s="9"/>
      <c r="C8" s="9"/>
      <c r="D8" s="34"/>
      <c r="E8" s="34"/>
      <c r="F8" s="34"/>
      <c r="G8" s="34"/>
      <c r="H8" s="34"/>
      <c r="I8" s="6"/>
    </row>
    <row r="9" spans="1:11" hidden="1" x14ac:dyDescent="0.2">
      <c r="A9" s="8">
        <f t="shared" si="1"/>
        <v>8</v>
      </c>
      <c r="B9" s="9"/>
      <c r="C9" s="9"/>
      <c r="D9" s="34"/>
      <c r="E9" s="34"/>
      <c r="F9" s="34"/>
      <c r="G9" s="34"/>
      <c r="H9" s="34"/>
      <c r="I9" s="6"/>
    </row>
    <row r="10" spans="1:11" hidden="1" x14ac:dyDescent="0.2">
      <c r="A10" s="8">
        <f t="shared" si="1"/>
        <v>9</v>
      </c>
      <c r="B10" s="9"/>
      <c r="C10" s="9"/>
      <c r="D10" s="34"/>
      <c r="E10" s="34"/>
      <c r="F10" s="34"/>
      <c r="G10" s="34"/>
      <c r="H10" s="34"/>
      <c r="I10" s="6"/>
    </row>
    <row r="11" spans="1:11" hidden="1" x14ac:dyDescent="0.2">
      <c r="A11" s="8">
        <f t="shared" si="1"/>
        <v>10</v>
      </c>
      <c r="B11" s="9"/>
      <c r="C11" s="9"/>
      <c r="D11" s="34"/>
      <c r="E11" s="34"/>
      <c r="F11" s="34"/>
      <c r="G11" s="34"/>
      <c r="H11" s="34"/>
      <c r="I11" s="6"/>
    </row>
    <row r="12" spans="1:11" hidden="1" x14ac:dyDescent="0.2">
      <c r="A12" s="8">
        <f t="shared" si="1"/>
        <v>11</v>
      </c>
      <c r="B12" s="9"/>
      <c r="C12" s="9"/>
      <c r="D12" s="34"/>
      <c r="E12" s="34"/>
      <c r="F12" s="34"/>
      <c r="G12" s="34"/>
      <c r="H12" s="34"/>
      <c r="I12" s="6"/>
    </row>
    <row r="13" spans="1:11" hidden="1" x14ac:dyDescent="0.2">
      <c r="A13" s="8">
        <f t="shared" si="1"/>
        <v>12</v>
      </c>
      <c r="B13" s="9"/>
      <c r="C13" s="9"/>
      <c r="D13" s="34"/>
      <c r="E13" s="34"/>
      <c r="F13" s="34"/>
      <c r="G13" s="34"/>
      <c r="H13" s="34"/>
      <c r="I13" s="6"/>
    </row>
    <row r="14" spans="1:11" ht="13.5" hidden="1" thickBot="1" x14ac:dyDescent="0.25">
      <c r="A14" s="8">
        <f t="shared" si="1"/>
        <v>13</v>
      </c>
      <c r="B14" s="9"/>
      <c r="C14" s="9"/>
      <c r="D14" s="34"/>
      <c r="E14" s="34"/>
      <c r="F14" s="34"/>
      <c r="G14" s="34"/>
      <c r="H14" s="34"/>
      <c r="I14" s="6"/>
    </row>
    <row r="15" spans="1:11" ht="13.5" thickBot="1" x14ac:dyDescent="0.25">
      <c r="I15" s="33">
        <f>SUM(I2:I14)</f>
        <v>949725.57000000007</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K15"/>
  <sheetViews>
    <sheetView workbookViewId="0">
      <selection activeCell="I15" sqref="I1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Total!B572</f>
        <v>41281</v>
      </c>
      <c r="C2" s="9">
        <f>Total!C572</f>
        <v>41302</v>
      </c>
      <c r="D2" s="34" t="str">
        <f>Total!D572</f>
        <v>Infraestructures.cat</v>
      </c>
      <c r="E2" s="34" t="str">
        <f>Total!E572</f>
        <v>Obra Civil</v>
      </c>
      <c r="F2" s="34" t="str">
        <f>Total!F572</f>
        <v>Projectes</v>
      </c>
      <c r="G2" s="34" t="str">
        <f>Total!G572</f>
        <v>PC. XE-12058.3</v>
      </c>
      <c r="H2" s="34" t="str">
        <f>Total!H572</f>
        <v>Contracte de serveis per a l'assistència tècnica per a la redacció del projecte constructiu Via Verda del Montsià. Tram: Amposta - Sant Carles de la Ràpita. Clau: XE-12058.3</v>
      </c>
      <c r="I2" s="6">
        <f>Total!I572</f>
        <v>111420</v>
      </c>
    </row>
    <row r="3" spans="1:11" ht="13.5" thickBot="1" x14ac:dyDescent="0.25">
      <c r="A3" s="8">
        <f t="shared" ref="A3:A5" si="0">A2+1</f>
        <v>2</v>
      </c>
      <c r="B3" s="9">
        <f>Total!B573</f>
        <v>41281</v>
      </c>
      <c r="C3" s="9">
        <f>Total!C573</f>
        <v>41302</v>
      </c>
      <c r="D3" s="34" t="str">
        <f>Total!D573</f>
        <v>Infraestructures.cat</v>
      </c>
      <c r="E3" s="34" t="str">
        <f>Total!E573</f>
        <v>Obra Civil</v>
      </c>
      <c r="F3" s="34" t="str">
        <f>Total!F573</f>
        <v>Projectes</v>
      </c>
      <c r="G3" s="34" t="str">
        <f>Total!G573</f>
        <v>PC. XE-12058.2</v>
      </c>
      <c r="H3" s="34" t="str">
        <f>Total!H573</f>
        <v>Contracte de serveis per a l'assistència tècnica per a la redacció del projecte constructiu Via verda del Montsià. Tram: Vinallop - Amposta. Clau: XE-12058.2</v>
      </c>
      <c r="I3" s="6">
        <f>Total!I573</f>
        <v>95760</v>
      </c>
      <c r="K3" s="1"/>
    </row>
    <row r="4" spans="1:11" hidden="1" x14ac:dyDescent="0.2">
      <c r="A4" s="8">
        <f t="shared" si="0"/>
        <v>3</v>
      </c>
      <c r="B4" s="9"/>
      <c r="C4" s="9"/>
      <c r="D4" s="34"/>
      <c r="E4" s="34"/>
      <c r="F4" s="34"/>
      <c r="G4" s="34"/>
      <c r="H4" s="34"/>
      <c r="I4" s="6"/>
    </row>
    <row r="5" spans="1:11" hidden="1" x14ac:dyDescent="0.2">
      <c r="A5" s="8">
        <f t="shared" si="0"/>
        <v>4</v>
      </c>
      <c r="B5" s="9"/>
      <c r="C5" s="9"/>
      <c r="D5" s="34"/>
      <c r="E5" s="34"/>
      <c r="F5" s="34"/>
      <c r="G5" s="34"/>
      <c r="H5" s="34"/>
      <c r="I5" s="6"/>
    </row>
    <row r="6" spans="1:11" hidden="1" x14ac:dyDescent="0.2">
      <c r="A6" s="8">
        <f>A5+1</f>
        <v>5</v>
      </c>
      <c r="B6" s="9"/>
      <c r="C6" s="9"/>
      <c r="D6" s="34"/>
      <c r="E6" s="34"/>
      <c r="F6" s="34"/>
      <c r="G6" s="34"/>
      <c r="H6" s="34"/>
      <c r="I6" s="6"/>
    </row>
    <row r="7" spans="1:11" hidden="1" x14ac:dyDescent="0.2">
      <c r="A7" s="8">
        <f t="shared" ref="A7:A14" si="1">A6+1</f>
        <v>6</v>
      </c>
      <c r="B7" s="9"/>
      <c r="C7" s="9"/>
      <c r="D7" s="34"/>
      <c r="E7" s="34"/>
      <c r="F7" s="34"/>
      <c r="G7" s="34"/>
      <c r="H7" s="34"/>
      <c r="I7" s="6"/>
    </row>
    <row r="8" spans="1:11" hidden="1" x14ac:dyDescent="0.2">
      <c r="A8" s="8">
        <f t="shared" si="1"/>
        <v>7</v>
      </c>
      <c r="B8" s="9"/>
      <c r="C8" s="9"/>
      <c r="D8" s="34"/>
      <c r="E8" s="34"/>
      <c r="F8" s="34"/>
      <c r="G8" s="34"/>
      <c r="H8" s="34"/>
      <c r="I8" s="6"/>
    </row>
    <row r="9" spans="1:11" hidden="1" x14ac:dyDescent="0.2">
      <c r="A9" s="8">
        <f t="shared" si="1"/>
        <v>8</v>
      </c>
      <c r="B9" s="9"/>
      <c r="C9" s="9"/>
      <c r="D9" s="34"/>
      <c r="E9" s="34"/>
      <c r="F9" s="34"/>
      <c r="G9" s="34"/>
      <c r="H9" s="34"/>
      <c r="I9" s="6"/>
    </row>
    <row r="10" spans="1:11" hidden="1" x14ac:dyDescent="0.2">
      <c r="A10" s="8">
        <f t="shared" si="1"/>
        <v>9</v>
      </c>
      <c r="B10" s="9"/>
      <c r="C10" s="9"/>
      <c r="D10" s="34"/>
      <c r="E10" s="34"/>
      <c r="F10" s="34"/>
      <c r="G10" s="34"/>
      <c r="H10" s="34"/>
      <c r="I10" s="6"/>
    </row>
    <row r="11" spans="1:11" hidden="1" x14ac:dyDescent="0.2">
      <c r="A11" s="8">
        <f t="shared" si="1"/>
        <v>10</v>
      </c>
      <c r="B11" s="9"/>
      <c r="C11" s="9"/>
      <c r="D11" s="34"/>
      <c r="E11" s="34"/>
      <c r="F11" s="34"/>
      <c r="G11" s="34"/>
      <c r="H11" s="34"/>
      <c r="I11" s="6"/>
    </row>
    <row r="12" spans="1:11" hidden="1" x14ac:dyDescent="0.2">
      <c r="A12" s="8">
        <f t="shared" si="1"/>
        <v>11</v>
      </c>
      <c r="B12" s="9"/>
      <c r="C12" s="9"/>
      <c r="D12" s="34"/>
      <c r="E12" s="34"/>
      <c r="F12" s="34"/>
      <c r="G12" s="34"/>
      <c r="H12" s="34"/>
      <c r="I12" s="6"/>
    </row>
    <row r="13" spans="1:11" hidden="1" x14ac:dyDescent="0.2">
      <c r="A13" s="8">
        <f t="shared" si="1"/>
        <v>12</v>
      </c>
      <c r="B13" s="9"/>
      <c r="C13" s="9"/>
      <c r="D13" s="34"/>
      <c r="E13" s="34"/>
      <c r="F13" s="34"/>
      <c r="G13" s="34"/>
      <c r="H13" s="34"/>
      <c r="I13" s="6"/>
    </row>
    <row r="14" spans="1:11" ht="13.5" hidden="1" thickBot="1" x14ac:dyDescent="0.25">
      <c r="A14" s="8">
        <f t="shared" si="1"/>
        <v>13</v>
      </c>
      <c r="B14" s="9"/>
      <c r="C14" s="9"/>
      <c r="D14" s="34"/>
      <c r="E14" s="34"/>
      <c r="F14" s="34"/>
      <c r="G14" s="34"/>
      <c r="H14" s="34"/>
      <c r="I14" s="6"/>
    </row>
    <row r="15" spans="1:11" ht="13.5" thickBot="1" x14ac:dyDescent="0.25">
      <c r="I15" s="33">
        <f>SUM(I2:I14)</f>
        <v>207180</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K15"/>
  <sheetViews>
    <sheetView workbookViewId="0">
      <selection activeCell="I5" sqref="I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Total!B567</f>
        <v>41260</v>
      </c>
      <c r="C2" s="9">
        <f>Total!C567</f>
        <v>41281</v>
      </c>
      <c r="D2" s="34" t="str">
        <f>Total!D567</f>
        <v>Infraestructures.cat</v>
      </c>
      <c r="E2" s="34" t="str">
        <f>Total!E567</f>
        <v>Obra Civil</v>
      </c>
      <c r="F2" s="34" t="str">
        <f>Total!F567</f>
        <v>Projectes</v>
      </c>
      <c r="G2" s="34" t="str">
        <f>Total!G567</f>
        <v>PC. MT-12061</v>
      </c>
      <c r="H2" s="34" t="str">
        <f>Total!H567</f>
        <v>Contracte de serveis per a l'assistència tècnica per a la redacció del projecte constructiu de millora local. Millora de nus. Rotonda a la carretera C-31B, PK 9+470. Tram: Tarragona. Clau: MT-12061</v>
      </c>
      <c r="I2" s="6">
        <f>Total!I567</f>
        <v>75400</v>
      </c>
    </row>
    <row r="3" spans="1:11" x14ac:dyDescent="0.2">
      <c r="A3" s="8">
        <f t="shared" ref="A3:A5" si="0">A2+1</f>
        <v>2</v>
      </c>
      <c r="B3" s="9">
        <f>Total!B568</f>
        <v>41260</v>
      </c>
      <c r="C3" s="9">
        <f>Total!C568</f>
        <v>41281</v>
      </c>
      <c r="D3" s="34" t="str">
        <f>Total!D568</f>
        <v>Infraestructures.cat</v>
      </c>
      <c r="E3" s="34" t="str">
        <f>Total!E568</f>
        <v>Obra Civil</v>
      </c>
      <c r="F3" s="34" t="str">
        <f>Total!F568</f>
        <v>Projectes</v>
      </c>
      <c r="G3" s="34" t="str">
        <f>Total!G568</f>
        <v>EI. EI-NT-12064</v>
      </c>
      <c r="H3" s="34" t="str">
        <f>Total!H568</f>
        <v>Contracte de serveis per a l'assistència tècnica per a la redacció de l'estudi informatiu de millora general. Nova carretera de Reus a l'estació del TAV Camp de Tarragona. Tram: Reus - Perafort. Clau: EI-NT-12064</v>
      </c>
      <c r="I3" s="6">
        <f>Total!I568</f>
        <v>106000</v>
      </c>
      <c r="K3" s="1"/>
    </row>
    <row r="4" spans="1:11" x14ac:dyDescent="0.2">
      <c r="A4" s="8">
        <f t="shared" si="0"/>
        <v>3</v>
      </c>
      <c r="B4" s="9">
        <f>Total!B569</f>
        <v>41260</v>
      </c>
      <c r="C4" s="9">
        <f>Total!C569</f>
        <v>41281</v>
      </c>
      <c r="D4" s="34" t="str">
        <f>Total!D569</f>
        <v>Infraestructures.cat</v>
      </c>
      <c r="E4" s="34" t="str">
        <f>Total!E569</f>
        <v>Obra Civil</v>
      </c>
      <c r="F4" s="34" t="str">
        <f>Total!F569</f>
        <v>Projectes</v>
      </c>
      <c r="G4" s="34" t="str">
        <f>Total!G569</f>
        <v>PC. XC-10020.2</v>
      </c>
      <c r="H4" s="34" t="str">
        <f>Total!H569</f>
        <v>Contracte de serveis per a la redacció del projecte constructiu de via ciclista del Ter. Del camí el Pont de Reixac a Llanars. Tram: Sant Joan de les Abadesses - Llanars. Clau: XC-10020.2</v>
      </c>
      <c r="I4" s="6">
        <f>Total!I569</f>
        <v>92293</v>
      </c>
    </row>
    <row r="5" spans="1:11" x14ac:dyDescent="0.2">
      <c r="A5" s="8">
        <f t="shared" si="0"/>
        <v>4</v>
      </c>
      <c r="B5" s="72">
        <f>Total!B570</f>
        <v>41261</v>
      </c>
      <c r="C5" s="72">
        <f>Total!C570</f>
        <v>41309</v>
      </c>
      <c r="D5" s="73" t="str">
        <f>Total!D570</f>
        <v>Infraestructures.cat</v>
      </c>
      <c r="E5" s="73" t="str">
        <f>Total!E570</f>
        <v>Obra Civil</v>
      </c>
      <c r="F5" s="73" t="str">
        <f>Total!F570</f>
        <v>Direccions d'Obra</v>
      </c>
      <c r="G5" s="73" t="str">
        <f>Total!G570</f>
        <v>ATDO. TM-02609.0-T1</v>
      </c>
      <c r="H5" s="73" t="str">
        <f>Total!H570</f>
        <v>Contracte de serveis per a l'assistència tècnica per a l'enginyeria d'integració dels sistemes i infraestructures, i coordinació de treballs i proves de la Línia 9 del metro de Barcelona. Trams I i II. Clau: TM-02609.0-T1</v>
      </c>
      <c r="I5" s="74">
        <f>Total!I570</f>
        <v>2353400</v>
      </c>
    </row>
    <row r="6" spans="1:11" ht="13.5" thickBot="1" x14ac:dyDescent="0.25">
      <c r="A6" s="8">
        <f>A5+1</f>
        <v>5</v>
      </c>
      <c r="B6" s="9">
        <f>Total!B571</f>
        <v>41271</v>
      </c>
      <c r="C6" s="9">
        <f>Total!C571</f>
        <v>41318</v>
      </c>
      <c r="D6" s="34" t="str">
        <f>Total!D571</f>
        <v>Infraestructures.cat</v>
      </c>
      <c r="E6" s="34" t="str">
        <f>Total!E571</f>
        <v>Obra Civil</v>
      </c>
      <c r="F6" s="34" t="str">
        <f>Total!F571</f>
        <v>Projectes</v>
      </c>
      <c r="G6" s="34" t="str">
        <f>Total!G571</f>
        <v>PB. B-TA-07264</v>
      </c>
      <c r="H6" s="34" t="str">
        <f>Total!H571</f>
        <v>Contracte de serveis per a l'assistència tècnica per a la redacció del projecte bàsic de la nova estació d'autobusos a la Zona Universitària de Barcelona i connexió amb l'autopista B-23. Clau: B-TA-07264</v>
      </c>
      <c r="I6" s="6">
        <f>Total!I571</f>
        <v>450848</v>
      </c>
    </row>
    <row r="7" spans="1:11" hidden="1" x14ac:dyDescent="0.2">
      <c r="A7" s="8">
        <f t="shared" ref="A7:A14" si="1">A6+1</f>
        <v>6</v>
      </c>
      <c r="B7" s="9"/>
      <c r="C7" s="9"/>
      <c r="D7" s="34"/>
      <c r="E7" s="34"/>
      <c r="F7" s="34"/>
      <c r="G7" s="34"/>
      <c r="H7" s="34"/>
      <c r="I7" s="6"/>
    </row>
    <row r="8" spans="1:11" hidden="1" x14ac:dyDescent="0.2">
      <c r="A8" s="8">
        <f t="shared" si="1"/>
        <v>7</v>
      </c>
      <c r="B8" s="9"/>
      <c r="C8" s="9"/>
      <c r="D8" s="34"/>
      <c r="E8" s="34"/>
      <c r="F8" s="34"/>
      <c r="G8" s="34"/>
      <c r="H8" s="34"/>
      <c r="I8" s="6"/>
    </row>
    <row r="9" spans="1:11" hidden="1" x14ac:dyDescent="0.2">
      <c r="A9" s="8">
        <f t="shared" si="1"/>
        <v>8</v>
      </c>
      <c r="B9" s="9"/>
      <c r="C9" s="9"/>
      <c r="D9" s="34"/>
      <c r="E9" s="34"/>
      <c r="F9" s="34"/>
      <c r="G9" s="34"/>
      <c r="H9" s="34"/>
      <c r="I9" s="6"/>
    </row>
    <row r="10" spans="1:11" hidden="1" x14ac:dyDescent="0.2">
      <c r="A10" s="8">
        <f t="shared" si="1"/>
        <v>9</v>
      </c>
      <c r="B10" s="9"/>
      <c r="C10" s="9"/>
      <c r="D10" s="34"/>
      <c r="E10" s="34"/>
      <c r="F10" s="34"/>
      <c r="G10" s="34"/>
      <c r="H10" s="34"/>
      <c r="I10" s="6"/>
    </row>
    <row r="11" spans="1:11" hidden="1" x14ac:dyDescent="0.2">
      <c r="A11" s="8">
        <f t="shared" si="1"/>
        <v>10</v>
      </c>
      <c r="B11" s="9"/>
      <c r="C11" s="9"/>
      <c r="D11" s="34"/>
      <c r="E11" s="34"/>
      <c r="F11" s="34"/>
      <c r="G11" s="34"/>
      <c r="H11" s="34"/>
      <c r="I11" s="6"/>
    </row>
    <row r="12" spans="1:11" hidden="1" x14ac:dyDescent="0.2">
      <c r="A12" s="8">
        <f t="shared" si="1"/>
        <v>11</v>
      </c>
      <c r="B12" s="9"/>
      <c r="C12" s="9"/>
      <c r="D12" s="34"/>
      <c r="E12" s="34"/>
      <c r="F12" s="34"/>
      <c r="G12" s="34"/>
      <c r="H12" s="34"/>
      <c r="I12" s="6"/>
    </row>
    <row r="13" spans="1:11" hidden="1" x14ac:dyDescent="0.2">
      <c r="A13" s="8">
        <f t="shared" si="1"/>
        <v>12</v>
      </c>
      <c r="B13" s="9"/>
      <c r="C13" s="9"/>
      <c r="D13" s="34"/>
      <c r="E13" s="34"/>
      <c r="F13" s="34"/>
      <c r="G13" s="34"/>
      <c r="H13" s="34"/>
      <c r="I13" s="6"/>
    </row>
    <row r="14" spans="1:11" ht="13.5" hidden="1" thickBot="1" x14ac:dyDescent="0.25">
      <c r="A14" s="8">
        <f t="shared" si="1"/>
        <v>13</v>
      </c>
      <c r="B14" s="9"/>
      <c r="C14" s="9"/>
      <c r="D14" s="34"/>
      <c r="E14" s="34"/>
      <c r="F14" s="34"/>
      <c r="G14" s="34"/>
      <c r="H14" s="34"/>
      <c r="I14" s="6"/>
    </row>
    <row r="15" spans="1:11" ht="13.5" thickBot="1" x14ac:dyDescent="0.25">
      <c r="I15" s="33">
        <f>SUM(I2:I14)</f>
        <v>3077941</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K15"/>
  <sheetViews>
    <sheetView workbookViewId="0">
      <selection activeCell="I6" sqref="I6"/>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Total!B562</f>
        <v>41219</v>
      </c>
      <c r="C2" s="9">
        <f>Total!C562</f>
        <v>41239</v>
      </c>
      <c r="D2" s="34" t="str">
        <f>Total!D562</f>
        <v>Infraestructures.cat</v>
      </c>
      <c r="E2" s="34" t="str">
        <f>Total!E562</f>
        <v>Edificació</v>
      </c>
      <c r="F2" s="34" t="str">
        <f>Total!F562</f>
        <v>Control de Qualitat</v>
      </c>
      <c r="G2" s="34" t="str">
        <f>Total!G562</f>
        <v>CQ. CAP-08473</v>
      </c>
      <c r="H2" s="34" t="str">
        <f>Total!H562</f>
        <v>Contracte de serveis per a l'assistència tècnica de control de qualitat de les obres de nova construcció del Centre d'Atenció Primària de Piera. Clau: CAP-08473</v>
      </c>
      <c r="I2" s="6">
        <f>Total!I562</f>
        <v>40818.53</v>
      </c>
    </row>
    <row r="3" spans="1:11" x14ac:dyDescent="0.2">
      <c r="A3" s="8">
        <f t="shared" ref="A3:A5" si="0">A2+1</f>
        <v>2</v>
      </c>
      <c r="B3" s="9">
        <f>Total!B563</f>
        <v>41222</v>
      </c>
      <c r="C3" s="9">
        <f>Total!C563</f>
        <v>41274</v>
      </c>
      <c r="D3" s="34" t="str">
        <f>Total!D563</f>
        <v>Infraestructures.cat</v>
      </c>
      <c r="E3" s="34" t="str">
        <f>Total!E563</f>
        <v>Obra Civil</v>
      </c>
      <c r="F3" s="34" t="str">
        <f>Total!F563</f>
        <v>Projectes</v>
      </c>
      <c r="G3" s="34" t="str">
        <f>Total!G563</f>
        <v>PC. VT-08109</v>
      </c>
      <c r="H3" s="34" t="str">
        <f>Total!H563</f>
        <v>Contracte de serveis per a l'assistència tècnica per a la redacció del projecte constructiu de millora general. Variant de Pira. Carretera C-241d, del PK 2+200 al 5+000. Tram: Pira. Clau: VT-08109</v>
      </c>
      <c r="I3" s="6">
        <f>Total!I563</f>
        <v>216950</v>
      </c>
      <c r="K3" s="1"/>
    </row>
    <row r="4" spans="1:11" x14ac:dyDescent="0.2">
      <c r="A4" s="8">
        <f t="shared" si="0"/>
        <v>3</v>
      </c>
      <c r="B4" s="9">
        <f>Total!B564</f>
        <v>41222</v>
      </c>
      <c r="C4" s="9">
        <f>Total!C564</f>
        <v>41274</v>
      </c>
      <c r="D4" s="34" t="str">
        <f>Total!D564</f>
        <v>Infraestructures.cat</v>
      </c>
      <c r="E4" s="34" t="str">
        <f>Total!E564</f>
        <v>Obra Civil</v>
      </c>
      <c r="F4" s="34" t="str">
        <f>Total!F564</f>
        <v>Projectes</v>
      </c>
      <c r="G4" s="34" t="str">
        <f>Total!G564</f>
        <v>PC. VT-08112</v>
      </c>
      <c r="H4" s="34" t="str">
        <f>Total!H564</f>
        <v>Contracte de serveis per a l'assistència tècnica per a la redacció del projecte constructiu de millora general. Variant de Sarral. Carretera C-241d, del PK 7+700 al 10+880. Tram: Sarral. Clau: VT-08112</v>
      </c>
      <c r="I4" s="6">
        <f>Total!I564</f>
        <v>243200</v>
      </c>
    </row>
    <row r="5" spans="1:11" x14ac:dyDescent="0.2">
      <c r="A5" s="8">
        <f t="shared" si="0"/>
        <v>4</v>
      </c>
      <c r="B5" s="9">
        <f>Total!B565</f>
        <v>41222</v>
      </c>
      <c r="C5" s="9">
        <f>Total!C565</f>
        <v>41274</v>
      </c>
      <c r="D5" s="34" t="str">
        <f>Total!D565</f>
        <v>Infraestructures.cat</v>
      </c>
      <c r="E5" s="34" t="str">
        <f>Total!E565</f>
        <v>Obra Civil</v>
      </c>
      <c r="F5" s="34" t="str">
        <f>Total!F565</f>
        <v>Projectes</v>
      </c>
      <c r="G5" s="34" t="str">
        <f>Total!G565</f>
        <v>PC. VT-08113</v>
      </c>
      <c r="H5" s="34" t="str">
        <f>Total!H565</f>
        <v>Contracte de serveis per a l'assistència tècnica per a la redacció del projecte constructiu de millora general. Variant de Rocafort de Queralt. Carretera C-241d, del PK 13+100 al 15+350. Tram: Rocafort de Queralt - Sarral. Clau: VT-08113</v>
      </c>
      <c r="I5" s="6">
        <f>Total!I565</f>
        <v>260800</v>
      </c>
    </row>
    <row r="6" spans="1:11" ht="13.5" thickBot="1" x14ac:dyDescent="0.25">
      <c r="A6" s="8">
        <f>A5+1</f>
        <v>5</v>
      </c>
      <c r="B6" s="9">
        <f>Total!B566</f>
        <v>41226</v>
      </c>
      <c r="C6" s="9">
        <f>Total!C566</f>
        <v>41242</v>
      </c>
      <c r="D6" s="34" t="str">
        <f>Total!D566</f>
        <v>Infraestructures.cat</v>
      </c>
      <c r="E6" s="34" t="str">
        <f>Total!E566</f>
        <v>Edificació</v>
      </c>
      <c r="F6" s="34" t="str">
        <f>Total!F566</f>
        <v>Direcciond d'Execució</v>
      </c>
      <c r="G6" s="34" t="str">
        <f>Total!G566</f>
        <v>DE.PAT-09998</v>
      </c>
      <c r="H6" s="34" t="str">
        <f>Total!H566</f>
        <v>Contracte de serveis per a la direcció d'execució de les obres per a l'acabament de la rehabilitació de l'Escola Enxaneta (Línia 1) de Valls. Clau: PAT-09998</v>
      </c>
      <c r="I6" s="6">
        <f>Total!I566</f>
        <v>75772</v>
      </c>
    </row>
    <row r="7" spans="1:11" hidden="1" x14ac:dyDescent="0.2">
      <c r="A7" s="8">
        <f t="shared" ref="A7:A14" si="1">A6+1</f>
        <v>6</v>
      </c>
      <c r="B7" s="9"/>
      <c r="C7" s="9"/>
      <c r="D7" s="34"/>
      <c r="E7" s="34"/>
      <c r="F7" s="34"/>
      <c r="G7" s="34"/>
      <c r="H7" s="34"/>
      <c r="I7" s="6"/>
    </row>
    <row r="8" spans="1:11" hidden="1" x14ac:dyDescent="0.2">
      <c r="A8" s="8">
        <f t="shared" si="1"/>
        <v>7</v>
      </c>
      <c r="B8" s="9"/>
      <c r="C8" s="9"/>
      <c r="D8" s="34"/>
      <c r="E8" s="34"/>
      <c r="F8" s="34"/>
      <c r="G8" s="34"/>
      <c r="H8" s="34"/>
      <c r="I8" s="6"/>
    </row>
    <row r="9" spans="1:11" hidden="1" x14ac:dyDescent="0.2">
      <c r="A9" s="8">
        <f t="shared" si="1"/>
        <v>8</v>
      </c>
      <c r="B9" s="9"/>
      <c r="C9" s="9"/>
      <c r="D9" s="34"/>
      <c r="E9" s="34"/>
      <c r="F9" s="34"/>
      <c r="G9" s="34"/>
      <c r="H9" s="34"/>
      <c r="I9" s="6"/>
    </row>
    <row r="10" spans="1:11" hidden="1" x14ac:dyDescent="0.2">
      <c r="A10" s="8">
        <f t="shared" si="1"/>
        <v>9</v>
      </c>
      <c r="B10" s="9"/>
      <c r="C10" s="9"/>
      <c r="D10" s="34"/>
      <c r="E10" s="34"/>
      <c r="F10" s="34"/>
      <c r="G10" s="34"/>
      <c r="H10" s="34"/>
      <c r="I10" s="6"/>
    </row>
    <row r="11" spans="1:11" hidden="1" x14ac:dyDescent="0.2">
      <c r="A11" s="8">
        <f t="shared" si="1"/>
        <v>10</v>
      </c>
      <c r="B11" s="9"/>
      <c r="C11" s="9"/>
      <c r="D11" s="34"/>
      <c r="E11" s="34"/>
      <c r="F11" s="34"/>
      <c r="G11" s="34"/>
      <c r="H11" s="34"/>
      <c r="I11" s="6"/>
    </row>
    <row r="12" spans="1:11" hidden="1" x14ac:dyDescent="0.2">
      <c r="A12" s="8">
        <f t="shared" si="1"/>
        <v>11</v>
      </c>
      <c r="B12" s="9"/>
      <c r="C12" s="9"/>
      <c r="D12" s="34"/>
      <c r="E12" s="34"/>
      <c r="F12" s="34"/>
      <c r="G12" s="34"/>
      <c r="H12" s="34"/>
      <c r="I12" s="6"/>
    </row>
    <row r="13" spans="1:11" hidden="1" x14ac:dyDescent="0.2">
      <c r="A13" s="8">
        <f t="shared" si="1"/>
        <v>12</v>
      </c>
      <c r="B13" s="9"/>
      <c r="C13" s="9"/>
      <c r="D13" s="34"/>
      <c r="E13" s="34"/>
      <c r="F13" s="34"/>
      <c r="G13" s="34"/>
      <c r="H13" s="34"/>
      <c r="I13" s="6"/>
    </row>
    <row r="14" spans="1:11" ht="13.5" hidden="1" thickBot="1" x14ac:dyDescent="0.25">
      <c r="A14" s="8">
        <f t="shared" si="1"/>
        <v>13</v>
      </c>
      <c r="B14" s="9"/>
      <c r="C14" s="9"/>
      <c r="D14" s="34"/>
      <c r="E14" s="34"/>
      <c r="F14" s="34"/>
      <c r="G14" s="34"/>
      <c r="H14" s="34"/>
      <c r="I14" s="6"/>
    </row>
    <row r="15" spans="1:11" ht="13.5" thickBot="1" x14ac:dyDescent="0.25">
      <c r="I15" s="33">
        <f>SUM(I2:I14)</f>
        <v>837540.53</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BBA3A-84F5-4D19-B3D2-6C316E5DD174}">
  <dimension ref="A1:I73"/>
  <sheetViews>
    <sheetView topLeftCell="A33" workbookViewId="0">
      <selection activeCell="A8" sqref="A8:A72"/>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Total!B3362</f>
        <v>44837</v>
      </c>
      <c r="C2" s="101">
        <f>Total!C3362</f>
        <v>44853</v>
      </c>
      <c r="D2" s="112" t="s">
        <v>1092</v>
      </c>
      <c r="E2" s="332" t="str">
        <f>Total!E3362</f>
        <v>Obra Civil</v>
      </c>
      <c r="F2" s="96" t="str">
        <f>Total!F3362</f>
        <v>Projectes</v>
      </c>
      <c r="G2" s="112" t="str">
        <f>Total!G3362</f>
        <v>EX. VB-03120-A1</v>
      </c>
      <c r="H2" s="112" t="str">
        <f>Total!H3362</f>
        <v>Assistència Tècnica a la redacció del "Document ambiental. Variant de la carretera C-59, del PK 20+000 al 25+000. Sant Feliu de Cod ines".</v>
      </c>
      <c r="I2" s="157">
        <f>Total!I3362</f>
        <v>15400</v>
      </c>
    </row>
    <row r="3" spans="1:9" x14ac:dyDescent="0.2">
      <c r="A3" s="8">
        <v>2</v>
      </c>
      <c r="B3" s="101">
        <f>Total!B3363</f>
        <v>44837</v>
      </c>
      <c r="C3" s="101">
        <f>Total!C3363</f>
        <v>44853</v>
      </c>
      <c r="D3" s="112" t="s">
        <v>1092</v>
      </c>
      <c r="E3" s="332" t="str">
        <f>Total!E3363</f>
        <v>Obra Civil</v>
      </c>
      <c r="F3" s="96" t="str">
        <f>Total!F3363</f>
        <v>Projectes</v>
      </c>
      <c r="G3" s="112" t="str">
        <f>Total!G3363</f>
        <v>EX. VB-01055</v>
      </c>
      <c r="H3" s="112" t="str">
        <f>Total!H3363</f>
        <v>Assistència Tècnica a la redacció del "Document ambiental de Millora general. Variant de Sagàs. Carretera C-62, del PK 23+000 al 25 +600. Tram: Santa Maria de Merlès - Sagàs.</v>
      </c>
      <c r="I3" s="157">
        <f>Total!I3363</f>
        <v>13220</v>
      </c>
    </row>
    <row r="4" spans="1:9" x14ac:dyDescent="0.2">
      <c r="A4" s="8">
        <v>3</v>
      </c>
      <c r="B4" s="101">
        <f>Total!B3364</f>
        <v>44838</v>
      </c>
      <c r="C4" s="101">
        <f>Total!C3364</f>
        <v>44858</v>
      </c>
      <c r="D4" s="112" t="s">
        <v>1092</v>
      </c>
      <c r="E4" s="332" t="str">
        <f>Total!E3364</f>
        <v>Edificació</v>
      </c>
      <c r="F4" s="96" t="str">
        <f>Total!F3364</f>
        <v>Control de Qualitat</v>
      </c>
      <c r="G4" s="112" t="str">
        <f>Total!G3364</f>
        <v>CQ. SAV-21207</v>
      </c>
      <c r="H4" s="112" t="str">
        <f>Total!H3364</f>
        <v>Contracte de serveis per a l'assistència tècnica de control de qualitat de les obres d'ampliació de l'Escola el Martinet per a un Institut Escola 2L d'infantil i primària i 2L d'ESO a Ripollet.</v>
      </c>
      <c r="I4" s="157">
        <f>Total!I3364</f>
        <v>37886.410000000003</v>
      </c>
    </row>
    <row r="5" spans="1:9" x14ac:dyDescent="0.2">
      <c r="A5" s="8">
        <v>4</v>
      </c>
      <c r="B5" s="101">
        <f>Total!B3365</f>
        <v>44838</v>
      </c>
      <c r="C5" s="101">
        <f>Total!C3365</f>
        <v>44858</v>
      </c>
      <c r="D5" s="112" t="s">
        <v>1092</v>
      </c>
      <c r="E5" s="332" t="str">
        <f>Total!E3365</f>
        <v>Edificació</v>
      </c>
      <c r="F5" s="96" t="str">
        <f>Total!F3365</f>
        <v>Direccions d'Execució</v>
      </c>
      <c r="G5" s="112" t="str">
        <f>Total!G3365</f>
        <v>CSS. SAC-21202</v>
      </c>
      <c r="H5" s="112" t="str">
        <f>Total!H3365</f>
        <v>Contracte de serveis per a l'assistència tècnica de coordinació de seguretat i salut de les obres del projecte d'ampliació de l'Escola Pere Lliscart per a un Institut Escola de 2L d'infantil i primària i 2L d'ESO a l'Hospitalet de Llobregat.</v>
      </c>
      <c r="I5" s="157">
        <f>Total!I3365</f>
        <v>18064.93</v>
      </c>
    </row>
    <row r="6" spans="1:9" x14ac:dyDescent="0.2">
      <c r="A6" s="8">
        <v>5</v>
      </c>
      <c r="B6" s="101">
        <f>Total!B3366</f>
        <v>44838</v>
      </c>
      <c r="C6" s="101">
        <f>Total!C3366</f>
        <v>44858</v>
      </c>
      <c r="D6" s="112" t="s">
        <v>1092</v>
      </c>
      <c r="E6" s="332" t="str">
        <f>Total!E3366</f>
        <v>Edificació</v>
      </c>
      <c r="F6" s="96" t="str">
        <f>Total!F3366</f>
        <v>Direccions d'Execució</v>
      </c>
      <c r="G6" s="112" t="str">
        <f>Total!G3366</f>
        <v>DE. SAC-21202</v>
      </c>
      <c r="H6" s="112" t="str">
        <f>Total!H3366</f>
        <v>Contracte de serveis per a la direcció d'execució de les obres d'ampliació de l'Escola Pere Lliscart per a un Institut Escola de 2L d'infantil i primària i 2L d'ESO a l'Hospitalet de Llobregat.</v>
      </c>
      <c r="I6" s="157">
        <f>Total!I3366</f>
        <v>84380.17</v>
      </c>
    </row>
    <row r="7" spans="1:9" x14ac:dyDescent="0.2">
      <c r="A7" s="8">
        <v>6</v>
      </c>
      <c r="B7" s="101">
        <f>Total!B3367</f>
        <v>44838</v>
      </c>
      <c r="C7" s="101">
        <f>Total!C3367</f>
        <v>44858</v>
      </c>
      <c r="D7" s="112" t="s">
        <v>1092</v>
      </c>
      <c r="E7" s="332" t="str">
        <f>Total!E3367</f>
        <v>Edificació</v>
      </c>
      <c r="F7" s="96" t="str">
        <f>Total!F3367</f>
        <v>Direccions d'Obra</v>
      </c>
      <c r="G7" s="112" t="str">
        <f>Total!G3367</f>
        <v>DO. SAC-21202</v>
      </c>
      <c r="H7" s="112" t="str">
        <f>Total!H3367</f>
        <v>Contracte de serveis per a la direcció de les obres d'ampliació de l'Escola Pere Lliscart per a un Institut Escola de 2L d'infantil i primària i 2L d'ESO a l'Hospitalet de Llobregat.</v>
      </c>
      <c r="I7" s="157">
        <f>Total!I3367</f>
        <v>78429.8</v>
      </c>
    </row>
    <row r="8" spans="1:9" x14ac:dyDescent="0.2">
      <c r="A8" s="8">
        <v>7</v>
      </c>
      <c r="B8" s="101">
        <f>Total!B3368</f>
        <v>44838</v>
      </c>
      <c r="C8" s="101">
        <f>Total!C3368</f>
        <v>44858</v>
      </c>
      <c r="D8" s="112" t="s">
        <v>1092</v>
      </c>
      <c r="E8" s="332" t="str">
        <f>Total!E3368</f>
        <v>Edificació</v>
      </c>
      <c r="F8" s="96" t="str">
        <f>Total!F3368</f>
        <v>Direccions d'Execució</v>
      </c>
      <c r="G8" s="112" t="str">
        <f>Total!G3368</f>
        <v>DE. SAV-21207</v>
      </c>
      <c r="H8" s="112" t="str">
        <f>Total!H3368</f>
        <v>Contracte de serveis per a l'assistència tècnica de la direcció d'execució d'ampliació de l'Escola el Martinet per a un Institut Escola 2L d'infantil i primària i 2L d'ESO a Ripollet.</v>
      </c>
      <c r="I8" s="157">
        <f>Total!I3368</f>
        <v>91465.17</v>
      </c>
    </row>
    <row r="9" spans="1:9" x14ac:dyDescent="0.2">
      <c r="A9" s="8">
        <v>8</v>
      </c>
      <c r="B9" s="101">
        <f>Total!B3369</f>
        <v>44838</v>
      </c>
      <c r="C9" s="101">
        <f>Total!C3369</f>
        <v>44858</v>
      </c>
      <c r="D9" s="112" t="s">
        <v>1092</v>
      </c>
      <c r="E9" s="332" t="str">
        <f>Total!E3369</f>
        <v>Edificació</v>
      </c>
      <c r="F9" s="96" t="str">
        <f>Total!F3369</f>
        <v>Direccions d'Execució</v>
      </c>
      <c r="G9" s="112" t="str">
        <f>Total!G3369</f>
        <v>DE. DXB-20239</v>
      </c>
      <c r="H9" s="112" t="str">
        <f>Total!H3369</f>
        <v>Contracte de serveis per a l'assistència tècnica de direcció d'execució de les obres de reforma interior d'un edifici administratiu situat al C/Aragó 330-332 de Barcelona.</v>
      </c>
      <c r="I9" s="157">
        <f>Total!I3369</f>
        <v>139256.20000000001</v>
      </c>
    </row>
    <row r="10" spans="1:9" x14ac:dyDescent="0.2">
      <c r="A10" s="8">
        <v>9</v>
      </c>
      <c r="B10" s="101">
        <f>Total!B3370</f>
        <v>44838</v>
      </c>
      <c r="C10" s="101">
        <f>Total!C3370</f>
        <v>44858</v>
      </c>
      <c r="D10" s="112" t="s">
        <v>1092</v>
      </c>
      <c r="E10" s="332" t="str">
        <f>Total!E3370</f>
        <v>Edificació</v>
      </c>
      <c r="F10" s="96" t="str">
        <f>Total!F3370</f>
        <v>Control de Qualitat</v>
      </c>
      <c r="G10" s="112" t="str">
        <f>Total!G3370</f>
        <v>CQ. DXB-20239</v>
      </c>
      <c r="H10" s="112" t="str">
        <f>Total!H3370</f>
        <v>Contracte de serveis per a l'assistència tècnica del control de qualitat de les obres de reforma interior d'un edifici administratiu situat al C/Aragó 330-332 de Barcelona.</v>
      </c>
      <c r="I10" s="157">
        <f>Total!I3370</f>
        <v>33401.82</v>
      </c>
    </row>
    <row r="11" spans="1:9" x14ac:dyDescent="0.2">
      <c r="A11" s="8">
        <v>10</v>
      </c>
      <c r="B11" s="101">
        <f>Total!B3372</f>
        <v>44838</v>
      </c>
      <c r="C11" s="101">
        <f>Total!C3372</f>
        <v>44858</v>
      </c>
      <c r="D11" s="112" t="s">
        <v>1092</v>
      </c>
      <c r="E11" s="332" t="str">
        <f>Total!E3372</f>
        <v>Edificació</v>
      </c>
      <c r="F11" s="96" t="str">
        <f>Total!F3372</f>
        <v>Direccions d'Execució</v>
      </c>
      <c r="G11" s="112" t="str">
        <f>Total!G3372</f>
        <v>CSS. SAV-21207</v>
      </c>
      <c r="H11" s="112" t="str">
        <f>Total!H3372</f>
        <v>Contracte de serveis per a l'assistència tècnica de coordinació de seguretat i salut de les obres del projecte d'ampliació de l'escola el Martinet a Ripollet per a un Institut Escola 2L d'infantil i primària i 2L d'ESO.</v>
      </c>
      <c r="I11" s="157">
        <f>Total!I3372</f>
        <v>19245.77</v>
      </c>
    </row>
    <row r="12" spans="1:9" x14ac:dyDescent="0.2">
      <c r="A12" s="8">
        <v>11</v>
      </c>
      <c r="B12" s="101">
        <f>Total!B3373</f>
        <v>44838</v>
      </c>
      <c r="C12" s="101">
        <f>Total!C3373</f>
        <v>44858</v>
      </c>
      <c r="D12" s="112" t="s">
        <v>1092</v>
      </c>
      <c r="E12" s="332" t="str">
        <f>Total!E3373</f>
        <v>Edificació</v>
      </c>
      <c r="F12" s="96" t="str">
        <f>Total!F3373</f>
        <v>Control de Qualitat</v>
      </c>
      <c r="G12" s="112" t="str">
        <f>Total!G3373</f>
        <v>CQ. SAC-21202</v>
      </c>
      <c r="H12" s="112" t="str">
        <f>Total!H3373</f>
        <v>Contracte de serveis per a l'assistència tècnica de control de qualitat de les obres d'ampliació de l'Escola Pere Lliscart per a un Institut Escola de 2L d'infantil i primària i 2L d'ESO a l'Hospitalet de Llobregat.</v>
      </c>
      <c r="I12" s="157">
        <f>Total!I3373</f>
        <v>33186</v>
      </c>
    </row>
    <row r="13" spans="1:9" x14ac:dyDescent="0.2">
      <c r="A13" s="8">
        <v>12</v>
      </c>
      <c r="B13" s="101">
        <f>Total!B3374</f>
        <v>44838</v>
      </c>
      <c r="C13" s="101">
        <f>Total!C3374</f>
        <v>44858</v>
      </c>
      <c r="D13" s="112" t="s">
        <v>1092</v>
      </c>
      <c r="E13" s="332" t="str">
        <f>Total!E3374</f>
        <v>Edificació</v>
      </c>
      <c r="F13" s="96" t="str">
        <f>Total!F3374</f>
        <v>Direccions d'Execució</v>
      </c>
      <c r="G13" s="112" t="str">
        <f>Total!G3374</f>
        <v>DE. SAV-21209</v>
      </c>
      <c r="H13" s="112" t="str">
        <f>Total!H3374</f>
        <v>Contracte de serveis per a la direcció d'execució de les obres d'ampliació de l'Escola Agnès Armengol per a una Escola de 1L d'infantil i primària i Institut La Serra fins a 2L d'ESO a Sabadell.</v>
      </c>
      <c r="I13" s="157">
        <f>Total!I3374</f>
        <v>47109.8</v>
      </c>
    </row>
    <row r="14" spans="1:9" x14ac:dyDescent="0.2">
      <c r="A14" s="8">
        <v>13</v>
      </c>
      <c r="B14" s="101">
        <f>Total!B3375</f>
        <v>44838</v>
      </c>
      <c r="C14" s="101">
        <f>Total!C3375</f>
        <v>44858</v>
      </c>
      <c r="D14" s="112" t="s">
        <v>1092</v>
      </c>
      <c r="E14" s="332" t="str">
        <f>Total!E3375</f>
        <v>Edificació</v>
      </c>
      <c r="F14" s="96" t="str">
        <f>Total!F3375</f>
        <v>Direccions d'Obra</v>
      </c>
      <c r="G14" s="112" t="str">
        <f>Total!G3375</f>
        <v>DO. SAV-21209</v>
      </c>
      <c r="H14" s="112" t="str">
        <f>Total!H3375</f>
        <v>Contracte de serveis per a la direcció d'obra de les obres d'ampliació de l'Escola Agnès Armengol per a una Escola de 1L d'infantil i primària i Institut La Serra fins a 2L d'ESO a Sabadell.</v>
      </c>
      <c r="I14" s="157">
        <f>Total!I3375</f>
        <v>45531.19</v>
      </c>
    </row>
    <row r="15" spans="1:9" x14ac:dyDescent="0.2">
      <c r="A15" s="8">
        <v>14</v>
      </c>
      <c r="B15" s="101">
        <f>Total!B3376</f>
        <v>44838</v>
      </c>
      <c r="C15" s="101">
        <f>Total!C3376</f>
        <v>44858</v>
      </c>
      <c r="D15" s="112" t="s">
        <v>1092</v>
      </c>
      <c r="E15" s="332" t="str">
        <f>Total!E3376</f>
        <v>Edificació</v>
      </c>
      <c r="F15" s="96" t="str">
        <f>Total!F3376</f>
        <v>Direccions d'Obra</v>
      </c>
      <c r="G15" s="112" t="str">
        <f>Total!G3376</f>
        <v>DO. SAV-21207</v>
      </c>
      <c r="H15" s="112" t="str">
        <f>Total!H3376</f>
        <v>Contracte de serveis per a l'assistència tècnica de la direcció de les obres d'ampliació de l'Escola el Martinet per a un Institut Escola 2L d'infantil i primària i 2L d'ESO a Ripollet.</v>
      </c>
      <c r="I15" s="157">
        <f>Total!I3376</f>
        <v>90904.91</v>
      </c>
    </row>
    <row r="16" spans="1:9" x14ac:dyDescent="0.2">
      <c r="A16" s="8">
        <v>15</v>
      </c>
      <c r="B16" s="101">
        <f>Total!B3377</f>
        <v>44838</v>
      </c>
      <c r="C16" s="101">
        <f>Total!C3377</f>
        <v>44858</v>
      </c>
      <c r="D16" s="112" t="s">
        <v>1092</v>
      </c>
      <c r="E16" s="332" t="str">
        <f>Total!E3377</f>
        <v>Edificació</v>
      </c>
      <c r="F16" s="96" t="str">
        <f>Total!F3377</f>
        <v>Direccions d'Execució</v>
      </c>
      <c r="G16" s="112" t="str">
        <f>Total!G3377</f>
        <v>CSS. SAV-21209</v>
      </c>
      <c r="H16" s="112" t="str">
        <f>Total!H3377</f>
        <v>Contracte de serveis per a l'assistència tècnica de coordinació de seguretat i salut de les obres del projecte d'ampliació de l'Escola Agnès Armengol per a una Escola d'1L d'infantil i primària i Institut La Serra fins a 2L d'ESO a Sabadell.</v>
      </c>
      <c r="I16" s="157">
        <f>Total!I3377</f>
        <v>11871.67</v>
      </c>
    </row>
    <row r="17" spans="1:9" x14ac:dyDescent="0.2">
      <c r="A17" s="8">
        <v>16</v>
      </c>
      <c r="B17" s="101">
        <f>Total!B3378</f>
        <v>44838</v>
      </c>
      <c r="C17" s="101">
        <f>Total!C3378</f>
        <v>44858</v>
      </c>
      <c r="D17" s="112" t="s">
        <v>1092</v>
      </c>
      <c r="E17" s="332" t="str">
        <f>Total!E3378</f>
        <v>Edificació</v>
      </c>
      <c r="F17" s="96" t="str">
        <f>Total!F3378</f>
        <v>Control de Qualitat</v>
      </c>
      <c r="G17" s="112" t="str">
        <f>Total!G3378</f>
        <v>CQ. SAV-21209</v>
      </c>
      <c r="H17" s="112" t="str">
        <f>Total!H3378</f>
        <v>Contracte de serveis per a l'assistència tècnica de control de qualitat de les obres d'ampliació de l'Escola Agnès Armengol per a una Escola de 1L d'infantil i primària i Institut La Serra fins a 2L d'ESO a Sabadell.</v>
      </c>
      <c r="I17" s="157">
        <f>Total!I3378</f>
        <v>17393.64</v>
      </c>
    </row>
    <row r="18" spans="1:9" x14ac:dyDescent="0.2">
      <c r="A18" s="8">
        <v>17</v>
      </c>
      <c r="B18" s="101">
        <f>Total!B3379</f>
        <v>44839</v>
      </c>
      <c r="C18" s="101">
        <f>Total!C3379</f>
        <v>44860</v>
      </c>
      <c r="D18" s="112" t="s">
        <v>1092</v>
      </c>
      <c r="E18" s="332" t="str">
        <f>Total!E3379</f>
        <v>Obra Civil</v>
      </c>
      <c r="F18" s="96" t="str">
        <f>Total!F3379</f>
        <v>Control de Qualitat</v>
      </c>
      <c r="G18" s="112" t="str">
        <f>Total!G3379</f>
        <v>CQ. XC-10020.2.4.F1</v>
      </c>
      <c r="H18" s="112" t="str">
        <f>Total!H3379</f>
        <v>Contracte de serveis per a l'assistència tècnica de Control de Qualitat de les obres de la via ciclista del Ter. Tram: pont de les Rocasses - Camprodon.</v>
      </c>
      <c r="I18" s="157">
        <f>Total!I3379</f>
        <v>2423.9899999999998</v>
      </c>
    </row>
    <row r="19" spans="1:9" x14ac:dyDescent="0.2">
      <c r="A19" s="8">
        <v>18</v>
      </c>
      <c r="B19" s="101">
        <f>Total!B3380</f>
        <v>44839</v>
      </c>
      <c r="C19" s="101">
        <f>Total!C3380</f>
        <v>44860</v>
      </c>
      <c r="D19" s="112" t="s">
        <v>1092</v>
      </c>
      <c r="E19" s="332" t="str">
        <f>Total!E3380</f>
        <v>Edificació</v>
      </c>
      <c r="F19" s="96" t="str">
        <f>Total!F3380</f>
        <v>Direccions d'Execució</v>
      </c>
      <c r="G19" s="112" t="str">
        <f>Total!G3380</f>
        <v>DE+CSS. JVX-20251</v>
      </c>
      <c r="H19" s="112" t="str">
        <f>Total!H3380</f>
        <v>Contracte de serveis per a la Direcció d'Execució i Coordinació de Seguretat i Salut de les obres RAM per a la millora del sistema de tractament d'aigües residuals (EDAR) en el Centre Penitenciari de Brians 1.</v>
      </c>
      <c r="I19" s="157">
        <f>Total!I3380</f>
        <v>20000</v>
      </c>
    </row>
    <row r="20" spans="1:9" x14ac:dyDescent="0.2">
      <c r="A20" s="8">
        <v>19</v>
      </c>
      <c r="B20" s="101">
        <f>Total!B3381</f>
        <v>44839</v>
      </c>
      <c r="C20" s="101">
        <f>Total!C3381</f>
        <v>44858</v>
      </c>
      <c r="D20" s="112" t="s">
        <v>1092</v>
      </c>
      <c r="E20" s="332" t="str">
        <f>Total!E3381</f>
        <v>Obra Civil</v>
      </c>
      <c r="F20" s="96" t="str">
        <f>Total!F3381</f>
        <v>Direccions d'Obra</v>
      </c>
      <c r="G20" s="112" t="str">
        <f>Total!G3381</f>
        <v>CSS. CB-16061</v>
      </c>
      <c r="H20" s="112" t="str">
        <f>Total!H3381</f>
        <v>Coord. S.S. obres proj. constructiu de conservació extraordinària. Ponts i estructures. Rehabilitació d'obres de fàbrica a la C-155, PK 6+900, a la BV-5303, PK 10+870, i a la BV-5105, PK 2+300. Tram: Palau-solità i Plegamans, Seva i la Roca del Vallès.</v>
      </c>
      <c r="I20" s="157">
        <f>Total!I3381</f>
        <v>8684.7999999999993</v>
      </c>
    </row>
    <row r="21" spans="1:9" x14ac:dyDescent="0.2">
      <c r="A21" s="8">
        <v>20</v>
      </c>
      <c r="B21" s="101">
        <f>Total!B3382</f>
        <v>44839</v>
      </c>
      <c r="C21" s="101">
        <f>Total!C3382</f>
        <v>44860</v>
      </c>
      <c r="D21" s="112" t="s">
        <v>1092</v>
      </c>
      <c r="E21" s="332" t="str">
        <f>Total!E3382</f>
        <v>Obra Civil</v>
      </c>
      <c r="F21" s="96" t="str">
        <f>Total!F3382</f>
        <v>Direccions d'Obra</v>
      </c>
      <c r="G21" s="112" t="str">
        <f>Total!G3382</f>
        <v>CSS. XC-10020.2.4.F1</v>
      </c>
      <c r="H21" s="112" t="str">
        <f>Total!H3382</f>
        <v>Contracte de serveis per a l'assistència tècnica de coordinació de seguretat i salut de les obres de la via ciclista del Ter. Tram: pont de les Rocasses - Camprodon.</v>
      </c>
      <c r="I21" s="157">
        <f>Total!I3382</f>
        <v>1988.38</v>
      </c>
    </row>
    <row r="22" spans="1:9" x14ac:dyDescent="0.2">
      <c r="A22" s="8">
        <v>21</v>
      </c>
      <c r="B22" s="101">
        <f>Total!B3383</f>
        <v>44839</v>
      </c>
      <c r="C22" s="101">
        <f>Total!C3383</f>
        <v>44860</v>
      </c>
      <c r="D22" s="112" t="s">
        <v>1092</v>
      </c>
      <c r="E22" s="332" t="str">
        <f>Total!E3383</f>
        <v>Edificació</v>
      </c>
      <c r="F22" s="96" t="str">
        <f>Total!F3383</f>
        <v>Projectes i Direccions d'Obra</v>
      </c>
      <c r="G22" s="112" t="str">
        <f>Total!G3383</f>
        <v>PE+DO. JVX-16243.A</v>
      </c>
      <c r="H22" s="112" t="str">
        <f>Total!H3383</f>
        <v>Assistència tècnica per a la redacció del projecte bàsic i executiu i la posterior direcció de les obres del projecte actualitzat de les obres RAM d'adequació del clima de l'Audiència a l'edifici judicial del Canyeret de Lleida.</v>
      </c>
      <c r="I22" s="157">
        <f>Total!I3383</f>
        <v>69052.740000000005</v>
      </c>
    </row>
    <row r="23" spans="1:9" x14ac:dyDescent="0.2">
      <c r="A23" s="8">
        <v>22</v>
      </c>
      <c r="B23" s="101">
        <f>Total!B3384</f>
        <v>44839</v>
      </c>
      <c r="C23" s="101">
        <f>Total!C3384</f>
        <v>44860</v>
      </c>
      <c r="D23" s="112" t="s">
        <v>1092</v>
      </c>
      <c r="E23" s="332" t="str">
        <f>Total!E3384</f>
        <v>Edificació</v>
      </c>
      <c r="F23" s="96" t="str">
        <f>Total!F3384</f>
        <v>Control de Qualitat</v>
      </c>
      <c r="G23" s="112" t="str">
        <f>Total!G3384</f>
        <v>CQ. JVX-20251</v>
      </c>
      <c r="H23" s="112" t="str">
        <f>Total!H3384</f>
        <v>Contracte de serveis per al Control de Qualitat de les obres de les obres RAM per a la millora del sistema del tractament d'aigües residuals (EDAR) en el Centre Penitenciari de Brians 1.</v>
      </c>
      <c r="I23" s="157">
        <f>Total!I3384</f>
        <v>5705.64</v>
      </c>
    </row>
    <row r="24" spans="1:9" x14ac:dyDescent="0.2">
      <c r="A24" s="8">
        <v>23</v>
      </c>
      <c r="B24" s="101">
        <f>Total!B3385</f>
        <v>44839</v>
      </c>
      <c r="C24" s="101">
        <f>Total!C3385</f>
        <v>44858</v>
      </c>
      <c r="D24" s="112" t="s">
        <v>1092</v>
      </c>
      <c r="E24" s="332" t="str">
        <f>Total!E3385</f>
        <v>Obra Civil</v>
      </c>
      <c r="F24" s="96" t="str">
        <f>Total!F3385</f>
        <v>Direccions d'Obra</v>
      </c>
      <c r="G24" s="112" t="str">
        <f>Total!G3385</f>
        <v>DO. XC-10020.2.4.F1</v>
      </c>
      <c r="H24" s="112" t="str">
        <f>Total!H3385</f>
        <v>Contracte de serveis per a la direcció de les obres de la via ciclista del Ter. Tram: pont de les Rocasses - Camprodon.</v>
      </c>
      <c r="I24" s="157">
        <f>Total!I3385</f>
        <v>8571.8799999999992</v>
      </c>
    </row>
    <row r="25" spans="1:9" x14ac:dyDescent="0.2">
      <c r="A25" s="8">
        <v>24</v>
      </c>
      <c r="B25" s="101">
        <f>Total!B3386</f>
        <v>44839</v>
      </c>
      <c r="C25" s="101">
        <f>Total!C3386</f>
        <v>44858</v>
      </c>
      <c r="D25" s="112" t="s">
        <v>1092</v>
      </c>
      <c r="E25" s="332" t="str">
        <f>Total!E3386</f>
        <v>Obra Civil</v>
      </c>
      <c r="F25" s="96" t="str">
        <f>Total!F3386</f>
        <v>Direccions d'Obra</v>
      </c>
      <c r="G25" s="112" t="str">
        <f>Total!G3386</f>
        <v>DO. CB-16061</v>
      </c>
      <c r="H25" s="112" t="str">
        <f>Total!H3386</f>
        <v>Direcció de les obres de conservació extraordinària. Ponts i estructures. Rehabilitació d'obres de fàbrica a la C-155, PK 6+900, a la BV-5303, PK 10+870, i a la BV-5105, PK 2+300. Tram: Palau-solità i Plegamans, Seva i la Roca del Vallès.</v>
      </c>
      <c r="I25" s="157">
        <f>Total!I3386</f>
        <v>31322.720000000001</v>
      </c>
    </row>
    <row r="26" spans="1:9" x14ac:dyDescent="0.2">
      <c r="A26" s="8">
        <v>25</v>
      </c>
      <c r="B26" s="101">
        <f>Total!B3387</f>
        <v>44839</v>
      </c>
      <c r="C26" s="101">
        <f>Total!C3387</f>
        <v>44858</v>
      </c>
      <c r="D26" s="112" t="s">
        <v>1092</v>
      </c>
      <c r="E26" s="332" t="str">
        <f>Total!E3387</f>
        <v>Obra Civil</v>
      </c>
      <c r="F26" s="96" t="str">
        <f>Total!F3387</f>
        <v>Control de Qualitat</v>
      </c>
      <c r="G26" s="112" t="str">
        <f>Total!G3387</f>
        <v>CQ. CB-16061</v>
      </c>
      <c r="H26" s="112" t="str">
        <f>Total!H3387</f>
        <v>Control de qualitat de les obres de conservació extraordinària. Ponts i estructures. Rehabilitació d'obres de fàbrica a la C-155, PK 6+900, a la BV-5303, PK 10+870, i a la BV-5105, PK 2+300. Tram: Palau-solità i Plegamans, Seva i la Roca del Vallès.</v>
      </c>
      <c r="I26" s="157">
        <f>Total!I3387</f>
        <v>15136.15</v>
      </c>
    </row>
    <row r="27" spans="1:9" x14ac:dyDescent="0.2">
      <c r="A27" s="8">
        <v>26</v>
      </c>
      <c r="B27" s="101">
        <f>Total!B3388</f>
        <v>44840</v>
      </c>
      <c r="C27" s="101">
        <f>Total!C3388</f>
        <v>44858</v>
      </c>
      <c r="D27" s="112" t="s">
        <v>1092</v>
      </c>
      <c r="E27" s="332" t="str">
        <f>Total!E3388</f>
        <v>Edificació</v>
      </c>
      <c r="F27" s="96" t="str">
        <f>Total!F3388</f>
        <v>Projectes</v>
      </c>
      <c r="G27" s="112" t="str">
        <f>Total!G3388</f>
        <v>E1. PGB-22320</v>
      </c>
      <c r="H27" s="112" t="str">
        <f>Total!H3388</f>
        <v>Contracte de serveis per a l'assistència tècnica per a la redacció de l'Estudi per a la redacció del Programa funcional per a l'execució dels edificis prefabricats dels nous parcs de bombers voluntaris.</v>
      </c>
      <c r="I27" s="157">
        <f>Total!I3388</f>
        <v>30000</v>
      </c>
    </row>
    <row r="28" spans="1:9" x14ac:dyDescent="0.2">
      <c r="A28" s="8">
        <v>27</v>
      </c>
      <c r="B28" s="101">
        <f>Total!B3389</f>
        <v>44841</v>
      </c>
      <c r="C28" s="101">
        <f>Total!C3389</f>
        <v>44858</v>
      </c>
      <c r="D28" s="112" t="s">
        <v>1092</v>
      </c>
      <c r="E28" s="332" t="str">
        <f>Total!E3389</f>
        <v>Obra Civil</v>
      </c>
      <c r="F28" s="96" t="str">
        <f>Total!F3389</f>
        <v>Control de Qualitat</v>
      </c>
      <c r="G28" s="112" t="str">
        <f>Total!G3389</f>
        <v>CQ. PC-CCL-17007</v>
      </c>
      <c r="H28" s="112" t="str">
        <f>Total!H3389</f>
        <v>Contracte de A.T. de C.Q. de les obres del projecte constructiu de "Conservació extraordinària. Ponts i estructures. Adaptació d'ampits a normativa vigent i execució vorera de vianants a la carretera C-14, PK 177+275. Tram: Adrall''.</v>
      </c>
      <c r="I28" s="157">
        <f>Total!I3389</f>
        <v>5401.94</v>
      </c>
    </row>
    <row r="29" spans="1:9" x14ac:dyDescent="0.2">
      <c r="A29" s="8">
        <v>28</v>
      </c>
      <c r="B29" s="101">
        <f>Total!B3390</f>
        <v>44841</v>
      </c>
      <c r="C29" s="101">
        <f>Total!C3390</f>
        <v>44858</v>
      </c>
      <c r="D29" s="112" t="s">
        <v>1092</v>
      </c>
      <c r="E29" s="332" t="str">
        <f>Total!E3390</f>
        <v>Obra Civil</v>
      </c>
      <c r="F29" s="96" t="str">
        <f>Total!F3390</f>
        <v>Direccions d'Obra</v>
      </c>
      <c r="G29" s="112" t="str">
        <f>Total!G3390</f>
        <v>DO. PC-CCL-17007</v>
      </c>
      <c r="H29" s="112" t="str">
        <f>Total!H3390</f>
        <v>Contracte de serveis per a la direcció de les obres del projecte constructiu de "Conservació extraordinària. Ponts i estructures. Adaptació d'ampits a normativa vigent i execució vorera de vianants a la carretera C-14, PK 177+275. Tram: Adrall".</v>
      </c>
      <c r="I29" s="157">
        <f>Total!I3390</f>
        <v>15413.84</v>
      </c>
    </row>
    <row r="30" spans="1:9" x14ac:dyDescent="0.2">
      <c r="A30" s="8">
        <v>29</v>
      </c>
      <c r="B30" s="101">
        <f>Total!B3391</f>
        <v>44841</v>
      </c>
      <c r="C30" s="101">
        <f>Total!C3391</f>
        <v>44867</v>
      </c>
      <c r="D30" s="112" t="s">
        <v>1092</v>
      </c>
      <c r="E30" s="332" t="str">
        <f>Total!E3391</f>
        <v>Edificació</v>
      </c>
      <c r="F30" s="96" t="str">
        <f>Total!F3391</f>
        <v>Direccions d'Execució</v>
      </c>
      <c r="G30" s="112" t="str">
        <f>Total!G3391</f>
        <v>CSS. INE-19228</v>
      </c>
      <c r="H30" s="112" t="str">
        <f>Total!H3391</f>
        <v>Contracte de serveis per a l'assistència tècnica de coordinació de seguretat i salut de les obres per a la reforma dels vestidors, lavabos i altres treballs de l'edifici de l'INEFC de Barcelona.</v>
      </c>
      <c r="I30" s="157">
        <f>Total!I3391</f>
        <v>9227.5</v>
      </c>
    </row>
    <row r="31" spans="1:9" x14ac:dyDescent="0.2">
      <c r="A31" s="8">
        <v>30</v>
      </c>
      <c r="B31" s="101">
        <f>Total!B3392</f>
        <v>44841</v>
      </c>
      <c r="C31" s="101">
        <f>Total!C3392</f>
        <v>44858</v>
      </c>
      <c r="D31" s="112" t="s">
        <v>1092</v>
      </c>
      <c r="E31" s="332" t="str">
        <f>Total!E3392</f>
        <v>Obra Civil</v>
      </c>
      <c r="F31" s="96" t="str">
        <f>Total!F3392</f>
        <v>Direccions d'Obra</v>
      </c>
      <c r="G31" s="112" t="str">
        <f>Total!G3392</f>
        <v>CSS. PC-CCL-17007</v>
      </c>
      <c r="H31" s="112" t="str">
        <f>Total!H3392</f>
        <v>Contracte de A.T. de C.S.S. de les obres del projecte constructiu de "Conservació extraordinària. Ponts i estructures. Adaptació d'ampits a normativa vigent i execució vorera de vianants a la carretera C-14, PK 177+275. Tram: Adrall".</v>
      </c>
      <c r="I31" s="157">
        <f>Total!I3392</f>
        <v>4709.72</v>
      </c>
    </row>
    <row r="32" spans="1:9" x14ac:dyDescent="0.2">
      <c r="A32" s="8">
        <v>31</v>
      </c>
      <c r="B32" s="101">
        <f>Total!B3393</f>
        <v>44841</v>
      </c>
      <c r="C32" s="101">
        <f>Total!C3393</f>
        <v>44867</v>
      </c>
      <c r="D32" s="112" t="s">
        <v>1092</v>
      </c>
      <c r="E32" s="332" t="str">
        <f>Total!E3393</f>
        <v>Edificació</v>
      </c>
      <c r="F32" s="96" t="str">
        <f>Total!F3393</f>
        <v>Control de Qualitat</v>
      </c>
      <c r="G32" s="112" t="str">
        <f>Total!G3393</f>
        <v>CQ. INE-19228</v>
      </c>
      <c r="H32" s="112" t="str">
        <f>Total!H3393</f>
        <v>Contracte de serveis per a l'assistència tècnica de Control de Qualitat de les obres per a la reforma dels vestidors, lavabos i altres treballs de l'edifici de l'INEFC de Barcelona.</v>
      </c>
      <c r="I32" s="157">
        <f>Total!I3393</f>
        <v>9207.7199999999993</v>
      </c>
    </row>
    <row r="33" spans="1:9" x14ac:dyDescent="0.2">
      <c r="A33" s="8">
        <v>32</v>
      </c>
      <c r="B33" s="101">
        <f>Total!B3394</f>
        <v>44841</v>
      </c>
      <c r="C33" s="101">
        <f>Total!C3394</f>
        <v>44867</v>
      </c>
      <c r="D33" s="112" t="s">
        <v>1092</v>
      </c>
      <c r="E33" s="332" t="str">
        <f>Total!E3394</f>
        <v>Edificació</v>
      </c>
      <c r="F33" s="96" t="str">
        <f>Total!F3394</f>
        <v>Direccions d'Execució</v>
      </c>
      <c r="G33" s="112" t="str">
        <f>Total!G3394</f>
        <v>DE. INE-19228</v>
      </c>
      <c r="H33" s="112" t="str">
        <f>Total!H3394</f>
        <v>Contracte de serveis per a l'assistència tècnica de direcció d'execució de les obres per a la reforma dels vestidors, lavabos i altres treballs de l'edifici de l'INEFC de Barcelona.</v>
      </c>
      <c r="I33" s="157">
        <f>Total!I3394</f>
        <v>36909.94</v>
      </c>
    </row>
    <row r="34" spans="1:9" x14ac:dyDescent="0.2">
      <c r="A34" s="8">
        <v>33</v>
      </c>
      <c r="B34" s="101">
        <f>Total!B3395</f>
        <v>44845</v>
      </c>
      <c r="C34" s="101">
        <f>Total!C3395</f>
        <v>44860</v>
      </c>
      <c r="D34" s="112" t="s">
        <v>1092</v>
      </c>
      <c r="E34" s="332" t="str">
        <f>Total!E3395</f>
        <v>Edificació</v>
      </c>
      <c r="F34" s="96" t="str">
        <f>Total!F3395</f>
        <v>Projectes</v>
      </c>
      <c r="G34" s="112" t="str">
        <f>Total!G3395</f>
        <v>EG. EG32</v>
      </c>
      <c r="H34" s="112" t="str">
        <f>Total!H3395</f>
        <v>Contracte de serveis per a l'assistència tècnica per a la realització dels informes preliminars dels emplaçaments dels projectes d'edificació encarregats pel Servei Català de Salut. Clau: EG32</v>
      </c>
      <c r="I34" s="157">
        <f>Total!I3395</f>
        <v>120000</v>
      </c>
    </row>
    <row r="35" spans="1:9" x14ac:dyDescent="0.2">
      <c r="A35" s="8">
        <v>34</v>
      </c>
      <c r="B35" s="101">
        <f>Total!B3396</f>
        <v>44845</v>
      </c>
      <c r="C35" s="101">
        <f>Total!C3396</f>
        <v>44867</v>
      </c>
      <c r="D35" s="112" t="s">
        <v>1092</v>
      </c>
      <c r="E35" s="332" t="str">
        <f>Total!E3396</f>
        <v>Obra Civil</v>
      </c>
      <c r="F35" s="96" t="str">
        <f>Total!F3396</f>
        <v>Direccions d'Obra</v>
      </c>
      <c r="G35" s="112" t="str">
        <f>Total!G3396</f>
        <v>DO. PC-CGB-19064</v>
      </c>
      <c r="H35" s="112" t="str">
        <f>Total!H3396</f>
        <v>Contracte de serveis per a la direcció de les obres de Ponts i estructures. Nova passarel·la en paral·lel a la C-155 del PK 6+900 al PK 7+100. Palau-solità i Plegamans. Clau: PC-CGB-19064</v>
      </c>
      <c r="I35" s="157">
        <f>Total!I3396</f>
        <v>40388.89</v>
      </c>
    </row>
    <row r="36" spans="1:9" x14ac:dyDescent="0.2">
      <c r="A36" s="8">
        <v>35</v>
      </c>
      <c r="B36" s="101">
        <f>Total!B3397</f>
        <v>44845</v>
      </c>
      <c r="C36" s="101">
        <f>Total!C3397</f>
        <v>44868</v>
      </c>
      <c r="D36" s="112" t="s">
        <v>1092</v>
      </c>
      <c r="E36" s="332" t="str">
        <f>Total!E3397</f>
        <v>Obra Civil</v>
      </c>
      <c r="F36" s="96" t="str">
        <f>Total!F3397</f>
        <v>Direccions d'Obra</v>
      </c>
      <c r="G36" s="112" t="str">
        <f>Total!G3397</f>
        <v>DO. REL-18316</v>
      </c>
      <c r="H36" s="112" t="str">
        <f>Total!H3397</f>
        <v>Contracte de Serveis per a la Direcció de les obres del Projecte Constructiu de recuperació ecològica de la Zona Humida de l'Aiguabarreig Segre-Noguera Ribagorçana a Vilanova de la Barca. Clau: REL-18316</v>
      </c>
      <c r="I36" s="157">
        <f>Total!I3397</f>
        <v>23009.02</v>
      </c>
    </row>
    <row r="37" spans="1:9" x14ac:dyDescent="0.2">
      <c r="A37" s="8">
        <v>36</v>
      </c>
      <c r="B37" s="101">
        <f>Total!B3398</f>
        <v>44845</v>
      </c>
      <c r="C37" s="101">
        <f>Total!C3398</f>
        <v>44867</v>
      </c>
      <c r="D37" s="112" t="s">
        <v>1092</v>
      </c>
      <c r="E37" s="332" t="str">
        <f>Total!E3398</f>
        <v>Obra Civil</v>
      </c>
      <c r="F37" s="96" t="str">
        <f>Total!F3398</f>
        <v>Direccions d'Obra</v>
      </c>
      <c r="G37" s="112" t="str">
        <f>Total!G3398</f>
        <v>DO. PC.CMT-18015</v>
      </c>
      <c r="H37" s="112" t="str">
        <f>Total!H3398</f>
        <v>Contracte de serveis per a la direcció de les obres de millora local. Ampliació de vorals de la C-51, del PK 8+226 a 9+060 i del PK9+600 a 10+028. El Vendrell - Albinyana. Clau: PC-CMT-18015.</v>
      </c>
      <c r="I37" s="157">
        <f>Total!I3398</f>
        <v>27646.81</v>
      </c>
    </row>
    <row r="38" spans="1:9" x14ac:dyDescent="0.2">
      <c r="A38" s="8">
        <v>37</v>
      </c>
      <c r="B38" s="101">
        <f>Total!B3399</f>
        <v>44845</v>
      </c>
      <c r="C38" s="101">
        <f>Total!C3399</f>
        <v>44867</v>
      </c>
      <c r="D38" s="112" t="s">
        <v>1092</v>
      </c>
      <c r="E38" s="332" t="str">
        <f>Total!E3399</f>
        <v>Obra Civil</v>
      </c>
      <c r="F38" s="96" t="str">
        <f>Total!F3399</f>
        <v>Direccions d'Obra</v>
      </c>
      <c r="G38" s="112" t="str">
        <f>Total!G3399</f>
        <v>CSS. PC-CMT-18015</v>
      </c>
      <c r="H38" s="112" t="str">
        <f>Total!H3399</f>
        <v>Contracte de serveis per a l'assistència tècnica de coordinació de seguretat i salut de les obres del projecte de millora local. Ampliació de vorals de la C-51, del PK 8+226 a 9+060 i del PK 9+600 a 10+028. El Vendrell - Albinyana.</v>
      </c>
      <c r="I38" s="157">
        <f>Total!I3399</f>
        <v>6357.68</v>
      </c>
    </row>
    <row r="39" spans="1:9" x14ac:dyDescent="0.2">
      <c r="A39" s="8">
        <v>38</v>
      </c>
      <c r="B39" s="101">
        <f>Total!B3400</f>
        <v>44845</v>
      </c>
      <c r="C39" s="101">
        <f>Total!C3400</f>
        <v>44865</v>
      </c>
      <c r="D39" s="112" t="s">
        <v>1092</v>
      </c>
      <c r="E39" s="332" t="str">
        <f>Total!E3400</f>
        <v>Edificació</v>
      </c>
      <c r="F39" s="96" t="str">
        <f>Total!F3400</f>
        <v>Direccions d'Execució</v>
      </c>
      <c r="G39" s="112" t="str">
        <f>Total!G3400</f>
        <v>CSS. SPD-22338.1</v>
      </c>
      <c r="H39" s="112" t="str">
        <f>Total!H3400</f>
        <v>Contracte de serveis per a l'assistència tècnica de coordinació de seguretat i salut de les obres de diverses accions de reforç de connectivitat en centres públics de referència, àmbit Girona. Clau: SPD-22338.1.</v>
      </c>
      <c r="I39" s="157">
        <f>Total!I3400</f>
        <v>50814.89</v>
      </c>
    </row>
    <row r="40" spans="1:9" x14ac:dyDescent="0.2">
      <c r="A40" s="8">
        <v>39</v>
      </c>
      <c r="B40" s="101">
        <f>Total!B3401</f>
        <v>44845</v>
      </c>
      <c r="C40" s="101">
        <f>Total!C3401</f>
        <v>44867</v>
      </c>
      <c r="D40" s="112" t="s">
        <v>1092</v>
      </c>
      <c r="E40" s="332" t="str">
        <f>Total!E3401</f>
        <v>Obra Civil</v>
      </c>
      <c r="F40" s="96" t="str">
        <f>Total!F3401</f>
        <v>Control de Qualitat</v>
      </c>
      <c r="G40" s="112" t="str">
        <f>Total!G3401</f>
        <v>CQ. PC-CMT-18015</v>
      </c>
      <c r="H40" s="112" t="str">
        <f>Total!H3401</f>
        <v>Contracte de serveis per a l'assistència tècnica de control de qualitat de les obres de millora local. Ampliació de vorals de la C-51, del PK 8+226 a 9+060 i del PK 9+600 a 10+028. El Vendrell - Albinyana. Clau: PC-CMT-18015.</v>
      </c>
      <c r="I40" s="157">
        <f>Total!I3401</f>
        <v>7603.08</v>
      </c>
    </row>
    <row r="41" spans="1:9" x14ac:dyDescent="0.2">
      <c r="A41" s="8">
        <v>40</v>
      </c>
      <c r="B41" s="101">
        <f>Total!B3402</f>
        <v>44845</v>
      </c>
      <c r="C41" s="101">
        <f>Total!C3402</f>
        <v>44867</v>
      </c>
      <c r="D41" s="112" t="s">
        <v>1092</v>
      </c>
      <c r="E41" s="332" t="str">
        <f>Total!E3402</f>
        <v>Edificació</v>
      </c>
      <c r="F41" s="96" t="str">
        <f>Total!F3402</f>
        <v>Direccions d'Obra</v>
      </c>
      <c r="G41" s="112" t="str">
        <f>Total!G3402</f>
        <v>DO. SPD-22338.1</v>
      </c>
      <c r="H41" s="112" t="str">
        <f>Total!H3402</f>
        <v>Contracte de serveis per a la direcció de les obres per a l'execució de diverses accions de reforç de connectivitat en centres públics de referència, àmbit Girona. Clau: SPD-22338.1.</v>
      </c>
      <c r="I41" s="157">
        <f>Total!I3402</f>
        <v>176273.13</v>
      </c>
    </row>
    <row r="42" spans="1:9" x14ac:dyDescent="0.2">
      <c r="A42" s="8">
        <v>41</v>
      </c>
      <c r="B42" s="101">
        <f>Total!B3403</f>
        <v>44847</v>
      </c>
      <c r="C42" s="101">
        <f>Total!C3403</f>
        <v>44868</v>
      </c>
      <c r="D42" s="112" t="s">
        <v>1092</v>
      </c>
      <c r="E42" s="332" t="str">
        <f>Total!E3403</f>
        <v>Obra Civil</v>
      </c>
      <c r="F42" s="96" t="str">
        <f>Total!F3403</f>
        <v>Direccions d'Obra</v>
      </c>
      <c r="G42" s="112" t="str">
        <f>Total!G3403</f>
        <v>CSS. REL-18316</v>
      </c>
      <c r="H42" s="112" t="str">
        <f>Total!H3403</f>
        <v>Contracte de serveis per a l'assistència tècnica de coordinació de seguretat i salut de les obres del projecte constructiu de recuperació ecològica de la Zona Humida de l'Aiguabarreig Segre-Noguera Ribagorçana a Vilanova de la Barca. Clau: REL-18316.</v>
      </c>
      <c r="I42" s="157">
        <f>Total!I3403</f>
        <v>3260.99</v>
      </c>
    </row>
    <row r="43" spans="1:9" x14ac:dyDescent="0.2">
      <c r="A43" s="8">
        <v>42</v>
      </c>
      <c r="B43" s="101">
        <f>Total!B3404</f>
        <v>44847</v>
      </c>
      <c r="C43" s="101">
        <f>Total!C3404</f>
        <v>44868</v>
      </c>
      <c r="D43" s="112" t="s">
        <v>1092</v>
      </c>
      <c r="E43" s="332" t="str">
        <f>Total!E3404</f>
        <v>Obra Civil</v>
      </c>
      <c r="F43" s="96" t="str">
        <f>Total!F3404</f>
        <v>Control de Qualitat</v>
      </c>
      <c r="G43" s="112" t="str">
        <f>Total!G3404</f>
        <v>CQ. REL-18316</v>
      </c>
      <c r="H43" s="112" t="str">
        <f>Total!H3404</f>
        <v>Contracte de Serveis per a l'assistència tècnica de control de qualitat de les obres del Projecte Constructiu de recuperació ecològica de la Zona Humida de l'Aiguabarreig Segre-Noguera Ribagorçana a Vilanova de la Barca. Clau: REL-18316</v>
      </c>
      <c r="I43" s="157">
        <f>Total!I3404</f>
        <v>1792</v>
      </c>
    </row>
    <row r="44" spans="1:9" x14ac:dyDescent="0.2">
      <c r="A44" s="8">
        <v>43</v>
      </c>
      <c r="B44" s="101">
        <f>Total!B3405</f>
        <v>44847</v>
      </c>
      <c r="C44" s="101">
        <f>Total!C3405</f>
        <v>44865</v>
      </c>
      <c r="D44" s="112" t="s">
        <v>1092</v>
      </c>
      <c r="E44" s="332" t="str">
        <f>Total!E3405</f>
        <v>Obra Civil</v>
      </c>
      <c r="F44" s="96" t="str">
        <f>Total!F3405</f>
        <v>Direccions d'Obra</v>
      </c>
      <c r="G44" s="112" t="str">
        <f>Total!G3405</f>
        <v>CSS. PC-CMT-17055</v>
      </c>
      <c r="H44" s="112" t="str">
        <f>Total!H3405</f>
        <v>Contracte de serveis per a l'assistència tècnica de coordinació de seguretat i salut de les obres del projecte de millora local. Seguretat viària. Cunetes trepitjables,adequació d'elements de contenció de vehicles i millora de ferm a la carretera C-242…</v>
      </c>
      <c r="I44" s="157">
        <f>Total!I3405</f>
        <v>6309.62</v>
      </c>
    </row>
    <row r="45" spans="1:9" x14ac:dyDescent="0.2">
      <c r="A45" s="8">
        <v>44</v>
      </c>
      <c r="B45" s="101">
        <f>Total!B3406</f>
        <v>44847</v>
      </c>
      <c r="C45" s="101">
        <f>Total!C3406</f>
        <v>44865</v>
      </c>
      <c r="D45" s="112" t="s">
        <v>1092</v>
      </c>
      <c r="E45" s="332" t="str">
        <f>Total!E3406</f>
        <v>Edificació</v>
      </c>
      <c r="F45" s="96" t="str">
        <f>Total!F3406</f>
        <v>Direccions d'Execució</v>
      </c>
      <c r="G45" s="112" t="str">
        <f>Total!G3406</f>
        <v>CSS. SPD-22338.4</v>
      </c>
      <c r="H45" s="112" t="str">
        <f>Total!H3406</f>
        <v>Contracte de serveis per a l'assistència tècnica de coordinació de seguretat i salut de les obres de diverses accions de reforç de connectivitat en centres públics de referència, àmbit Tarragona. Clau: SPD-22338.4</v>
      </c>
      <c r="I45" s="157">
        <f>Total!I3406</f>
        <v>50814.89</v>
      </c>
    </row>
    <row r="46" spans="1:9" x14ac:dyDescent="0.2">
      <c r="A46" s="8">
        <v>45</v>
      </c>
      <c r="B46" s="101">
        <f>Total!B3407</f>
        <v>44847</v>
      </c>
      <c r="C46" s="101">
        <f>Total!C3407</f>
        <v>44865</v>
      </c>
      <c r="D46" s="112" t="s">
        <v>1092</v>
      </c>
      <c r="E46" s="332" t="str">
        <f>Total!E3407</f>
        <v>Obra Civil</v>
      </c>
      <c r="F46" s="96" t="str">
        <f>Total!F3407</f>
        <v>Control de Qualitat</v>
      </c>
      <c r="G46" s="112" t="str">
        <f>Total!G3407</f>
        <v>CQ. PC-CMT-17055</v>
      </c>
      <c r="H46" s="112" t="str">
        <f>Total!H3407</f>
        <v>Contracte de serveis per a A.T. de C.Q. de les obres de millora local. Seguretat viària. Cunetes trepitjables, adequació d'elements de contenció de vehicles i millora de ferm a la carretera C-242, del PK 44+850 al 54+000. Tram: Cornudella de Montsant.</v>
      </c>
      <c r="I46" s="157">
        <f>Total!I3407</f>
        <v>11552.23</v>
      </c>
    </row>
    <row r="47" spans="1:9" x14ac:dyDescent="0.2">
      <c r="A47" s="8">
        <v>46</v>
      </c>
      <c r="B47" s="101">
        <f>Total!B3408</f>
        <v>44847</v>
      </c>
      <c r="C47" s="101">
        <f>Total!C3408</f>
        <v>44865</v>
      </c>
      <c r="D47" s="112" t="s">
        <v>1092</v>
      </c>
      <c r="E47" s="332" t="str">
        <f>Total!E3408</f>
        <v>Obra Civil</v>
      </c>
      <c r="F47" s="96" t="str">
        <f>Total!F3408</f>
        <v>Direccions d'Obra</v>
      </c>
      <c r="G47" s="112" t="str">
        <f>Total!G3408</f>
        <v>DO. PC-CMT-17055</v>
      </c>
      <c r="H47" s="112" t="str">
        <f>Total!H3408</f>
        <v>Contracte de serveis per a la direcció de les obres de millora local. Seguretat viària. Cunetes trepitjables, adequació d'elements de contenció de vehicles i millora de ferm a la carretera C-242, del PK 44+850 al 54+000. Tram: Cornudella de Montsant.</v>
      </c>
      <c r="I47" s="157">
        <f>Total!I3408</f>
        <v>38851.03</v>
      </c>
    </row>
    <row r="48" spans="1:9" x14ac:dyDescent="0.2">
      <c r="A48" s="8">
        <v>47</v>
      </c>
      <c r="B48" s="101">
        <f>Total!B3409</f>
        <v>44847</v>
      </c>
      <c r="C48" s="101">
        <f>Total!C3409</f>
        <v>44865</v>
      </c>
      <c r="D48" s="112" t="s">
        <v>1092</v>
      </c>
      <c r="E48" s="332" t="str">
        <f>Total!E3409</f>
        <v>Edificació</v>
      </c>
      <c r="F48" s="96" t="str">
        <f>Total!F3409</f>
        <v>Direccions d'Execució</v>
      </c>
      <c r="G48" s="112" t="str">
        <f>Total!G3409</f>
        <v>CSS. SPD-22338.5</v>
      </c>
      <c r="H48" s="112" t="str">
        <f>Total!H3409</f>
        <v>Contracte de serveis per a l'assistència tècnica de coordinació de seguretat i salut de les obres de diverses accions de reforç de connectivitat en centres públics de referència, àmbit Lleida. Clau: SPD-22338.5</v>
      </c>
      <c r="I48" s="157">
        <f>Total!I3409</f>
        <v>50814.89</v>
      </c>
    </row>
    <row r="49" spans="1:9" x14ac:dyDescent="0.2">
      <c r="A49" s="8">
        <v>48</v>
      </c>
      <c r="B49" s="101">
        <f>Total!B3410</f>
        <v>44847</v>
      </c>
      <c r="C49" s="101">
        <f>Total!C3410</f>
        <v>44865</v>
      </c>
      <c r="D49" s="112" t="s">
        <v>1092</v>
      </c>
      <c r="E49" s="332" t="str">
        <f>Total!E3410</f>
        <v>Edificació</v>
      </c>
      <c r="F49" s="96" t="str">
        <f>Total!F3410</f>
        <v>Direccions d'Execució</v>
      </c>
      <c r="G49" s="112" t="str">
        <f>Total!G3410</f>
        <v>CSS. SPD-22338.2</v>
      </c>
      <c r="H49" s="112" t="str">
        <f>Total!H3410</f>
        <v>Contracte de serveis per a l'assistència tècnica de coordinació de seguretat i salut de les obres de diverses accions de reforç de connectivitat en centres públics de referència, àmbit Barcelona Est.</v>
      </c>
      <c r="I49" s="157">
        <f>Total!I3410</f>
        <v>50814.89</v>
      </c>
    </row>
    <row r="50" spans="1:9" x14ac:dyDescent="0.2">
      <c r="A50" s="8">
        <v>49</v>
      </c>
      <c r="B50" s="101">
        <f>Total!B3411</f>
        <v>44848</v>
      </c>
      <c r="C50" s="101">
        <f>Total!C3411</f>
        <v>44867</v>
      </c>
      <c r="D50" s="112" t="s">
        <v>1092</v>
      </c>
      <c r="E50" s="332" t="str">
        <f>Total!E3411</f>
        <v>Edificació</v>
      </c>
      <c r="F50" s="96" t="str">
        <f>Total!F3411</f>
        <v>Direccions d'Obra</v>
      </c>
      <c r="G50" s="112" t="str">
        <f>Total!G3411</f>
        <v>DO. SPD-22338.3</v>
      </c>
      <c r="H50" s="112" t="str">
        <f>Total!H3411</f>
        <v>Contracte de serveis per a la direcció de les obres per a l'execució de diverses accions de reforç de connectivitat en centres públics de referència, àmbit Barcelona Oest.</v>
      </c>
      <c r="I50" s="157">
        <f>Total!I3411</f>
        <v>176273.13</v>
      </c>
    </row>
    <row r="51" spans="1:9" x14ac:dyDescent="0.2">
      <c r="A51" s="8">
        <v>50</v>
      </c>
      <c r="B51" s="101">
        <f>Total!B3412</f>
        <v>44848</v>
      </c>
      <c r="C51" s="101">
        <f>Total!C3412</f>
        <v>44867</v>
      </c>
      <c r="D51" s="112" t="s">
        <v>1092</v>
      </c>
      <c r="E51" s="332" t="str">
        <f>Total!E3412</f>
        <v>Edificació</v>
      </c>
      <c r="F51" s="96" t="str">
        <f>Total!F3412</f>
        <v>Direccions d'Obra</v>
      </c>
      <c r="G51" s="112" t="str">
        <f>Total!G3412</f>
        <v>DO. SPD-22338.5</v>
      </c>
      <c r="H51" s="112" t="str">
        <f>Total!H3412</f>
        <v>Contracte de serveis per a la direcció de les obres de connexió de centres de referència a la zona de Lleida.</v>
      </c>
      <c r="I51" s="157">
        <f>Total!I3412</f>
        <v>176273.13</v>
      </c>
    </row>
    <row r="52" spans="1:9" x14ac:dyDescent="0.2">
      <c r="A52" s="8">
        <v>51</v>
      </c>
      <c r="B52" s="101">
        <f>Total!B3413</f>
        <v>44848</v>
      </c>
      <c r="C52" s="101">
        <f>Total!C3413</f>
        <v>44867</v>
      </c>
      <c r="D52" s="112" t="s">
        <v>1092</v>
      </c>
      <c r="E52" s="332" t="str">
        <f>Total!E3413</f>
        <v>Edificació</v>
      </c>
      <c r="F52" s="96" t="str">
        <f>Total!F3413</f>
        <v>Direccions d'Obra</v>
      </c>
      <c r="G52" s="112" t="str">
        <f>Total!G3413</f>
        <v>DO. SPD-22338.2</v>
      </c>
      <c r="H52" s="112" t="str">
        <f>Total!H3413</f>
        <v>Contracte de serveis per a la direcció de les obres de connexió de centres de referència a la zona de Barcelona Est.</v>
      </c>
      <c r="I52" s="157">
        <f>Total!I3413</f>
        <v>176273.13</v>
      </c>
    </row>
    <row r="53" spans="1:9" x14ac:dyDescent="0.2">
      <c r="A53" s="8">
        <v>52</v>
      </c>
      <c r="B53" s="101">
        <f>Total!B3414</f>
        <v>44848</v>
      </c>
      <c r="C53" s="101">
        <f>Total!C3414</f>
        <v>44867</v>
      </c>
      <c r="D53" s="112" t="s">
        <v>1092</v>
      </c>
      <c r="E53" s="332" t="str">
        <f>Total!E3414</f>
        <v>Edificació</v>
      </c>
      <c r="F53" s="96" t="str">
        <f>Total!F3414</f>
        <v>Direccions d'Obra</v>
      </c>
      <c r="G53" s="112" t="str">
        <f>Total!G3414</f>
        <v>DO. SPD-22338.4</v>
      </c>
      <c r="H53" s="112" t="str">
        <f>Total!H3414</f>
        <v>Contracte de serveis per a la direcció de les obres de connexió de centres de referència a la zona de Tarragona.</v>
      </c>
      <c r="I53" s="157">
        <f>Total!I3414</f>
        <v>176273.13</v>
      </c>
    </row>
    <row r="54" spans="1:9" x14ac:dyDescent="0.2">
      <c r="A54" s="8">
        <v>53</v>
      </c>
      <c r="B54" s="101">
        <f>Total!B3415</f>
        <v>44848</v>
      </c>
      <c r="C54" s="101">
        <f>Total!C3415</f>
        <v>44865</v>
      </c>
      <c r="D54" s="112" t="s">
        <v>1092</v>
      </c>
      <c r="E54" s="332" t="str">
        <f>Total!E3415</f>
        <v>Edificació</v>
      </c>
      <c r="F54" s="96" t="str">
        <f>Total!F3415</f>
        <v>Direccions d'Execució</v>
      </c>
      <c r="G54" s="112" t="str">
        <f>Total!G3415</f>
        <v>CSS. SPD-22338.3</v>
      </c>
      <c r="H54" s="112" t="str">
        <f>Total!H3415</f>
        <v>Contracte de serveis per a l'assistència tècnica de coordinació de seguretat i salut de les obres de diverses accions de reforç de c onnectivitat en centres públics de referència, àmbit Barcelona Oest.</v>
      </c>
      <c r="I54" s="157">
        <f>Total!I3415</f>
        <v>50814.89</v>
      </c>
    </row>
    <row r="55" spans="1:9" x14ac:dyDescent="0.2">
      <c r="A55" s="8">
        <v>54</v>
      </c>
      <c r="B55" s="101">
        <f>Total!B3416</f>
        <v>44851</v>
      </c>
      <c r="C55" s="101">
        <f>Total!C3416</f>
        <v>44879</v>
      </c>
      <c r="D55" s="112" t="s">
        <v>1092</v>
      </c>
      <c r="E55" s="332" t="str">
        <f>Total!E3416</f>
        <v>Edificació</v>
      </c>
      <c r="F55" s="96" t="str">
        <f>Total!F3416</f>
        <v>Control de Qualitat</v>
      </c>
      <c r="G55" s="112" t="str">
        <f>Total!G3416</f>
        <v>CQ. CMB-20250</v>
      </c>
      <c r="H55" s="112" t="str">
        <f>Total!H3416</f>
        <v>Contracte de serveis per a l'assistència tècnica de Control de Qualitat de les obres de consolidació i rehabilitació del Poble Vell de Corbera d'Ebre.</v>
      </c>
      <c r="I55" s="157">
        <f>Total!I3416</f>
        <v>2051.71</v>
      </c>
    </row>
    <row r="56" spans="1:9" x14ac:dyDescent="0.2">
      <c r="A56" s="8">
        <v>55</v>
      </c>
      <c r="B56" s="101">
        <f>Total!B3417</f>
        <v>44852</v>
      </c>
      <c r="C56" s="101">
        <f>Total!C3417</f>
        <v>44879</v>
      </c>
      <c r="D56" s="112" t="s">
        <v>1092</v>
      </c>
      <c r="E56" s="332" t="str">
        <f>Total!E3417</f>
        <v>Edificació</v>
      </c>
      <c r="F56" s="96" t="str">
        <f>Total!F3417</f>
        <v>Projectes i Direccions d'Obra</v>
      </c>
      <c r="G56" s="112" t="str">
        <f>Total!G3417</f>
        <v>PE+DO. JVX-22230</v>
      </c>
      <c r="H56" s="112" t="str">
        <f>Total!H3417</f>
        <v>Contracte de serveis per a l'assistència tècnica per a la redacció del projecte bàsic i executiu i la posterior direcció de les obres RAM per a la reorganització funcional de l'edifici Judicial de Sabadell.</v>
      </c>
      <c r="I56" s="157">
        <f>Total!I3417</f>
        <v>402120.07</v>
      </c>
    </row>
    <row r="57" spans="1:9" x14ac:dyDescent="0.2">
      <c r="A57" s="8">
        <v>56</v>
      </c>
      <c r="B57" s="101">
        <f>Total!B3418</f>
        <v>44853</v>
      </c>
      <c r="C57" s="101">
        <f>Total!C3418</f>
        <v>44872</v>
      </c>
      <c r="D57" s="112" t="s">
        <v>1092</v>
      </c>
      <c r="E57" s="332" t="str">
        <f>Total!E3418</f>
        <v>Obra Civil</v>
      </c>
      <c r="F57" s="96" t="str">
        <f>Total!F3418</f>
        <v>Control de Qualitat</v>
      </c>
      <c r="G57" s="112" t="str">
        <f>Total!G3418</f>
        <v>CQ. PC-CML-17071-A1</v>
      </c>
      <c r="H57" s="112" t="str">
        <f>Total!H3418</f>
        <v>Contracte de serveis per a l'assistència tècnica de control de qualitat de les obres de millora de drenatge de la OD 92.1. C-25, PK 92+100, marge dret. Estaràs.</v>
      </c>
      <c r="I57" s="157">
        <f>Total!I3418</f>
        <v>1467.31</v>
      </c>
    </row>
    <row r="58" spans="1:9" x14ac:dyDescent="0.2">
      <c r="A58" s="8">
        <v>57</v>
      </c>
      <c r="B58" s="101">
        <f>Total!B3419</f>
        <v>44853</v>
      </c>
      <c r="C58" s="101">
        <f>Total!C3419</f>
        <v>44872</v>
      </c>
      <c r="D58" s="112" t="s">
        <v>1092</v>
      </c>
      <c r="E58" s="332" t="str">
        <f>Total!E3419</f>
        <v>Obra Civil</v>
      </c>
      <c r="F58" s="96" t="str">
        <f>Total!F3419</f>
        <v>Direccions d'Obra</v>
      </c>
      <c r="G58" s="112" t="str">
        <f>Total!G3419</f>
        <v>CSS. PC-CML-17071-A1</v>
      </c>
      <c r="H58" s="112" t="str">
        <f>Total!H3419</f>
        <v>Contracte de serveis per a l'assistència tècnica de coordinació de seguretat i salut de les obres del projecte de millora de drenatge de la OD 92.1. C-25, PK 92+100, marge dret. Estaràs.</v>
      </c>
      <c r="I58" s="157">
        <f>Total!I3419</f>
        <v>1833.28</v>
      </c>
    </row>
    <row r="59" spans="1:9" x14ac:dyDescent="0.2">
      <c r="A59" s="8">
        <v>58</v>
      </c>
      <c r="B59" s="101">
        <f>Total!B3420</f>
        <v>44854</v>
      </c>
      <c r="C59" s="101">
        <f>Total!C3420</f>
        <v>44872</v>
      </c>
      <c r="D59" s="112" t="s">
        <v>1092</v>
      </c>
      <c r="E59" s="332" t="str">
        <f>Total!E3420</f>
        <v>Edificació</v>
      </c>
      <c r="F59" s="96" t="str">
        <f>Total!F3420</f>
        <v>Control de Qualitat</v>
      </c>
      <c r="G59" s="112" t="str">
        <f>Total!G3420</f>
        <v>CQ. PCR-21225</v>
      </c>
      <c r="H59" s="112" t="str">
        <f>Total!H3420</f>
        <v>Contracte de serveis per a l'assistència tècnica de control de qualitat de les obres RAM de Reforma per l'adequació del CAT de Vilajuïga com a nova Seu del Parc de Creus.</v>
      </c>
      <c r="I59" s="157">
        <f>Total!I3420</f>
        <v>1506.18</v>
      </c>
    </row>
    <row r="60" spans="1:9" x14ac:dyDescent="0.2">
      <c r="A60" s="8">
        <v>59</v>
      </c>
      <c r="B60" s="101">
        <f>Total!B3421</f>
        <v>44855</v>
      </c>
      <c r="C60" s="101">
        <f>Total!C3421</f>
        <v>44879</v>
      </c>
      <c r="D60" s="112" t="s">
        <v>1092</v>
      </c>
      <c r="E60" s="332" t="str">
        <f>Total!E3421</f>
        <v>Obra Civil</v>
      </c>
      <c r="F60" s="96" t="str">
        <f>Total!F3421</f>
        <v>Direccions d'Obra</v>
      </c>
      <c r="G60" s="112" t="str">
        <f>Total!G3421</f>
        <v>DO. PZV-19404</v>
      </c>
      <c r="H60" s="112" t="str">
        <f>Total!H3421</f>
        <v>Contracte de serveis per a la direcció de les obres de Reordenació de l'aparcament de l'àrea d'acollida de Can Serra al Parc Natural de la Zona Volcànica de la Garrotxa.</v>
      </c>
      <c r="I60" s="157">
        <f>Total!I3421</f>
        <v>50536.24</v>
      </c>
    </row>
    <row r="61" spans="1:9" x14ac:dyDescent="0.2">
      <c r="A61" s="8">
        <v>60</v>
      </c>
      <c r="B61" s="101">
        <f>Total!B3422</f>
        <v>44855</v>
      </c>
      <c r="C61" s="101">
        <f>Total!C3422</f>
        <v>44879</v>
      </c>
      <c r="D61" s="112" t="s">
        <v>1092</v>
      </c>
      <c r="E61" s="332" t="str">
        <f>Total!E3422</f>
        <v>Obra Civil</v>
      </c>
      <c r="F61" s="96" t="str">
        <f>Total!F3422</f>
        <v>Control de Qualitat</v>
      </c>
      <c r="G61" s="112" t="str">
        <f>Total!G3422</f>
        <v>CQ. PZV-19404</v>
      </c>
      <c r="H61" s="112" t="str">
        <f>Total!H3422</f>
        <v>Contracte de serveis per a l'assistència tècnica de Control de Qualitat de les obres de Reordenació de l'aparcament de l'àrea d'acollida de Can Serra al Parc Natural de la Zona Volcànica de la Garrotxa.</v>
      </c>
      <c r="I61" s="157">
        <f>Total!I3422</f>
        <v>6238.59</v>
      </c>
    </row>
    <row r="62" spans="1:9" x14ac:dyDescent="0.2">
      <c r="A62" s="8">
        <v>61</v>
      </c>
      <c r="B62" s="101">
        <f>Total!B3423</f>
        <v>44855</v>
      </c>
      <c r="C62" s="101">
        <f>Total!C3423</f>
        <v>44879</v>
      </c>
      <c r="D62" s="112" t="s">
        <v>1092</v>
      </c>
      <c r="E62" s="332" t="str">
        <f>Total!E3423</f>
        <v>Obra Civil</v>
      </c>
      <c r="F62" s="96" t="str">
        <f>Total!F3423</f>
        <v>Direccions d'Obra</v>
      </c>
      <c r="G62" s="112" t="str">
        <f>Total!G3423</f>
        <v>CSS. PZV-19404</v>
      </c>
      <c r="H62" s="112" t="str">
        <f>Total!H3423</f>
        <v>Contracte de serveis per a l'assistència tècnica de coordinació de seguretat i salut de les obres de Reordenació de l'aparcament de l'àrea d'acollida de Can Serra al Parc Natural de la Zona Volcànica de la Garrotxa.</v>
      </c>
      <c r="I62" s="157">
        <f>Total!I3423</f>
        <v>7660.72</v>
      </c>
    </row>
    <row r="63" spans="1:9" x14ac:dyDescent="0.2">
      <c r="A63" s="8">
        <v>62</v>
      </c>
      <c r="B63" s="101">
        <f>Total!B3424</f>
        <v>44859</v>
      </c>
      <c r="C63" s="101">
        <f>Total!C3424</f>
        <v>44886</v>
      </c>
      <c r="D63" s="112" t="s">
        <v>1092</v>
      </c>
      <c r="E63" s="332" t="str">
        <f>Total!E3424</f>
        <v>Edificació</v>
      </c>
      <c r="F63" s="96" t="str">
        <f>Total!F3424</f>
        <v>Projectes i Direccions d'Obra</v>
      </c>
      <c r="G63" s="112" t="str">
        <f>Total!G3424</f>
        <v>PE+DO. BSE-22291</v>
      </c>
      <c r="H63" s="112" t="str">
        <f>Total!H3424</f>
        <v>Concurs de projectes per a la redacció del projecte bàsic i executiu i la posterior direcció de les obres de nova construcció d'una Unitat Integrada d'Atenció a Infants i Adolescents (Barnahus) a Mataró.</v>
      </c>
      <c r="I63" s="157">
        <f>Total!I3424</f>
        <v>138614.28</v>
      </c>
    </row>
    <row r="64" spans="1:9" x14ac:dyDescent="0.2">
      <c r="A64" s="8">
        <v>63</v>
      </c>
      <c r="B64" s="101">
        <f>Total!B3425</f>
        <v>44860</v>
      </c>
      <c r="C64" s="101">
        <f>Total!C3425</f>
        <v>44879</v>
      </c>
      <c r="D64" s="112" t="s">
        <v>1092</v>
      </c>
      <c r="E64" s="332" t="str">
        <f>Total!E3425</f>
        <v>Obra Civil</v>
      </c>
      <c r="F64" s="96" t="str">
        <f>Total!F3425</f>
        <v>Direccions d'Obra</v>
      </c>
      <c r="G64" s="112" t="str">
        <f>Total!G3425</f>
        <v>CSS. JC-19236</v>
      </c>
      <c r="H64" s="112" t="str">
        <f>Total!H3425</f>
        <v>Contracte de serveis per a l'assistència tècnica de coordinació de seguretat i salut de les obres del projecte constructiu del col·lector de salmorres Conca del Llobregat. Ramal Llobregat. Tram: El Prat.</v>
      </c>
      <c r="I64" s="157">
        <f>Total!I3425</f>
        <v>13382.11</v>
      </c>
    </row>
    <row r="65" spans="1:9" x14ac:dyDescent="0.2">
      <c r="A65" s="8">
        <v>64</v>
      </c>
      <c r="B65" s="101">
        <f>Total!B3426</f>
        <v>44860</v>
      </c>
      <c r="C65" s="101">
        <f>Total!C3426</f>
        <v>44879</v>
      </c>
      <c r="D65" s="112" t="s">
        <v>1092</v>
      </c>
      <c r="E65" s="332" t="str">
        <f>Total!E3426</f>
        <v>Obra Civil</v>
      </c>
      <c r="F65" s="96" t="str">
        <f>Total!F3426</f>
        <v>Control de Qualitat</v>
      </c>
      <c r="G65" s="112" t="str">
        <f>Total!G3426</f>
        <v>CQ. JC-19236</v>
      </c>
      <c r="H65" s="112" t="str">
        <f>Total!H3426</f>
        <v>Contracte de serveis per a l'assistència tècnica de control de qualitat de les obres "Projecte Col·lector de Salmorres Conca del Llobregat. Ramal Llobregat. Tram: El Prat".</v>
      </c>
      <c r="I65" s="157">
        <f>Total!I3426</f>
        <v>33748.129999999997</v>
      </c>
    </row>
    <row r="66" spans="1:9" x14ac:dyDescent="0.2">
      <c r="A66" s="8">
        <v>65</v>
      </c>
      <c r="B66" s="101">
        <f>Total!B3427</f>
        <v>44860</v>
      </c>
      <c r="C66" s="101">
        <f>Total!C3427</f>
        <v>44879</v>
      </c>
      <c r="D66" s="112" t="s">
        <v>1092</v>
      </c>
      <c r="E66" s="332" t="str">
        <f>Total!E3427</f>
        <v>Obra Civil</v>
      </c>
      <c r="F66" s="96" t="str">
        <f>Total!F3427</f>
        <v>Direccions d'Obra</v>
      </c>
      <c r="G66" s="112" t="str">
        <f>Total!G3427</f>
        <v>DO. JC-19236</v>
      </c>
      <c r="H66" s="112" t="str">
        <f>Total!H3427</f>
        <v>Contracte de serveis per a la direcció de les obres "Projecte Col·lector de Salmorres Conca del Llobregat. Ramal Llobregat. Tram: El Prat".</v>
      </c>
      <c r="I66" s="157">
        <f>Total!I3427</f>
        <v>144626.6</v>
      </c>
    </row>
    <row r="67" spans="1:9" x14ac:dyDescent="0.2">
      <c r="A67" s="8">
        <v>66</v>
      </c>
      <c r="B67" s="101">
        <f>Total!B3428</f>
        <v>44861</v>
      </c>
      <c r="C67" s="101">
        <f>Total!C3428</f>
        <v>44879</v>
      </c>
      <c r="D67" s="112" t="s">
        <v>1092</v>
      </c>
      <c r="E67" s="332" t="str">
        <f>Total!E3428</f>
        <v>Obra Civil</v>
      </c>
      <c r="F67" s="96" t="str">
        <f>Total!F3428</f>
        <v>Direccions d'Obra</v>
      </c>
      <c r="G67" s="112" t="str">
        <f>Total!G3428</f>
        <v>ATAM. JC-19236</v>
      </c>
      <c r="H67" s="112" t="str">
        <f>Total!H3428</f>
        <v>Contracte de serveis per a l'assistència tècnica ambiental de les obres del projecte col·lector de salmorres conca del Llobregat. Ramal Llobregat. Tram: El Prat.</v>
      </c>
      <c r="I67" s="157">
        <f>Total!I3428</f>
        <v>20851.650000000001</v>
      </c>
    </row>
    <row r="68" spans="1:9" x14ac:dyDescent="0.2">
      <c r="A68" s="8">
        <v>67</v>
      </c>
      <c r="B68" s="101">
        <f>Total!B3429</f>
        <v>44861</v>
      </c>
      <c r="C68" s="101">
        <f>Total!C3429</f>
        <v>44886</v>
      </c>
      <c r="D68" s="112" t="s">
        <v>1092</v>
      </c>
      <c r="E68" s="332" t="str">
        <f>Total!E3429</f>
        <v>Edificació</v>
      </c>
      <c r="F68" s="96" t="str">
        <f>Total!F3429</f>
        <v>Direccions d'Execució</v>
      </c>
      <c r="G68" s="112" t="str">
        <f>Total!G3429</f>
        <v>DE. XML-19527</v>
      </c>
      <c r="H68" s="112" t="str">
        <f>Total!H3429</f>
        <v>Contracte de serveis per a la direcció d'execució de les obres RAM 2019, als Serveis Territorials a Lleida (III): Institut Lo Pla d'Urgell de Bellpuig.</v>
      </c>
      <c r="I68" s="157">
        <f>Total!I3429</f>
        <v>19086.669999999998</v>
      </c>
    </row>
    <row r="69" spans="1:9" x14ac:dyDescent="0.2">
      <c r="A69" s="8">
        <v>68</v>
      </c>
      <c r="B69" s="101">
        <f>Total!B3430</f>
        <v>44861</v>
      </c>
      <c r="C69" s="101">
        <f>Total!C3430</f>
        <v>44893</v>
      </c>
      <c r="D69" s="112" t="s">
        <v>1092</v>
      </c>
      <c r="E69" s="332" t="str">
        <f>Total!E3430</f>
        <v>Edificació</v>
      </c>
      <c r="F69" s="96" t="str">
        <f>Total!F3430</f>
        <v>Projectes i Direccions d'Obra</v>
      </c>
      <c r="G69" s="112" t="str">
        <f>Total!G3430</f>
        <v>PE+DO BSE-22273</v>
      </c>
      <c r="H69" s="112" t="str">
        <f>Total!H3430</f>
        <v>Concurs de projectes per a la redacció del projecte bàsic i executiu i la posterior direcció de les obres de reforma i ampliació per a l'adequació del Centre Can Serra de l'Hospitalet de Llobregat.</v>
      </c>
      <c r="I69" s="157">
        <f>Total!I3430</f>
        <v>438579.56</v>
      </c>
    </row>
    <row r="70" spans="1:9" x14ac:dyDescent="0.2">
      <c r="A70" s="8">
        <v>69</v>
      </c>
      <c r="B70" s="101">
        <f>Total!B3431</f>
        <v>44861</v>
      </c>
      <c r="C70" s="101">
        <f>Total!C3431</f>
        <v>44886</v>
      </c>
      <c r="D70" s="112" t="s">
        <v>1092</v>
      </c>
      <c r="E70" s="332" t="str">
        <f>Total!E3431</f>
        <v>Edificació</v>
      </c>
      <c r="F70" s="96" t="str">
        <f>Total!F3431</f>
        <v>Direccions d'Execució</v>
      </c>
      <c r="G70" s="112" t="str">
        <f>Total!G3431</f>
        <v>CSS. XML-19527</v>
      </c>
      <c r="H70" s="112" t="str">
        <f>Total!H3431</f>
        <v>Contracte de serveis per a l'assistència tècnica de coordinació de seguretat i salut de les obres RAM 2019, als Serveis Territorials a Lleida (III): Institut Lo Pla d'Urgell de Bellpuig.</v>
      </c>
      <c r="I70" s="157">
        <f>Total!I3431</f>
        <v>5726</v>
      </c>
    </row>
    <row r="71" spans="1:9" x14ac:dyDescent="0.2">
      <c r="A71" s="8">
        <v>70</v>
      </c>
      <c r="B71" s="101">
        <f>Total!B3432</f>
        <v>44861</v>
      </c>
      <c r="C71" s="101">
        <f>Total!C3432</f>
        <v>44886</v>
      </c>
      <c r="D71" s="112" t="s">
        <v>1092</v>
      </c>
      <c r="E71" s="332" t="str">
        <f>Total!E3432</f>
        <v>Edificació</v>
      </c>
      <c r="F71" s="96" t="str">
        <f>Total!F3432</f>
        <v>Control de Qualitat</v>
      </c>
      <c r="G71" s="112" t="str">
        <f>Total!G3432</f>
        <v>CQ. XML-19527</v>
      </c>
      <c r="H71" s="112" t="str">
        <f>Total!H3432</f>
        <v>Contracte de serveis per a l'assistència tècnica de Control de Qualitat de les obres RAM 2019, als Serveis Territorials a Lleida (III): Institut Lo Pla d'Urgell de Bellpuig.</v>
      </c>
      <c r="I71" s="157">
        <f>Total!I3432</f>
        <v>9838.82</v>
      </c>
    </row>
    <row r="72" spans="1:9" x14ac:dyDescent="0.2">
      <c r="A72" s="8">
        <v>71</v>
      </c>
      <c r="B72" s="101">
        <f>Total!B3433</f>
        <v>44865</v>
      </c>
      <c r="C72" s="101">
        <f>Total!C3433</f>
        <v>44893</v>
      </c>
      <c r="D72" s="112" t="s">
        <v>1092</v>
      </c>
      <c r="E72" s="332" t="str">
        <f>Total!E3433</f>
        <v>Edificació</v>
      </c>
      <c r="F72" s="96" t="str">
        <f>Total!F3433</f>
        <v>Control de Qualitat</v>
      </c>
      <c r="G72" s="112" t="str">
        <f>Total!G3433</f>
        <v>CQ. EDU-21902</v>
      </c>
      <c r="H72" s="112" t="str">
        <f>Total!H3433</f>
        <v>Contracte de serveis per a l'assistència tècnica de control de qualitat de les obres RAM d'equipaments públics del Departament d'Educació amb finançament "Next Generation EU". 4 lots.</v>
      </c>
      <c r="I72" s="157">
        <f>Total!I3433</f>
        <v>291941.36</v>
      </c>
    </row>
    <row r="73" spans="1:9" x14ac:dyDescent="0.2">
      <c r="I73" s="126">
        <f>SUM(I2:I72)</f>
        <v>4062525.169999999</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K16"/>
  <sheetViews>
    <sheetView workbookViewId="0">
      <selection activeCell="I16" sqref="I16"/>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17.140625" style="5"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Total!B549</f>
        <v>41190</v>
      </c>
      <c r="C2" s="9">
        <f>Total!C549</f>
        <v>41206</v>
      </c>
      <c r="D2" s="34" t="str">
        <f>Total!D549</f>
        <v>Infraestructures.cat</v>
      </c>
      <c r="E2" s="34" t="str">
        <f>Total!E549</f>
        <v>Edificació</v>
      </c>
      <c r="F2" s="34" t="str">
        <f>Total!F549</f>
        <v>Control de Qualitat</v>
      </c>
      <c r="G2" s="34" t="str">
        <f>Total!G549</f>
        <v>CQ. IAC-08464</v>
      </c>
      <c r="H2" s="34" t="str">
        <f>Total!H549</f>
        <v>Contracte de serveis per a l'assistència tècnica del control de qualitat de les obres d'adequació del nucli central de l'Institut Lluís de Peguera de Manresa (Bages). Clau: IAC-08464</v>
      </c>
      <c r="I2" s="6">
        <f>Total!I549</f>
        <v>46794.76</v>
      </c>
    </row>
    <row r="3" spans="1:11" x14ac:dyDescent="0.2">
      <c r="A3" s="8">
        <f>A2+1</f>
        <v>2</v>
      </c>
      <c r="B3" s="9">
        <f>Total!B550</f>
        <v>41192</v>
      </c>
      <c r="C3" s="9">
        <f>Total!C550</f>
        <v>41213</v>
      </c>
      <c r="D3" s="34" t="str">
        <f>Total!D550</f>
        <v>Infraestructures.cat</v>
      </c>
      <c r="E3" s="34" t="str">
        <f>Total!E550</f>
        <v>Obra Civil</v>
      </c>
      <c r="F3" s="34" t="str">
        <f>Total!F550</f>
        <v>Projectes</v>
      </c>
      <c r="G3" s="34" t="str">
        <f>Total!G550</f>
        <v>PC. AE-12056</v>
      </c>
      <c r="H3" s="34" t="str">
        <f>Total!H550</f>
        <v>Contracte de serveis per a l'assistència tècnica per a la redacció del projecte constructiu de millora general. Condicionament. Carretera TV-3405, PK 0+000 al 5+231. Tram: Amposta. Clau: AE-12056</v>
      </c>
      <c r="I3" s="6">
        <f>Total!I550</f>
        <v>102200</v>
      </c>
    </row>
    <row r="4" spans="1:11" x14ac:dyDescent="0.2">
      <c r="A4" s="8">
        <f t="shared" ref="A4:A6" si="0">A3+1</f>
        <v>3</v>
      </c>
      <c r="B4" s="9">
        <f>Total!B551</f>
        <v>41192</v>
      </c>
      <c r="C4" s="9">
        <f>Total!C551</f>
        <v>41213</v>
      </c>
      <c r="D4" s="34" t="str">
        <f>Total!D551</f>
        <v>Infraestructures.cat</v>
      </c>
      <c r="E4" s="34" t="str">
        <f>Total!E551</f>
        <v>Obra Civil</v>
      </c>
      <c r="F4" s="34" t="str">
        <f>Total!F551</f>
        <v>Projectes</v>
      </c>
      <c r="G4" s="34" t="str">
        <f>Total!G551</f>
        <v>PC. AE-12057</v>
      </c>
      <c r="H4" s="34" t="str">
        <f>Total!H551</f>
        <v>Contracte de serveis per a l'assistència tècnica per a la redacció del projecte constructiu de millora general. Condicionament. Carretera T-350, PK 0+000 al 2+759. Tram: Santa Bàrbara - Masdenverge. Clau: AE-12057</v>
      </c>
      <c r="I4" s="6">
        <f>Total!I551</f>
        <v>70200</v>
      </c>
      <c r="K4" s="1"/>
    </row>
    <row r="5" spans="1:11" x14ac:dyDescent="0.2">
      <c r="A5" s="8">
        <f t="shared" si="0"/>
        <v>4</v>
      </c>
      <c r="B5" s="9">
        <f>Total!B552</f>
        <v>41197</v>
      </c>
      <c r="C5" s="9">
        <f>Total!C552</f>
        <v>41213</v>
      </c>
      <c r="D5" s="34" t="str">
        <f>Total!D552</f>
        <v>Infraestructures.cat</v>
      </c>
      <c r="E5" s="34" t="str">
        <f>Total!E552</f>
        <v>Obra Civil</v>
      </c>
      <c r="F5" s="34" t="str">
        <f>Total!F552</f>
        <v>Projectes</v>
      </c>
      <c r="G5" s="34" t="str">
        <f>Total!G552</f>
        <v>PC. NE-03018.1</v>
      </c>
      <c r="H5" s="34" t="str">
        <f>Total!H552</f>
        <v>Contracte de serveis per a l'assistència tècnica per a la redacció del projecte constructiu de millora general. Nova carretera, del PK 0+000 al 9+480. Anell viari del Delta de l'Ebre. Tram 1: Sant Carles de la Ràpita - Amposta (Badia dels Alfacs). Clau: NE-03018.1</v>
      </c>
      <c r="I5" s="6">
        <f>Total!I552</f>
        <v>174500</v>
      </c>
    </row>
    <row r="6" spans="1:11" x14ac:dyDescent="0.2">
      <c r="A6" s="8">
        <f t="shared" si="0"/>
        <v>5</v>
      </c>
      <c r="B6" s="9">
        <f>Total!B553</f>
        <v>41199</v>
      </c>
      <c r="C6" s="9">
        <f>Total!C553</f>
        <v>41218</v>
      </c>
      <c r="D6" s="34" t="str">
        <f>Total!D553</f>
        <v>Infraestructures.cat</v>
      </c>
      <c r="E6" s="34" t="str">
        <f>Total!E553</f>
        <v>Obra Civil</v>
      </c>
      <c r="F6" s="34" t="str">
        <f>Total!F553</f>
        <v>Projectes</v>
      </c>
      <c r="G6" s="34" t="str">
        <f>Total!G553</f>
        <v>EI. EI-VL-12054</v>
      </c>
      <c r="H6" s="34" t="str">
        <f>Total!H553</f>
        <v>Contracte de serveis per a l'assistència tècnica per a la redacció de l'estudi informatiu de millora general. Variant de Claravalls. Carretera C-14, del PK 78+200 al 81+800. Tram: Tàrrega. Clau: EI-VL-12054</v>
      </c>
      <c r="I6" s="6">
        <f>Total!I553</f>
        <v>83800</v>
      </c>
    </row>
    <row r="7" spans="1:11" x14ac:dyDescent="0.2">
      <c r="A7" s="8">
        <f>A6+1</f>
        <v>6</v>
      </c>
      <c r="B7" s="9">
        <f>Total!B554</f>
        <v>41199</v>
      </c>
      <c r="C7" s="9">
        <f>Total!C554</f>
        <v>41218</v>
      </c>
      <c r="D7" s="34" t="str">
        <f>Total!D554</f>
        <v>Infraestructures.cat</v>
      </c>
      <c r="E7" s="34" t="str">
        <f>Total!E554</f>
        <v>Obra Civil</v>
      </c>
      <c r="F7" s="34" t="str">
        <f>Total!F554</f>
        <v>Projectes</v>
      </c>
      <c r="G7" s="34" t="str">
        <f>Total!G554</f>
        <v>EI. EI-VL-12055</v>
      </c>
      <c r="H7" s="34" t="str">
        <f>Total!H554</f>
        <v>Contracte de serveis per a la redacció de l'estudi informatiu de millora general. Variant d'Agramunt i connexió amb la carretera L-303. Carretera C-14. PK 87+000 al 90+940. Tram: Agramunt - Puigverd d'Agramunt. Clau: EI-VL-12055</v>
      </c>
      <c r="I7" s="6">
        <f>Total!I554</f>
        <v>85900</v>
      </c>
    </row>
    <row r="8" spans="1:11" x14ac:dyDescent="0.2">
      <c r="A8" s="8">
        <f t="shared" ref="A8:A15" si="1">A7+1</f>
        <v>7</v>
      </c>
      <c r="B8" s="9">
        <f>Total!B555</f>
        <v>41211</v>
      </c>
      <c r="C8" s="9">
        <f>Total!C555</f>
        <v>41227</v>
      </c>
      <c r="D8" s="34" t="str">
        <f>Total!D555</f>
        <v>Infraestructures.cat</v>
      </c>
      <c r="E8" s="34" t="str">
        <f>Total!E555</f>
        <v>Edificació</v>
      </c>
      <c r="F8" s="34" t="str">
        <f>Total!F555</f>
        <v>Direccions d'Execució</v>
      </c>
      <c r="G8" s="34" t="str">
        <f>Total!G555</f>
        <v>CSS. CAP-08473 + CAP-00482.A2</v>
      </c>
      <c r="H8" s="34" t="str">
        <f>Total!H555</f>
        <v>Contracte de serveis per a l'assistència tècnica de coordinació de seguretat i salut de les obres: "Construcció del Centre d'Atenció Primària a Piera. Clau: CAP-08473" i "Construcció del nou Centre d'Atenció Primària "La Mina", de Sant Adrià de Besòs.Clau: CAP-00482.A2"</v>
      </c>
      <c r="I8" s="6">
        <f>Total!I555</f>
        <v>55000</v>
      </c>
    </row>
    <row r="9" spans="1:11" x14ac:dyDescent="0.2">
      <c r="A9" s="8">
        <f t="shared" si="1"/>
        <v>8</v>
      </c>
      <c r="B9" s="9">
        <f>Total!B556</f>
        <v>41211</v>
      </c>
      <c r="C9" s="9">
        <f>Total!C556</f>
        <v>41260</v>
      </c>
      <c r="D9" s="34" t="str">
        <f>Total!D556</f>
        <v>Infraestructures.cat</v>
      </c>
      <c r="E9" s="34" t="str">
        <f>Total!E556</f>
        <v>Obra Civil</v>
      </c>
      <c r="F9" s="34" t="str">
        <f>Total!F556</f>
        <v>Projectes</v>
      </c>
      <c r="G9" s="34" t="str">
        <f>Total!G556</f>
        <v>PC. DT-08120</v>
      </c>
      <c r="H9" s="34" t="str">
        <f>Total!H556</f>
        <v>Contracte de serveis per a l'assistència tècnica per a la redacció del projecte constructiu de millora general. Desdoblament. Carretera C-37, PK 0+000 al 4+950. Tram: Alcover - Valls. Clau: DT-08120</v>
      </c>
      <c r="I9" s="6">
        <f>Total!I556</f>
        <v>702300</v>
      </c>
    </row>
    <row r="10" spans="1:11" x14ac:dyDescent="0.2">
      <c r="A10" s="8">
        <f t="shared" si="1"/>
        <v>9</v>
      </c>
      <c r="B10" s="9">
        <f>Total!B557</f>
        <v>41211</v>
      </c>
      <c r="C10" s="9">
        <f>Total!C557</f>
        <v>41260</v>
      </c>
      <c r="D10" s="34" t="str">
        <f>Total!D557</f>
        <v>Infraestructures.cat</v>
      </c>
      <c r="E10" s="34" t="str">
        <f>Total!E557</f>
        <v>Obra Civil</v>
      </c>
      <c r="F10" s="34" t="str">
        <f>Total!F557</f>
        <v>Projectes</v>
      </c>
      <c r="G10" s="34" t="str">
        <f>Total!G557</f>
        <v>PC. VT-08111</v>
      </c>
      <c r="H10" s="34" t="str">
        <f>Total!H557</f>
        <v>Contracte de serveis per a l'assistència tècnica per a la redacció del projecte constructiu de millora general. Variant de Belltall. Carretera C-14, del PK 53+000 al 55+650. Tram:Passanant. Clau: VT-08111</v>
      </c>
      <c r="I10" s="6">
        <f>Total!I557</f>
        <v>253700</v>
      </c>
    </row>
    <row r="11" spans="1:11" x14ac:dyDescent="0.2">
      <c r="A11" s="8">
        <f t="shared" si="1"/>
        <v>10</v>
      </c>
      <c r="B11" s="9">
        <f>Total!B558</f>
        <v>41211</v>
      </c>
      <c r="C11" s="9">
        <f>Total!C558</f>
        <v>41232</v>
      </c>
      <c r="D11" s="34" t="str">
        <f>Total!D558</f>
        <v>Infraestructures.cat</v>
      </c>
      <c r="E11" s="34" t="str">
        <f>Total!E558</f>
        <v>Edificació</v>
      </c>
      <c r="F11" s="34" t="str">
        <f>Total!F558</f>
        <v>Direccions d'Execució</v>
      </c>
      <c r="G11" s="34" t="str">
        <f>Total!G558</f>
        <v>DE. CAP-08473</v>
      </c>
      <c r="H11" s="34" t="str">
        <f>Total!H558</f>
        <v>Contracte de serveis per a la direcció d'execució de les obres de construcció del nou Centre d'Atenció Primària de Piera. Clau: CAP-08473</v>
      </c>
      <c r="I11" s="6">
        <f>Total!I558</f>
        <v>91808</v>
      </c>
    </row>
    <row r="12" spans="1:11" x14ac:dyDescent="0.2">
      <c r="A12" s="8">
        <f t="shared" si="1"/>
        <v>11</v>
      </c>
      <c r="B12" s="9">
        <f>Total!B559</f>
        <v>41212</v>
      </c>
      <c r="C12" s="9">
        <f>Total!C559</f>
        <v>41232</v>
      </c>
      <c r="D12" s="34" t="str">
        <f>Total!D559</f>
        <v>Infraestructures.cat</v>
      </c>
      <c r="E12" s="34" t="str">
        <f>Total!E559</f>
        <v>Obra Civil</v>
      </c>
      <c r="F12" s="34" t="str">
        <f>Total!F559</f>
        <v>Projectes</v>
      </c>
      <c r="G12" s="34" t="str">
        <f>Total!G559</f>
        <v>EV. EP-VB-12065</v>
      </c>
      <c r="H12" s="34" t="str">
        <f>Total!H559</f>
        <v>Contracte de serveis per a l'assistència tècnica per a la redacció de l'estudi previ. Millora general. Variant d'Arenys de Munt. Carretera C-61, del PK 110+400 de la C-32 (final del vial de Vall de Gata) fins al PK 11+000 de la C-61. Tram: Arenys de Mar - Vallgorguina. Clau: EP-VB-12065</v>
      </c>
      <c r="I12" s="6">
        <f>Total!I559</f>
        <v>78100</v>
      </c>
    </row>
    <row r="13" spans="1:11" x14ac:dyDescent="0.2">
      <c r="A13" s="8">
        <f t="shared" si="1"/>
        <v>12</v>
      </c>
      <c r="B13" s="9">
        <f>Total!B560</f>
        <v>41212</v>
      </c>
      <c r="C13" s="9">
        <f>Total!C560</f>
        <v>41232</v>
      </c>
      <c r="D13" s="34" t="str">
        <f>Total!D560</f>
        <v>Infraestructures.cat</v>
      </c>
      <c r="E13" s="34" t="str">
        <f>Total!E560</f>
        <v>Edificació</v>
      </c>
      <c r="F13" s="34" t="str">
        <f>Total!F560</f>
        <v>Control de Qualitat</v>
      </c>
      <c r="G13" s="34" t="str">
        <f>Total!G560</f>
        <v>CQ. CAP-00482.A2</v>
      </c>
      <c r="H13" s="34" t="str">
        <f>Total!H560</f>
        <v>Contracte de serveis per a l'assistència tècnica de control de qualitat de les obres del Nou CAP "La Mina", de Sant Adrià de Besòs. Clau: CAP-00482.A2</v>
      </c>
      <c r="I13" s="6">
        <f>Total!I560</f>
        <v>80476.95</v>
      </c>
    </row>
    <row r="14" spans="1:11" ht="13.5" thickBot="1" x14ac:dyDescent="0.25">
      <c r="A14" s="8">
        <f t="shared" si="1"/>
        <v>13</v>
      </c>
      <c r="B14" s="9">
        <f>Total!B561</f>
        <v>41212</v>
      </c>
      <c r="C14" s="9">
        <f>Total!C561</f>
        <v>41232</v>
      </c>
      <c r="D14" s="34" t="str">
        <f>Total!D561</f>
        <v>Infraestructures.cat</v>
      </c>
      <c r="E14" s="34" t="str">
        <f>Total!E561</f>
        <v>Edificació</v>
      </c>
      <c r="F14" s="34" t="str">
        <f>Total!F561</f>
        <v>Direccions d'Execució</v>
      </c>
      <c r="G14" s="34" t="str">
        <f>Total!G561</f>
        <v>DE. CAP-00482.A2</v>
      </c>
      <c r="H14" s="34" t="str">
        <f>Total!H561</f>
        <v>Contracte de serveis per a la direcció d'execució de les obres del Nou CAP La Mina. Clau: CAP-00482.A2</v>
      </c>
      <c r="I14" s="6">
        <f>Total!I561</f>
        <v>197337</v>
      </c>
    </row>
    <row r="15" spans="1:11" ht="13.5" hidden="1" thickBot="1" x14ac:dyDescent="0.25">
      <c r="A15" s="8">
        <f t="shared" si="1"/>
        <v>14</v>
      </c>
      <c r="B15" s="9"/>
      <c r="C15" s="9"/>
      <c r="D15" s="34"/>
      <c r="E15" s="34"/>
      <c r="F15" s="34"/>
      <c r="G15" s="34"/>
      <c r="H15" s="34"/>
      <c r="I15" s="6"/>
    </row>
    <row r="16" spans="1:11" ht="13.5" thickBot="1" x14ac:dyDescent="0.25">
      <c r="I16" s="33">
        <f>SUM(I2:I15)</f>
        <v>2022116.71</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K16"/>
  <sheetViews>
    <sheetView workbookViewId="0">
      <selection activeCell="I3" sqref="I3:I4"/>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 min="11" max="11" width="11" bestFit="1" customWidth="1"/>
  </cols>
  <sheetData>
    <row r="1" spans="1:11" x14ac:dyDescent="0.2">
      <c r="B1" s="37" t="s">
        <v>57</v>
      </c>
      <c r="C1" s="2" t="s">
        <v>499</v>
      </c>
      <c r="D1" s="2" t="s">
        <v>58</v>
      </c>
      <c r="E1" s="3" t="s">
        <v>59</v>
      </c>
      <c r="F1" s="3" t="s">
        <v>60</v>
      </c>
      <c r="G1" s="3" t="s">
        <v>61</v>
      </c>
      <c r="H1" s="38" t="s">
        <v>62</v>
      </c>
      <c r="I1" s="39" t="s">
        <v>63</v>
      </c>
    </row>
    <row r="2" spans="1:11" x14ac:dyDescent="0.2">
      <c r="A2" s="8">
        <v>1</v>
      </c>
      <c r="B2" s="9">
        <f>Total!B546</f>
        <v>41158</v>
      </c>
      <c r="C2" s="9">
        <f>Total!C546</f>
        <v>41185</v>
      </c>
      <c r="D2" s="34" t="str">
        <f>Total!D546</f>
        <v>Infraestructures.cat</v>
      </c>
      <c r="E2" s="34" t="str">
        <f>Total!E546</f>
        <v>Edificació</v>
      </c>
      <c r="F2" s="34" t="str">
        <f>Total!F546</f>
        <v>Projectes</v>
      </c>
      <c r="G2" s="34" t="str">
        <f>Total!G546</f>
        <v>EG. EG09</v>
      </c>
      <c r="H2" s="34" t="str">
        <f>Total!H546</f>
        <v>Contracte de serveis per a l'assistència técnica per a la realització dels informes preliminars dels emplaçaments dels projectes d’edificació. Clau: EG09</v>
      </c>
      <c r="I2" s="6">
        <f>Total!I546</f>
        <v>52800</v>
      </c>
    </row>
    <row r="3" spans="1:11" x14ac:dyDescent="0.2">
      <c r="A3" s="8">
        <f>A2+1</f>
        <v>2</v>
      </c>
      <c r="B3" s="9">
        <f>Total!B547</f>
        <v>41159</v>
      </c>
      <c r="C3" s="9">
        <f>Total!C547</f>
        <v>41211</v>
      </c>
      <c r="D3" s="34" t="str">
        <f>Total!D547</f>
        <v>Infraestructures.cat</v>
      </c>
      <c r="E3" s="34" t="str">
        <f>Total!E547</f>
        <v>Obra Civil</v>
      </c>
      <c r="F3" s="34" t="str">
        <f>Total!F547</f>
        <v>Projectes</v>
      </c>
      <c r="G3" s="34" t="str">
        <f>Total!G547</f>
        <v>PC. TX-05610</v>
      </c>
      <c r="H3" s="34" t="str">
        <f>Total!H547</f>
        <v>Contracte de serveis per a l'assistència tècnica per a la redacció del projecte constructiu de plataforma reservada per a l'autobús a l'Eix Blanes-Lloret. Clau: TX-05610</v>
      </c>
      <c r="I3" s="6">
        <f>Total!I547</f>
        <v>432482</v>
      </c>
    </row>
    <row r="4" spans="1:11" ht="13.5" thickBot="1" x14ac:dyDescent="0.25">
      <c r="A4" s="8">
        <f t="shared" ref="A4:A6" si="0">A3+1</f>
        <v>3</v>
      </c>
      <c r="B4" s="9">
        <f>Total!B548</f>
        <v>41159</v>
      </c>
      <c r="C4" s="9">
        <f>Total!C548</f>
        <v>41211</v>
      </c>
      <c r="D4" s="34" t="str">
        <f>Total!D548</f>
        <v>Infraestructures.cat</v>
      </c>
      <c r="E4" s="34" t="str">
        <f>Total!E548</f>
        <v>Obra Civil</v>
      </c>
      <c r="F4" s="34" t="str">
        <f>Total!F548</f>
        <v>Projectes</v>
      </c>
      <c r="G4" s="34" t="str">
        <f>Total!G548</f>
        <v>PC. VT-08110</v>
      </c>
      <c r="H4" s="34" t="str">
        <f>Total!H548</f>
        <v>Contracte de serveis per a l'assistència tècnica per a la redacció del projecte constructiu de la millora general. Variant de Solivella. Carretera C-14, del PK 43+700 al 47+330. Tram: Solivella. Clau: VT-08110</v>
      </c>
      <c r="I4" s="6">
        <f>Total!I548</f>
        <v>357300</v>
      </c>
      <c r="K4" s="1"/>
    </row>
    <row r="5" spans="1:11" hidden="1" x14ac:dyDescent="0.2">
      <c r="A5" s="8">
        <f t="shared" si="0"/>
        <v>4</v>
      </c>
      <c r="B5" s="9"/>
      <c r="C5" s="9"/>
      <c r="D5" s="34"/>
      <c r="E5" s="34"/>
      <c r="F5" s="34"/>
      <c r="G5" s="34"/>
      <c r="H5" s="34"/>
      <c r="I5" s="6"/>
    </row>
    <row r="6" spans="1:11" hidden="1" x14ac:dyDescent="0.2">
      <c r="A6" s="8">
        <f t="shared" si="0"/>
        <v>5</v>
      </c>
      <c r="B6" s="9"/>
      <c r="C6" s="9"/>
      <c r="D6" s="34"/>
      <c r="E6" s="34"/>
      <c r="F6" s="34"/>
      <c r="G6" s="34"/>
      <c r="H6" s="34"/>
      <c r="I6" s="6"/>
    </row>
    <row r="7" spans="1:11" hidden="1" x14ac:dyDescent="0.2">
      <c r="A7" s="8">
        <f>A6+1</f>
        <v>6</v>
      </c>
      <c r="B7" s="9"/>
      <c r="C7" s="9"/>
      <c r="D7" s="34"/>
      <c r="E7" s="34"/>
      <c r="F7" s="34"/>
      <c r="G7" s="34"/>
      <c r="H7" s="34"/>
      <c r="I7" s="6"/>
    </row>
    <row r="8" spans="1:11" hidden="1" x14ac:dyDescent="0.2">
      <c r="A8" s="8">
        <f t="shared" ref="A8:A15" si="1">A7+1</f>
        <v>7</v>
      </c>
      <c r="B8" s="9"/>
      <c r="C8" s="9"/>
      <c r="D8" s="34"/>
      <c r="E8" s="34"/>
      <c r="F8" s="34"/>
      <c r="G8" s="34"/>
      <c r="H8" s="34"/>
      <c r="I8" s="6"/>
    </row>
    <row r="9" spans="1:11" hidden="1" x14ac:dyDescent="0.2">
      <c r="A9" s="8">
        <f t="shared" si="1"/>
        <v>8</v>
      </c>
      <c r="B9" s="9"/>
      <c r="C9" s="9"/>
      <c r="D9" s="34"/>
      <c r="E9" s="34"/>
      <c r="F9" s="34"/>
      <c r="G9" s="34"/>
      <c r="H9" s="34"/>
      <c r="I9" s="6"/>
    </row>
    <row r="10" spans="1:11" hidden="1" x14ac:dyDescent="0.2">
      <c r="A10" s="8">
        <f t="shared" si="1"/>
        <v>9</v>
      </c>
      <c r="B10" s="9"/>
      <c r="C10" s="9"/>
      <c r="D10" s="34"/>
      <c r="E10" s="34"/>
      <c r="F10" s="34"/>
      <c r="G10" s="34"/>
      <c r="H10" s="34"/>
      <c r="I10" s="6"/>
    </row>
    <row r="11" spans="1:11" hidden="1" x14ac:dyDescent="0.2">
      <c r="A11" s="8">
        <f t="shared" si="1"/>
        <v>10</v>
      </c>
      <c r="B11" s="9"/>
      <c r="C11" s="9"/>
      <c r="D11" s="34"/>
      <c r="E11" s="34"/>
      <c r="F11" s="34"/>
      <c r="G11" s="34"/>
      <c r="H11" s="34"/>
      <c r="I11" s="6"/>
    </row>
    <row r="12" spans="1:11" hidden="1" x14ac:dyDescent="0.2">
      <c r="A12" s="8">
        <f t="shared" si="1"/>
        <v>11</v>
      </c>
      <c r="B12" s="9"/>
      <c r="C12" s="9"/>
      <c r="D12" s="34"/>
      <c r="E12" s="34"/>
      <c r="F12" s="34"/>
      <c r="G12" s="34"/>
      <c r="H12" s="34"/>
      <c r="I12" s="6"/>
    </row>
    <row r="13" spans="1:11" hidden="1" x14ac:dyDescent="0.2">
      <c r="A13" s="8">
        <f t="shared" si="1"/>
        <v>12</v>
      </c>
      <c r="B13" s="9"/>
      <c r="C13" s="9"/>
      <c r="D13" s="34"/>
      <c r="E13" s="34"/>
      <c r="F13" s="34"/>
      <c r="G13" s="34"/>
      <c r="H13" s="34"/>
      <c r="I13" s="6"/>
    </row>
    <row r="14" spans="1:11" hidden="1" x14ac:dyDescent="0.2">
      <c r="A14" s="8">
        <f t="shared" si="1"/>
        <v>13</v>
      </c>
      <c r="B14" s="9"/>
      <c r="C14" s="9"/>
      <c r="D14" s="34"/>
      <c r="E14" s="34"/>
      <c r="F14" s="34"/>
      <c r="G14" s="34"/>
      <c r="H14" s="34"/>
      <c r="I14" s="6"/>
    </row>
    <row r="15" spans="1:11" ht="13.5" hidden="1" thickBot="1" x14ac:dyDescent="0.25">
      <c r="A15" s="8">
        <f t="shared" si="1"/>
        <v>14</v>
      </c>
      <c r="B15" s="9"/>
      <c r="C15" s="9"/>
      <c r="D15" s="34"/>
      <c r="E15" s="34"/>
      <c r="F15" s="34"/>
      <c r="G15" s="34"/>
      <c r="H15" s="34"/>
      <c r="I15" s="6"/>
    </row>
    <row r="16" spans="1:11" ht="13.5" thickBot="1" x14ac:dyDescent="0.25">
      <c r="I16" s="33">
        <f>SUM(I2:I15)</f>
        <v>842582</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I16"/>
  <sheetViews>
    <sheetView workbookViewId="0">
      <selection activeCell="I16" sqref="I16"/>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Total!B544</f>
        <v>41148</v>
      </c>
      <c r="C2" s="9">
        <f>Total!C544</f>
        <v>41164</v>
      </c>
      <c r="D2" s="34" t="str">
        <f>Total!D544</f>
        <v>Infraestructures.cat</v>
      </c>
      <c r="E2" s="34" t="str">
        <f>Total!E544</f>
        <v>Obra Civil</v>
      </c>
      <c r="F2" s="34" t="str">
        <f>Total!F544</f>
        <v>Projectes</v>
      </c>
      <c r="G2" s="34" t="str">
        <f>Total!G544</f>
        <v>EI. EI-NG-12015</v>
      </c>
      <c r="H2" s="34" t="str">
        <f>Total!H544</f>
        <v>Contracte de serveis per a l'assistència tècnica per a la redacció de l'estudi informatiu de millora general. Nova carretera. Des de l PK 34+000 de la carretera C-260 al PK 3+100 de la GIP-6042. Tram: Castelló d'Empúries-Peralada. Clau: EI-NG-12015</v>
      </c>
      <c r="I2" s="6">
        <f>Total!I544</f>
        <v>60400</v>
      </c>
    </row>
    <row r="3" spans="1:9" ht="13.5" thickBot="1" x14ac:dyDescent="0.25">
      <c r="A3" s="8">
        <f>A2+1</f>
        <v>2</v>
      </c>
      <c r="B3" s="9">
        <f>Total!B545</f>
        <v>41150</v>
      </c>
      <c r="C3" s="9">
        <f>Total!C545</f>
        <v>41178</v>
      </c>
      <c r="D3" s="34" t="str">
        <f>Total!D545</f>
        <v>Infraestructures.cat</v>
      </c>
      <c r="E3" s="34" t="str">
        <f>Total!E545</f>
        <v>Obra Civil</v>
      </c>
      <c r="F3" s="34" t="str">
        <f>Total!F545</f>
        <v>Projectes</v>
      </c>
      <c r="G3" s="34" t="str">
        <f>Total!G545</f>
        <v>EI. EI-NC-00100-A2</v>
      </c>
      <c r="H3" s="34" t="str">
        <f>Total!H545</f>
        <v>Contracte de serveis per a l'assistència tècnica per a la redacció de l'estudi informatiu de millora general. Nova carretera entre Riba-roja i la Granja d'Escarp. Tram: Riba-roja d'Ebre-la Granja d'Escarp. Clau: EI-NC-00100-A2</v>
      </c>
      <c r="I3" s="6">
        <f>Total!I545</f>
        <v>158000</v>
      </c>
    </row>
    <row r="4" spans="1:9" hidden="1" x14ac:dyDescent="0.2">
      <c r="A4" s="8">
        <f t="shared" ref="A4:A6" si="0">A3+1</f>
        <v>3</v>
      </c>
      <c r="B4" s="9"/>
      <c r="C4" s="9"/>
      <c r="D4" s="34"/>
      <c r="E4" s="34"/>
      <c r="F4" s="34"/>
      <c r="G4" s="34"/>
      <c r="H4" s="34"/>
      <c r="I4" s="6"/>
    </row>
    <row r="5" spans="1:9" hidden="1" x14ac:dyDescent="0.2">
      <c r="A5" s="8">
        <f t="shared" si="0"/>
        <v>4</v>
      </c>
      <c r="B5" s="9"/>
      <c r="C5" s="9"/>
      <c r="D5" s="34"/>
      <c r="E5" s="34"/>
      <c r="F5" s="34"/>
      <c r="G5" s="34"/>
      <c r="H5" s="34"/>
      <c r="I5" s="6"/>
    </row>
    <row r="6" spans="1:9" hidden="1" x14ac:dyDescent="0.2">
      <c r="A6" s="8">
        <f t="shared" si="0"/>
        <v>5</v>
      </c>
      <c r="B6" s="9"/>
      <c r="C6" s="9"/>
      <c r="D6" s="34"/>
      <c r="E6" s="34"/>
      <c r="F6" s="34"/>
      <c r="G6" s="34"/>
      <c r="H6" s="34"/>
      <c r="I6" s="6"/>
    </row>
    <row r="7" spans="1:9" hidden="1" x14ac:dyDescent="0.2">
      <c r="A7" s="8">
        <f>A6+1</f>
        <v>6</v>
      </c>
      <c r="B7" s="9"/>
      <c r="C7" s="9"/>
      <c r="D7" s="34"/>
      <c r="E7" s="34"/>
      <c r="F7" s="34"/>
      <c r="G7" s="34"/>
      <c r="H7" s="34"/>
      <c r="I7" s="6"/>
    </row>
    <row r="8" spans="1:9" hidden="1" x14ac:dyDescent="0.2">
      <c r="A8" s="8">
        <f t="shared" ref="A8:A15" si="1">A7+1</f>
        <v>7</v>
      </c>
      <c r="B8" s="9"/>
      <c r="C8" s="9"/>
      <c r="D8" s="34"/>
      <c r="E8" s="34"/>
      <c r="F8" s="34"/>
      <c r="G8" s="34"/>
      <c r="H8" s="34"/>
      <c r="I8" s="6"/>
    </row>
    <row r="9" spans="1:9" hidden="1" x14ac:dyDescent="0.2">
      <c r="A9" s="8">
        <f t="shared" si="1"/>
        <v>8</v>
      </c>
      <c r="B9" s="9"/>
      <c r="C9" s="9"/>
      <c r="D9" s="34"/>
      <c r="E9" s="34"/>
      <c r="F9" s="34"/>
      <c r="G9" s="34"/>
      <c r="H9" s="34"/>
      <c r="I9" s="6"/>
    </row>
    <row r="10" spans="1:9" hidden="1" x14ac:dyDescent="0.2">
      <c r="A10" s="8">
        <f t="shared" si="1"/>
        <v>9</v>
      </c>
      <c r="B10" s="9"/>
      <c r="C10" s="9"/>
      <c r="D10" s="34"/>
      <c r="E10" s="34"/>
      <c r="F10" s="34"/>
      <c r="G10" s="34"/>
      <c r="H10" s="34"/>
      <c r="I10" s="6"/>
    </row>
    <row r="11" spans="1:9" hidden="1" x14ac:dyDescent="0.2">
      <c r="A11" s="8">
        <f t="shared" si="1"/>
        <v>10</v>
      </c>
      <c r="B11" s="9"/>
      <c r="C11" s="9"/>
      <c r="D11" s="34"/>
      <c r="E11" s="34"/>
      <c r="F11" s="34"/>
      <c r="G11" s="34"/>
      <c r="H11" s="34"/>
      <c r="I11" s="6"/>
    </row>
    <row r="12" spans="1:9" hidden="1" x14ac:dyDescent="0.2">
      <c r="A12" s="8">
        <f t="shared" si="1"/>
        <v>11</v>
      </c>
      <c r="B12" s="9"/>
      <c r="C12" s="9"/>
      <c r="D12" s="34"/>
      <c r="E12" s="34"/>
      <c r="F12" s="34"/>
      <c r="G12" s="34"/>
      <c r="H12" s="34"/>
      <c r="I12" s="6"/>
    </row>
    <row r="13" spans="1:9" hidden="1" x14ac:dyDescent="0.2">
      <c r="A13" s="8">
        <f t="shared" si="1"/>
        <v>12</v>
      </c>
      <c r="B13" s="9"/>
      <c r="C13" s="9"/>
      <c r="D13" s="34"/>
      <c r="E13" s="34"/>
      <c r="F13" s="34"/>
      <c r="G13" s="34"/>
      <c r="H13" s="34"/>
      <c r="I13" s="6"/>
    </row>
    <row r="14" spans="1:9" hidden="1" x14ac:dyDescent="0.2">
      <c r="A14" s="8">
        <f t="shared" si="1"/>
        <v>13</v>
      </c>
      <c r="B14" s="9"/>
      <c r="C14" s="9"/>
      <c r="D14" s="34"/>
      <c r="E14" s="34"/>
      <c r="F14" s="34"/>
      <c r="G14" s="34"/>
      <c r="H14" s="34"/>
      <c r="I14" s="6"/>
    </row>
    <row r="15" spans="1:9" ht="13.5" hidden="1" thickBot="1" x14ac:dyDescent="0.25">
      <c r="A15" s="8">
        <f t="shared" si="1"/>
        <v>14</v>
      </c>
      <c r="B15" s="9"/>
      <c r="C15" s="9"/>
      <c r="D15" s="34"/>
      <c r="E15" s="34"/>
      <c r="F15" s="34"/>
      <c r="G15" s="34"/>
      <c r="H15" s="34"/>
      <c r="I15" s="6"/>
    </row>
    <row r="16" spans="1:9" ht="13.5" thickBot="1" x14ac:dyDescent="0.25">
      <c r="I16" s="33">
        <f>SUM(I2:I15)</f>
        <v>218400</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I16"/>
  <sheetViews>
    <sheetView workbookViewId="0">
      <selection activeCell="I6" sqref="I6:I7"/>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Total!B538</f>
        <v>41096</v>
      </c>
      <c r="C2" s="9">
        <f>Total!C538</f>
        <v>41113</v>
      </c>
      <c r="D2" s="34" t="str">
        <f>Total!D538</f>
        <v>Infraestructures.cat</v>
      </c>
      <c r="E2" s="34" t="str">
        <f>Total!E538</f>
        <v>Obra Civil</v>
      </c>
      <c r="F2" s="34" t="str">
        <f>Total!F538</f>
        <v>Projectes</v>
      </c>
      <c r="G2" s="34" t="str">
        <f>Total!G538</f>
        <v>PC. TF-02676.7</v>
      </c>
      <c r="H2" s="34" t="str">
        <f>Total!H538</f>
        <v>Contracte de serveis per a l'assistència tècnica per a la redacció del projecte constructiu del perllongament dels FGC a Sabadell. Senyalització i enclavaments. Clau: TF-02676.7</v>
      </c>
      <c r="I2" s="6">
        <f>Total!I538</f>
        <v>150000</v>
      </c>
    </row>
    <row r="3" spans="1:9" x14ac:dyDescent="0.2">
      <c r="A3" s="8">
        <f>A2+1</f>
        <v>2</v>
      </c>
      <c r="B3" s="9">
        <f>Total!B539</f>
        <v>41100</v>
      </c>
      <c r="C3" s="9">
        <f>Total!C539</f>
        <v>41157</v>
      </c>
      <c r="D3" s="34" t="str">
        <f>Total!D539</f>
        <v>Infraestructures.cat</v>
      </c>
      <c r="E3" s="34" t="str">
        <f>Total!E539</f>
        <v>Obra Civil</v>
      </c>
      <c r="F3" s="34" t="str">
        <f>Total!F539</f>
        <v>Projectes</v>
      </c>
      <c r="G3" s="34" t="str">
        <f>Total!G539</f>
        <v>PC. XB-07069</v>
      </c>
      <c r="H3" s="34" t="str">
        <f>Total!H539</f>
        <v>Contracte de serveis per a l'assistència tècnica per a la redacció del projecte constructiu de millora general. Variant de la carretera BV-5227, des de la connexió amb la C-17 (PK 81+300) fins a la BV-5227 (PK 1+800). Tram: Sant Quirze de Besora. Clau: XB-07069</v>
      </c>
      <c r="I3" s="6">
        <f>Total!I539</f>
        <v>223600</v>
      </c>
    </row>
    <row r="4" spans="1:9" x14ac:dyDescent="0.2">
      <c r="A4" s="8">
        <f t="shared" ref="A4:A6" si="0">A3+1</f>
        <v>3</v>
      </c>
      <c r="B4" s="9">
        <f>Total!B540</f>
        <v>41100</v>
      </c>
      <c r="C4" s="9">
        <f>Total!C540</f>
        <v>41157</v>
      </c>
      <c r="D4" s="34" t="str">
        <f>Total!D540</f>
        <v>Infraestructures.cat</v>
      </c>
      <c r="E4" s="34" t="str">
        <f>Total!E540</f>
        <v>Obra Civil</v>
      </c>
      <c r="F4" s="34" t="str">
        <f>Total!F540</f>
        <v>Projectes</v>
      </c>
      <c r="G4" s="34" t="str">
        <f>Total!G540</f>
        <v>PC. VG-06086</v>
      </c>
      <c r="H4" s="34" t="str">
        <f>Total!H540</f>
        <v>Contracte de serveis per a l'assistència tècnica per a la redacció del projecte constructiu de millora general. Variant de la carretera C-63, des del PK 21+100 de la C-63 al PK 2+200 de la C-152. Tram: Riudarenes-Santa Coloma de Farners. Clau: VG-06086</v>
      </c>
      <c r="I4" s="6">
        <f>Total!I540</f>
        <v>491500</v>
      </c>
    </row>
    <row r="5" spans="1:9" x14ac:dyDescent="0.2">
      <c r="A5" s="8">
        <f t="shared" si="0"/>
        <v>4</v>
      </c>
      <c r="B5" s="9">
        <f>Total!B541</f>
        <v>41109</v>
      </c>
      <c r="C5" s="9">
        <f>Total!C541</f>
        <v>41164</v>
      </c>
      <c r="D5" s="34" t="str">
        <f>Total!D541</f>
        <v>Infraestructures.cat</v>
      </c>
      <c r="E5" s="34" t="str">
        <f>Total!E541</f>
        <v>Obra Civil</v>
      </c>
      <c r="F5" s="34" t="str">
        <f>Total!F541</f>
        <v>Projectes</v>
      </c>
      <c r="G5" s="34" t="str">
        <f>Total!G541</f>
        <v>PC. TF-02699.A</v>
      </c>
      <c r="H5" s="34" t="str">
        <f>Total!H541</f>
        <v>Contracte de serveis per a l'assistència tècnica per a la redacció del projecte constructiu actualitzat de l'eixamplament d'andana direcció Sarrià de l'estació de Provença dels FGC. Projecte actualitzat. Clau: TF-02699.A</v>
      </c>
      <c r="I5" s="6">
        <f>Total!I541</f>
        <v>343729</v>
      </c>
    </row>
    <row r="6" spans="1:9" x14ac:dyDescent="0.2">
      <c r="A6" s="8">
        <f t="shared" si="0"/>
        <v>5</v>
      </c>
      <c r="B6" s="9">
        <f>Total!B542</f>
        <v>41117</v>
      </c>
      <c r="C6" s="9">
        <f>Total!C542</f>
        <v>41169</v>
      </c>
      <c r="D6" s="34" t="str">
        <f>Total!D542</f>
        <v>Infraestructures.cat</v>
      </c>
      <c r="E6" s="34" t="str">
        <f>Total!E542</f>
        <v>Edificació</v>
      </c>
      <c r="F6" s="34" t="str">
        <f>Total!F542</f>
        <v>Projectes i Direccions d'Obra</v>
      </c>
      <c r="G6" s="34" t="str">
        <f>Total!G542</f>
        <v>PE+DO HTT-12005 1v</v>
      </c>
      <c r="H6" s="34" t="str">
        <f>Total!H542</f>
        <v>Contracte de serveis per a l'assistència tècnica per a la redacció del projecte bàsic, el projecte executiu i posterior direcció d'obra per a l’ampliació i reforma 2a fase del Servei d’Urgències de l’Hospital Joan XXIII, de Tarragona. Clau: HTT-12005(1v)</v>
      </c>
      <c r="I6" s="6">
        <f>Total!I542</f>
        <v>196260</v>
      </c>
    </row>
    <row r="7" spans="1:9" ht="13.5" thickBot="1" x14ac:dyDescent="0.25">
      <c r="A7" s="8">
        <f>A6+1</f>
        <v>6</v>
      </c>
      <c r="B7" s="9">
        <f>Total!B543</f>
        <v>41117</v>
      </c>
      <c r="C7" s="9">
        <f>Total!C543</f>
        <v>41171</v>
      </c>
      <c r="D7" s="34" t="str">
        <f>Total!D543</f>
        <v>Infraestructures.cat</v>
      </c>
      <c r="E7" s="34" t="str">
        <f>Total!E543</f>
        <v>Edificació</v>
      </c>
      <c r="F7" s="34" t="str">
        <f>Total!F543</f>
        <v>Projectes i Direccions d'Obra</v>
      </c>
      <c r="G7" s="34" t="str">
        <f>Total!G543</f>
        <v>PE+DO PNG-10080 2v</v>
      </c>
      <c r="H7" s="34" t="str">
        <f>Total!H543</f>
        <v>Contracte de serveis per a l’assistència tècnica per a la redacció del projecte bàsic, el projecte executiu i posterior direcció d'obra corresponent a la Nova Construcció de l’Escola Montserrat Vayreda, de Roses. Clau: PNG-10080 (2v)</v>
      </c>
      <c r="I7" s="6">
        <f>Total!I543</f>
        <v>321475</v>
      </c>
    </row>
    <row r="8" spans="1:9" hidden="1" x14ac:dyDescent="0.2">
      <c r="A8" s="8">
        <f t="shared" ref="A8:A15" si="1">A7+1</f>
        <v>7</v>
      </c>
      <c r="B8" s="9"/>
      <c r="C8" s="9"/>
      <c r="D8" s="34"/>
      <c r="E8" s="34"/>
      <c r="F8" s="34"/>
      <c r="G8" s="34"/>
      <c r="H8" s="34"/>
      <c r="I8" s="6"/>
    </row>
    <row r="9" spans="1:9" hidden="1" x14ac:dyDescent="0.2">
      <c r="A9" s="8">
        <f t="shared" si="1"/>
        <v>8</v>
      </c>
      <c r="B9" s="9"/>
      <c r="C9" s="9"/>
      <c r="D9" s="34"/>
      <c r="E9" s="34"/>
      <c r="F9" s="34"/>
      <c r="G9" s="34"/>
      <c r="H9" s="34"/>
      <c r="I9" s="6"/>
    </row>
    <row r="10" spans="1:9" hidden="1" x14ac:dyDescent="0.2">
      <c r="A10" s="8">
        <f t="shared" si="1"/>
        <v>9</v>
      </c>
      <c r="B10" s="9"/>
      <c r="C10" s="9"/>
      <c r="D10" s="34"/>
      <c r="E10" s="34"/>
      <c r="F10" s="34"/>
      <c r="G10" s="34"/>
      <c r="H10" s="34"/>
      <c r="I10" s="6"/>
    </row>
    <row r="11" spans="1:9" hidden="1" x14ac:dyDescent="0.2">
      <c r="A11" s="8">
        <f t="shared" si="1"/>
        <v>10</v>
      </c>
      <c r="B11" s="9"/>
      <c r="C11" s="9"/>
      <c r="D11" s="34"/>
      <c r="E11" s="34"/>
      <c r="F11" s="34"/>
      <c r="G11" s="34"/>
      <c r="H11" s="34"/>
      <c r="I11" s="6"/>
    </row>
    <row r="12" spans="1:9" hidden="1" x14ac:dyDescent="0.2">
      <c r="A12" s="8">
        <f t="shared" si="1"/>
        <v>11</v>
      </c>
      <c r="B12" s="9"/>
      <c r="C12" s="9"/>
      <c r="D12" s="34"/>
      <c r="E12" s="34"/>
      <c r="F12" s="34"/>
      <c r="G12" s="34"/>
      <c r="H12" s="34"/>
      <c r="I12" s="6"/>
    </row>
    <row r="13" spans="1:9" hidden="1" x14ac:dyDescent="0.2">
      <c r="A13" s="8">
        <f t="shared" si="1"/>
        <v>12</v>
      </c>
      <c r="B13" s="9"/>
      <c r="C13" s="9"/>
      <c r="D13" s="34"/>
      <c r="E13" s="34"/>
      <c r="F13" s="34"/>
      <c r="G13" s="34"/>
      <c r="H13" s="34"/>
      <c r="I13" s="6"/>
    </row>
    <row r="14" spans="1:9" hidden="1" x14ac:dyDescent="0.2">
      <c r="A14" s="8">
        <f t="shared" si="1"/>
        <v>13</v>
      </c>
      <c r="B14" s="9"/>
      <c r="C14" s="9"/>
      <c r="D14" s="34"/>
      <c r="E14" s="34"/>
      <c r="F14" s="34"/>
      <c r="G14" s="34"/>
      <c r="H14" s="34"/>
      <c r="I14" s="6"/>
    </row>
    <row r="15" spans="1:9" ht="13.5" hidden="1" thickBot="1" x14ac:dyDescent="0.25">
      <c r="A15" s="8">
        <f t="shared" si="1"/>
        <v>14</v>
      </c>
      <c r="B15" s="9"/>
      <c r="C15" s="9"/>
      <c r="D15" s="34"/>
      <c r="E15" s="34"/>
      <c r="F15" s="34"/>
      <c r="G15" s="34"/>
      <c r="H15" s="34"/>
      <c r="I15" s="6"/>
    </row>
    <row r="16" spans="1:9" ht="13.5" thickBot="1" x14ac:dyDescent="0.25">
      <c r="I16" s="33">
        <f>SUM(I2:I15)</f>
        <v>1726564</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I16"/>
  <sheetViews>
    <sheetView workbookViewId="0">
      <selection activeCell="I2" sqref="I2"/>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Total!B534</f>
        <v>41067</v>
      </c>
      <c r="C2" s="9">
        <f>Total!C534</f>
        <v>41092</v>
      </c>
      <c r="D2" s="34" t="str">
        <f>Total!D534</f>
        <v>Infraestructures.cat</v>
      </c>
      <c r="E2" s="34" t="str">
        <f>Total!E534</f>
        <v>Edificació</v>
      </c>
      <c r="F2" s="34" t="str">
        <f>Total!F534</f>
        <v>Direccions Facultatives</v>
      </c>
      <c r="G2" s="34" t="str">
        <f>Total!G534</f>
        <v>DF. BSE-12000.1</v>
      </c>
      <c r="H2" s="34" t="str">
        <f>Total!H534</f>
        <v>Contracte de serveis per a la direcció facultativa de les obres d'adequació de l'edifici d'oficines situat al carrer Taulat, 266-270 destinat a la nova seu del Departament de Benestar Social i Família. Clau: BSE-12000.1</v>
      </c>
      <c r="I2" s="6">
        <f>Total!I534</f>
        <v>198500</v>
      </c>
    </row>
    <row r="3" spans="1:9" x14ac:dyDescent="0.2">
      <c r="A3" s="8">
        <f>A2+1</f>
        <v>2</v>
      </c>
      <c r="B3" s="9">
        <f>Total!B535</f>
        <v>41067</v>
      </c>
      <c r="C3" s="9">
        <f>Total!C535</f>
        <v>41092</v>
      </c>
      <c r="D3" s="34" t="str">
        <f>Total!D535</f>
        <v>Infraestructures.cat</v>
      </c>
      <c r="E3" s="34" t="str">
        <f>Total!E535</f>
        <v>Edificació</v>
      </c>
      <c r="F3" s="34" t="str">
        <f>Total!F535</f>
        <v>Control de Qualitat</v>
      </c>
      <c r="G3" s="34" t="str">
        <f>Total!G535</f>
        <v>CQ. BSE-12000.1</v>
      </c>
      <c r="H3" s="34" t="str">
        <f>Total!H535</f>
        <v>Contracte de serveis per a l'assistència tècnica per al control de qualitat de les obres d'adequació de l'edifici d'oficines situat al carrer Taulat, 266-270 destinat a la nova seu del Departament de Benestar Social i Família a Barcelona. Clau: BSE-12000.1</v>
      </c>
      <c r="I3" s="6">
        <f>Total!I535</f>
        <v>69936.259999999995</v>
      </c>
    </row>
    <row r="4" spans="1:9" x14ac:dyDescent="0.2">
      <c r="A4" s="8">
        <f t="shared" ref="A4:A6" si="0">A3+1</f>
        <v>3</v>
      </c>
      <c r="B4" s="9">
        <f>Total!B536</f>
        <v>41071</v>
      </c>
      <c r="C4" s="9">
        <f>Total!C536</f>
        <v>41087</v>
      </c>
      <c r="D4" s="34" t="str">
        <f>Total!D536</f>
        <v>Infraestructures.cat</v>
      </c>
      <c r="E4" s="34" t="str">
        <f>Total!E536</f>
        <v>Obra Civil</v>
      </c>
      <c r="F4" s="34" t="str">
        <f>Total!F536</f>
        <v>Projectes</v>
      </c>
      <c r="G4" s="34" t="str">
        <f>Total!G536</f>
        <v>EI. EI-VG-12011</v>
      </c>
      <c r="H4" s="34" t="str">
        <f>Total!H536</f>
        <v>Contracte de serveis per a l'assistència tècnica per a la redacció de l'estudi informatiu de millora general. Variant de Caldes de Malavella. Del PK 2+200 de la GI-673 al 1+750 de la GI-674. Tram: Caldes de Malavella. Clau: EI-VG-12011</v>
      </c>
      <c r="I4" s="6">
        <f>Total!I536</f>
        <v>62500</v>
      </c>
    </row>
    <row r="5" spans="1:9" ht="13.5" thickBot="1" x14ac:dyDescent="0.25">
      <c r="A5" s="8">
        <f t="shared" si="0"/>
        <v>4</v>
      </c>
      <c r="B5" s="9">
        <f>Total!B537</f>
        <v>41073</v>
      </c>
      <c r="C5" s="9">
        <f>Total!C537</f>
        <v>41094</v>
      </c>
      <c r="D5" s="34" t="str">
        <f>Total!D537</f>
        <v>Infraestructures.cat</v>
      </c>
      <c r="E5" s="34" t="str">
        <f>Total!E537</f>
        <v>Edificació</v>
      </c>
      <c r="F5" s="34" t="str">
        <f>Total!F537</f>
        <v>Direccions d'Execució</v>
      </c>
      <c r="G5" s="34" t="str">
        <f>Total!G537</f>
        <v>DE. IAC-03591</v>
      </c>
      <c r="H5" s="34" t="str">
        <f>Total!H537</f>
        <v>Contracte de serveis per a la direcció d'execució de les obres de reforma i ampliació a l'Institut Can Vilumara de l'Hospitalet de Llobregat (Barcelonès). Clau: IAC-03591</v>
      </c>
      <c r="I5" s="6">
        <f>Total!I537</f>
        <v>102239</v>
      </c>
    </row>
    <row r="6" spans="1:9" hidden="1" x14ac:dyDescent="0.2">
      <c r="A6" s="8">
        <f t="shared" si="0"/>
        <v>5</v>
      </c>
      <c r="B6" s="9"/>
      <c r="C6" s="9"/>
      <c r="D6" s="34"/>
      <c r="E6" s="34"/>
      <c r="F6" s="34"/>
      <c r="G6" s="34"/>
      <c r="H6" s="34"/>
      <c r="I6" s="6"/>
    </row>
    <row r="7" spans="1:9" hidden="1" x14ac:dyDescent="0.2">
      <c r="A7" s="8">
        <f>A6+1</f>
        <v>6</v>
      </c>
      <c r="B7" s="9"/>
      <c r="C7" s="9"/>
      <c r="D7" s="34"/>
      <c r="E7" s="34"/>
      <c r="F7" s="34"/>
      <c r="G7" s="34"/>
      <c r="H7" s="34"/>
      <c r="I7" s="6"/>
    </row>
    <row r="8" spans="1:9" hidden="1" x14ac:dyDescent="0.2">
      <c r="A8" s="8">
        <f t="shared" ref="A8:A15" si="1">A7+1</f>
        <v>7</v>
      </c>
      <c r="B8" s="9"/>
      <c r="C8" s="9"/>
      <c r="D8" s="34"/>
      <c r="E8" s="34"/>
      <c r="F8" s="34"/>
      <c r="G8" s="34"/>
      <c r="H8" s="34"/>
      <c r="I8" s="6"/>
    </row>
    <row r="9" spans="1:9" hidden="1" x14ac:dyDescent="0.2">
      <c r="A9" s="8">
        <f t="shared" si="1"/>
        <v>8</v>
      </c>
      <c r="B9" s="9"/>
      <c r="C9" s="9"/>
      <c r="D9" s="34"/>
      <c r="E9" s="34"/>
      <c r="F9" s="34"/>
      <c r="G9" s="34"/>
      <c r="H9" s="34"/>
      <c r="I9" s="6"/>
    </row>
    <row r="10" spans="1:9" hidden="1" x14ac:dyDescent="0.2">
      <c r="A10" s="8">
        <f t="shared" si="1"/>
        <v>9</v>
      </c>
      <c r="B10" s="9"/>
      <c r="C10" s="9"/>
      <c r="D10" s="34"/>
      <c r="E10" s="34"/>
      <c r="F10" s="34"/>
      <c r="G10" s="34"/>
      <c r="H10" s="34"/>
      <c r="I10" s="6"/>
    </row>
    <row r="11" spans="1:9" hidden="1" x14ac:dyDescent="0.2">
      <c r="A11" s="8">
        <f t="shared" si="1"/>
        <v>10</v>
      </c>
      <c r="B11" s="9"/>
      <c r="C11" s="9"/>
      <c r="D11" s="34"/>
      <c r="E11" s="34"/>
      <c r="F11" s="34"/>
      <c r="G11" s="34"/>
      <c r="H11" s="34"/>
      <c r="I11" s="6"/>
    </row>
    <row r="12" spans="1:9" hidden="1" x14ac:dyDescent="0.2">
      <c r="A12" s="8">
        <f t="shared" si="1"/>
        <v>11</v>
      </c>
      <c r="B12" s="9"/>
      <c r="C12" s="9"/>
      <c r="D12" s="34"/>
      <c r="E12" s="34"/>
      <c r="F12" s="34"/>
      <c r="G12" s="34"/>
      <c r="H12" s="34"/>
      <c r="I12" s="6"/>
    </row>
    <row r="13" spans="1:9" hidden="1" x14ac:dyDescent="0.2">
      <c r="A13" s="8">
        <f t="shared" si="1"/>
        <v>12</v>
      </c>
      <c r="B13" s="9"/>
      <c r="C13" s="9"/>
      <c r="D13" s="34"/>
      <c r="E13" s="34"/>
      <c r="F13" s="34"/>
      <c r="G13" s="34"/>
      <c r="H13" s="34"/>
      <c r="I13" s="6"/>
    </row>
    <row r="14" spans="1:9" hidden="1" x14ac:dyDescent="0.2">
      <c r="A14" s="8">
        <f t="shared" si="1"/>
        <v>13</v>
      </c>
      <c r="B14" s="9"/>
      <c r="C14" s="9"/>
      <c r="D14" s="34"/>
      <c r="E14" s="34"/>
      <c r="F14" s="34"/>
      <c r="G14" s="34"/>
      <c r="H14" s="34"/>
      <c r="I14" s="6"/>
    </row>
    <row r="15" spans="1:9" ht="13.5" hidden="1" thickBot="1" x14ac:dyDescent="0.25">
      <c r="A15" s="8">
        <f t="shared" si="1"/>
        <v>14</v>
      </c>
      <c r="B15" s="9"/>
      <c r="C15" s="9"/>
      <c r="D15" s="34"/>
      <c r="E15" s="34"/>
      <c r="F15" s="34"/>
      <c r="G15" s="34"/>
      <c r="H15" s="34"/>
      <c r="I15" s="6"/>
    </row>
    <row r="16" spans="1:9" ht="13.5" thickBot="1" x14ac:dyDescent="0.25">
      <c r="I16" s="33">
        <f>SUM(I2:I15)</f>
        <v>433175.26</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16"/>
  <sheetViews>
    <sheetView topLeftCell="B1" workbookViewId="0">
      <selection activeCell="H28" sqref="H28"/>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Total!B528</f>
        <v>41036</v>
      </c>
      <c r="C2" s="9">
        <f>Total!C528</f>
        <v>41052</v>
      </c>
      <c r="D2" s="34" t="str">
        <f>Total!D528</f>
        <v>GISA</v>
      </c>
      <c r="E2" s="34" t="str">
        <f>Total!E528</f>
        <v>Subministrament i Serveis</v>
      </c>
      <c r="F2" s="34" t="str">
        <f>Total!F528</f>
        <v>Subministrament i Serveis</v>
      </c>
      <c r="G2" s="34" t="str">
        <f>Total!G528</f>
        <v>Manteniment edificis corporatius</v>
      </c>
      <c r="H2" s="34" t="str">
        <f>Total!H528</f>
        <v>Contracte de serveis de gestió integral per al manteniment multitècnic de les instal·lacions dels edificis corporatius de GISA I REGSEGA</v>
      </c>
      <c r="I2" s="6">
        <f>Total!I528</f>
        <v>140000</v>
      </c>
    </row>
    <row r="3" spans="1:9" x14ac:dyDescent="0.2">
      <c r="A3" s="8">
        <f>A2+1</f>
        <v>2</v>
      </c>
      <c r="B3" s="9">
        <f>Total!B529</f>
        <v>41036</v>
      </c>
      <c r="C3" s="9">
        <f>Total!C529</f>
        <v>41052</v>
      </c>
      <c r="D3" s="34" t="str">
        <f>Total!D529</f>
        <v>GISA</v>
      </c>
      <c r="E3" s="34" t="str">
        <f>Total!E529</f>
        <v>Edificació</v>
      </c>
      <c r="F3" s="34" t="str">
        <f>Total!F529</f>
        <v>Direccions d'Execució</v>
      </c>
      <c r="G3" s="34" t="str">
        <f>Total!G529</f>
        <v>DE. PAM-09291</v>
      </c>
      <c r="H3" s="34" t="str">
        <f>Total!H529</f>
        <v>Contracte de serveis per a la direcció d'execució de les obres d'ampliació a l'Escola Aqua Alba de Gualba. Clau:PAM-09291</v>
      </c>
      <c r="I3" s="6">
        <f>Total!I529</f>
        <v>72527</v>
      </c>
    </row>
    <row r="4" spans="1:9" x14ac:dyDescent="0.2">
      <c r="A4" s="8">
        <f t="shared" ref="A4:A6" si="0">A3+1</f>
        <v>3</v>
      </c>
      <c r="B4" s="9">
        <f>Total!B530</f>
        <v>41058</v>
      </c>
      <c r="C4" s="9">
        <f>Total!C530</f>
        <v>41073</v>
      </c>
      <c r="D4" s="34" t="str">
        <f>Total!D530</f>
        <v>Infraestructures.cat</v>
      </c>
      <c r="E4" s="34" t="str">
        <f>Total!E530</f>
        <v>Edificació</v>
      </c>
      <c r="F4" s="34" t="str">
        <f>Total!F530</f>
        <v>Direccions d'Execució</v>
      </c>
      <c r="G4" s="34" t="str">
        <f>Total!G530</f>
        <v>DE. PNV-10078</v>
      </c>
      <c r="H4" s="34" t="str">
        <f>Total!H530</f>
        <v>Contracte de serveis per al control de qualitat del projecte executiu i direcció d'execució de les obres de nova construcció de l'Escola Marta Mata de Barberà del Vallès. Clau:PNV-10078</v>
      </c>
      <c r="I4" s="6">
        <f>Total!I530</f>
        <v>78396</v>
      </c>
    </row>
    <row r="5" spans="1:9" x14ac:dyDescent="0.2">
      <c r="A5" s="8">
        <f t="shared" si="0"/>
        <v>4</v>
      </c>
      <c r="B5" s="9">
        <f>Total!B531</f>
        <v>41058</v>
      </c>
      <c r="C5" s="9">
        <f>Total!C531</f>
        <v>41073</v>
      </c>
      <c r="D5" s="34" t="str">
        <f>Total!D531</f>
        <v>Infraestructures.cat</v>
      </c>
      <c r="E5" s="34" t="str">
        <f>Total!E531</f>
        <v>Subministrament i Serveis</v>
      </c>
      <c r="F5" s="34" t="str">
        <f>Total!F531</f>
        <v>Subministrament i Serveis</v>
      </c>
      <c r="G5" s="34" t="str">
        <f>Total!G531</f>
        <v>Servei de missatgeria</v>
      </c>
      <c r="H5" s="34" t="str">
        <f>Total!H531</f>
        <v>Contracte per a la prestació del servei de missatgeria, paqueteria i correspondència d’Infraestructures de la Generalitat de Catalunya, SAU i d’Infraestructures Ferroviàries de Catalunya</v>
      </c>
      <c r="I5" s="6">
        <f>Total!I531</f>
        <v>88804</v>
      </c>
    </row>
    <row r="6" spans="1:9" x14ac:dyDescent="0.2">
      <c r="A6" s="8">
        <f t="shared" si="0"/>
        <v>5</v>
      </c>
      <c r="B6" s="9">
        <f>Total!B532</f>
        <v>41059</v>
      </c>
      <c r="C6" s="9">
        <f>Total!C532</f>
        <v>41078</v>
      </c>
      <c r="D6" s="34" t="str">
        <f>Total!D532</f>
        <v>Infraestructures.cat</v>
      </c>
      <c r="E6" s="34" t="str">
        <f>Total!E532</f>
        <v>Obra Civil</v>
      </c>
      <c r="F6" s="34" t="str">
        <f>Total!F532</f>
        <v>Projectes</v>
      </c>
      <c r="G6" s="34" t="str">
        <f>Total!G532</f>
        <v>EP. EP40</v>
      </c>
      <c r="H6" s="34" t="str">
        <f>Total!H532</f>
        <v>Contracte de serveis per a l'assistència tècnica per a la realització dels treballs de topografia corresponents als estudis i projectes d'obra civil. Clau: EP40</v>
      </c>
      <c r="I6" s="6">
        <f>Total!I532</f>
        <v>198000</v>
      </c>
    </row>
    <row r="7" spans="1:9" ht="13.5" thickBot="1" x14ac:dyDescent="0.25">
      <c r="A7" s="8">
        <f>A6+1</f>
        <v>6</v>
      </c>
      <c r="B7" s="9">
        <f>Total!B533</f>
        <v>41059</v>
      </c>
      <c r="C7" s="9">
        <f>Total!C533</f>
        <v>41078</v>
      </c>
      <c r="D7" s="34" t="str">
        <f>Total!D533</f>
        <v>Infraestructures.cat</v>
      </c>
      <c r="E7" s="34" t="str">
        <f>Total!E533</f>
        <v>Obra Civil</v>
      </c>
      <c r="F7" s="34" t="str">
        <f>Total!F533</f>
        <v>Control de Qualitat</v>
      </c>
      <c r="G7" s="34" t="str">
        <f>Total!G533</f>
        <v>CQ.TM-00509.6A2-C2</v>
      </c>
      <c r="H7" s="34" t="str">
        <f>Total!H533</f>
        <v>Contracte de serveis per a l'assistència tècnica de control de qualitat de les obres del projecte complementari núm. 2. Línea 9 del metro de Barcelona. Tram 1r Aeroport-Parc Logístic. Subtram: PK 4+500-Llobregat. Condicionament pous evacuació i altres obres complementàries. Clau: TM-00509.6A2-C2</v>
      </c>
      <c r="I7" s="6">
        <f>Total!I533</f>
        <v>106802.69</v>
      </c>
    </row>
    <row r="8" spans="1:9" hidden="1" x14ac:dyDescent="0.2">
      <c r="A8" s="8">
        <f t="shared" ref="A8:A15" si="1">A7+1</f>
        <v>7</v>
      </c>
      <c r="B8" s="9"/>
      <c r="C8" s="9"/>
      <c r="D8" s="34"/>
      <c r="E8" s="34"/>
      <c r="F8" s="34"/>
      <c r="G8" s="34"/>
      <c r="H8" s="34"/>
      <c r="I8" s="6"/>
    </row>
    <row r="9" spans="1:9" hidden="1" x14ac:dyDescent="0.2">
      <c r="A9" s="8">
        <f t="shared" si="1"/>
        <v>8</v>
      </c>
      <c r="B9" s="9"/>
      <c r="C9" s="9"/>
      <c r="D9" s="34"/>
      <c r="E9" s="34"/>
      <c r="F9" s="34"/>
      <c r="G9" s="34"/>
      <c r="H9" s="34"/>
      <c r="I9" s="6"/>
    </row>
    <row r="10" spans="1:9" hidden="1" x14ac:dyDescent="0.2">
      <c r="A10" s="8">
        <f t="shared" si="1"/>
        <v>9</v>
      </c>
      <c r="B10" s="9"/>
      <c r="C10" s="9"/>
      <c r="D10" s="34"/>
      <c r="E10" s="34"/>
      <c r="F10" s="34"/>
      <c r="G10" s="34"/>
      <c r="H10" s="34"/>
      <c r="I10" s="6"/>
    </row>
    <row r="11" spans="1:9" hidden="1" x14ac:dyDescent="0.2">
      <c r="A11" s="8">
        <f t="shared" si="1"/>
        <v>10</v>
      </c>
      <c r="B11" s="9"/>
      <c r="C11" s="9"/>
      <c r="D11" s="34"/>
      <c r="E11" s="34"/>
      <c r="F11" s="34"/>
      <c r="G11" s="34"/>
      <c r="H11" s="34"/>
      <c r="I11" s="6"/>
    </row>
    <row r="12" spans="1:9" hidden="1" x14ac:dyDescent="0.2">
      <c r="A12" s="8">
        <f t="shared" si="1"/>
        <v>11</v>
      </c>
      <c r="B12" s="9"/>
      <c r="C12" s="9"/>
      <c r="D12" s="34"/>
      <c r="E12" s="34"/>
      <c r="F12" s="34"/>
      <c r="G12" s="34"/>
      <c r="H12" s="34"/>
      <c r="I12" s="6"/>
    </row>
    <row r="13" spans="1:9" hidden="1" x14ac:dyDescent="0.2">
      <c r="A13" s="8">
        <f t="shared" si="1"/>
        <v>12</v>
      </c>
      <c r="B13" s="9"/>
      <c r="C13" s="9"/>
      <c r="D13" s="34"/>
      <c r="E13" s="34"/>
      <c r="F13" s="34"/>
      <c r="G13" s="34"/>
      <c r="H13" s="34"/>
      <c r="I13" s="6"/>
    </row>
    <row r="14" spans="1:9" hidden="1" x14ac:dyDescent="0.2">
      <c r="A14" s="8">
        <f t="shared" si="1"/>
        <v>13</v>
      </c>
      <c r="B14" s="9"/>
      <c r="C14" s="9"/>
      <c r="D14" s="34"/>
      <c r="E14" s="34"/>
      <c r="F14" s="34"/>
      <c r="G14" s="34"/>
      <c r="H14" s="34"/>
      <c r="I14" s="6"/>
    </row>
    <row r="15" spans="1:9" ht="13.5" hidden="1" thickBot="1" x14ac:dyDescent="0.25">
      <c r="A15" s="8">
        <f t="shared" si="1"/>
        <v>14</v>
      </c>
      <c r="B15" s="9"/>
      <c r="C15" s="9"/>
      <c r="D15" s="34"/>
      <c r="E15" s="34"/>
      <c r="F15" s="34"/>
      <c r="G15" s="34"/>
      <c r="H15" s="34"/>
      <c r="I15" s="6"/>
    </row>
    <row r="16" spans="1:9" ht="13.5" thickBot="1" x14ac:dyDescent="0.25">
      <c r="I16" s="33">
        <f>SUM(I2:I15)</f>
        <v>684529.69</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I16"/>
  <sheetViews>
    <sheetView workbookViewId="0">
      <selection activeCell="I5" sqref="I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Total!B521</f>
        <v>41004</v>
      </c>
      <c r="C2" s="9">
        <f>Total!C521</f>
        <v>41022</v>
      </c>
      <c r="D2" s="34" t="str">
        <f>Total!D521</f>
        <v>GISA</v>
      </c>
      <c r="E2" s="34" t="str">
        <f>Total!E521</f>
        <v>Obra Civil</v>
      </c>
      <c r="F2" s="34" t="str">
        <f>Total!F521</f>
        <v>Direccions d'Obra</v>
      </c>
      <c r="G2" s="34" t="str">
        <f>Total!G521</f>
        <v>DO. SCB-10055, SCC-10054 i SCG-10056</v>
      </c>
      <c r="H2" s="34" t="str">
        <f>Total!H521</f>
        <v>Contracte de serveis per a la direcció conjunta de manteniment de les obres de “Conservació semiintegral. Plantacions. Conservació de plantacions i mesures correctores d'impacte ambiental de les obres executades i rebudes abans del 31 de maig de 2011 a les comarques de Barcelona. Clau: SC-SCB-01055”, "Conservació semiintegral. Plantacions. Conservació de plantacions i mesures correctores d'impacte ambiental de les obres executades i rebudes abans del 31 de maig de 2011 a les comarques de Lleida i Tarragona. Clau: SC-SCC-10054” i "Conservació semiintegral. Plantacions. Conservació de plantacions i mesures correctores d'impacte ambiental de les obres executades i rebudes abans del 31 de maig de 2011 a les comarques de Girona. Clau: SC-SCG-10056"</v>
      </c>
      <c r="I2" s="6">
        <f>Total!I521</f>
        <v>51200</v>
      </c>
    </row>
    <row r="3" spans="1:9" x14ac:dyDescent="0.2">
      <c r="A3" s="8">
        <f>A2+1</f>
        <v>2</v>
      </c>
      <c r="B3" s="9">
        <f>Total!B522</f>
        <v>41009</v>
      </c>
      <c r="C3" s="9">
        <f>Total!C522</f>
        <v>41058</v>
      </c>
      <c r="D3" s="34" t="str">
        <f>Total!D522</f>
        <v>GISA</v>
      </c>
      <c r="E3" s="34" t="str">
        <f>Total!E522</f>
        <v>Edificació</v>
      </c>
      <c r="F3" s="34" t="str">
        <f>Total!F522</f>
        <v>Projectes i Direccions d'Obra</v>
      </c>
      <c r="G3" s="34" t="str">
        <f>Total!G522</f>
        <v>PE+DO HBB-11233 1v</v>
      </c>
      <c r="H3" s="34" t="str">
        <f>Total!H522</f>
        <v>Contracte de serveis per a l’assistència tècnica per a la redacció del projecte executiu i posterior direcció d'obra corresponent a la reforma de la Unitat d’Hospitalització i del Servei de Neonatologia de l’Hospital Germans Trias i Pujol, de Badalona. Clau: HBB-11233 (1v)</v>
      </c>
      <c r="I3" s="6">
        <f>Total!I522</f>
        <v>359693.1</v>
      </c>
    </row>
    <row r="4" spans="1:9" x14ac:dyDescent="0.2">
      <c r="A4" s="8">
        <f t="shared" ref="A4:A6" si="0">A3+1</f>
        <v>3</v>
      </c>
      <c r="B4" s="9">
        <f>Total!B523</f>
        <v>41009</v>
      </c>
      <c r="C4" s="9">
        <f>Total!C523</f>
        <v>41025</v>
      </c>
      <c r="D4" s="34" t="str">
        <f>Total!D523</f>
        <v>GISA</v>
      </c>
      <c r="E4" s="34" t="str">
        <f>Total!E523</f>
        <v>Edificació</v>
      </c>
      <c r="F4" s="34" t="str">
        <f>Total!F523</f>
        <v>Projectes i Direccions d'Obra</v>
      </c>
      <c r="G4" s="34" t="str">
        <f>Total!G523</f>
        <v>PE+DO. CCT-11212 (1v)</v>
      </c>
      <c r="H4" s="34" t="str">
        <f>Total!H523</f>
        <v>Contracte de serveis per a l'assistència tècnica per a la redacció del projecte bàsic, el projecte executiu i posterior direcció d'obra per a la Nova Construcció de la Comissaria de Districte i de Trànsit a l’Ametlla de Mar. Clau: CCT-11212(1v)</v>
      </c>
      <c r="I4" s="6">
        <f>Total!I523</f>
        <v>188534.29</v>
      </c>
    </row>
    <row r="5" spans="1:9" x14ac:dyDescent="0.2">
      <c r="A5" s="8">
        <f t="shared" si="0"/>
        <v>4</v>
      </c>
      <c r="B5" s="9">
        <f>Total!B524</f>
        <v>41011</v>
      </c>
      <c r="C5" s="9">
        <f>Total!C524</f>
        <v>41031</v>
      </c>
      <c r="D5" s="34" t="str">
        <f>Total!D524</f>
        <v>GISA</v>
      </c>
      <c r="E5" s="34" t="str">
        <f>Total!E524</f>
        <v>Edificació</v>
      </c>
      <c r="F5" s="34" t="str">
        <f>Total!F524</f>
        <v>Direccions d'Execució</v>
      </c>
      <c r="G5" s="34" t="str">
        <f>Total!G524</f>
        <v>CSS. CAP-08436 + CAP-08387</v>
      </c>
      <c r="H5" s="34" t="str">
        <f>Total!H524</f>
        <v>Contracte de serveis per a l'assistència tècnica de coordinació de seguretat i salut conjunta de les obres: "Execució de les obres del nou Centre d'Atenció Primària de Llinars del Vallès. Clau: CAP-08436" i "Execució de les obres de construcció del nou Centre d'Atenció Primària de Santa Coloma de Cervelló. Clau: CAP-08387"</v>
      </c>
      <c r="I5" s="6">
        <f>Total!I524</f>
        <v>44000</v>
      </c>
    </row>
    <row r="6" spans="1:9" x14ac:dyDescent="0.2">
      <c r="A6" s="8">
        <f t="shared" si="0"/>
        <v>5</v>
      </c>
      <c r="B6" s="9">
        <f>Total!B525</f>
        <v>41023</v>
      </c>
      <c r="C6" s="9">
        <f>Total!C525</f>
        <v>41071</v>
      </c>
      <c r="D6" s="34" t="str">
        <f>Total!D525</f>
        <v>GISA</v>
      </c>
      <c r="E6" s="34" t="str">
        <f>Total!E525</f>
        <v>Obra Civil</v>
      </c>
      <c r="F6" s="34" t="str">
        <f>Total!F525</f>
        <v>Direccions d'Obra</v>
      </c>
      <c r="G6" s="34" t="str">
        <f>Total!G525</f>
        <v>DO. TM-00509.6A2-C2</v>
      </c>
      <c r="H6" s="34" t="str">
        <f>Total!H525</f>
        <v>Contracte de serveis per a la direcció de les obres del projecte complementari núm. 2. Línia 9 del metro de Barcelona. Tram 1r Aeroport-Parc Logístic. Subtram: PK 4+500-Llobregat. Condicionament pous evacuació i altres obres complementàries. Clau: TM-00509.6A2-C2</v>
      </c>
      <c r="I6" s="6">
        <f>Total!I525</f>
        <v>249222.22</v>
      </c>
    </row>
    <row r="7" spans="1:9" x14ac:dyDescent="0.2">
      <c r="A7" s="8">
        <f>A6+1</f>
        <v>6</v>
      </c>
      <c r="B7" s="9">
        <f>Total!B526</f>
        <v>41025</v>
      </c>
      <c r="C7" s="9">
        <f>Total!C526</f>
        <v>41043</v>
      </c>
      <c r="D7" s="34" t="str">
        <f>Total!D526</f>
        <v>GISA</v>
      </c>
      <c r="E7" s="34" t="str">
        <f>Total!E526</f>
        <v>Obra Civil</v>
      </c>
      <c r="F7" s="34" t="str">
        <f>Total!F526</f>
        <v>Projectes</v>
      </c>
      <c r="G7" s="34" t="str">
        <f>Total!G526</f>
        <v>PC. TF-02676.3A</v>
      </c>
      <c r="H7" s="34" t="str">
        <f>Total!H526</f>
        <v>Contracte de serveis per a l'assistència tècnica per a la redacció del projecte constructiu del perllongament de la línia d'FGC a Sabadell. Superestructura de via i catenària. Projecte actualitzat. Clau: TF-02676.3A</v>
      </c>
      <c r="I7" s="6">
        <f>Total!I526</f>
        <v>175000</v>
      </c>
    </row>
    <row r="8" spans="1:9" ht="13.5" thickBot="1" x14ac:dyDescent="0.25">
      <c r="A8" s="8">
        <f t="shared" ref="A8:A15" si="1">A7+1</f>
        <v>7</v>
      </c>
      <c r="B8" s="9">
        <f>Total!B527</f>
        <v>41026</v>
      </c>
      <c r="C8" s="9">
        <f>Total!C527</f>
        <v>41036</v>
      </c>
      <c r="D8" s="34" t="str">
        <f>Total!D527</f>
        <v>GISA</v>
      </c>
      <c r="E8" s="34" t="str">
        <f>Total!E527</f>
        <v>Obra Civil</v>
      </c>
      <c r="F8" s="34" t="str">
        <f>Total!F527</f>
        <v>Direccions d'Obra</v>
      </c>
      <c r="G8" s="34" t="str">
        <f>Total!G527</f>
        <v>ATDO.TM-02609.0</v>
      </c>
      <c r="H8" s="34" t="str">
        <f>Total!H527</f>
        <v>Contracte de serveis per a l'assistència tècnica per a l'enginyeria d'integració dels sistemes i infraestructures, i coordinació de proves de la Línia 9 del metro de Barcelona. Clau: TM-02609.0</v>
      </c>
      <c r="I8" s="6">
        <f>Total!I527</f>
        <v>111831</v>
      </c>
    </row>
    <row r="9" spans="1:9" hidden="1" x14ac:dyDescent="0.2">
      <c r="A9" s="8">
        <f t="shared" si="1"/>
        <v>8</v>
      </c>
      <c r="B9" s="9"/>
      <c r="C9" s="9"/>
      <c r="D9" s="34"/>
      <c r="E9" s="34"/>
      <c r="F9" s="34"/>
      <c r="G9" s="34"/>
      <c r="H9" s="34"/>
      <c r="I9" s="6"/>
    </row>
    <row r="10" spans="1:9" hidden="1" x14ac:dyDescent="0.2">
      <c r="A10" s="8">
        <f t="shared" si="1"/>
        <v>9</v>
      </c>
      <c r="B10" s="9"/>
      <c r="C10" s="9"/>
      <c r="D10" s="34"/>
      <c r="E10" s="34"/>
      <c r="F10" s="34"/>
      <c r="G10" s="34"/>
      <c r="H10" s="34"/>
      <c r="I10" s="6"/>
    </row>
    <row r="11" spans="1:9" hidden="1" x14ac:dyDescent="0.2">
      <c r="A11" s="8">
        <f t="shared" si="1"/>
        <v>10</v>
      </c>
      <c r="B11" s="9"/>
      <c r="C11" s="9"/>
      <c r="D11" s="34"/>
      <c r="E11" s="34"/>
      <c r="F11" s="34"/>
      <c r="G11" s="34"/>
      <c r="H11" s="34"/>
      <c r="I11" s="6"/>
    </row>
    <row r="12" spans="1:9" hidden="1" x14ac:dyDescent="0.2">
      <c r="A12" s="8">
        <f t="shared" si="1"/>
        <v>11</v>
      </c>
      <c r="B12" s="9"/>
      <c r="C12" s="9"/>
      <c r="D12" s="34"/>
      <c r="E12" s="34"/>
      <c r="F12" s="34"/>
      <c r="G12" s="34"/>
      <c r="H12" s="34"/>
      <c r="I12" s="6"/>
    </row>
    <row r="13" spans="1:9" hidden="1" x14ac:dyDescent="0.2">
      <c r="A13" s="8">
        <f t="shared" si="1"/>
        <v>12</v>
      </c>
      <c r="B13" s="9"/>
      <c r="C13" s="9"/>
      <c r="D13" s="34"/>
      <c r="E13" s="34"/>
      <c r="F13" s="34"/>
      <c r="G13" s="34"/>
      <c r="H13" s="34"/>
      <c r="I13" s="6"/>
    </row>
    <row r="14" spans="1:9" hidden="1" x14ac:dyDescent="0.2">
      <c r="A14" s="8">
        <f t="shared" si="1"/>
        <v>13</v>
      </c>
      <c r="B14" s="9"/>
      <c r="C14" s="9"/>
      <c r="D14" s="34"/>
      <c r="E14" s="34"/>
      <c r="F14" s="34"/>
      <c r="G14" s="34"/>
      <c r="H14" s="34"/>
      <c r="I14" s="6"/>
    </row>
    <row r="15" spans="1:9" ht="13.5" hidden="1" thickBot="1" x14ac:dyDescent="0.25">
      <c r="A15" s="8">
        <f t="shared" si="1"/>
        <v>14</v>
      </c>
      <c r="B15" s="9"/>
      <c r="C15" s="9"/>
      <c r="D15" s="34"/>
      <c r="E15" s="34"/>
      <c r="F15" s="34"/>
      <c r="G15" s="34"/>
      <c r="H15" s="34"/>
      <c r="I15" s="6"/>
    </row>
    <row r="16" spans="1:9" ht="13.5" thickBot="1" x14ac:dyDescent="0.25">
      <c r="I16" s="33">
        <f>SUM(I2:I15)</f>
        <v>1179480.6099999999</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I16"/>
  <sheetViews>
    <sheetView workbookViewId="0">
      <selection activeCell="I16" sqref="I16"/>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Total!B514</f>
        <v>40969</v>
      </c>
      <c r="C2" s="9">
        <f>Total!C514</f>
        <v>40987</v>
      </c>
      <c r="D2" s="34" t="str">
        <f>Total!D514</f>
        <v>GISA</v>
      </c>
      <c r="E2" s="34" t="str">
        <f>Total!E514</f>
        <v>Obra Civil</v>
      </c>
      <c r="F2" s="34" t="str">
        <f>Total!F514</f>
        <v>Projectes</v>
      </c>
      <c r="G2" s="34" t="str">
        <f>Total!G514</f>
        <v>EV. EC15</v>
      </c>
      <c r="H2" s="34" t="str">
        <f>Total!H514</f>
        <v>Contracte de serveis per a l'assistència tècnica per a la realització dels treballs de cartografia corresponents als estudis i projectes d'obra civil que són encarregats pels Departaments de la Generalitat. Clau: EC15</v>
      </c>
      <c r="I2" s="6">
        <f>Total!I514</f>
        <v>199000</v>
      </c>
    </row>
    <row r="3" spans="1:9" x14ac:dyDescent="0.2">
      <c r="A3" s="8">
        <f>A2+1</f>
        <v>2</v>
      </c>
      <c r="B3" s="9">
        <f>Total!B515</f>
        <v>40975</v>
      </c>
      <c r="C3" s="9">
        <f>Total!C515</f>
        <v>40994</v>
      </c>
      <c r="D3" s="34" t="str">
        <f>Total!D515</f>
        <v>GISA</v>
      </c>
      <c r="E3" s="34" t="str">
        <f>Total!E515</f>
        <v>Edificació</v>
      </c>
      <c r="F3" s="34" t="str">
        <f>Total!F515</f>
        <v>Direccions d'Execució</v>
      </c>
      <c r="G3" s="34" t="str">
        <f>Total!G515</f>
        <v>DE. PNM-10041</v>
      </c>
      <c r="H3" s="34" t="str">
        <f>Total!H515</f>
        <v>Contracte de serveis per a la revisió del projecte executiu i direcció d'execució de les obres de nova construcció Escola Marta Mata de Mataró, 2 Línies. Clau:PNM-10041</v>
      </c>
      <c r="I3" s="6">
        <f>Total!I515</f>
        <v>109347</v>
      </c>
    </row>
    <row r="4" spans="1:9" x14ac:dyDescent="0.2">
      <c r="A4" s="8">
        <f t="shared" ref="A4:A6" si="0">A3+1</f>
        <v>3</v>
      </c>
      <c r="B4" s="9">
        <f>Total!B516</f>
        <v>40976</v>
      </c>
      <c r="C4" s="9">
        <f>Total!C516</f>
        <v>40994</v>
      </c>
      <c r="D4" s="34" t="str">
        <f>Total!D516</f>
        <v>GISA</v>
      </c>
      <c r="E4" s="34" t="str">
        <f>Total!E516</f>
        <v>Edificació</v>
      </c>
      <c r="F4" s="34" t="str">
        <f>Total!F516</f>
        <v>Control de Qualitat</v>
      </c>
      <c r="G4" s="34" t="str">
        <f>Total!G516</f>
        <v>CQ.PNM-10041</v>
      </c>
      <c r="H4" s="34" t="str">
        <f>Total!H516</f>
        <v>Contracte de serveis per a l'assistència tècnica de control de qualitat de les obres de nova construcció Escola Marta Mata de Mataró, 2 Línies. Clau:PNM-10041</v>
      </c>
      <c r="I4" s="6">
        <f>Total!I516</f>
        <v>44019.87</v>
      </c>
    </row>
    <row r="5" spans="1:9" x14ac:dyDescent="0.2">
      <c r="A5" s="8">
        <f t="shared" si="0"/>
        <v>4</v>
      </c>
      <c r="B5" s="9">
        <f>Total!B517</f>
        <v>40983</v>
      </c>
      <c r="C5" s="9">
        <f>Total!C517</f>
        <v>40998</v>
      </c>
      <c r="D5" s="34" t="str">
        <f>Total!D517</f>
        <v>GISA</v>
      </c>
      <c r="E5" s="34" t="str">
        <f>Total!E517</f>
        <v>Edificació</v>
      </c>
      <c r="F5" s="34" t="str">
        <f>Total!F517</f>
        <v>Projectes i Direccions d'Obra</v>
      </c>
      <c r="G5" s="34" t="str">
        <f>Total!G517</f>
        <v>PE+DO. PNV-10078 (1v)</v>
      </c>
      <c r="H5" s="34" t="str">
        <f>Total!H517</f>
        <v>Contracte de serveis per a l’assistència tècnica per a la redacció del projecte bàsic, el projecte executiu i posterior direcció d'obra per a la nova construcció de l’Escola Marta Mata, de Barberà del Vallès. Clau: PNV-10078 (1 volta)</v>
      </c>
      <c r="I5" s="6">
        <f>Total!I517</f>
        <v>198618</v>
      </c>
    </row>
    <row r="6" spans="1:9" x14ac:dyDescent="0.2">
      <c r="A6" s="8">
        <f t="shared" si="0"/>
        <v>5</v>
      </c>
      <c r="B6" s="9">
        <f>Total!B518</f>
        <v>40995</v>
      </c>
      <c r="C6" s="9">
        <f>Total!C518</f>
        <v>41015</v>
      </c>
      <c r="D6" s="34" t="str">
        <f>Total!D518</f>
        <v>GISA</v>
      </c>
      <c r="E6" s="34" t="str">
        <f>Total!E518</f>
        <v>Edificació</v>
      </c>
      <c r="F6" s="34" t="str">
        <f>Total!F518</f>
        <v>Control de Qualitat</v>
      </c>
      <c r="G6" s="34" t="str">
        <f>Total!G518</f>
        <v>CQ. CAP-08436</v>
      </c>
      <c r="H6" s="34" t="str">
        <f>Total!H518</f>
        <v>Contracte de serveis per a l'assistència tècnica pel control de qualitat de les obres de nova construcció del Centre d'Atenció Primària de Llinars del Vallès. Clau: CAP-08436</v>
      </c>
      <c r="I6" s="6">
        <f>Total!I518</f>
        <v>41231</v>
      </c>
    </row>
    <row r="7" spans="1:9" x14ac:dyDescent="0.2">
      <c r="A7" s="8">
        <f>A6+1</f>
        <v>6</v>
      </c>
      <c r="B7" s="9">
        <f>Total!B519</f>
        <v>40995</v>
      </c>
      <c r="C7" s="9">
        <f>Total!C519</f>
        <v>41015</v>
      </c>
      <c r="D7" s="34" t="str">
        <f>Total!D519</f>
        <v>GISA</v>
      </c>
      <c r="E7" s="34" t="str">
        <f>Total!E519</f>
        <v>Edificació</v>
      </c>
      <c r="F7" s="34" t="str">
        <f>Total!F519</f>
        <v>Direccions d'Execució</v>
      </c>
      <c r="G7" s="34" t="str">
        <f>Total!G519</f>
        <v>DE. CAP-08436</v>
      </c>
      <c r="H7" s="34" t="str">
        <f>Total!H519</f>
        <v>Contracte de serveis per a la direcció d'execució de les obres de nova construcció del Centre d'Atenció Primària de Llinars del Vallès. Clau: CAP-08436</v>
      </c>
      <c r="I7" s="6">
        <f>Total!I519</f>
        <v>84952</v>
      </c>
    </row>
    <row r="8" spans="1:9" ht="13.5" thickBot="1" x14ac:dyDescent="0.25">
      <c r="A8" s="8">
        <f t="shared" ref="A8:A15" si="1">A7+1</f>
        <v>7</v>
      </c>
      <c r="B8" s="9">
        <f>Total!B520</f>
        <v>40997</v>
      </c>
      <c r="C8" s="9">
        <f>Total!C520</f>
        <v>41015</v>
      </c>
      <c r="D8" s="34" t="str">
        <f>Total!D520</f>
        <v>GISA</v>
      </c>
      <c r="E8" s="34" t="str">
        <f>Total!E520</f>
        <v>Edificació</v>
      </c>
      <c r="F8" s="34" t="str">
        <f>Total!F520</f>
        <v>Projectes i Direccions d'Obra</v>
      </c>
      <c r="G8" s="34" t="str">
        <f>Total!G520</f>
        <v>PE+DO CAP-12004 2v</v>
      </c>
      <c r="H8" s="34" t="str">
        <f>Total!H520</f>
        <v>Contracte de serveis per a l'assistència tècnica per a la redacció del projecte bàsic, el projecte executiu i posterior direcció d'obra per a la Nova Construcció del CAP Castell-Platja d’Aro. Clau: CAP-12004 (2v)</v>
      </c>
      <c r="I8" s="6">
        <f>Total!I520</f>
        <v>179215.71</v>
      </c>
    </row>
    <row r="9" spans="1:9" hidden="1" x14ac:dyDescent="0.2">
      <c r="A9" s="8">
        <f t="shared" si="1"/>
        <v>8</v>
      </c>
      <c r="B9" s="9"/>
      <c r="C9" s="9"/>
      <c r="D9" s="34"/>
      <c r="E9" s="34"/>
      <c r="F9" s="34"/>
      <c r="G9" s="34"/>
      <c r="H9" s="34"/>
      <c r="I9" s="6"/>
    </row>
    <row r="10" spans="1:9" hidden="1" x14ac:dyDescent="0.2">
      <c r="A10" s="8">
        <f t="shared" si="1"/>
        <v>9</v>
      </c>
      <c r="B10" s="9"/>
      <c r="C10" s="9"/>
      <c r="D10" s="34"/>
      <c r="E10" s="34"/>
      <c r="F10" s="34"/>
      <c r="G10" s="34"/>
      <c r="H10" s="34"/>
      <c r="I10" s="6"/>
    </row>
    <row r="11" spans="1:9" hidden="1" x14ac:dyDescent="0.2">
      <c r="A11" s="8">
        <f t="shared" si="1"/>
        <v>10</v>
      </c>
      <c r="B11" s="9"/>
      <c r="C11" s="9"/>
      <c r="D11" s="34"/>
      <c r="E11" s="34"/>
      <c r="F11" s="34"/>
      <c r="G11" s="34"/>
      <c r="H11" s="34"/>
      <c r="I11" s="6"/>
    </row>
    <row r="12" spans="1:9" hidden="1" x14ac:dyDescent="0.2">
      <c r="A12" s="8">
        <f t="shared" si="1"/>
        <v>11</v>
      </c>
      <c r="B12" s="9"/>
      <c r="C12" s="9"/>
      <c r="D12" s="34"/>
      <c r="E12" s="34"/>
      <c r="F12" s="34"/>
      <c r="G12" s="34"/>
      <c r="H12" s="34"/>
      <c r="I12" s="6"/>
    </row>
    <row r="13" spans="1:9" hidden="1" x14ac:dyDescent="0.2">
      <c r="A13" s="8">
        <f t="shared" si="1"/>
        <v>12</v>
      </c>
      <c r="B13" s="9"/>
      <c r="C13" s="9"/>
      <c r="D13" s="34"/>
      <c r="E13" s="34"/>
      <c r="F13" s="34"/>
      <c r="G13" s="34"/>
      <c r="H13" s="34"/>
      <c r="I13" s="6"/>
    </row>
    <row r="14" spans="1:9" hidden="1" x14ac:dyDescent="0.2">
      <c r="A14" s="8">
        <f t="shared" si="1"/>
        <v>13</v>
      </c>
      <c r="B14" s="9"/>
      <c r="C14" s="9"/>
      <c r="D14" s="34"/>
      <c r="E14" s="34"/>
      <c r="F14" s="34"/>
      <c r="G14" s="34"/>
      <c r="H14" s="34"/>
      <c r="I14" s="6"/>
    </row>
    <row r="15" spans="1:9" ht="13.5" hidden="1" thickBot="1" x14ac:dyDescent="0.25">
      <c r="A15" s="8">
        <f t="shared" si="1"/>
        <v>14</v>
      </c>
      <c r="B15" s="9"/>
      <c r="C15" s="9"/>
      <c r="D15" s="34"/>
      <c r="E15" s="34"/>
      <c r="F15" s="34"/>
      <c r="G15" s="34"/>
      <c r="H15" s="34"/>
      <c r="I15" s="6"/>
    </row>
    <row r="16" spans="1:9" ht="13.5" thickBot="1" x14ac:dyDescent="0.25">
      <c r="I16" s="33">
        <f>SUM(I2:I15)</f>
        <v>856383.58</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I16"/>
  <sheetViews>
    <sheetView workbookViewId="0">
      <selection activeCell="I2" sqref="I2:I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Total!B508</f>
        <v>40940</v>
      </c>
      <c r="C2" s="9">
        <f>Total!C508</f>
        <v>40961</v>
      </c>
      <c r="D2" s="34" t="str">
        <f>Total!D508</f>
        <v>GISA</v>
      </c>
      <c r="E2" s="34" t="str">
        <f>Total!E508</f>
        <v>Edificació</v>
      </c>
      <c r="F2" s="34" t="str">
        <f>Total!F508</f>
        <v>Direccions d'Execució</v>
      </c>
      <c r="G2" s="34" t="str">
        <f>Total!G508</f>
        <v>DE.CAP-07279</v>
      </c>
      <c r="H2" s="34" t="str">
        <f>Total!H508</f>
        <v>Contracte de serveis per a la direcció d'execució de les obres de construcció del nou centre d'atenció primària Bordeta-Magòria, de Barcelona. Clau:CAP-07279</v>
      </c>
      <c r="I2" s="6">
        <f>Total!I508</f>
        <v>135460</v>
      </c>
    </row>
    <row r="3" spans="1:9" x14ac:dyDescent="0.2">
      <c r="A3" s="8">
        <f>A2+1</f>
        <v>2</v>
      </c>
      <c r="B3" s="9">
        <f>Total!B509</f>
        <v>40940</v>
      </c>
      <c r="C3" s="9">
        <f>Total!C509</f>
        <v>40961</v>
      </c>
      <c r="D3" s="34" t="str">
        <f>Total!D509</f>
        <v>GISA</v>
      </c>
      <c r="E3" s="34" t="str">
        <f>Total!E509</f>
        <v>Edificació</v>
      </c>
      <c r="F3" s="34" t="str">
        <f>Total!F509</f>
        <v>Direccions d'Execució</v>
      </c>
      <c r="G3" s="34" t="str">
        <f>Total!G509</f>
        <v>DE.CAP-07340</v>
      </c>
      <c r="H3" s="34" t="str">
        <f>Total!H509</f>
        <v>Contracte de serveis per a la direcció d'execució de les obres de construcció del nou centre d'atenció primària de Vilafranca del Penedès. Clau: CAP-07340</v>
      </c>
      <c r="I3" s="6">
        <f>Total!I509</f>
        <v>176536</v>
      </c>
    </row>
    <row r="4" spans="1:9" x14ac:dyDescent="0.2">
      <c r="A4" s="8">
        <f t="shared" ref="A4:A6" si="0">A3+1</f>
        <v>3</v>
      </c>
      <c r="B4" s="9">
        <f>Total!B510</f>
        <v>40941</v>
      </c>
      <c r="C4" s="9">
        <f>Total!C510</f>
        <v>40961</v>
      </c>
      <c r="D4" s="34" t="str">
        <f>Total!D510</f>
        <v>GISA</v>
      </c>
      <c r="E4" s="34" t="str">
        <f>Total!E510</f>
        <v>Edificació</v>
      </c>
      <c r="F4" s="34" t="str">
        <f>Total!F510</f>
        <v>Direccions d'Execució</v>
      </c>
      <c r="G4" s="34" t="str">
        <f>Total!G510</f>
        <v>CSS.CAP-07340+CAP-08277</v>
      </c>
      <c r="H4" s="34" t="str">
        <f>Total!H510</f>
        <v>Contracte de serveis per a l'assistència tècnica conjunta de Coordinació de Seguretat i Salut de les obres de construcció del nou centre d'atenció primària de Vilafranca del Penedès. Clau: CAP-07340 i centre d'atenció primària "Onze de Setembre", de Lleida. Clau: CAP-08277</v>
      </c>
      <c r="I4" s="6">
        <f>Total!I510</f>
        <v>62370</v>
      </c>
    </row>
    <row r="5" spans="1:9" x14ac:dyDescent="0.2">
      <c r="A5" s="8">
        <f t="shared" si="0"/>
        <v>4</v>
      </c>
      <c r="B5" s="9">
        <f>Total!B511</f>
        <v>40941</v>
      </c>
      <c r="C5" s="9">
        <f>Total!C511</f>
        <v>40961</v>
      </c>
      <c r="D5" s="34" t="str">
        <f>Total!D511</f>
        <v>GISA</v>
      </c>
      <c r="E5" s="34" t="str">
        <f>Total!E511</f>
        <v>Edificació</v>
      </c>
      <c r="F5" s="34" t="str">
        <f>Total!F511</f>
        <v>Direccions d'Execució</v>
      </c>
      <c r="G5" s="34" t="str">
        <f>Total!G511</f>
        <v>CSS.CAP-07279+CLT-09338+CLT-09337</v>
      </c>
      <c r="H5" s="34" t="str">
        <f>Total!H511</f>
        <v>Contracte de serveis per a l'assistència tècnica conjunta per a la coordinació de seguretat i salut de les obres de nova construcció del centre d'atenció primària Bordeta-Magòria, de Barcelona.Clau:CAP-07279; nova construcció del consultori local d'Alfara de Carles. Clau:CLT-09338 i de la nova construcció del consultori local de Sant Joan de les Abadesses. Clau:CLT-09337</v>
      </c>
      <c r="I5" s="6">
        <f>Total!I511</f>
        <v>65000</v>
      </c>
    </row>
    <row r="6" spans="1:9" ht="13.5" thickBot="1" x14ac:dyDescent="0.25">
      <c r="A6" s="8">
        <f t="shared" si="0"/>
        <v>5</v>
      </c>
      <c r="B6" s="9">
        <f>Total!B512</f>
        <v>40959</v>
      </c>
      <c r="C6" s="9">
        <f>Total!C512</f>
        <v>41010</v>
      </c>
      <c r="D6" s="34" t="str">
        <f>Total!D512</f>
        <v>GISA</v>
      </c>
      <c r="E6" s="34" t="str">
        <f>Total!E512</f>
        <v>Obra Civil</v>
      </c>
      <c r="F6" s="34" t="str">
        <f>Total!F512</f>
        <v>Projectes</v>
      </c>
      <c r="G6" s="34" t="str">
        <f>Total!G512</f>
        <v>PC. TF-07260</v>
      </c>
      <c r="H6" s="34" t="str">
        <f>Total!H512</f>
        <v>Contracte de serveis per a l'assistència tècnica per a la redacció del projecte constructiu de supressió del pas a nivell i millora de la integració urbana d'FGC a Igualada i Vilanova del Camí. Clau: TF-07260</v>
      </c>
      <c r="I6" s="6">
        <f>Total!I512</f>
        <v>921386</v>
      </c>
    </row>
    <row r="7" spans="1:9" hidden="1" x14ac:dyDescent="0.2">
      <c r="A7" s="8">
        <f>A6+1</f>
        <v>6</v>
      </c>
      <c r="B7" s="9"/>
      <c r="C7" s="9"/>
      <c r="D7" s="34"/>
      <c r="E7" s="34"/>
      <c r="F7" s="34"/>
      <c r="G7" s="34"/>
      <c r="H7" s="34"/>
      <c r="I7" s="6"/>
    </row>
    <row r="8" spans="1:9" hidden="1" x14ac:dyDescent="0.2">
      <c r="A8" s="8">
        <f t="shared" ref="A8:A15" si="1">A7+1</f>
        <v>7</v>
      </c>
      <c r="B8" s="9"/>
      <c r="C8" s="9"/>
      <c r="D8" s="34"/>
      <c r="E8" s="34"/>
      <c r="F8" s="34"/>
      <c r="G8" s="34"/>
      <c r="H8" s="34"/>
      <c r="I8" s="6"/>
    </row>
    <row r="9" spans="1:9" hidden="1" x14ac:dyDescent="0.2">
      <c r="A9" s="8">
        <f t="shared" si="1"/>
        <v>8</v>
      </c>
      <c r="B9" s="9"/>
      <c r="C9" s="9"/>
      <c r="D9" s="34"/>
      <c r="E9" s="34"/>
      <c r="F9" s="34"/>
      <c r="G9" s="34"/>
      <c r="H9" s="34"/>
      <c r="I9" s="6"/>
    </row>
    <row r="10" spans="1:9" hidden="1" x14ac:dyDescent="0.2">
      <c r="A10" s="8">
        <f t="shared" si="1"/>
        <v>9</v>
      </c>
      <c r="B10" s="9"/>
      <c r="C10" s="9"/>
      <c r="D10" s="34"/>
      <c r="E10" s="34"/>
      <c r="F10" s="34"/>
      <c r="G10" s="34"/>
      <c r="H10" s="34"/>
      <c r="I10" s="6"/>
    </row>
    <row r="11" spans="1:9" hidden="1" x14ac:dyDescent="0.2">
      <c r="A11" s="8">
        <f t="shared" si="1"/>
        <v>10</v>
      </c>
      <c r="B11" s="9"/>
      <c r="C11" s="9"/>
      <c r="D11" s="34"/>
      <c r="E11" s="34"/>
      <c r="F11" s="34"/>
      <c r="G11" s="34"/>
      <c r="H11" s="34"/>
      <c r="I11" s="6"/>
    </row>
    <row r="12" spans="1:9" hidden="1" x14ac:dyDescent="0.2">
      <c r="A12" s="8">
        <f t="shared" si="1"/>
        <v>11</v>
      </c>
      <c r="B12" s="9"/>
      <c r="C12" s="9"/>
      <c r="D12" s="34"/>
      <c r="E12" s="34"/>
      <c r="F12" s="34"/>
      <c r="G12" s="34"/>
      <c r="H12" s="34"/>
      <c r="I12" s="6"/>
    </row>
    <row r="13" spans="1:9" hidden="1" x14ac:dyDescent="0.2">
      <c r="A13" s="8">
        <f t="shared" si="1"/>
        <v>12</v>
      </c>
      <c r="B13" s="9"/>
      <c r="C13" s="9"/>
      <c r="D13" s="34"/>
      <c r="E13" s="34"/>
      <c r="F13" s="34"/>
      <c r="G13" s="34"/>
      <c r="H13" s="34"/>
      <c r="I13" s="6"/>
    </row>
    <row r="14" spans="1:9" hidden="1" x14ac:dyDescent="0.2">
      <c r="A14" s="8">
        <f t="shared" si="1"/>
        <v>13</v>
      </c>
      <c r="B14" s="9"/>
      <c r="C14" s="9"/>
      <c r="D14" s="34"/>
      <c r="E14" s="34"/>
      <c r="F14" s="34"/>
      <c r="G14" s="34"/>
      <c r="H14" s="34"/>
      <c r="I14" s="6"/>
    </row>
    <row r="15" spans="1:9" ht="13.5" hidden="1" thickBot="1" x14ac:dyDescent="0.25">
      <c r="A15" s="8">
        <f t="shared" si="1"/>
        <v>14</v>
      </c>
      <c r="B15" s="9"/>
      <c r="C15" s="9"/>
      <c r="D15" s="34"/>
      <c r="E15" s="34"/>
      <c r="F15" s="34"/>
      <c r="G15" s="34"/>
      <c r="H15" s="34"/>
      <c r="I15" s="6"/>
    </row>
    <row r="16" spans="1:9" ht="13.5" thickBot="1" x14ac:dyDescent="0.25">
      <c r="I16" s="33">
        <f>SUM(I2:I15)</f>
        <v>1360752</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I16"/>
  <sheetViews>
    <sheetView workbookViewId="0">
      <selection activeCell="I3" sqref="I3:I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Total!B504</f>
        <v>40926</v>
      </c>
      <c r="C2" s="9">
        <f>Total!C504</f>
        <v>40975</v>
      </c>
      <c r="D2" s="34" t="str">
        <f>Total!D504</f>
        <v>GISA</v>
      </c>
      <c r="E2" s="34" t="str">
        <f>Total!E504</f>
        <v>Edificació</v>
      </c>
      <c r="F2" s="34" t="str">
        <f>Total!F504</f>
        <v>Direccions d'Execució</v>
      </c>
      <c r="G2" s="34" t="str">
        <f>Total!G504</f>
        <v>DE. CAP-08277</v>
      </c>
      <c r="H2" s="34" t="str">
        <f>Total!H504</f>
        <v>Contracte de serveis per a la direcció d'execució de les obres de construcció del Centre d'Atenció Primària "Onze de Setembre", de Lleida. Clau: CAP-08277</v>
      </c>
      <c r="I2" s="6">
        <f>Total!I504</f>
        <v>208738</v>
      </c>
    </row>
    <row r="3" spans="1:9" x14ac:dyDescent="0.2">
      <c r="A3" s="8">
        <f>A2+1</f>
        <v>2</v>
      </c>
      <c r="B3" s="9">
        <f>Total!B505</f>
        <v>40932</v>
      </c>
      <c r="C3" s="9">
        <f>Total!C505</f>
        <v>40954</v>
      </c>
      <c r="D3" s="34" t="str">
        <f>Total!D505</f>
        <v>GISA</v>
      </c>
      <c r="E3" s="34" t="str">
        <f>Total!E505</f>
        <v>Edificació</v>
      </c>
      <c r="F3" s="34" t="str">
        <f>Total!F505</f>
        <v>Control de Qualitat</v>
      </c>
      <c r="G3" s="34" t="str">
        <f>Total!G505</f>
        <v>CQ.CAP-08277</v>
      </c>
      <c r="H3" s="34" t="str">
        <f>Total!H505</f>
        <v>Contracte de serveis per a l’assistència tècnica de control de qualitat de les obres de construcció del Centre d'Atenció Primària "Onze de Setembre", de Lleida. Clau: CAP-08277</v>
      </c>
      <c r="I3" s="6">
        <f>Total!I505</f>
        <v>57094.66</v>
      </c>
    </row>
    <row r="4" spans="1:9" x14ac:dyDescent="0.2">
      <c r="A4" s="8">
        <f t="shared" ref="A4:A6" si="0">A3+1</f>
        <v>3</v>
      </c>
      <c r="B4" s="9">
        <f>Total!B506</f>
        <v>40932</v>
      </c>
      <c r="C4" s="9">
        <f>Total!C506</f>
        <v>40954</v>
      </c>
      <c r="D4" s="34" t="str">
        <f>Total!D506</f>
        <v>GISA</v>
      </c>
      <c r="E4" s="34" t="str">
        <f>Total!E506</f>
        <v>Edificació</v>
      </c>
      <c r="F4" s="34" t="str">
        <f>Total!F506</f>
        <v>Control de Qualitat</v>
      </c>
      <c r="G4" s="34" t="str">
        <f>Total!G506</f>
        <v>CQ.CAP-07279+1</v>
      </c>
      <c r="H4" s="34" t="str">
        <f>Total!H506</f>
        <v>Contracte de serveis per a l’assistència tècnica del control de qualitat conjunt de les obres de nova construcció del Centre d'Atenció Primària Bordeta-Magòria, de Barcelona. Clau: CAP-07279 i nova construcció del Consultori Local de Sant Joan de les Abadesses. Clau: CLT-09337</v>
      </c>
      <c r="I4" s="6">
        <f>Total!I506</f>
        <v>72694.53</v>
      </c>
    </row>
    <row r="5" spans="1:9" ht="13.5" thickBot="1" x14ac:dyDescent="0.25">
      <c r="A5" s="8">
        <f t="shared" si="0"/>
        <v>4</v>
      </c>
      <c r="B5" s="9">
        <f>Total!B507</f>
        <v>40932</v>
      </c>
      <c r="C5" s="9">
        <f>Total!C507</f>
        <v>40954</v>
      </c>
      <c r="D5" s="34" t="str">
        <f>Total!D507</f>
        <v>GISA</v>
      </c>
      <c r="E5" s="34" t="str">
        <f>Total!E507</f>
        <v>Edificació</v>
      </c>
      <c r="F5" s="34" t="str">
        <f>Total!F507</f>
        <v>Control de Qualitat</v>
      </c>
      <c r="G5" s="34" t="str">
        <f>Total!G507</f>
        <v>CQ.CAP-07340+1</v>
      </c>
      <c r="H5" s="34" t="str">
        <f>Total!H507</f>
        <v>Contracte de serveis per a l’assistència tècnica conjunta del control de qualitat de les obres de construcció del "nou Centre d'Atenció Primària de Vilafranca del Penedès. Clau: CAP-07340" i del "Consultori Local d'Alfara de Carles. Clau: CLT-09338"</v>
      </c>
      <c r="I5" s="6">
        <f>Total!I507</f>
        <v>55010.97</v>
      </c>
    </row>
    <row r="6" spans="1:9" hidden="1" x14ac:dyDescent="0.2">
      <c r="A6" s="8">
        <f t="shared" si="0"/>
        <v>5</v>
      </c>
      <c r="B6" s="9"/>
      <c r="C6" s="9"/>
      <c r="D6" s="34"/>
      <c r="E6" s="34"/>
      <c r="F6" s="34"/>
      <c r="G6" s="34"/>
      <c r="H6" s="34"/>
      <c r="I6" s="6"/>
    </row>
    <row r="7" spans="1:9" hidden="1" x14ac:dyDescent="0.2">
      <c r="A7" s="8">
        <f>A6+1</f>
        <v>6</v>
      </c>
      <c r="B7" s="9"/>
      <c r="C7" s="9"/>
      <c r="D7" s="34"/>
      <c r="E7" s="34"/>
      <c r="F7" s="34"/>
      <c r="G7" s="34"/>
      <c r="H7" s="34"/>
      <c r="I7" s="6"/>
    </row>
    <row r="8" spans="1:9" hidden="1" x14ac:dyDescent="0.2">
      <c r="A8" s="8">
        <f t="shared" ref="A8:A15" si="1">A7+1</f>
        <v>7</v>
      </c>
      <c r="B8" s="9"/>
      <c r="C8" s="9"/>
      <c r="D8" s="34"/>
      <c r="E8" s="34"/>
      <c r="F8" s="34"/>
      <c r="G8" s="34"/>
      <c r="H8" s="34"/>
      <c r="I8" s="6"/>
    </row>
    <row r="9" spans="1:9" hidden="1" x14ac:dyDescent="0.2">
      <c r="A9" s="8">
        <f t="shared" si="1"/>
        <v>8</v>
      </c>
      <c r="B9" s="9"/>
      <c r="C9" s="9"/>
      <c r="D9" s="34"/>
      <c r="E9" s="34"/>
      <c r="F9" s="34"/>
      <c r="G9" s="34"/>
      <c r="H9" s="34"/>
      <c r="I9" s="6"/>
    </row>
    <row r="10" spans="1:9" hidden="1" x14ac:dyDescent="0.2">
      <c r="A10" s="8">
        <f t="shared" si="1"/>
        <v>9</v>
      </c>
      <c r="B10" s="9"/>
      <c r="C10" s="9"/>
      <c r="D10" s="34"/>
      <c r="E10" s="34"/>
      <c r="F10" s="34"/>
      <c r="G10" s="34"/>
      <c r="H10" s="34"/>
      <c r="I10" s="6"/>
    </row>
    <row r="11" spans="1:9" hidden="1" x14ac:dyDescent="0.2">
      <c r="A11" s="8">
        <f t="shared" si="1"/>
        <v>10</v>
      </c>
      <c r="B11" s="9"/>
      <c r="C11" s="9"/>
      <c r="D11" s="34"/>
      <c r="E11" s="34"/>
      <c r="F11" s="34"/>
      <c r="G11" s="34"/>
      <c r="H11" s="34"/>
      <c r="I11" s="6"/>
    </row>
    <row r="12" spans="1:9" hidden="1" x14ac:dyDescent="0.2">
      <c r="A12" s="8">
        <f t="shared" si="1"/>
        <v>11</v>
      </c>
      <c r="B12" s="9"/>
      <c r="C12" s="9"/>
      <c r="D12" s="34"/>
      <c r="E12" s="34"/>
      <c r="F12" s="34"/>
      <c r="G12" s="34"/>
      <c r="H12" s="34"/>
      <c r="I12" s="6"/>
    </row>
    <row r="13" spans="1:9" hidden="1" x14ac:dyDescent="0.2">
      <c r="A13" s="8">
        <f t="shared" si="1"/>
        <v>12</v>
      </c>
      <c r="B13" s="9"/>
      <c r="C13" s="9"/>
      <c r="D13" s="34"/>
      <c r="E13" s="34"/>
      <c r="F13" s="34"/>
      <c r="G13" s="34"/>
      <c r="H13" s="34"/>
      <c r="I13" s="6"/>
    </row>
    <row r="14" spans="1:9" hidden="1" x14ac:dyDescent="0.2">
      <c r="A14" s="8">
        <f t="shared" si="1"/>
        <v>13</v>
      </c>
      <c r="B14" s="9"/>
      <c r="C14" s="9"/>
      <c r="D14" s="34"/>
      <c r="E14" s="34"/>
      <c r="F14" s="34"/>
      <c r="G14" s="34"/>
      <c r="H14" s="34"/>
      <c r="I14" s="6"/>
    </row>
    <row r="15" spans="1:9" ht="13.5" hidden="1" thickBot="1" x14ac:dyDescent="0.25">
      <c r="A15" s="8">
        <f t="shared" si="1"/>
        <v>14</v>
      </c>
      <c r="B15" s="9"/>
      <c r="C15" s="9"/>
      <c r="D15" s="34"/>
      <c r="E15" s="34"/>
      <c r="F15" s="34"/>
      <c r="G15" s="34"/>
      <c r="H15" s="34"/>
      <c r="I15" s="6"/>
    </row>
    <row r="16" spans="1:9" ht="13.5" thickBot="1" x14ac:dyDescent="0.25">
      <c r="I16" s="33">
        <f>SUM(I2:I15)</f>
        <v>393538.16000000003</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61"/>
  <sheetViews>
    <sheetView topLeftCell="A18" workbookViewId="0">
      <selection activeCell="I61" sqref="I61"/>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Total!B3302</f>
        <v>44806</v>
      </c>
      <c r="C2" s="101">
        <f>Total!C3302</f>
        <v>44837</v>
      </c>
      <c r="D2" s="112" t="s">
        <v>1092</v>
      </c>
      <c r="E2" s="332" t="str">
        <f>Total!E3302</f>
        <v>Edificació</v>
      </c>
      <c r="F2" s="96" t="str">
        <f>Total!F3302</f>
        <v>Projectes i Direccions d'Obra</v>
      </c>
      <c r="G2" s="112" t="str">
        <f>Total!G3302</f>
        <v>PE+DO APC-22275</v>
      </c>
      <c r="H2" s="112" t="str">
        <f>Total!H3302</f>
        <v>Concurs de projectes per a la redacció del projecte bàsic, el projecte executiu i la posterior direcció de les obres de rehabilitació i millora de l'eficiència energètica del mNACTEC (Museu Nacional de la Ciència i Tècnica de Catalunya), a Terrassa.</v>
      </c>
      <c r="I2" s="157">
        <f>Total!I3302</f>
        <v>280978.62</v>
      </c>
    </row>
    <row r="3" spans="1:9" x14ac:dyDescent="0.2">
      <c r="A3" s="8">
        <v>2</v>
      </c>
      <c r="B3" s="101">
        <f>Total!B3303</f>
        <v>44809</v>
      </c>
      <c r="C3" s="101">
        <f>Total!C3303</f>
        <v>44830</v>
      </c>
      <c r="D3" s="112" t="s">
        <v>1092</v>
      </c>
      <c r="E3" s="332" t="str">
        <f>Total!E3303</f>
        <v>Obra Civil</v>
      </c>
      <c r="F3" s="96" t="str">
        <f>Total!F3303</f>
        <v>Control de Qualitat</v>
      </c>
      <c r="G3" s="112" t="str">
        <f>Total!G3303</f>
        <v>CQ. VL-04003.2</v>
      </c>
      <c r="H3" s="112" t="str">
        <f>Total!H3303</f>
        <v>Contracte de serveis per a l'assistència tècnica de control de qualitat de les obres de rotonda a la C-53, PK 116+400. Anglesola.</v>
      </c>
      <c r="I3" s="157">
        <f>Total!I3303</f>
        <v>3678.48</v>
      </c>
    </row>
    <row r="4" spans="1:9" x14ac:dyDescent="0.2">
      <c r="A4" s="8">
        <v>3</v>
      </c>
      <c r="B4" s="101">
        <f>Total!B3304</f>
        <v>44809</v>
      </c>
      <c r="C4" s="101">
        <f>Total!C3304</f>
        <v>44830</v>
      </c>
      <c r="D4" s="112" t="s">
        <v>1092</v>
      </c>
      <c r="E4" s="332" t="str">
        <f>Total!E3304</f>
        <v>Obra Civil</v>
      </c>
      <c r="F4" s="96" t="str">
        <f>Total!F3304</f>
        <v>Direccions d'Obra</v>
      </c>
      <c r="G4" s="112" t="str">
        <f>Total!G3304</f>
        <v>DO. VL-04003.2+PC-CML-17071-A1</v>
      </c>
      <c r="H4" s="112" t="str">
        <f>Total!H3304</f>
        <v>Contracte de serveis per a la direcció conjunta de les obres de "Rotonda a la C-53, pk 116,400. Anglesola" i "Millora de drenatge de la OD 92,1 C-25, pk 92,100, marge dret. Estaràs.</v>
      </c>
      <c r="I4" s="157">
        <f>Total!I3304</f>
        <v>14487.68</v>
      </c>
    </row>
    <row r="5" spans="1:9" x14ac:dyDescent="0.2">
      <c r="A5" s="8">
        <v>4</v>
      </c>
      <c r="B5" s="101">
        <f>Total!B3305</f>
        <v>44809</v>
      </c>
      <c r="C5" s="101">
        <f>Total!C3305</f>
        <v>44830</v>
      </c>
      <c r="D5" s="112" t="s">
        <v>1092</v>
      </c>
      <c r="E5" s="332" t="str">
        <f>Total!E3305</f>
        <v>Obra Civil</v>
      </c>
      <c r="F5" s="96" t="str">
        <f>Total!F3305</f>
        <v>Direccions d'Obra</v>
      </c>
      <c r="G5" s="112" t="str">
        <f>Total!G3305</f>
        <v>CSS. VL-04003.2</v>
      </c>
      <c r="H5" s="112" t="str">
        <f>Total!H3305</f>
        <v>Contracte de serveis per a l'assistència tència de coordinació de seguretat i salut de les obres de rotona a la C-53, pk 116,400. Anglesola.</v>
      </c>
      <c r="I5" s="157">
        <f>Total!I3305</f>
        <v>2955.16</v>
      </c>
    </row>
    <row r="6" spans="1:9" x14ac:dyDescent="0.2">
      <c r="A6" s="8">
        <v>5</v>
      </c>
      <c r="B6" s="101">
        <f>Total!B3306</f>
        <v>44811</v>
      </c>
      <c r="C6" s="101">
        <f>Total!C3306</f>
        <v>44832</v>
      </c>
      <c r="D6" s="112" t="s">
        <v>1092</v>
      </c>
      <c r="E6" s="332" t="str">
        <f>Total!E3306</f>
        <v>Obra Civil</v>
      </c>
      <c r="F6" s="96" t="str">
        <f>Total!F3306</f>
        <v>Control de Qualitat</v>
      </c>
      <c r="G6" s="112" t="str">
        <f>Total!G3306</f>
        <v>CQ. PC-BXT-19066</v>
      </c>
      <c r="H6" s="112" t="str">
        <f>Total!H3306</f>
        <v>Contracte de serveis per a l'assistència tècnica de control de qualitat de les obres de carril bici i drenatge longitudinal a la TV-3141 del PK 6+500 (rotonda Blancafort) al 7+000. Reus.</v>
      </c>
      <c r="I6" s="157">
        <f>Total!I3306</f>
        <v>13735.86</v>
      </c>
    </row>
    <row r="7" spans="1:9" x14ac:dyDescent="0.2">
      <c r="A7" s="8">
        <v>6</v>
      </c>
      <c r="B7" s="101">
        <f>Total!B3307</f>
        <v>44811</v>
      </c>
      <c r="C7" s="101">
        <f>Total!C3307</f>
        <v>44832</v>
      </c>
      <c r="D7" s="112" t="s">
        <v>1092</v>
      </c>
      <c r="E7" s="332" t="str">
        <f>Total!E3307</f>
        <v>Obra Civil</v>
      </c>
      <c r="F7" s="96" t="str">
        <f>Total!F3307</f>
        <v>Direccions d'Obra</v>
      </c>
      <c r="G7" s="112" t="str">
        <f>Total!G3307</f>
        <v>CSS. PC-BXT-19066</v>
      </c>
      <c r="H7" s="112" t="str">
        <f>Total!H3307</f>
        <v>Contracte de serveis per a l'assistència tècnica de coordinació de seguretat i salut de les obres del projecte constructiu de carril bici i drenatge longitudinal a la TV-3141 del PK 6+500 (rotonda Blancafort) al 7+000. Reus.</v>
      </c>
      <c r="I7" s="157">
        <f>Total!I3307</f>
        <v>6807.72</v>
      </c>
    </row>
    <row r="8" spans="1:9" x14ac:dyDescent="0.2">
      <c r="A8" s="8">
        <v>7</v>
      </c>
      <c r="B8" s="101">
        <f>Total!B3308</f>
        <v>44811</v>
      </c>
      <c r="C8" s="101">
        <f>Total!C3308</f>
        <v>44832</v>
      </c>
      <c r="D8" s="112" t="s">
        <v>1092</v>
      </c>
      <c r="E8" s="332" t="str">
        <f>Total!E3308</f>
        <v>Obra Civil</v>
      </c>
      <c r="F8" s="96" t="str">
        <f>Total!F3308</f>
        <v>Direccions d'Obra</v>
      </c>
      <c r="G8" s="112" t="str">
        <f>Total!G3308</f>
        <v>DO. PC-BXT-19066</v>
      </c>
      <c r="H8" s="112" t="str">
        <f>Total!H3308</f>
        <v>Contracte de serveis per a la direcció de les obres de carril bici i drenatge longitudinal a la TV-3141 del PK 6+500 (rotonda Blancafort) al 7+000. Reus.</v>
      </c>
      <c r="I8" s="157">
        <f>Total!I3308</f>
        <v>35072.660000000003</v>
      </c>
    </row>
    <row r="9" spans="1:9" x14ac:dyDescent="0.2">
      <c r="A9" s="8">
        <v>8</v>
      </c>
      <c r="B9" s="101">
        <f>Total!B3309</f>
        <v>44813</v>
      </c>
      <c r="C9" s="101">
        <f>Total!C3309</f>
        <v>44830</v>
      </c>
      <c r="D9" s="112" t="s">
        <v>1092</v>
      </c>
      <c r="E9" s="332" t="str">
        <f>Total!E3309</f>
        <v>Edificació</v>
      </c>
      <c r="F9" s="96" t="str">
        <f>Total!F3309</f>
        <v>Projectes i Direccions d'Obra</v>
      </c>
      <c r="G9" s="112" t="str">
        <f>Total!G3309</f>
        <v>PE+DO BSV-22286</v>
      </c>
      <c r="H9" s="112" t="str">
        <f>Total!H3309</f>
        <v>Contracte de serveis per a l'assistència tècnica per a la redacció del projecte bàsic i executiu i la posterior direcció de les obres per a la millora de la seguretat i instal·lació de plaques fotovoltaiques al Centre La Mercè de Tarragona.</v>
      </c>
      <c r="I9" s="157">
        <f>Total!I3309</f>
        <v>52230.879999999997</v>
      </c>
    </row>
    <row r="10" spans="1:9" x14ac:dyDescent="0.2">
      <c r="A10" s="8">
        <v>9</v>
      </c>
      <c r="B10" s="101">
        <f>Total!B3310</f>
        <v>44813</v>
      </c>
      <c r="C10" s="101">
        <f>Total!C3310</f>
        <v>44830</v>
      </c>
      <c r="D10" s="112" t="s">
        <v>1092</v>
      </c>
      <c r="E10" s="332" t="str">
        <f>Total!E3310</f>
        <v>Obra Civil</v>
      </c>
      <c r="F10" s="96" t="str">
        <f>Total!F3310</f>
        <v>Projectes</v>
      </c>
      <c r="G10" s="112" t="str">
        <f>Total!G3310</f>
        <v>PC-MGB-22007.F3</v>
      </c>
      <c r="H10" s="112" t="str">
        <f>Total!H3310</f>
        <v>Assistència tècnica per a la redacció del projecte constructiu "Ampliació de l'accés del carrer Badajoz de l'estació de Glòries de l'L1 del Ferrocarril Metropolità de Barcelona (FMB). Barcelona. Fase 3. Remodelació del vestíbul actual".</v>
      </c>
      <c r="I10" s="157">
        <f>Total!I3310</f>
        <v>25635.98</v>
      </c>
    </row>
    <row r="11" spans="1:9" x14ac:dyDescent="0.2">
      <c r="A11" s="8">
        <v>10</v>
      </c>
      <c r="B11" s="101">
        <f>Total!B3311</f>
        <v>44816</v>
      </c>
      <c r="C11" s="101">
        <f>Total!C3311</f>
        <v>44832</v>
      </c>
      <c r="D11" s="112" t="s">
        <v>1092</v>
      </c>
      <c r="E11" s="332" t="str">
        <f>Total!E3311</f>
        <v>Obra Civil</v>
      </c>
      <c r="F11" s="96" t="str">
        <f>Total!F3311</f>
        <v>Projectes</v>
      </c>
      <c r="G11" s="112" t="str">
        <f>Total!G3311</f>
        <v>PC. PMM-22225</v>
      </c>
      <c r="H11" s="112" t="str">
        <f>Total!H3311</f>
        <v>Contracte de serveis per a l'assistència tècnica per a la redacció del projecte constructiu "Recuperació ambiental dels ecosistemes litorals al Parc Natural del Montgrí, Illes Medes i el Baix Ter a Torroella de Montgrí". Clau: PC. PMM-22225</v>
      </c>
      <c r="I11" s="157">
        <f>Total!I3311</f>
        <v>99800</v>
      </c>
    </row>
    <row r="12" spans="1:9" x14ac:dyDescent="0.2">
      <c r="A12" s="8">
        <v>11</v>
      </c>
      <c r="B12" s="101">
        <f>Total!B3312</f>
        <v>44819</v>
      </c>
      <c r="C12" s="101">
        <f>Total!C3312</f>
        <v>44851</v>
      </c>
      <c r="D12" s="112" t="s">
        <v>1092</v>
      </c>
      <c r="E12" s="332" t="str">
        <f>Total!E3312</f>
        <v>Edificació</v>
      </c>
      <c r="F12" s="96" t="str">
        <f>Total!F3312</f>
        <v>Projectes i Direccions d'Obra</v>
      </c>
      <c r="G12" s="112" t="str">
        <f>Total!G3312</f>
        <v>PE+DO BSE-22285</v>
      </c>
      <c r="H12" s="112" t="str">
        <f>Total!H3312</f>
        <v>Concurs de projectes per a la redacció del projecte bàsic i executiu i la posterior direcció de les obres de reforma integral de les plantes 4 i 5 i incorporació de mesures mediambientals del Centre Gatassa de Mataró. Clau: BSE-22285</v>
      </c>
      <c r="I12" s="157">
        <f>Total!I3312</f>
        <v>718803.01</v>
      </c>
    </row>
    <row r="13" spans="1:9" x14ac:dyDescent="0.2">
      <c r="A13" s="8">
        <v>12</v>
      </c>
      <c r="B13" s="101">
        <f>Total!B3313</f>
        <v>44819</v>
      </c>
      <c r="C13" s="101">
        <f>Total!C3313</f>
        <v>44851</v>
      </c>
      <c r="D13" s="112" t="s">
        <v>1092</v>
      </c>
      <c r="E13" s="332" t="str">
        <f>Total!E3313</f>
        <v>Edificació</v>
      </c>
      <c r="F13" s="96" t="str">
        <f>Total!F3313</f>
        <v>Projectes i Direccions d'Obra</v>
      </c>
      <c r="G13" s="112" t="str">
        <f>Total!G3313</f>
        <v>PE+DO BSE-22287</v>
      </c>
      <c r="H13" s="112" t="str">
        <f>Total!H3313</f>
        <v>Concurs de projectes per a la redacció del projecte bàsic i executiu i la posterior direcció de les obres de reforma de les plantes baixa, 3a i 4a i incorporació de mesures mediambientals del Centre Mossèn Homs de Terrassa. Clau: BSE-22287</v>
      </c>
      <c r="I13" s="157">
        <f>Total!I3313</f>
        <v>616301.36</v>
      </c>
    </row>
    <row r="14" spans="1:9" x14ac:dyDescent="0.2">
      <c r="A14" s="8">
        <v>13</v>
      </c>
      <c r="B14" s="101">
        <f>Total!B3314</f>
        <v>44819</v>
      </c>
      <c r="C14" s="101">
        <f>Total!C3314</f>
        <v>44851</v>
      </c>
      <c r="D14" s="112" t="s">
        <v>1092</v>
      </c>
      <c r="E14" s="332" t="str">
        <f>Total!E3314</f>
        <v>Edificació</v>
      </c>
      <c r="F14" s="96" t="str">
        <f>Total!F3314</f>
        <v>Projectes i Direccions d'Obra</v>
      </c>
      <c r="G14" s="112" t="str">
        <f>Total!G3314</f>
        <v>PE+DO BSE-22272</v>
      </c>
      <c r="H14" s="112" t="str">
        <f>Total!H3314</f>
        <v>Concurs de projectes per a la redacció del projecte bàsic i executiu i la posterior direcció de les obres de reforma i ampliació per a l'adequació del Centre Joan XXIII de Cerdanyola del Vallès, al nou model assistencial. Clau: BSE-22272</v>
      </c>
      <c r="I14" s="157">
        <f>Total!I3314</f>
        <v>501420.07</v>
      </c>
    </row>
    <row r="15" spans="1:9" x14ac:dyDescent="0.2">
      <c r="A15" s="8">
        <v>14</v>
      </c>
      <c r="B15" s="101">
        <f>Total!B3315</f>
        <v>44819</v>
      </c>
      <c r="C15" s="101">
        <f>Total!C3315</f>
        <v>44851</v>
      </c>
      <c r="D15" s="112" t="s">
        <v>1092</v>
      </c>
      <c r="E15" s="332" t="str">
        <f>Total!E3315</f>
        <v>Edificació</v>
      </c>
      <c r="F15" s="96" t="str">
        <f>Total!F3315</f>
        <v>Projectes i Direccions d'Obra</v>
      </c>
      <c r="G15" s="112" t="str">
        <f>Total!G3315</f>
        <v>PE+DO BSE-22283</v>
      </c>
      <c r="H15" s="112" t="str">
        <f>Total!H3315</f>
        <v>Concurs de projecte per a la redacció del projecte bàsic i executiu i la posterior direcció de les obres de reforma i ampliació per a l'adequació del Centre Can Ruti de Badalona, al nou model assistencial. Clau: BSE-22283</v>
      </c>
      <c r="I15" s="157">
        <f>Total!I3315</f>
        <v>525205.15</v>
      </c>
    </row>
    <row r="16" spans="1:9" x14ac:dyDescent="0.2">
      <c r="A16" s="8">
        <v>15</v>
      </c>
      <c r="B16" s="101">
        <f>Total!B3316</f>
        <v>44819</v>
      </c>
      <c r="C16" s="101">
        <f>Total!C3316</f>
        <v>44851</v>
      </c>
      <c r="D16" s="112" t="s">
        <v>1092</v>
      </c>
      <c r="E16" s="332" t="str">
        <f>Total!E3316</f>
        <v>Edificació</v>
      </c>
      <c r="F16" s="96" t="str">
        <f>Total!F3316</f>
        <v>Projectes i Direccions d'Obra</v>
      </c>
      <c r="G16" s="112" t="str">
        <f>Total!G3316</f>
        <v>PE+DO BSX-20278</v>
      </c>
      <c r="H16" s="112" t="str">
        <f>Total!H3316</f>
        <v>Concurs de projecte per a la redacció del projecte bàsic i executiu i la posterior direcció de les obres del futur Alberg de Joventu t en la Ciutat de Repòs i Vacances de Tarragona. Clau: BSX-20278</v>
      </c>
      <c r="I16" s="157">
        <f>Total!I3316</f>
        <v>979762.42</v>
      </c>
    </row>
    <row r="17" spans="1:9" x14ac:dyDescent="0.2">
      <c r="A17" s="8">
        <v>16</v>
      </c>
      <c r="B17" s="101">
        <f>Total!B3317</f>
        <v>44819</v>
      </c>
      <c r="C17" s="101">
        <f>Total!C3317</f>
        <v>44844</v>
      </c>
      <c r="D17" s="112" t="s">
        <v>1092</v>
      </c>
      <c r="E17" s="332" t="str">
        <f>Total!E3317</f>
        <v>Edificació</v>
      </c>
      <c r="F17" s="96" t="str">
        <f>Total!F3317</f>
        <v>Projectes i Direccions d'Obra</v>
      </c>
      <c r="G17" s="112" t="str">
        <f>Total!G3317</f>
        <v>PE+DO BSE-22295</v>
      </c>
      <c r="H17" s="112" t="str">
        <f>Total!H3317</f>
        <v>Contracte de serveis per a l'assistència tècnica per a la redacció del projecte bàsic i executiu i la posterior direcció de les obr es de reforma per a la rehabilitació i millora de l'eficiència energètica del Centre Molí Mar de Vilanova i la Geltrú.</v>
      </c>
      <c r="I17" s="157">
        <f>Total!I3317</f>
        <v>231501.67</v>
      </c>
    </row>
    <row r="18" spans="1:9" x14ac:dyDescent="0.2">
      <c r="A18" s="8">
        <v>17</v>
      </c>
      <c r="B18" s="101">
        <f>Total!B3318</f>
        <v>44821</v>
      </c>
      <c r="C18" s="101">
        <f>Total!C3318</f>
        <v>44851</v>
      </c>
      <c r="D18" s="112" t="s">
        <v>1092</v>
      </c>
      <c r="E18" s="332" t="str">
        <f>Total!E3318</f>
        <v>Edificació</v>
      </c>
      <c r="F18" s="96" t="str">
        <f>Total!F3318</f>
        <v>Projectes i Direccions d'Obra</v>
      </c>
      <c r="G18" s="112" t="str">
        <f>Total!G3318</f>
        <v>PE+DO HTT-16208.2-M1</v>
      </c>
      <c r="H18" s="112" t="str">
        <f>Total!H3318</f>
        <v>Contracte de serveis per a la redacció del projecte modificat i la posterior direcció d'obra de la construcció de l'edifici fase 1 de la transformació global de l'Hospital Joan XXIII de Tarragona.</v>
      </c>
      <c r="I18" s="157">
        <f>Total!I3318</f>
        <v>2098308.7999999998</v>
      </c>
    </row>
    <row r="19" spans="1:9" x14ac:dyDescent="0.2">
      <c r="A19" s="8">
        <v>18</v>
      </c>
      <c r="B19" s="101">
        <f>Total!B3319</f>
        <v>44820</v>
      </c>
      <c r="C19" s="101">
        <f>Total!C3319</f>
        <v>44837</v>
      </c>
      <c r="D19" s="112" t="s">
        <v>1092</v>
      </c>
      <c r="E19" s="332" t="str">
        <f>Total!E3319</f>
        <v>Edificació</v>
      </c>
      <c r="F19" s="96" t="str">
        <f>Total!F3319</f>
        <v>Control de Qualitat</v>
      </c>
      <c r="G19" s="112" t="str">
        <f>Total!G3319</f>
        <v>CQ. S9-PNA-05561</v>
      </c>
      <c r="H19" s="112" t="str">
        <f>Total!H3319</f>
        <v>Contracte de serveis per l'assistència tècnica de control de qualitat de les obres de condicionament de la coberta de l'edifici de m enjador i cuina de l'escola Les Flandes de Piera. Clau: CQ. S9-PNA-05561.</v>
      </c>
      <c r="I19" s="157">
        <f>Total!I3319</f>
        <v>530.67999999999995</v>
      </c>
    </row>
    <row r="20" spans="1:9" x14ac:dyDescent="0.2">
      <c r="A20" s="8">
        <v>19</v>
      </c>
      <c r="B20" s="101">
        <f>Total!B3320</f>
        <v>44820</v>
      </c>
      <c r="C20" s="101">
        <f>Total!C3320</f>
        <v>44837</v>
      </c>
      <c r="D20" s="112" t="s">
        <v>1092</v>
      </c>
      <c r="E20" s="332" t="str">
        <f>Total!E3320</f>
        <v>Obra Civil</v>
      </c>
      <c r="F20" s="96" t="str">
        <f>Total!F3320</f>
        <v>Projectes</v>
      </c>
      <c r="G20" s="112" t="str">
        <f>Total!G3320</f>
        <v>PC. PC-CIB-21095.</v>
      </c>
      <c r="H20" s="112" t="str">
        <f>Total!H3320</f>
        <v>Contracte de serveis per a l'assitència tècnica per a la redacció del projecte constructiu "Pacificació de l'N-II i carril bici a Mataró del PK 644+700 al 647+725. Mataró". Clau: PC-CIB-21095</v>
      </c>
      <c r="I20" s="157">
        <f>Total!I3320</f>
        <v>110600</v>
      </c>
    </row>
    <row r="21" spans="1:9" x14ac:dyDescent="0.2">
      <c r="A21" s="8">
        <v>20</v>
      </c>
      <c r="B21" s="101">
        <f>Total!B3321</f>
        <v>44820</v>
      </c>
      <c r="C21" s="101">
        <f>Total!C3321</f>
        <v>44844</v>
      </c>
      <c r="D21" s="112" t="s">
        <v>1092</v>
      </c>
      <c r="E21" s="332" t="str">
        <f>Total!E3321</f>
        <v>Edificació</v>
      </c>
      <c r="F21" s="96" t="str">
        <f>Total!F3321</f>
        <v>Projectes i Direccions d'Obra</v>
      </c>
      <c r="G21" s="112" t="str">
        <f>Total!G3321</f>
        <v>PE+DO BSE-22289</v>
      </c>
      <c r="H21" s="112" t="str">
        <f>Total!H3321</f>
        <v>Concurs de projecte per a la redacció del projecte bàsic i executiu i la posterior direcció de les obres de Nova Construcció d'una U nitat Integrada d'Atenció a Infants i Adolescents (Barnahus) a la Seu d'Urgell. Clau: BSE-22289.</v>
      </c>
      <c r="I21" s="157">
        <f>Total!I3321</f>
        <v>138614.28</v>
      </c>
    </row>
    <row r="22" spans="1:9" x14ac:dyDescent="0.2">
      <c r="A22" s="8">
        <v>21</v>
      </c>
      <c r="B22" s="101">
        <f>Total!B3322</f>
        <v>44820</v>
      </c>
      <c r="C22" s="101">
        <f>Total!C3322</f>
        <v>44844</v>
      </c>
      <c r="D22" s="112" t="s">
        <v>1092</v>
      </c>
      <c r="E22" s="332" t="str">
        <f>Total!E3322</f>
        <v>Edificació</v>
      </c>
      <c r="F22" s="96" t="str">
        <f>Total!F3322</f>
        <v>Projectes i Direccions d'Obra</v>
      </c>
      <c r="G22" s="112" t="str">
        <f>Total!G3322</f>
        <v>PE+DO. BSE-22288</v>
      </c>
      <c r="H22" s="112" t="str">
        <f>Total!H3322</f>
        <v>Concurs de projectes per a la redacció del projecte bàsic i executiu i la posterior direcció de les obres de nova construcció d'una Unitat Integrada d'Atenció a Infants i Adolescents (Barnahus) a Lleida. Clau: BSE-22288</v>
      </c>
      <c r="I22" s="157">
        <f>Total!I3322</f>
        <v>138614.28</v>
      </c>
    </row>
    <row r="23" spans="1:9" x14ac:dyDescent="0.2">
      <c r="A23" s="8">
        <v>22</v>
      </c>
      <c r="B23" s="101">
        <f>Total!B3323</f>
        <v>44823</v>
      </c>
      <c r="C23" s="101">
        <f>Total!C3323</f>
        <v>44851</v>
      </c>
      <c r="D23" s="112" t="s">
        <v>1092</v>
      </c>
      <c r="E23" s="332" t="str">
        <f>Total!E3323</f>
        <v>Edificació</v>
      </c>
      <c r="F23" s="96" t="str">
        <f>Total!F3323</f>
        <v>Projectes i Direccions d'Obra</v>
      </c>
      <c r="G23" s="112" t="str">
        <f>Total!G3323</f>
        <v>PE+DO CAP-22238</v>
      </c>
      <c r="H23" s="112" t="str">
        <f>Total!H3323</f>
        <v>Concurs de projectes per a la redacció del projecte bàsic i executiu i la posterior direcció de les obres de Rehabilitació i millora de l'eficiència energètica de l'edifici CAP Amadeu Torner de l'Hospitalet de Llobregat.</v>
      </c>
      <c r="I23" s="157">
        <f>Total!I3323</f>
        <v>229565.41</v>
      </c>
    </row>
    <row r="24" spans="1:9" x14ac:dyDescent="0.2">
      <c r="A24" s="8">
        <v>23</v>
      </c>
      <c r="B24" s="101">
        <f>Total!B3325</f>
        <v>44823</v>
      </c>
      <c r="C24" s="101">
        <f>Total!C3325</f>
        <v>44839</v>
      </c>
      <c r="D24" s="112" t="s">
        <v>1092</v>
      </c>
      <c r="E24" s="332" t="str">
        <f>Total!E3325</f>
        <v>Edificació</v>
      </c>
      <c r="F24" s="96" t="str">
        <f>Total!F3325</f>
        <v>Direccions d'Execució</v>
      </c>
      <c r="G24" s="112" t="str">
        <f>Total!G3325</f>
        <v>DE. JVP-18328</v>
      </c>
      <c r="H24" s="112" t="str">
        <f>Total!H3325</f>
        <v>Contracte de serveis per a la Direcció d'Execució de les obres de rehabilitació al Centre Educatiu Til·lers a Mollet del Vallès.</v>
      </c>
      <c r="I24" s="157">
        <f>Total!I3325</f>
        <v>42000</v>
      </c>
    </row>
    <row r="25" spans="1:9" x14ac:dyDescent="0.2">
      <c r="A25" s="8">
        <v>24</v>
      </c>
      <c r="B25" s="101">
        <f>Total!B3326</f>
        <v>44823</v>
      </c>
      <c r="C25" s="101">
        <f>Total!C3326</f>
        <v>44839</v>
      </c>
      <c r="D25" s="112" t="s">
        <v>1092</v>
      </c>
      <c r="E25" s="332" t="str">
        <f>Total!E3326</f>
        <v>Obra Civil</v>
      </c>
      <c r="F25" s="96" t="str">
        <f>Total!F3326</f>
        <v>Control de Qualitat</v>
      </c>
      <c r="G25" s="112" t="str">
        <f>Total!G3326</f>
        <v>CQ. PC-CGB-19064</v>
      </c>
      <c r="H25" s="112" t="str">
        <f>Total!H3326</f>
        <v>Contracte de serveis per a l'assistència tècnica de control de qualitat de les obres de ponts i estructures. Nova passarel·la en paral·lel a la C-155 del PK 6+900 al PK 7+100. Palau-solità i Plegamans.</v>
      </c>
      <c r="I25" s="157">
        <f>Total!I3326</f>
        <v>9393.8700000000008</v>
      </c>
    </row>
    <row r="26" spans="1:9" x14ac:dyDescent="0.2">
      <c r="A26" s="8">
        <v>25</v>
      </c>
      <c r="B26" s="101">
        <f>Total!B3327</f>
        <v>44823</v>
      </c>
      <c r="C26" s="101">
        <f>Total!C3327</f>
        <v>44839</v>
      </c>
      <c r="D26" s="112" t="s">
        <v>1092</v>
      </c>
      <c r="E26" s="332" t="str">
        <f>Total!E3327</f>
        <v>Edificació</v>
      </c>
      <c r="F26" s="96" t="str">
        <f>Total!F3327</f>
        <v>Direccions d'Execució</v>
      </c>
      <c r="G26" s="112" t="str">
        <f>Total!G3327</f>
        <v>CSS. JVP-18328</v>
      </c>
      <c r="H26" s="112" t="str">
        <f>Total!H3327</f>
        <v>Contracte de serveis per a l'assistència tècnica de coordinació de seguretat i salut de les obres de rehabilitació del Centre Educatiu Els Til·lers a Mollet del Vallès.</v>
      </c>
      <c r="I26" s="157">
        <f>Total!I3327</f>
        <v>10500</v>
      </c>
    </row>
    <row r="27" spans="1:9" x14ac:dyDescent="0.2">
      <c r="A27" s="8">
        <v>26</v>
      </c>
      <c r="B27" s="101">
        <f>Total!B3328</f>
        <v>44823</v>
      </c>
      <c r="C27" s="101">
        <f>Total!C3328</f>
        <v>44858</v>
      </c>
      <c r="D27" s="112" t="s">
        <v>1092</v>
      </c>
      <c r="E27" s="332" t="str">
        <f>Total!E3328</f>
        <v>Edificació</v>
      </c>
      <c r="F27" s="96" t="str">
        <f>Total!F3328</f>
        <v>Projectes i Direccions d'Obra</v>
      </c>
      <c r="G27" s="112" t="str">
        <f>Total!G3328</f>
        <v>PE+DO. BSV-22282</v>
      </c>
      <c r="H27" s="112" t="str">
        <f>Total!H3328</f>
        <v>Concurs de projecte per a la redacció del projecte bàsic i executiu i la posterior direcció de les obres de nova Construcció d'una Residència i Centre de Dia per a la Gent Gran a Terrassa - Sant Pere Nord.</v>
      </c>
      <c r="I27" s="157">
        <f>Total!I3328</f>
        <v>854008.21</v>
      </c>
    </row>
    <row r="28" spans="1:9" x14ac:dyDescent="0.2">
      <c r="A28" s="8">
        <v>27</v>
      </c>
      <c r="B28" s="101">
        <f>Total!B3329</f>
        <v>44823</v>
      </c>
      <c r="C28" s="101">
        <f>Total!C3329</f>
        <v>44858</v>
      </c>
      <c r="D28" s="112" t="s">
        <v>1092</v>
      </c>
      <c r="E28" s="332" t="str">
        <f>Total!E3329</f>
        <v>Edificació</v>
      </c>
      <c r="F28" s="96" t="str">
        <f>Total!F3329</f>
        <v>Projectes i Direccions d'Obra</v>
      </c>
      <c r="G28" s="112" t="str">
        <f>Total!G3329</f>
        <v>PE+DO. BSV-22270</v>
      </c>
      <c r="H28" s="112" t="str">
        <f>Total!H3329</f>
        <v>Concurs de projecte per a la redacció del projecte bàsic i executiu i la posterior direcció de les obres de Nova Construcció d'una Residència i Centre de Dia per a la Gent Gran al carrer Benavent de Barcelona.</v>
      </c>
      <c r="I28" s="157">
        <f>Total!I3329</f>
        <v>854008.21</v>
      </c>
    </row>
    <row r="29" spans="1:9" x14ac:dyDescent="0.2">
      <c r="A29" s="8">
        <v>28</v>
      </c>
      <c r="B29" s="101">
        <f>Total!B3330</f>
        <v>44826</v>
      </c>
      <c r="C29" s="101">
        <f>Total!C3330</f>
        <v>44851</v>
      </c>
      <c r="D29" s="112" t="s">
        <v>1092</v>
      </c>
      <c r="E29" s="332" t="str">
        <f>Total!E3330</f>
        <v>Edificació</v>
      </c>
      <c r="F29" s="96" t="str">
        <f>Total!F3330</f>
        <v>Projectes i Direccions d'Obra</v>
      </c>
      <c r="G29" s="112" t="str">
        <f>Total!G3330</f>
        <v>PE+DO. AVT-22276</v>
      </c>
      <c r="H29" s="112" t="str">
        <f>Total!H3330</f>
        <v>Concurs de projecte per a la redacció del projecte bàsic i executiu i la posterior direcció de les obres de rehabilitació i millora de l'eficiència energètica de l'edifici de l'Estació Enològica, a Reus.</v>
      </c>
      <c r="I29" s="157">
        <f>Total!I3330</f>
        <v>189174.14</v>
      </c>
    </row>
    <row r="30" spans="1:9" x14ac:dyDescent="0.2">
      <c r="A30" s="8">
        <v>29</v>
      </c>
      <c r="B30" s="101">
        <f>Total!B3331</f>
        <v>44826</v>
      </c>
      <c r="C30" s="101">
        <f>Total!C3331</f>
        <v>44858</v>
      </c>
      <c r="D30" s="112" t="s">
        <v>1092</v>
      </c>
      <c r="E30" s="332" t="str">
        <f>Total!E3331</f>
        <v>Edificació</v>
      </c>
      <c r="F30" s="96" t="str">
        <f>Total!F3331</f>
        <v>Projectes i Direccions d'Obra</v>
      </c>
      <c r="G30" s="112" t="str">
        <f>Total!G3331</f>
        <v>PE+DO. HMT-22244</v>
      </c>
      <c r="H30" s="112" t="str">
        <f>Total!H3331</f>
        <v>Concurs de projecte per a la redacció del projecte bàsic i executiu i la posterior direcció de les obres de rehabilitació i millora de l'eficiència energètica de l'edifici de l'Hospital Comarcal Móra d'Ebre.</v>
      </c>
      <c r="I30" s="157">
        <f>Total!I3331</f>
        <v>684428.67</v>
      </c>
    </row>
    <row r="31" spans="1:9" x14ac:dyDescent="0.2">
      <c r="A31" s="8">
        <v>30</v>
      </c>
      <c r="B31" s="101">
        <f>Total!B3332</f>
        <v>44826</v>
      </c>
      <c r="C31" s="101">
        <f>Total!C3332</f>
        <v>44844</v>
      </c>
      <c r="D31" s="112" t="s">
        <v>1092</v>
      </c>
      <c r="E31" s="332" t="str">
        <f>Total!E3332</f>
        <v>Obra Civil</v>
      </c>
      <c r="F31" s="96" t="str">
        <f>Total!F3332</f>
        <v>Direccions d'Obra</v>
      </c>
      <c r="G31" s="112" t="str">
        <f>Total!G3332</f>
        <v>CSS. CB-16060</v>
      </c>
      <c r="H31" s="112" t="str">
        <f>Total!H3332</f>
        <v>Coordinació de seguretat i salut de les obres del projecte constructiu de conservació extraordinària. Ponts i estructures. Rehabilitació d'obres de fàbrica a l'N-II, PK 644+120, i a la C-1413a, PK 2+480. Tram: Mataró i el Papiol.</v>
      </c>
      <c r="I31" s="157">
        <f>Total!I3332</f>
        <v>3412.8</v>
      </c>
    </row>
    <row r="32" spans="1:9" x14ac:dyDescent="0.2">
      <c r="A32" s="8">
        <v>31</v>
      </c>
      <c r="B32" s="101">
        <f>Total!B3333</f>
        <v>44826</v>
      </c>
      <c r="C32" s="101">
        <f>Total!C3333</f>
        <v>44844</v>
      </c>
      <c r="D32" s="112" t="s">
        <v>1092</v>
      </c>
      <c r="E32" s="332" t="str">
        <f>Total!E3333</f>
        <v>Obra Civil</v>
      </c>
      <c r="F32" s="96" t="str">
        <f>Total!F3333</f>
        <v>Control de Qualitat</v>
      </c>
      <c r="G32" s="112" t="str">
        <f>Total!G3333</f>
        <v>CQ. CB-16060</v>
      </c>
      <c r="H32" s="112" t="str">
        <f>Total!H3333</f>
        <v>Control de qualitat de les obres de conservació extraordinària. Ponts i estructures. Rehabilitació d'obres de fàbrica a la N-II, PK 644+120, i a la C-1413a, PK 2+480. Tram: Mataró i el Papiol.</v>
      </c>
      <c r="I32" s="157">
        <f>Total!I3333</f>
        <v>3442.27</v>
      </c>
    </row>
    <row r="33" spans="1:9" x14ac:dyDescent="0.2">
      <c r="A33" s="8">
        <v>32</v>
      </c>
      <c r="B33" s="101">
        <f>Total!B3334</f>
        <v>44826</v>
      </c>
      <c r="C33" s="101">
        <f>Total!C3334</f>
        <v>44844</v>
      </c>
      <c r="D33" s="112" t="s">
        <v>1092</v>
      </c>
      <c r="E33" s="332" t="str">
        <f>Total!E3334</f>
        <v>Edificació</v>
      </c>
      <c r="F33" s="96" t="str">
        <f>Total!F3334</f>
        <v>Projectes</v>
      </c>
      <c r="G33" s="112" t="str">
        <f>Total!G3334</f>
        <v>EG. EG31</v>
      </c>
      <c r="H33" s="112" t="str">
        <f>Total!H3334</f>
        <v>Contracte de serveis per a l'assistència tècnica per a la realització dels informes preliminars dels emplaçaments dels projectes d'edificació.</v>
      </c>
      <c r="I33" s="157">
        <f>Total!I3334</f>
        <v>200000</v>
      </c>
    </row>
    <row r="34" spans="1:9" x14ac:dyDescent="0.2">
      <c r="A34" s="8">
        <v>33</v>
      </c>
      <c r="B34" s="101">
        <f>Total!B3335</f>
        <v>44826</v>
      </c>
      <c r="C34" s="101">
        <f>Total!C3335</f>
        <v>44858</v>
      </c>
      <c r="D34" s="112" t="s">
        <v>1092</v>
      </c>
      <c r="E34" s="332" t="str">
        <f>Total!E3335</f>
        <v>Edificació</v>
      </c>
      <c r="F34" s="96" t="str">
        <f>Total!F3335</f>
        <v>Projectes i Direccions d'Obra</v>
      </c>
      <c r="G34" s="112" t="str">
        <f>Total!G3335</f>
        <v>PE+DO. BSV-22302</v>
      </c>
      <c r="H34" s="112" t="str">
        <f>Total!H3335</f>
        <v>Concurs de projecte per a la redacció del projecte bàsic i executiu i la posterior direcció de les obres de nova construcció d'una Residència i Centre de Dia per a la Gent Gran al Sector del Parc Central de Sabadell.</v>
      </c>
      <c r="I34" s="157">
        <f>Total!I3335</f>
        <v>854008.2</v>
      </c>
    </row>
    <row r="35" spans="1:9" x14ac:dyDescent="0.2">
      <c r="A35" s="8">
        <v>34</v>
      </c>
      <c r="B35" s="101">
        <f>Total!B3336</f>
        <v>44826</v>
      </c>
      <c r="C35" s="101">
        <f>Total!C3336</f>
        <v>44844</v>
      </c>
      <c r="D35" s="112" t="s">
        <v>1092</v>
      </c>
      <c r="E35" s="332" t="str">
        <f>Total!E3336</f>
        <v>Obra Civil</v>
      </c>
      <c r="F35" s="96" t="str">
        <f>Total!F3336</f>
        <v>Direccions d'Obra</v>
      </c>
      <c r="G35" s="112" t="str">
        <f>Total!G3336</f>
        <v>DO. CB-16060</v>
      </c>
      <c r="H35" s="112" t="str">
        <f>Total!H3336</f>
        <v>Contracte de serveis per a la direcció de les obres de conservació extraordinària. Ponts i estructures. Rehabilitació d'obres de fàbrica a la N-II, PK 644+120, i a la C-1413a, PK 2+480. Tram: Mataró i el Papiol.</v>
      </c>
      <c r="I35" s="157">
        <f>Total!I3336</f>
        <v>11171.68</v>
      </c>
    </row>
    <row r="36" spans="1:9" x14ac:dyDescent="0.2">
      <c r="A36" s="8">
        <v>35</v>
      </c>
      <c r="B36" s="101">
        <f>Total!B3337</f>
        <v>44827</v>
      </c>
      <c r="C36" s="101">
        <f>Total!C3337</f>
        <v>44851</v>
      </c>
      <c r="D36" s="112" t="s">
        <v>1092</v>
      </c>
      <c r="E36" s="332" t="str">
        <f>Total!E3337</f>
        <v>Obra Civil</v>
      </c>
      <c r="F36" s="96" t="str">
        <f>Total!F3337</f>
        <v>Direccions d'Obra</v>
      </c>
      <c r="G36" s="112" t="str">
        <f>Total!G3337</f>
        <v>CSS. TA-07264.1-AA</v>
      </c>
      <c r="H36" s="112" t="str">
        <f>Total!H3337</f>
        <v>Contracte de serveis per a l'assistència tècnica de coordinació de seguretat i salut de les obres del projecte constructiu del carril bus d'entrada a Barcelona a l'autopista B-23 del pk 0,000 al pk 7,260.</v>
      </c>
      <c r="I36" s="157">
        <f>Total!I3337</f>
        <v>81371.100000000006</v>
      </c>
    </row>
    <row r="37" spans="1:9" x14ac:dyDescent="0.2">
      <c r="A37" s="8">
        <v>36</v>
      </c>
      <c r="B37" s="101">
        <f>Total!B3338</f>
        <v>44827</v>
      </c>
      <c r="C37" s="101">
        <f>Total!C3338</f>
        <v>44858</v>
      </c>
      <c r="D37" s="112" t="s">
        <v>1092</v>
      </c>
      <c r="E37" s="332" t="str">
        <f>Total!E3338</f>
        <v>Obra Civil</v>
      </c>
      <c r="F37" s="96" t="str">
        <f>Total!F3338</f>
        <v>Direccions d'Obra</v>
      </c>
      <c r="G37" s="112" t="str">
        <f>Total!G3338</f>
        <v>CSS. CG-15069</v>
      </c>
      <c r="H37" s="112" t="str">
        <f>Total!H3338</f>
        <v>Assistència tècnica de coordinació de seguretat i salut de les obres de conservació extraordinària. Ponts i estructures. Rehabilitació d'obres de fàbrica a les carreteres GI-543, PK 14+280, i GI-520, PK 4+340 i 6+325. Tram: Espinelves-Viladrau.</v>
      </c>
      <c r="I37" s="157">
        <f>Total!I3338</f>
        <v>7770.1</v>
      </c>
    </row>
    <row r="38" spans="1:9" x14ac:dyDescent="0.2">
      <c r="A38" s="8">
        <v>37</v>
      </c>
      <c r="B38" s="101">
        <f>Total!B3339</f>
        <v>44827</v>
      </c>
      <c r="C38" s="101">
        <f>Total!C3339</f>
        <v>44851</v>
      </c>
      <c r="D38" s="112" t="s">
        <v>1092</v>
      </c>
      <c r="E38" s="332" t="str">
        <f>Total!E3339</f>
        <v>Obra Civil</v>
      </c>
      <c r="F38" s="96" t="str">
        <f>Total!F3339</f>
        <v>Control de Qualitat</v>
      </c>
      <c r="G38" s="112" t="str">
        <f>Total!G3339</f>
        <v>CQ. MT-16058</v>
      </c>
      <c r="H38" s="112" t="str">
        <f>Total!H3339</f>
        <v>Contracte de serveis per a l'assistència tècnica de Control de Qualitat de les obres de Millora local. Carril bici, drenatge longitudinal i cunetes remuntables a la carretera TV-3141 del PK 4+700 al 6+500 (rotonda Blancafort). Reus.</v>
      </c>
      <c r="I38" s="157">
        <f>Total!I3339</f>
        <v>21393.87</v>
      </c>
    </row>
    <row r="39" spans="1:9" x14ac:dyDescent="0.2">
      <c r="A39" s="8">
        <v>38</v>
      </c>
      <c r="B39" s="101">
        <f>Total!B3340</f>
        <v>44827</v>
      </c>
      <c r="C39" s="101">
        <f>Total!C3340</f>
        <v>44844</v>
      </c>
      <c r="D39" s="112" t="s">
        <v>1092</v>
      </c>
      <c r="E39" s="332" t="str">
        <f>Total!E3340</f>
        <v>Edificació</v>
      </c>
      <c r="F39" s="96" t="str">
        <f>Total!F3340</f>
        <v>Control de Qualitat</v>
      </c>
      <c r="G39" s="112" t="str">
        <f>Total!G3340</f>
        <v>CQ. JVP-18328</v>
      </c>
      <c r="H39" s="112" t="str">
        <f>Total!H3340</f>
        <v>Contracte de serveis per a l'assistència tècnica de Control de Qualitat de les obres de rehabilitació al Centre Educatiu Til·lers a Mollet del Vallès.</v>
      </c>
      <c r="I39" s="157">
        <f>Total!I3340</f>
        <v>14032.87</v>
      </c>
    </row>
    <row r="40" spans="1:9" x14ac:dyDescent="0.2">
      <c r="A40" s="8">
        <v>39</v>
      </c>
      <c r="B40" s="101">
        <f>Total!B3341</f>
        <v>44827</v>
      </c>
      <c r="C40" s="101">
        <f>Total!C3341</f>
        <v>44858</v>
      </c>
      <c r="D40" s="112" t="s">
        <v>1092</v>
      </c>
      <c r="E40" s="332" t="str">
        <f>Total!E3341</f>
        <v>Obra Civil</v>
      </c>
      <c r="F40" s="96" t="str">
        <f>Total!F3341</f>
        <v>Control de Qualitat</v>
      </c>
      <c r="G40" s="112" t="str">
        <f>Total!G3341</f>
        <v>CQ. CG-15069</v>
      </c>
      <c r="H40" s="112" t="str">
        <f>Total!H3341</f>
        <v>Assistència tècnica de Control de Qualitat de les obres de conservació extraordinària. Ponts i estructures. Rehabilitació d'obres de fàbrica a les carreteres GI-543, PK 14+280, i GI-520, PK 4+340 i 6+325. Tram: Espinelves-Viladrau.</v>
      </c>
      <c r="I40" s="157">
        <f>Total!I3341</f>
        <v>13116.17</v>
      </c>
    </row>
    <row r="41" spans="1:9" x14ac:dyDescent="0.2">
      <c r="A41" s="8">
        <v>40</v>
      </c>
      <c r="B41" s="101">
        <f>Total!B3342</f>
        <v>44827</v>
      </c>
      <c r="C41" s="101">
        <f>Total!C3342</f>
        <v>44858</v>
      </c>
      <c r="D41" s="112" t="s">
        <v>1092</v>
      </c>
      <c r="E41" s="332" t="str">
        <f>Total!E3342</f>
        <v>Obra Civil</v>
      </c>
      <c r="F41" s="96" t="str">
        <f>Total!F3342</f>
        <v>Direccions d'Obra</v>
      </c>
      <c r="G41" s="112" t="str">
        <f>Total!G3342</f>
        <v>DO. CG-15069</v>
      </c>
      <c r="H41" s="112" t="str">
        <f>Total!H3342</f>
        <v>Contracte de serveis per a la direcció de les obres de conservació extraordinària. Ponts i estructures. Rehabilitació d'obres de fàbrica a les carreteres GI-543, PK 14+280, i GI-520, PK 4+340 i 6+325. Tram: Espinelves-Viladrau.</v>
      </c>
      <c r="I41" s="157">
        <f>Total!I3342</f>
        <v>31589.39</v>
      </c>
    </row>
    <row r="42" spans="1:9" x14ac:dyDescent="0.2">
      <c r="A42" s="8">
        <v>41</v>
      </c>
      <c r="B42" s="101">
        <f>Total!B3343</f>
        <v>44827</v>
      </c>
      <c r="C42" s="101">
        <f>Total!C3343</f>
        <v>44851</v>
      </c>
      <c r="D42" s="112" t="s">
        <v>1092</v>
      </c>
      <c r="E42" s="332" t="str">
        <f>Total!E3343</f>
        <v>Obra Civil</v>
      </c>
      <c r="F42" s="96" t="str">
        <f>Total!F3343</f>
        <v>Control de Qualitat</v>
      </c>
      <c r="G42" s="112" t="str">
        <f>Total!G3343</f>
        <v>CQ. TA-07264.1-AA</v>
      </c>
      <c r="H42" s="112" t="str">
        <f>Total!H3343</f>
        <v>Contracte de serveis per a l'assistència tècnica de Control de Qualitat de les obres del projecte constructiu del carril bus d'entrada a Barcelona a l'autopista B-23 del PK 0+000 al PK 7+260.</v>
      </c>
      <c r="I42" s="157">
        <f>Total!I3343</f>
        <v>116945.61</v>
      </c>
    </row>
    <row r="43" spans="1:9" x14ac:dyDescent="0.2">
      <c r="A43" s="8">
        <v>42</v>
      </c>
      <c r="B43" s="101">
        <f>Total!B3344</f>
        <v>44827</v>
      </c>
      <c r="C43" s="101">
        <f>Total!C3344</f>
        <v>44851</v>
      </c>
      <c r="D43" s="112" t="s">
        <v>1092</v>
      </c>
      <c r="E43" s="332" t="str">
        <f>Total!E3344</f>
        <v>Obra Civil</v>
      </c>
      <c r="F43" s="96" t="str">
        <f>Total!F3344</f>
        <v>Direccions d'Obra</v>
      </c>
      <c r="G43" s="112" t="str">
        <f>Total!G3344</f>
        <v>CSS. PC-CGB-19064</v>
      </c>
      <c r="H43" s="112" t="str">
        <f>Total!H3344</f>
        <v>Contracte de serveis per a l'assistència tècnica de coordinació de seguretat i salut de les obres del projecte constructiu de ponts i estructures. Nova passarel·la en paral·lel a la C-155 del PK 6+900 al PK 7+100. Palau-solità i Plegamans.</v>
      </c>
      <c r="I43" s="157">
        <f>Total!I3344</f>
        <v>8188.22</v>
      </c>
    </row>
    <row r="44" spans="1:9" x14ac:dyDescent="0.2">
      <c r="A44" s="8">
        <v>43</v>
      </c>
      <c r="B44" s="101">
        <f>Total!B3345</f>
        <v>44831</v>
      </c>
      <c r="C44" s="101">
        <f>Total!C3345</f>
        <v>44858</v>
      </c>
      <c r="D44" s="112" t="s">
        <v>1092</v>
      </c>
      <c r="E44" s="332" t="str">
        <f>Total!E3345</f>
        <v>Edificació</v>
      </c>
      <c r="F44" s="96" t="str">
        <f>Total!F3345</f>
        <v>Projectes i Direccions d'Obra</v>
      </c>
      <c r="G44" s="112" t="str">
        <f>Total!G3345</f>
        <v>PE+DO. CAP-22240</v>
      </c>
      <c r="H44" s="112" t="str">
        <f>Total!H3345</f>
        <v>Concurs de projecte per a la redacció del projecte bàsic i executiu i la posterior direcció de les obres de Rehabilitació i millora de l'eficiència energètica de l'edifici CAP Rio de Janeiro de Barcelona.</v>
      </c>
      <c r="I44" s="157">
        <f>Total!I3345</f>
        <v>349588.72</v>
      </c>
    </row>
    <row r="45" spans="1:9" x14ac:dyDescent="0.2">
      <c r="A45" s="8">
        <v>44</v>
      </c>
      <c r="B45" s="101">
        <f>Total!B3346</f>
        <v>44831</v>
      </c>
      <c r="C45" s="101">
        <f>Total!C3346</f>
        <v>44858</v>
      </c>
      <c r="D45" s="112" t="s">
        <v>1092</v>
      </c>
      <c r="E45" s="332" t="str">
        <f>Total!E3346</f>
        <v>Edificació</v>
      </c>
      <c r="F45" s="96" t="str">
        <f>Total!F3346</f>
        <v>Projectes i Direccions d'Obra</v>
      </c>
      <c r="G45" s="112" t="str">
        <f>Total!G3346</f>
        <v>PE+DO. UPF-22278</v>
      </c>
      <c r="H45" s="112" t="str">
        <f>Total!H3346</f>
        <v>Red. projecte bàsic i executiu i la posterior direcció de les obres de rehabilitació, millora de l'eficiència energètica i instal·lació de plaques fotovoltaiques a l'edifici Biblioteca-Dipòsit de les Aigües de la Universitat Pompeu Fabra de Barcelona.</v>
      </c>
      <c r="I45" s="157">
        <f>Total!I3346</f>
        <v>287732.01</v>
      </c>
    </row>
    <row r="46" spans="1:9" x14ac:dyDescent="0.2">
      <c r="A46" s="8">
        <v>45</v>
      </c>
      <c r="B46" s="101">
        <f>Total!B3347</f>
        <v>44831</v>
      </c>
      <c r="C46" s="101">
        <f>Total!C3347</f>
        <v>44858</v>
      </c>
      <c r="D46" s="112" t="s">
        <v>1092</v>
      </c>
      <c r="E46" s="332" t="str">
        <f>Total!E3347</f>
        <v>Edificació</v>
      </c>
      <c r="F46" s="96" t="str">
        <f>Total!F3347</f>
        <v>Projectes i Direccions d'Obra</v>
      </c>
      <c r="G46" s="112" t="str">
        <f>Total!G3347</f>
        <v>PE+DO HBB-22243</v>
      </c>
      <c r="H46" s="112" t="str">
        <f>Total!H3347</f>
        <v>Concurs de projecte per a la redacció del projecte bàsic i executiu i la posterior direcció de les obres de Rehabilitació i millora de l'eficiència energètica de l'edifici de l'Hospital Comarcal Sant Bernabé de Berga.</v>
      </c>
      <c r="I46" s="157">
        <f>Total!I3347</f>
        <v>647924.28</v>
      </c>
    </row>
    <row r="47" spans="1:9" x14ac:dyDescent="0.2">
      <c r="A47" s="8">
        <v>46</v>
      </c>
      <c r="B47" s="101">
        <f>Total!B3348</f>
        <v>44832</v>
      </c>
      <c r="C47" s="101">
        <f>Total!C3348</f>
        <v>44851</v>
      </c>
      <c r="D47" s="112" t="s">
        <v>1092</v>
      </c>
      <c r="E47" s="332" t="str">
        <f>Total!E3348</f>
        <v>Edificació</v>
      </c>
      <c r="F47" s="96" t="str">
        <f>Total!F3348</f>
        <v>Direccions d'Obra</v>
      </c>
      <c r="G47" s="112" t="str">
        <f>Total!G3348</f>
        <v>DO. SAM-21205</v>
      </c>
      <c r="H47" s="112" t="str">
        <f>Total!H3348</f>
        <v>Contracte de serveis per a la direcció d'obra de les obres d'ampliació de l'Escola Pla de l'Avellà per a un Institut Escola de a 2L d'infantil i primària i 2L d'ESO a Cabrera de Mar.</v>
      </c>
      <c r="I47" s="157">
        <f>Total!I3348</f>
        <v>75841.350000000006</v>
      </c>
    </row>
    <row r="48" spans="1:9" x14ac:dyDescent="0.2">
      <c r="A48" s="8">
        <v>47</v>
      </c>
      <c r="B48" s="101">
        <f>Total!B3349</f>
        <v>44832</v>
      </c>
      <c r="C48" s="101">
        <f>Total!C3349</f>
        <v>44851</v>
      </c>
      <c r="D48" s="112" t="s">
        <v>1092</v>
      </c>
      <c r="E48" s="332" t="str">
        <f>Total!E3349</f>
        <v>Edificació</v>
      </c>
      <c r="F48" s="96" t="str">
        <f>Total!F3349</f>
        <v>Direccions d'Execució</v>
      </c>
      <c r="G48" s="112" t="str">
        <f>Total!G3349</f>
        <v>DE. SAM-21205</v>
      </c>
      <c r="H48" s="112" t="str">
        <f>Total!H3349</f>
        <v>Contracte de serveis per a la direcció d'execució de les obres d'ampliació de l'Escola Pla de l'Avellà per a un Institut Escola de a 2L d'infantil i primària i 2L d'ESO a Cabrera de Mar.</v>
      </c>
      <c r="I48" s="157">
        <f>Total!I3349</f>
        <v>81540.72</v>
      </c>
    </row>
    <row r="49" spans="1:9" x14ac:dyDescent="0.2">
      <c r="A49" s="8">
        <v>48</v>
      </c>
      <c r="B49" s="101">
        <f>Total!B3350</f>
        <v>44832</v>
      </c>
      <c r="C49" s="101">
        <f>Total!C3350</f>
        <v>44851</v>
      </c>
      <c r="D49" s="112" t="s">
        <v>1092</v>
      </c>
      <c r="E49" s="332" t="str">
        <f>Total!E3350</f>
        <v>Edificació</v>
      </c>
      <c r="F49" s="96" t="str">
        <f>Total!F3350</f>
        <v>Control de Qualitat</v>
      </c>
      <c r="G49" s="112" t="str">
        <f>Total!G3350</f>
        <v>CQ. SAM-21205</v>
      </c>
      <c r="H49" s="112" t="str">
        <f>Total!H3350</f>
        <v>Contracte de serveis per a l'assistència tècnica de control de qualitat de les obres d'ampliació de l'Escola Pla de l'Avellà per a un Institut Escola de a 2L d'infantil i primària i 2L d'ESO a Cabrera de Mar.</v>
      </c>
      <c r="I49" s="157">
        <f>Total!I3350</f>
        <v>31962</v>
      </c>
    </row>
    <row r="50" spans="1:9" x14ac:dyDescent="0.2">
      <c r="A50" s="8">
        <v>49</v>
      </c>
      <c r="B50" s="101">
        <f>Total!B3351</f>
        <v>44832</v>
      </c>
      <c r="C50" s="101">
        <f>Total!C3351</f>
        <v>44851</v>
      </c>
      <c r="D50" s="112" t="s">
        <v>1092</v>
      </c>
      <c r="E50" s="332" t="str">
        <f>Total!E3351</f>
        <v>Edificació</v>
      </c>
      <c r="F50" s="96" t="str">
        <f>Total!F3351</f>
        <v>Direccions d'Execució</v>
      </c>
      <c r="G50" s="112" t="str">
        <f>Total!G3351</f>
        <v>CSS. SAM-21205</v>
      </c>
      <c r="H50" s="112" t="str">
        <f>Total!H3351</f>
        <v>Contracte de serveis per a l'assistència tècnica de coordinació de seguretat i salut de les obres d'ampliació de l'Escola Pla de l'Avellà per a un Institut Escola de a 2L d'infantil i primària i 2L d'ESO a Cabrera de Mar.</v>
      </c>
      <c r="I50" s="157">
        <f>Total!I3351</f>
        <v>17913.419999999998</v>
      </c>
    </row>
    <row r="51" spans="1:9" x14ac:dyDescent="0.2">
      <c r="A51" s="8">
        <v>50</v>
      </c>
      <c r="B51" s="101">
        <f>Total!B3352</f>
        <v>44834</v>
      </c>
      <c r="C51" s="101">
        <f>Total!C3352</f>
        <v>44848</v>
      </c>
      <c r="D51" s="112" t="s">
        <v>1092</v>
      </c>
      <c r="E51" s="332" t="str">
        <f>Total!E3352</f>
        <v>Edificació</v>
      </c>
      <c r="F51" s="96" t="str">
        <f>Total!F3352</f>
        <v>Projectes i Direccions d'Obra</v>
      </c>
      <c r="G51" s="112" t="str">
        <f>Total!G3352</f>
        <v>PE+DO. APC-22273</v>
      </c>
      <c r="H51" s="112" t="str">
        <f>Total!H3352</f>
        <v>Concurs de projecte per a la redacció del projecte bàsic i executiu i la posterior direcció de les obres de rehabilitació i millora de l'eficiència energètica del Castell de Cardona.</v>
      </c>
      <c r="I51" s="157">
        <f>Total!I3352</f>
        <v>63746.32</v>
      </c>
    </row>
    <row r="52" spans="1:9" x14ac:dyDescent="0.2">
      <c r="A52" s="8">
        <v>51</v>
      </c>
      <c r="B52" s="101">
        <f>Total!B3353</f>
        <v>44834</v>
      </c>
      <c r="C52" s="101">
        <f>Total!C3353</f>
        <v>44851</v>
      </c>
      <c r="D52" s="112" t="s">
        <v>1092</v>
      </c>
      <c r="E52" s="332" t="str">
        <f>Total!E3353</f>
        <v>Obra Civil</v>
      </c>
      <c r="F52" s="96" t="str">
        <f>Total!F3353</f>
        <v>Control de Qualitat</v>
      </c>
      <c r="G52" s="112" t="str">
        <f>Total!G3353</f>
        <v>CQ. SAV-21208</v>
      </c>
      <c r="H52" s="112" t="str">
        <f>Total!H3353</f>
        <v>Contracte de serveis per a l'assistència tècnica de control de qualitat de les obres d'ampliació de l'Escola Antoni Ubach per a un Institut Escola de 2L d'infantil i primària i 2L d'ESO a Terrassa.</v>
      </c>
      <c r="I52" s="157">
        <f>Total!I3353</f>
        <v>30427.27</v>
      </c>
    </row>
    <row r="53" spans="1:9" x14ac:dyDescent="0.2">
      <c r="A53" s="8">
        <v>52</v>
      </c>
      <c r="B53" s="101">
        <f>Total!B3354</f>
        <v>44834</v>
      </c>
      <c r="C53" s="101">
        <f>Total!C3354</f>
        <v>44851</v>
      </c>
      <c r="D53" s="112" t="s">
        <v>1092</v>
      </c>
      <c r="E53" s="332" t="str">
        <f>Total!E3354</f>
        <v>Obra Civil</v>
      </c>
      <c r="F53" s="96" t="str">
        <f>Total!F3354</f>
        <v>Projectes</v>
      </c>
      <c r="G53" s="112" t="str">
        <f>Total!G3354</f>
        <v>EP. EP57</v>
      </c>
      <c r="H53" s="112" t="str">
        <f>Total!H3354</f>
        <v>Contracte de serveis per a l'assistència tècnica per a la realització dels treballs de topografia i de replanteig de projectes corresponents als estudis i projectes d'obra civil i d'edificació.</v>
      </c>
      <c r="I53" s="157">
        <f>Total!I3354</f>
        <v>201000</v>
      </c>
    </row>
    <row r="54" spans="1:9" x14ac:dyDescent="0.2">
      <c r="A54" s="8">
        <v>53</v>
      </c>
      <c r="B54" s="101">
        <f>Total!B3355</f>
        <v>44834</v>
      </c>
      <c r="C54" s="101">
        <f>Total!C3355</f>
        <v>44851</v>
      </c>
      <c r="D54" s="112" t="s">
        <v>1092</v>
      </c>
      <c r="E54" s="332" t="str">
        <f>Total!E3355</f>
        <v>Edificació</v>
      </c>
      <c r="F54" s="96" t="str">
        <f>Total!F3355</f>
        <v>Direccions d'Execució</v>
      </c>
      <c r="G54" s="112" t="str">
        <f>Total!G3355</f>
        <v>DE. SAV-21208</v>
      </c>
      <c r="H54" s="112" t="str">
        <f>Total!H3355</f>
        <v>Contracte de serveis per a l'assistència tècnica de la direcció d'execució d'ampliació de l'Escola Antoni Ubach per a un Institut Escola de 2L d'infantil i primària i 2L d'ESO a Terrassa.</v>
      </c>
      <c r="I54" s="157">
        <f>Total!I3355</f>
        <v>77586.2</v>
      </c>
    </row>
    <row r="55" spans="1:9" x14ac:dyDescent="0.2">
      <c r="A55" s="8">
        <v>54</v>
      </c>
      <c r="B55" s="101">
        <f>Total!B3356</f>
        <v>44834</v>
      </c>
      <c r="C55" s="101">
        <f>Total!C3356</f>
        <v>44860</v>
      </c>
      <c r="D55" s="112" t="s">
        <v>1092</v>
      </c>
      <c r="E55" s="332" t="str">
        <f>Total!E3356</f>
        <v>Obra Civil</v>
      </c>
      <c r="F55" s="96" t="str">
        <f>Total!F3356</f>
        <v>Direccions d'Obra</v>
      </c>
      <c r="G55" s="112" t="str">
        <f>Total!G3356</f>
        <v>DO. PC-CGT-19046</v>
      </c>
      <c r="H55" s="112" t="str">
        <f>Total!H3356</f>
        <v>Contracte de serveis per a la direcció de les obres de les obres de construcció de cunetes terpitjables a la TV-3001 i TV-3031. La Torre de Fontaubella, Marçà i Pradell de la Teixeta.</v>
      </c>
      <c r="I55" s="157">
        <f>Total!I3356</f>
        <v>35444.18</v>
      </c>
    </row>
    <row r="56" spans="1:9" x14ac:dyDescent="0.2">
      <c r="A56" s="8">
        <v>55</v>
      </c>
      <c r="B56" s="101">
        <f>Total!B3357</f>
        <v>44834</v>
      </c>
      <c r="C56" s="101">
        <f>Total!C3357</f>
        <v>44858</v>
      </c>
      <c r="D56" s="112" t="s">
        <v>1092</v>
      </c>
      <c r="E56" s="332" t="str">
        <f>Total!E3357</f>
        <v>Edificació</v>
      </c>
      <c r="F56" s="96" t="str">
        <f>Total!F3357</f>
        <v>Projectes i Direccions d'Obra</v>
      </c>
      <c r="G56" s="112" t="str">
        <f>Total!G3357</f>
        <v>PE+DO. APC-22274</v>
      </c>
      <c r="H56" s="112" t="str">
        <f>Total!H3357</f>
        <v>Concurs de projecte per a la redacció del projecte bàsic i executiu i la posterior direcció de les obres de rehabilitació i millora de l'eficiència energètica del Castellde Miravet.</v>
      </c>
      <c r="I56" s="157">
        <f>Total!I3357</f>
        <v>48663.31</v>
      </c>
    </row>
    <row r="57" spans="1:9" x14ac:dyDescent="0.2">
      <c r="A57" s="8">
        <v>56</v>
      </c>
      <c r="B57" s="101">
        <f>Total!B3358</f>
        <v>44834</v>
      </c>
      <c r="C57" s="101">
        <f>Total!C3358</f>
        <v>44851</v>
      </c>
      <c r="D57" s="112" t="s">
        <v>1092</v>
      </c>
      <c r="E57" s="332" t="str">
        <f>Total!E3358</f>
        <v>Edificació</v>
      </c>
      <c r="F57" s="96" t="str">
        <f>Total!F3358</f>
        <v>Direccions d'Obra</v>
      </c>
      <c r="G57" s="112" t="str">
        <f>Total!G3358</f>
        <v>DO. SAV-21208</v>
      </c>
      <c r="H57" s="112" t="str">
        <f>Total!H3358</f>
        <v>Contracte de serveis per a l'assistència tècnica de la direcció de les obres d'Ampliació de l'Escola Antoni Ubach per a un Institut Escola de 2L d'infantil i primària i 2L d'ESO a Terrassa.</v>
      </c>
      <c r="I57" s="157">
        <f>Total!I3358</f>
        <v>73820.77</v>
      </c>
    </row>
    <row r="58" spans="1:9" x14ac:dyDescent="0.2">
      <c r="A58" s="8">
        <v>57</v>
      </c>
      <c r="B58" s="101">
        <f>Total!B3359</f>
        <v>44834</v>
      </c>
      <c r="C58" s="101">
        <f>Total!C3359</f>
        <v>44851</v>
      </c>
      <c r="D58" s="112" t="s">
        <v>1092</v>
      </c>
      <c r="E58" s="332" t="str">
        <f>Total!E3359</f>
        <v>Edificació</v>
      </c>
      <c r="F58" s="96" t="str">
        <f>Total!F3359</f>
        <v>Direccions d'Execució</v>
      </c>
      <c r="G58" s="112" t="str">
        <f>Total!G3359</f>
        <v>CSS. SAV-21208</v>
      </c>
      <c r="H58" s="112" t="str">
        <f>Total!H3359</f>
        <v>Contracte de serveis per a l'assistència tècnica de coordinació de seguretat i salut de les obres del projecte d'ampliació de l'Escola Antoni Ubach per a un Institut Escola de 2L d'infantil i primària i 2L d'ESO a Terrassa.</v>
      </c>
      <c r="I58" s="157">
        <f>Total!I3359</f>
        <v>16758.62</v>
      </c>
    </row>
    <row r="59" spans="1:9" x14ac:dyDescent="0.2">
      <c r="A59" s="8">
        <v>58</v>
      </c>
      <c r="B59" s="101">
        <f>Total!B3360</f>
        <v>44834</v>
      </c>
      <c r="C59" s="101">
        <f>Total!C3360</f>
        <v>44860</v>
      </c>
      <c r="D59" s="112" t="s">
        <v>1092</v>
      </c>
      <c r="E59" s="332" t="str">
        <f>Total!E3360</f>
        <v>Obra Civil</v>
      </c>
      <c r="F59" s="96" t="str">
        <f>Total!F3360</f>
        <v>Direccions d'Obra</v>
      </c>
      <c r="G59" s="112" t="str">
        <f>Total!G3360</f>
        <v>CSS. PC-CGT-19046</v>
      </c>
      <c r="H59" s="112" t="str">
        <f>Total!H3360</f>
        <v>Contracte de serveis per a l'assistència tècnica de coordianció de seguretat i salut de les obres de construcció de cunetes trepitjables a la TV-3001 i TV-3031. La Torre de Fontaubella, Marçà i Pradell de la Teixeta.</v>
      </c>
      <c r="I59" s="157">
        <f>Total!I3360</f>
        <v>6389.11</v>
      </c>
    </row>
    <row r="60" spans="1:9" x14ac:dyDescent="0.2">
      <c r="A60" s="8">
        <v>59</v>
      </c>
      <c r="B60" s="101">
        <f>Total!B3361</f>
        <v>44834</v>
      </c>
      <c r="C60" s="101">
        <f>Total!C3361</f>
        <v>44860</v>
      </c>
      <c r="D60" s="112" t="s">
        <v>1092</v>
      </c>
      <c r="E60" s="332" t="str">
        <f>Total!E3361</f>
        <v>Obra Civil</v>
      </c>
      <c r="F60" s="96" t="str">
        <f>Total!F3361</f>
        <v>Control de Qualitat</v>
      </c>
      <c r="G60" s="112" t="str">
        <f>Total!G3361</f>
        <v>CQ. PC-CGT-19046</v>
      </c>
      <c r="H60" s="112" t="str">
        <f>Total!H3361</f>
        <v>Contracte de serveis per a l'assistència tècnica de control de qualitat de les obres de construcció de cunetes trepitjables a la TV-3001 i TV-3031. La Torre de Fontaubella, Marçà i Pradell de la Teixeta.</v>
      </c>
      <c r="I60" s="157">
        <f>Total!I3361</f>
        <v>14732.28</v>
      </c>
    </row>
    <row r="61" spans="1:9" x14ac:dyDescent="0.2">
      <c r="I61" s="126">
        <f>SUM(I2:I60)</f>
        <v>12895636.109999996</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I16"/>
  <sheetViews>
    <sheetView workbookViewId="0">
      <selection sqref="A1:XFD1048576"/>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Total!B490</f>
        <v>40878</v>
      </c>
      <c r="C2" s="9">
        <f>Total!C490</f>
        <v>40931</v>
      </c>
      <c r="D2" s="34" t="str">
        <f>Total!D490</f>
        <v>GISA</v>
      </c>
      <c r="E2" s="34" t="str">
        <f>Total!E490</f>
        <v>Obra Civil</v>
      </c>
      <c r="F2" s="34" t="str">
        <f>Total!F490</f>
        <v>Projectes</v>
      </c>
      <c r="G2" s="34" t="str">
        <f>Total!G490</f>
        <v>PC. TA-08432</v>
      </c>
      <c r="H2" s="34" t="str">
        <f>Total!H490</f>
        <v>Contracte de serveis per a l'assistència tècnica per a la redacció del projecte constructiu de la nova estació d'autobusos a Lleida. Clau:TA-08432</v>
      </c>
      <c r="I2" s="6">
        <f>Total!I490</f>
        <v>220961</v>
      </c>
    </row>
    <row r="3" spans="1:9" x14ac:dyDescent="0.2">
      <c r="A3" s="8">
        <f>A2+1</f>
        <v>2</v>
      </c>
      <c r="B3" s="9">
        <f>Total!B491</f>
        <v>40891</v>
      </c>
      <c r="C3" s="9">
        <f>Total!C491</f>
        <v>40938</v>
      </c>
      <c r="D3" s="34" t="str">
        <f>Total!D491</f>
        <v>GISA</v>
      </c>
      <c r="E3" s="34" t="str">
        <f>Total!E491</f>
        <v>Obra Civil</v>
      </c>
      <c r="F3" s="34" t="str">
        <f>Total!F491</f>
        <v>Projectes</v>
      </c>
      <c r="G3" s="34" t="str">
        <f>Total!G491</f>
        <v>PC. VL-08072</v>
      </c>
      <c r="H3" s="34" t="str">
        <f>Total!H491</f>
        <v>Contracte de serveis per a l'assistència tècnica per a la redacció del projecte constructiu de millora general. Variant de Vielha e Mijaran. Carretera C-28 del PK 23+510 al 25+860. Tram: Vielha (N-230) - Escunhau. Clau: VL-0807</v>
      </c>
      <c r="I3" s="6">
        <f>Total!I491</f>
        <v>211700</v>
      </c>
    </row>
    <row r="4" spans="1:9" x14ac:dyDescent="0.2">
      <c r="A4" s="8">
        <f t="shared" ref="A4:A6" si="0">A3+1</f>
        <v>3</v>
      </c>
      <c r="B4" s="9">
        <f>Total!B492</f>
        <v>40891</v>
      </c>
      <c r="C4" s="9">
        <f>Total!C492</f>
        <v>40938</v>
      </c>
      <c r="D4" s="34" t="str">
        <f>Total!D492</f>
        <v>GISA</v>
      </c>
      <c r="E4" s="34" t="str">
        <f>Total!E492</f>
        <v>Obra Civil</v>
      </c>
      <c r="F4" s="34" t="str">
        <f>Total!F492</f>
        <v>Projectes</v>
      </c>
      <c r="G4" s="34" t="str">
        <f>Total!G492</f>
        <v>PC. DB-05111</v>
      </c>
      <c r="H4" s="34" t="str">
        <f>Total!H492</f>
        <v>Contracte de serveis per a l'assistència tècnica per a la redacció del projecte constructiu de millora general. Desdoblament de la carretera B-224, del PK 18+480 al 26+000. Tram: Sant Llorenç d'Hortons-Martorell. Clau: DB-05111</v>
      </c>
      <c r="I4" s="6">
        <f>Total!I492</f>
        <v>714000</v>
      </c>
    </row>
    <row r="5" spans="1:9" x14ac:dyDescent="0.2">
      <c r="A5" s="8">
        <f t="shared" si="0"/>
        <v>4</v>
      </c>
      <c r="B5" s="9">
        <f>Total!B493</f>
        <v>40891</v>
      </c>
      <c r="C5" s="9">
        <f>Total!C493</f>
        <v>40938</v>
      </c>
      <c r="D5" s="34" t="str">
        <f>Total!D493</f>
        <v>GISA</v>
      </c>
      <c r="E5" s="34" t="str">
        <f>Total!E493</f>
        <v>Obra Civil</v>
      </c>
      <c r="F5" s="34" t="str">
        <f>Total!F493</f>
        <v>Projectes</v>
      </c>
      <c r="G5" s="34" t="str">
        <f>Total!G493</f>
        <v>PC. AG-07040</v>
      </c>
      <c r="H5" s="34" t="str">
        <f>Total!H493</f>
        <v>Contracte de serveis per a l'assistència tècnica per a la redacció del projecte constructiu de millora general. Condicionament de la carretera GI-643, del PK 0+000 al 7+882, i la GI-642, del PK 0+000 al 3+512. Tram: Gualta - La Pera. Clau: AG-07040</v>
      </c>
      <c r="I5" s="6">
        <f>Total!I493</f>
        <v>341600</v>
      </c>
    </row>
    <row r="6" spans="1:9" x14ac:dyDescent="0.2">
      <c r="A6" s="8">
        <f t="shared" si="0"/>
        <v>5</v>
      </c>
      <c r="B6" s="9">
        <f>Total!B494</f>
        <v>40893</v>
      </c>
      <c r="C6" s="9">
        <f>Total!C494</f>
        <v>40910</v>
      </c>
      <c r="D6" s="34" t="str">
        <f>Total!D494</f>
        <v>GISA</v>
      </c>
      <c r="E6" s="34" t="str">
        <f>Total!E494</f>
        <v>Obra Civil</v>
      </c>
      <c r="F6" s="34" t="str">
        <f>Total!F494</f>
        <v>Projectes</v>
      </c>
      <c r="G6" s="34" t="str">
        <f>Total!G494</f>
        <v>PC. XT-06161</v>
      </c>
      <c r="H6" s="34" t="str">
        <f>Total!H494</f>
        <v>Contracte de serveis per a l'assistència tècnica per a la redacció del projecte constructiu de millora general. Nova carretera d'accés a l'estació del Camp de Tarragona del T.A.V. des de la carretera TP-2031, PK 8+700. Tram: La Secuita-El Catllar. Clau: XT-06161</v>
      </c>
      <c r="I6" s="6">
        <f>Total!I494</f>
        <v>94000</v>
      </c>
    </row>
    <row r="7" spans="1:9" x14ac:dyDescent="0.2">
      <c r="A7" s="8">
        <f>A6+1</f>
        <v>6</v>
      </c>
      <c r="B7" s="9">
        <f>Total!B495</f>
        <v>40897</v>
      </c>
      <c r="C7" s="9">
        <f>Total!C495</f>
        <v>40945</v>
      </c>
      <c r="D7" s="34" t="str">
        <f>Total!D495</f>
        <v>GISA</v>
      </c>
      <c r="E7" s="34" t="str">
        <f>Total!E495</f>
        <v>Obra Civil</v>
      </c>
      <c r="F7" s="34" t="str">
        <f>Total!F495</f>
        <v>Projectes</v>
      </c>
      <c r="G7" s="34" t="str">
        <f>Total!G495</f>
        <v>PC. TM-11228</v>
      </c>
      <c r="H7" s="34" t="str">
        <f>Total!H495</f>
        <v>Contracte de serveis per a l'assistència tècnica per a la redacció del projecte constructiu de l'extensió de la Xarxa TETRA i Xarxa RESCAT de la Línia 9/10 (L9/L10) a les línies L1, L2, L3, L4 i L5 del Metro de Barcelona, i Xarxa RESCAT a la línia L11 del Metro de Barcelona. Clau: TM-11228</v>
      </c>
      <c r="I7" s="6">
        <f>Total!I495</f>
        <v>690000</v>
      </c>
    </row>
    <row r="8" spans="1:9" x14ac:dyDescent="0.2">
      <c r="A8" s="8">
        <f t="shared" ref="A8:A15" si="1">A7+1</f>
        <v>7</v>
      </c>
      <c r="B8" s="9">
        <f>Total!B496</f>
        <v>40900</v>
      </c>
      <c r="C8" s="9">
        <f>Total!C496</f>
        <v>40919</v>
      </c>
      <c r="D8" s="34" t="str">
        <f>Total!D496</f>
        <v>GISA</v>
      </c>
      <c r="E8" s="34" t="str">
        <f>Total!E496</f>
        <v>Obra Civil</v>
      </c>
      <c r="F8" s="34" t="str">
        <f>Total!F496</f>
        <v>Projectes</v>
      </c>
      <c r="G8" s="34" t="str">
        <f>Total!G496</f>
        <v>EV. EP-NB-11052</v>
      </c>
      <c r="H8" s="34" t="str">
        <f>Total!H496</f>
        <v>Contracte de serveis per a l'assistència tècnica per a la redacció de l'estudi previ de millora general. Nova carretera. Estudi de viabilitat tècnica del tram de la carretera C-35 entre la C-58 i la B-140. Tram: Sabadell-Santa Perpètua de Mogoda. Clau: EP-NB-11052</v>
      </c>
      <c r="I8" s="6">
        <f>Total!I496</f>
        <v>120000</v>
      </c>
    </row>
    <row r="9" spans="1:9" x14ac:dyDescent="0.2">
      <c r="A9" s="8">
        <f t="shared" si="1"/>
        <v>8</v>
      </c>
      <c r="B9" s="9">
        <f>Total!B497</f>
        <v>40904</v>
      </c>
      <c r="C9" s="9">
        <f>Total!C497</f>
        <v>40952</v>
      </c>
      <c r="D9" s="34" t="str">
        <f>Total!D497</f>
        <v>GISA</v>
      </c>
      <c r="E9" s="34" t="str">
        <f>Total!E497</f>
        <v>Obra Civil</v>
      </c>
      <c r="F9" s="34" t="str">
        <f>Total!F497</f>
        <v>Projectes</v>
      </c>
      <c r="G9" s="34" t="str">
        <f>Total!G497</f>
        <v>EI. EI-NB-09031</v>
      </c>
      <c r="H9" s="34" t="str">
        <f>Total!H497</f>
        <v>Contracte de serveis per a l'assistència tècnica per a la redacció de l'estudi informatiu de millora general. Nova carretera. Corredor Eix Congost-Vallès Oriental. Ampliació 3r carril de la carretera C-17 del PK 18+100 al 30+250. Tram: Lliçà de Vall-La Garriga. Clau: EI-NB-09031</v>
      </c>
      <c r="I9" s="6">
        <f>Total!I497</f>
        <v>440300</v>
      </c>
    </row>
    <row r="10" spans="1:9" x14ac:dyDescent="0.2">
      <c r="A10" s="8">
        <f t="shared" si="1"/>
        <v>9</v>
      </c>
      <c r="B10" s="9">
        <f>Total!B498</f>
        <v>40904</v>
      </c>
      <c r="C10" s="9">
        <f>Total!C498</f>
        <v>40952</v>
      </c>
      <c r="D10" s="34" t="str">
        <f>Total!D498</f>
        <v>GISA</v>
      </c>
      <c r="E10" s="34" t="str">
        <f>Total!E498</f>
        <v>Obra Civil</v>
      </c>
      <c r="F10" s="34" t="str">
        <f>Total!F498</f>
        <v>Projectes</v>
      </c>
      <c r="G10" s="34" t="str">
        <f>Total!G498</f>
        <v>PC. AG-05087</v>
      </c>
      <c r="H10" s="34" t="str">
        <f>Total!H498</f>
        <v>Contracte de serveis per a l'assistència tècnica per a la redacció del projecte constructiu de millora general. Condicionament de la carretera GI-633, del PK 0+000 al 6+290 i del 9+180 al 10+480, i de la carretera GI-634, del PK 6+308 al 0+470. Tram: Sant Julià de Ramis (cruïlla amb la N-II)-Verges. Clau: AG-05087</v>
      </c>
      <c r="I10" s="6">
        <f>Total!I498</f>
        <v>294650</v>
      </c>
    </row>
    <row r="11" spans="1:9" x14ac:dyDescent="0.2">
      <c r="A11" s="8">
        <f t="shared" si="1"/>
        <v>10</v>
      </c>
      <c r="B11" s="9">
        <f>Total!B499</f>
        <v>40905</v>
      </c>
      <c r="C11" s="9">
        <f>Total!C499</f>
        <v>40959</v>
      </c>
      <c r="D11" s="34" t="str">
        <f>Total!D499</f>
        <v>GISA</v>
      </c>
      <c r="E11" s="34" t="str">
        <f>Total!E499</f>
        <v>Obra Civil</v>
      </c>
      <c r="F11" s="34" t="str">
        <f>Total!F499</f>
        <v>Projectes</v>
      </c>
      <c r="G11" s="34" t="str">
        <f>Total!G499</f>
        <v>PC. NB-07078.1</v>
      </c>
      <c r="H11" s="34" t="str">
        <f>Total!H499</f>
        <v>Contracte de serveis per a l'assistència tècnica per a la redacció del projecte constructiu de millora general. Nova carretera. Millora de l'accessibilitat a la vialitat urbana de Badalona. Calçada lateral a la C-31 sentit Barcelona, del PK 212+300 al 214+000. Tram: Badalona. Clau: NB-07078.1</v>
      </c>
      <c r="I11" s="6">
        <f>Total!I499</f>
        <v>294650</v>
      </c>
    </row>
    <row r="12" spans="1:9" x14ac:dyDescent="0.2">
      <c r="A12" s="8">
        <f t="shared" si="1"/>
        <v>11</v>
      </c>
      <c r="B12" s="9">
        <f>Total!B500</f>
        <v>40905</v>
      </c>
      <c r="C12" s="9">
        <f>Total!C500</f>
        <v>40952</v>
      </c>
      <c r="D12" s="34" t="str">
        <f>Total!D500</f>
        <v>GISA</v>
      </c>
      <c r="E12" s="34" t="str">
        <f>Total!E500</f>
        <v>Obra Civil</v>
      </c>
      <c r="F12" s="34" t="str">
        <f>Total!F500</f>
        <v>Projectes</v>
      </c>
      <c r="G12" s="34" t="str">
        <f>Total!G500</f>
        <v>EI- EI-NB-06162</v>
      </c>
      <c r="H12" s="34" t="str">
        <f>Total!H500</f>
        <v>Contracte de serveis per a l'assistència tècnica per a la redacció de l'estudi informatiu de millora general. Nova carretera. Corredor Eix Congost-Vallès Oriental. Ampliació 3r carril de la carretera C-17 del PK 12+000 al 18+100. Tram: Mollet del Vallès-Lliçà de Vall. Clau: EI-NB-06162</v>
      </c>
      <c r="I12" s="6">
        <f>Total!I500</f>
        <v>427400</v>
      </c>
    </row>
    <row r="13" spans="1:9" x14ac:dyDescent="0.2">
      <c r="A13" s="8">
        <f t="shared" si="1"/>
        <v>12</v>
      </c>
      <c r="B13" s="9">
        <f>Total!B501</f>
        <v>40905</v>
      </c>
      <c r="C13" s="9">
        <f>Total!C501</f>
        <v>40952</v>
      </c>
      <c r="D13" s="34" t="str">
        <f>Total!D501</f>
        <v>GISA</v>
      </c>
      <c r="E13" s="34" t="str">
        <f>Total!E501</f>
        <v>Obra Civil</v>
      </c>
      <c r="F13" s="34" t="str">
        <f>Total!F501</f>
        <v>Projectes</v>
      </c>
      <c r="G13" s="34" t="str">
        <f>Total!G501</f>
        <v>EV. EP-NG-11046</v>
      </c>
      <c r="H13" s="34" t="str">
        <f>Total!H501</f>
        <v>Contracte de serveis per a l'assistència tècnica per a la redacció de l'estudi previ de millora general. Nova carretera. Eixos Parets-Llagostera i Selva-Garrotxa. Carreteres C-35 i C-63. Tram: Hostalric-Maçanet de la Selva-Santa Coloma de Farners. Clau: EP-NG-11046</v>
      </c>
      <c r="I13" s="6">
        <f>Total!I501</f>
        <v>205800</v>
      </c>
    </row>
    <row r="14" spans="1:9" x14ac:dyDescent="0.2">
      <c r="A14" s="8">
        <f t="shared" si="1"/>
        <v>13</v>
      </c>
      <c r="B14" s="9">
        <f>Total!B502</f>
        <v>40906</v>
      </c>
      <c r="C14" s="9">
        <f>Total!C502</f>
        <v>40924</v>
      </c>
      <c r="D14" s="34" t="str">
        <f>Total!D502</f>
        <v>GISA</v>
      </c>
      <c r="E14" s="34" t="str">
        <f>Total!E502</f>
        <v>Obra Civil</v>
      </c>
      <c r="F14" s="34" t="str">
        <f>Total!F502</f>
        <v>Projectes</v>
      </c>
      <c r="G14" s="34" t="str">
        <f>Total!G502</f>
        <v>IA. IA-NB-09031</v>
      </c>
      <c r="H14" s="34" t="str">
        <f>Total!H502</f>
        <v>Contracte de serveis per a l'assistència tècnica per a la redacció de l'estudi d'impacte ambiental de millora general. Nova carretera. Corredor Eix Congost - Vallès Oriental. Ampliació 3r carril de la carretera C-17 del PK 18+100 al 30+250. Tram: Lliçà de Vall - la Garriga. Clau: IA-NB-09031</v>
      </c>
      <c r="I14" s="6">
        <f>Total!I502</f>
        <v>141100</v>
      </c>
    </row>
    <row r="15" spans="1:9" ht="13.5" thickBot="1" x14ac:dyDescent="0.25">
      <c r="A15" s="8">
        <f t="shared" si="1"/>
        <v>14</v>
      </c>
      <c r="B15" s="9">
        <f>Total!B503</f>
        <v>40906</v>
      </c>
      <c r="C15" s="9">
        <f>Total!C503</f>
        <v>40924</v>
      </c>
      <c r="D15" s="34" t="str">
        <f>Total!D503</f>
        <v>GISA</v>
      </c>
      <c r="E15" s="34" t="str">
        <f>Total!E503</f>
        <v>Obra Civil</v>
      </c>
      <c r="F15" s="34" t="str">
        <f>Total!F503</f>
        <v>Projectes</v>
      </c>
      <c r="G15" s="34" t="str">
        <f>Total!G503</f>
        <v>IA. IA-NB-06162</v>
      </c>
      <c r="H15" s="34" t="str">
        <f>Total!H503</f>
        <v>Contracte de serveis per a l'assistència tècnica per a la redacció de l'estudi d'impacte ambiental de millora general. Nova carretera. Corredor Eix Congost - Vallès Oriental. Ampliació 3r carril de la carretera C-17 del PK 12+000 al 18+100. Tram: Mollet del Vallès - Lliçà de Vall. Clau: IA-NB-06162</v>
      </c>
      <c r="I15" s="6">
        <f>Total!I503</f>
        <v>137100</v>
      </c>
    </row>
    <row r="16" spans="1:9" ht="13.5" thickBot="1" x14ac:dyDescent="0.25">
      <c r="I16" s="33">
        <f>SUM(I2:I15)</f>
        <v>4333261</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8"/>
  <sheetViews>
    <sheetView topLeftCell="B1" workbookViewId="0">
      <selection activeCell="I4" sqref="I4:I7"/>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Total!B484</f>
        <v>40851</v>
      </c>
      <c r="C2" s="9">
        <f>Total!C484</f>
        <v>40868</v>
      </c>
      <c r="D2" s="34" t="str">
        <f>Total!D484</f>
        <v>REGSA</v>
      </c>
      <c r="E2" s="34"/>
      <c r="F2" s="34" t="str">
        <f>Total!F484</f>
        <v>Projectes</v>
      </c>
      <c r="G2" s="34" t="str">
        <f>Total!G484</f>
        <v>PC. PR-08400.3</v>
      </c>
      <c r="H2" s="34" t="str">
        <f>Total!H484</f>
        <v>Contracte de serveis per a l'assistència tècnica per a la redacció del projecte constructiu de la bassa de regulació de Canet del reg del Canal de Pinyana. TM d'Alpicat (Segrià). Clau: PR-08400.3</v>
      </c>
      <c r="I2" s="6">
        <f>Total!I484</f>
        <v>128000</v>
      </c>
    </row>
    <row r="3" spans="1:9" x14ac:dyDescent="0.2">
      <c r="A3" s="8">
        <f>A2+1</f>
        <v>2</v>
      </c>
      <c r="B3" s="72">
        <f>Total!B485</f>
        <v>40855</v>
      </c>
      <c r="C3" s="72">
        <f>Total!C485</f>
        <v>40905</v>
      </c>
      <c r="D3" s="73" t="str">
        <f>Total!D485</f>
        <v>REGSA</v>
      </c>
      <c r="E3" s="73"/>
      <c r="F3" s="73" t="str">
        <f>Total!F485</f>
        <v>Projectes</v>
      </c>
      <c r="G3" s="73" t="str">
        <f>Total!G485</f>
        <v>PC. PR-08400.1</v>
      </c>
      <c r="H3" s="73" t="str">
        <f>Total!H485</f>
        <v>Contracte de serveis per a l'assistència tècnica per a la redacció del projecte constructiu de la modernització del reg del Canal de Pinyana. Captació a la presa de Santa Anna i canonada de transport i distribució fins al pont de la C-26. TM de Castellonroi (Osca) i Alfarràs (Segrià). Clau: PR-08400.1</v>
      </c>
      <c r="I3" s="74">
        <f>Total!I485</f>
        <v>305000</v>
      </c>
    </row>
    <row r="4" spans="1:9" x14ac:dyDescent="0.2">
      <c r="A4" s="8">
        <f t="shared" ref="A4:A7" si="0">A3+1</f>
        <v>3</v>
      </c>
      <c r="B4" s="9">
        <f>Total!B486</f>
        <v>40856</v>
      </c>
      <c r="C4" s="9">
        <f>Total!C486</f>
        <v>40905</v>
      </c>
      <c r="D4" s="34" t="str">
        <f>Total!D486</f>
        <v>GISA</v>
      </c>
      <c r="E4" s="34" t="str">
        <f>Total!E486</f>
        <v>Obra Civil</v>
      </c>
      <c r="F4" s="34" t="str">
        <f>Total!F486</f>
        <v>Projectes</v>
      </c>
      <c r="G4" s="34" t="str">
        <f>Total!G486</f>
        <v>PC. NL-09032</v>
      </c>
      <c r="H4" s="34" t="str">
        <f>Total!H486</f>
        <v>Contracte de serveis per a l'assistència tècnica per a la redacció del projecte constructiu de la millora general. Nova carretera d' Almacelles a Alguaire. De la carretera N-240, PK 112+500, a la futura A-14. Tram: Almacelles-Torrefarrera. Clau: NL-09032</v>
      </c>
      <c r="I4" s="6">
        <f>Total!I486</f>
        <v>349100</v>
      </c>
    </row>
    <row r="5" spans="1:9" x14ac:dyDescent="0.2">
      <c r="A5" s="8">
        <f t="shared" si="0"/>
        <v>4</v>
      </c>
      <c r="B5" s="72">
        <f>Total!B487</f>
        <v>40858</v>
      </c>
      <c r="C5" s="72">
        <f>Total!C487</f>
        <v>40917</v>
      </c>
      <c r="D5" s="73" t="str">
        <f>Total!D487</f>
        <v>GISA</v>
      </c>
      <c r="E5" s="73" t="str">
        <f>Total!E487</f>
        <v>Obra Civil</v>
      </c>
      <c r="F5" s="73" t="str">
        <f>Total!F487</f>
        <v>Projectes</v>
      </c>
      <c r="G5" s="73" t="str">
        <f>Total!G487</f>
        <v>PC. DG-06040.1</v>
      </c>
      <c r="H5" s="73" t="str">
        <f>Total!H487</f>
        <v>Contracte de serveis per a l'assistència tècnica per a la redacció del projecte constructiu de millora general. Desdoblament de la carretera C-66. Enllaç amb al futura autovia A-2 a Sant Julià de Ramis. Tram: Bordils-Medinyà (Sant Julià de Ramis). Clau: DG-06040.1</v>
      </c>
      <c r="I5" s="74">
        <f>Total!I487</f>
        <v>1132000</v>
      </c>
    </row>
    <row r="6" spans="1:9" x14ac:dyDescent="0.2">
      <c r="A6" s="8">
        <f t="shared" si="0"/>
        <v>5</v>
      </c>
      <c r="B6" s="9">
        <f>Total!B488</f>
        <v>40858</v>
      </c>
      <c r="C6" s="9">
        <f>Total!C488</f>
        <v>40875</v>
      </c>
      <c r="D6" s="34" t="str">
        <f>Total!D488</f>
        <v>GISA</v>
      </c>
      <c r="E6" s="34" t="str">
        <f>Total!E488</f>
        <v>Obra Civil</v>
      </c>
      <c r="F6" s="34" t="str">
        <f>Total!F488</f>
        <v>Projectes</v>
      </c>
      <c r="G6" s="34" t="str">
        <f>Total!G488</f>
        <v>EI. EI-NB-07112</v>
      </c>
      <c r="H6" s="34" t="str">
        <f>Total!H488</f>
        <v>Contracte de serveis per a l'assistència tècnica per a la redacció de l'estudi informatiu de millora general. Nova carretera. Calçades laterals a la carretera C-31, del PK 180+500 al 187+100. Tram: Castelldefels-Viladecans. Clau: EI-NB-07112</v>
      </c>
      <c r="I6" s="6">
        <f>Total!I488</f>
        <v>120000</v>
      </c>
    </row>
    <row r="7" spans="1:9" ht="13.5" thickBot="1" x14ac:dyDescent="0.25">
      <c r="A7" s="8">
        <f t="shared" si="0"/>
        <v>6</v>
      </c>
      <c r="B7" s="9">
        <f>Total!B489</f>
        <v>40877</v>
      </c>
      <c r="C7" s="9">
        <f>Total!C489</f>
        <v>40896</v>
      </c>
      <c r="D7" s="34" t="str">
        <f>Total!D489</f>
        <v>GISA</v>
      </c>
      <c r="E7" s="34" t="str">
        <f>Total!E489</f>
        <v>Obra Civil</v>
      </c>
      <c r="F7" s="34" t="str">
        <f>Total!F489</f>
        <v>Projectes</v>
      </c>
      <c r="G7" s="34" t="str">
        <f>Total!G489</f>
        <v>PC. TA-11227</v>
      </c>
      <c r="H7" s="34" t="str">
        <f>Total!H489</f>
        <v>Contracte de serveis per a l'assistència tècnica per a la redacció del projecte constructiu de la nova estació d'autobusos sobre l'estació de l'AVE a Girona. Arquitectura i instal.lacions. Clau: TA-11227</v>
      </c>
      <c r="I7" s="6">
        <f>Total!I489</f>
        <v>175613</v>
      </c>
    </row>
    <row r="8" spans="1:9" ht="13.5" thickBot="1" x14ac:dyDescent="0.25">
      <c r="I8" s="33">
        <f>SUM(I2:I7)</f>
        <v>2209713</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I11"/>
  <sheetViews>
    <sheetView workbookViewId="0">
      <selection activeCell="I11" sqref="I11"/>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Total!B475</f>
        <v>40820</v>
      </c>
      <c r="C2" s="9">
        <f>Total!C475</f>
        <v>40854</v>
      </c>
      <c r="D2" s="34" t="str">
        <f>Total!D475</f>
        <v>GISA</v>
      </c>
      <c r="E2" s="34" t="str">
        <f>Total!E475</f>
        <v>Edificació</v>
      </c>
      <c r="F2" s="34" t="str">
        <f>Total!F475</f>
        <v>Control de Qualitat</v>
      </c>
      <c r="G2" s="34" t="str">
        <f>Total!G475</f>
        <v>CQ. CAP-07985</v>
      </c>
      <c r="H2" s="34" t="str">
        <f>Total!H475</f>
        <v>Contracte de serveis per l'assistència tècnica al control de qualitat de les obres de construcció del Centre d'Atenció Primària de Prats de Lluçanès. Clau: CAP-07985</v>
      </c>
      <c r="I2" s="6">
        <f>Total!I475</f>
        <v>30474.959999999999</v>
      </c>
    </row>
    <row r="3" spans="1:9" x14ac:dyDescent="0.2">
      <c r="A3" s="8">
        <f>A2+1</f>
        <v>2</v>
      </c>
      <c r="B3" s="9">
        <f>Total!B476</f>
        <v>40820</v>
      </c>
      <c r="C3" s="9">
        <f>Total!C476</f>
        <v>40840</v>
      </c>
      <c r="D3" s="34" t="str">
        <f>Total!D476</f>
        <v>GISA</v>
      </c>
      <c r="E3" s="34" t="str">
        <f>Total!E476</f>
        <v>Edificació</v>
      </c>
      <c r="F3" s="34" t="str">
        <f>Total!F476</f>
        <v>Direccions d'Execució</v>
      </c>
      <c r="G3" s="34" t="str">
        <f>Total!G476</f>
        <v>DE. CAP-07985</v>
      </c>
      <c r="H3" s="34" t="str">
        <f>Total!H476</f>
        <v>Contracte de serveis per la direcció d'execució de les obres de construcció del Centre d'Atenció Primària de Prats de Lluçanès. Clau:CAP-07985</v>
      </c>
      <c r="I3" s="6">
        <f>Total!I476</f>
        <v>52000</v>
      </c>
    </row>
    <row r="4" spans="1:9" x14ac:dyDescent="0.2">
      <c r="A4" s="8">
        <f t="shared" ref="A4:A10" si="0">A3+1</f>
        <v>3</v>
      </c>
      <c r="B4" s="9">
        <f>Total!B477</f>
        <v>40829</v>
      </c>
      <c r="C4" s="9">
        <f>Total!C477</f>
        <v>40849</v>
      </c>
      <c r="D4" s="34" t="str">
        <f>Total!D477</f>
        <v>GISA</v>
      </c>
      <c r="E4" s="34" t="str">
        <f>Total!E477</f>
        <v>Edificació</v>
      </c>
      <c r="F4" s="34" t="str">
        <f>Total!F477</f>
        <v>Control de Qualitat</v>
      </c>
      <c r="G4" s="34" t="str">
        <f>Total!G477</f>
        <v>CQ. CAP-07432</v>
      </c>
      <c r="H4" s="34" t="str">
        <f>Total!H477</f>
        <v>Contracte de serveis per a l'assistència tècnica al control de qualitat de les obres per a la Construcció del nou Centre d'Atenció Primària 'Ronda Prim' de Mataró. Clau: CAP-07432</v>
      </c>
      <c r="I4" s="6">
        <f>Total!I477</f>
        <v>78967.520000000004</v>
      </c>
    </row>
    <row r="5" spans="1:9" x14ac:dyDescent="0.2">
      <c r="A5" s="8">
        <f t="shared" si="0"/>
        <v>4</v>
      </c>
      <c r="B5" s="9">
        <f>Total!B478</f>
        <v>40829</v>
      </c>
      <c r="C5" s="9">
        <f>Total!C478</f>
        <v>40849</v>
      </c>
      <c r="D5" s="34" t="str">
        <f>Total!D478</f>
        <v>GISA</v>
      </c>
      <c r="E5" s="34" t="str">
        <f>Total!E478</f>
        <v>Edificació</v>
      </c>
      <c r="F5" s="34" t="str">
        <f>Total!F478</f>
        <v>Direccions d'Execució</v>
      </c>
      <c r="G5" s="34" t="str">
        <f>Total!G478</f>
        <v>DE. PAV-07349</v>
      </c>
      <c r="H5" s="34" t="str">
        <f>Total!H478</f>
        <v>Contracte de serveis per a la direcció d'execució de les obres de reforma i ampliació Escola a 2 línies primària 'La Trama' de Sabadell (Vallès Occidental). Clau: PAV-07349</v>
      </c>
      <c r="I5" s="6">
        <f>Total!I478</f>
        <v>132000</v>
      </c>
    </row>
    <row r="6" spans="1:9" x14ac:dyDescent="0.2">
      <c r="A6" s="8">
        <f t="shared" si="0"/>
        <v>5</v>
      </c>
      <c r="B6" s="9">
        <f>Total!B479</f>
        <v>40830</v>
      </c>
      <c r="C6" s="9">
        <f>Total!C479</f>
        <v>40889</v>
      </c>
      <c r="D6" s="34" t="str">
        <f>Total!D479</f>
        <v>GISA</v>
      </c>
      <c r="E6" s="34" t="str">
        <f>Total!E479</f>
        <v>Edificació</v>
      </c>
      <c r="F6" s="34" t="str">
        <f>Total!F479</f>
        <v>Direccions d'Execució</v>
      </c>
      <c r="G6" s="34" t="str">
        <f>Total!G479</f>
        <v>DE. CAP-07432</v>
      </c>
      <c r="H6" s="34" t="str">
        <f>Total!H479</f>
        <v>Contracte de serveis per a la direcció d'execució de les obres de construcció del nou Centre d'Atenció Primària 'Ronda Prim' de Mataró. Clau: CAP-07432</v>
      </c>
      <c r="I6" s="6">
        <f>Total!I479</f>
        <v>206000</v>
      </c>
    </row>
    <row r="7" spans="1:9" x14ac:dyDescent="0.2">
      <c r="A7" s="8">
        <f t="shared" si="0"/>
        <v>6</v>
      </c>
      <c r="B7" s="9">
        <f>Total!B480</f>
        <v>40830</v>
      </c>
      <c r="C7" s="9">
        <f>Total!C480</f>
        <v>40849</v>
      </c>
      <c r="D7" s="34" t="str">
        <f>Total!D480</f>
        <v>GISA</v>
      </c>
      <c r="E7" s="34" t="str">
        <f>Total!E480</f>
        <v>Edificació</v>
      </c>
      <c r="F7" s="34" t="str">
        <f>Total!F480</f>
        <v>Control de Qualitat</v>
      </c>
      <c r="G7" s="34" t="str">
        <f>Total!G480</f>
        <v>CQ. PAV-07349</v>
      </c>
      <c r="H7" s="34" t="str">
        <f>Total!H480</f>
        <v>Contracte de serveis per a l'assistència tècnica al control de qualitat de les obres de reforma i ampliació Escola a 2 línies primària 'La Trama' de Sabadell (Vallès Occidental). Clau:PAV-07349</v>
      </c>
      <c r="I7" s="6">
        <f>Total!I480</f>
        <v>48872.99</v>
      </c>
    </row>
    <row r="8" spans="1:9" x14ac:dyDescent="0.2">
      <c r="A8" s="8">
        <f t="shared" si="0"/>
        <v>7</v>
      </c>
      <c r="B8" s="9">
        <f>Total!B481</f>
        <v>40830</v>
      </c>
      <c r="C8" s="9">
        <f>Total!C481</f>
        <v>40889</v>
      </c>
      <c r="D8" s="34" t="str">
        <f>Total!D481</f>
        <v>GISA</v>
      </c>
      <c r="E8" s="34" t="str">
        <f>Total!E481</f>
        <v>Obra Civil</v>
      </c>
      <c r="F8" s="34" t="str">
        <f>Total!F481</f>
        <v>Projectes</v>
      </c>
      <c r="G8" s="34" t="str">
        <f>Total!G481</f>
        <v>EI. TF-11225</v>
      </c>
      <c r="H8" s="34" t="str">
        <f>Total!H481</f>
        <v>Contracte de serveis per a l'assistència tècnica per a la redacció de l'estudi informatiu de Perllongament de la línia Llobregat - Anoia dels FGC. Tram: Plaça Espanya - Gràcia. Clau: EI-TF-11225</v>
      </c>
      <c r="I8" s="6">
        <f>Total!I481</f>
        <v>608206</v>
      </c>
    </row>
    <row r="9" spans="1:9" x14ac:dyDescent="0.2">
      <c r="A9" s="8">
        <f t="shared" si="0"/>
        <v>8</v>
      </c>
      <c r="B9" s="9">
        <f>Total!B482</f>
        <v>40830</v>
      </c>
      <c r="C9" s="9">
        <f>Total!C482</f>
        <v>40854</v>
      </c>
      <c r="D9" s="34" t="str">
        <f>Total!D482</f>
        <v>GISA</v>
      </c>
      <c r="E9" s="34" t="str">
        <f>Total!E482</f>
        <v>Obra Civil</v>
      </c>
      <c r="F9" s="34" t="str">
        <f>Total!F482</f>
        <v>Projectes</v>
      </c>
      <c r="G9" s="34" t="str">
        <f>Total!G482</f>
        <v xml:space="preserve">IA. TF-11225 </v>
      </c>
      <c r="H9" s="34" t="str">
        <f>Total!H482</f>
        <v>Contracte de serveis per a l'assistència tècnica per a la redacció de l'estudi d'impacte ambiental de Perllongament de la línia Llobregat-Anoia dels FGC. Tram: Plaça Espanya-Gràcia. Clau: IA-TF-11225</v>
      </c>
      <c r="I9" s="6">
        <f>Total!I482</f>
        <v>101367</v>
      </c>
    </row>
    <row r="10" spans="1:9" ht="13.5" thickBot="1" x14ac:dyDescent="0.25">
      <c r="A10" s="8">
        <f t="shared" si="0"/>
        <v>9</v>
      </c>
      <c r="B10" s="9">
        <f>Total!B483</f>
        <v>40836</v>
      </c>
      <c r="C10" s="9">
        <f>Total!C483</f>
        <v>40889</v>
      </c>
      <c r="D10" s="34" t="str">
        <f>Total!D483</f>
        <v>GISA</v>
      </c>
      <c r="E10" s="34" t="str">
        <f>Total!E483</f>
        <v>Obra Civil</v>
      </c>
      <c r="F10" s="34" t="str">
        <f>Total!F483</f>
        <v>Projectes</v>
      </c>
      <c r="G10" s="34" t="str">
        <f>Total!G483</f>
        <v>EI.PB.PC. B-TX-11024 i TX-11024</v>
      </c>
      <c r="H10" s="34" t="str">
        <f>Total!H483</f>
        <v>Contracte de serveis per a l'assistència tècnica per a la redacció de l'estudi informatiu, del projecte bàsic i del projecte constructiu de la nova estació a la L.A.V. Barcelona-Frontera Francesa per a l'aeroport de Girona. Claus: EI-TX-11024, B-TX-11024 i TX-11024</v>
      </c>
      <c r="I10" s="6">
        <f>Total!I483</f>
        <v>515680</v>
      </c>
    </row>
    <row r="11" spans="1:9" ht="13.5" thickBot="1" x14ac:dyDescent="0.25">
      <c r="I11" s="33">
        <f>SUM(I2:I10)</f>
        <v>1773568.47</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I9"/>
  <sheetViews>
    <sheetView workbookViewId="0">
      <selection activeCell="I9" sqref="I9"/>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Total!B468</f>
        <v>40792</v>
      </c>
      <c r="C2" s="9">
        <f>Total!C468</f>
        <v>40807</v>
      </c>
      <c r="D2" s="34" t="str">
        <f>Total!D468</f>
        <v>GISA</v>
      </c>
      <c r="E2" s="34" t="str">
        <f>Total!E468</f>
        <v>Obra Civil</v>
      </c>
      <c r="F2" s="34" t="str">
        <f>Total!F468</f>
        <v>Projectes</v>
      </c>
      <c r="G2" s="34" t="str">
        <f>Total!G468</f>
        <v>EI.EI-NB-07041</v>
      </c>
      <c r="H2" s="34" t="str">
        <f>Total!H468</f>
        <v>Contracte de serveis per a l'assistència tècnica per a la redacció de l'estudi informatiu de millora general. Nova carretera. Via interpolar des de Can Sant Joan fins al Nus de Sant Pau. Tram: Sant Cugat del Vallès-Sabadell. Clau: EI-NB-07041</v>
      </c>
      <c r="I2" s="6">
        <f>Total!I468</f>
        <v>84945.52</v>
      </c>
    </row>
    <row r="3" spans="1:9" x14ac:dyDescent="0.2">
      <c r="A3" s="8">
        <f>A2+1</f>
        <v>2</v>
      </c>
      <c r="B3" s="9">
        <f>Total!B469</f>
        <v>40792</v>
      </c>
      <c r="C3" s="9">
        <f>Total!C469</f>
        <v>40807</v>
      </c>
      <c r="D3" s="34" t="str">
        <f>Total!D469</f>
        <v>GISA</v>
      </c>
      <c r="E3" s="34" t="str">
        <f>Total!E469</f>
        <v>Obra Civil</v>
      </c>
      <c r="F3" s="34" t="str">
        <f>Total!F469</f>
        <v>Projectes</v>
      </c>
      <c r="G3" s="34" t="str">
        <f>Total!G469</f>
        <v>EI. EI-VL-11035</v>
      </c>
      <c r="H3" s="34" t="str">
        <f>Total!H469</f>
        <v>Contracte de serveis per a l'assistència tècnica per a la redacció de l'estudi informatiu de millora general. Variant de Vilamitjana. Carretera C-1412b, del PK 55+000 al 58+000. Tram: Tremp. Clau: EI-VL-11035</v>
      </c>
      <c r="I3" s="6">
        <f>Total!I469</f>
        <v>75500</v>
      </c>
    </row>
    <row r="4" spans="1:9" x14ac:dyDescent="0.2">
      <c r="A4" s="8">
        <f>A3+1</f>
        <v>3</v>
      </c>
      <c r="B4" s="9">
        <f>Total!B470</f>
        <v>40792</v>
      </c>
      <c r="C4" s="9">
        <f>Total!C470</f>
        <v>40807</v>
      </c>
      <c r="D4" s="34" t="str">
        <f>Total!D470</f>
        <v>GISA</v>
      </c>
      <c r="E4" s="34" t="str">
        <f>Total!E470</f>
        <v>Obra Civil</v>
      </c>
      <c r="F4" s="34" t="str">
        <f>Total!F470</f>
        <v>Projectes</v>
      </c>
      <c r="G4" s="34" t="str">
        <f>Total!G470</f>
        <v>EI.EI-VL-11036</v>
      </c>
      <c r="H4" s="34" t="str">
        <f>Total!H470</f>
        <v>Contracte de serveis per a l'assistència tècnica per a la redacció de l'estudi informatiu de millora general. Variant de Cubells. Carretera C-26, del PK 38+600 al 42+000. Tram: Cubells. Clau: EI-VL-11036</v>
      </c>
      <c r="I4" s="6">
        <f>Total!I470</f>
        <v>79400</v>
      </c>
    </row>
    <row r="5" spans="1:9" x14ac:dyDescent="0.2">
      <c r="A5" s="8">
        <f t="shared" ref="A5:A8" si="0">A4+1</f>
        <v>4</v>
      </c>
      <c r="B5" s="9">
        <f>Total!B471</f>
        <v>40800</v>
      </c>
      <c r="C5" s="9">
        <f>Total!C471</f>
        <v>40835</v>
      </c>
      <c r="D5" s="34" t="str">
        <f>Total!D471</f>
        <v>GISA</v>
      </c>
      <c r="E5" s="34" t="str">
        <f>Total!E471</f>
        <v>Obra Civil</v>
      </c>
      <c r="F5" s="34" t="str">
        <f>Total!F471</f>
        <v>Projectes</v>
      </c>
      <c r="G5" s="34" t="str">
        <f>Total!G471</f>
        <v>PC. AT-05097.1</v>
      </c>
      <c r="H5" s="34" t="str">
        <f>Total!H471</f>
        <v>Contracte de serveis per a l'assistència tècnica per a la redacció del projecte constructiu de millora general. Condicionament de la carretera C-241d, del PK 0+000 al 14+000. Tram: Montblanc-Rocafort de Queralt. Clau:AT-05097.1</v>
      </c>
      <c r="I5" s="6">
        <f>Total!I471</f>
        <v>383600</v>
      </c>
    </row>
    <row r="6" spans="1:9" x14ac:dyDescent="0.2">
      <c r="A6" s="8">
        <f t="shared" si="0"/>
        <v>5</v>
      </c>
      <c r="B6" s="9">
        <f>Total!B472</f>
        <v>40800</v>
      </c>
      <c r="C6" s="9">
        <f>Total!C472</f>
        <v>40835</v>
      </c>
      <c r="D6" s="34" t="str">
        <f>Total!D472</f>
        <v>GISA</v>
      </c>
      <c r="E6" s="34" t="str">
        <f>Total!E472</f>
        <v>Obra Civil</v>
      </c>
      <c r="F6" s="34" t="str">
        <f>Total!F472</f>
        <v>Projectes</v>
      </c>
      <c r="G6" s="34" t="str">
        <f>Total!G472</f>
        <v>PC. AT-05097.2</v>
      </c>
      <c r="H6" s="34" t="str">
        <f>Total!H472</f>
        <v>Contracte de serveis per a l'assistència tècnica per a la redacció del projecte constructiu de millora general. Condicionament de la carretera C-241d, del PK 14+000 al 24+650. Tram: Rocafort de Queralt-Santa Coloma de Queralt. Clau:AT-05097.2</v>
      </c>
      <c r="I6" s="6">
        <f>Total!I472</f>
        <v>353000</v>
      </c>
    </row>
    <row r="7" spans="1:9" x14ac:dyDescent="0.2">
      <c r="A7" s="8">
        <f t="shared" si="0"/>
        <v>6</v>
      </c>
      <c r="B7" s="9">
        <f>Total!B473</f>
        <v>40800</v>
      </c>
      <c r="C7" s="9">
        <f>Total!C473</f>
        <v>40835</v>
      </c>
      <c r="D7" s="34" t="str">
        <f>Total!D473</f>
        <v>GISA</v>
      </c>
      <c r="E7" s="34" t="str">
        <f>Total!E473</f>
        <v>Obra Civil</v>
      </c>
      <c r="F7" s="34" t="str">
        <f>Total!F473</f>
        <v>Projectes</v>
      </c>
      <c r="G7" s="34" t="str">
        <f>Total!G473</f>
        <v>PC. VT-05097.3</v>
      </c>
      <c r="H7" s="34" t="str">
        <f>Total!H473</f>
        <v>Contracte de serveis per a l'assistència tècnica per a la redacció del projecte constructiu de millora general. Variant de Santa Coloma de Queralt. Carretera C-241d, del PK 24+650 al 27+1.100. Tram: Santa Coloma de Queralt. Clau: VT-05097.3</v>
      </c>
      <c r="I7" s="6">
        <f>Total!I473</f>
        <v>314000</v>
      </c>
    </row>
    <row r="8" spans="1:9" ht="13.5" thickBot="1" x14ac:dyDescent="0.25">
      <c r="A8" s="8">
        <f t="shared" si="0"/>
        <v>7</v>
      </c>
      <c r="B8" s="64">
        <f>Total!B474</f>
        <v>40815</v>
      </c>
      <c r="C8" s="64">
        <f>Total!C474</f>
        <v>40868</v>
      </c>
      <c r="D8" s="65" t="str">
        <f>Total!D474</f>
        <v>GISA</v>
      </c>
      <c r="E8" s="65" t="str">
        <f>Total!E474</f>
        <v>Obra Civil</v>
      </c>
      <c r="F8" s="65" t="str">
        <f>Total!F474</f>
        <v>Direccions d'Obra</v>
      </c>
      <c r="G8" s="65" t="str">
        <f>Total!G474</f>
        <v>AU.TF-03474.1R</v>
      </c>
      <c r="H8" s="65" t="str">
        <f>Total!H474</f>
        <v>Contracte de serveis per a l'assistència tècnica per al monitoratge de les obres corresponents a les galeries entre túnels i altres del perllongament dels FGC a Terrassa entre Rambla d'Ègara i Can Roca. Clau: AU.TF-03474.1R</v>
      </c>
      <c r="I8" s="66">
        <f>Total!I474</f>
        <v>294141.56</v>
      </c>
    </row>
    <row r="9" spans="1:9" ht="13.5" thickBot="1" x14ac:dyDescent="0.25">
      <c r="I9" s="33">
        <f>SUM(I2:I8)-I8</f>
        <v>1290445.52</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5"/>
  <sheetViews>
    <sheetView topLeftCell="C1" zoomScale="125" zoomScaleNormal="125" zoomScalePageLayoutView="125" workbookViewId="0">
      <selection activeCell="I5" sqref="I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Total!B465</f>
        <v>40759</v>
      </c>
      <c r="C2" s="9">
        <f>Total!C465</f>
        <v>40809</v>
      </c>
      <c r="D2" s="34" t="str">
        <f>Total!D465</f>
        <v>GISA</v>
      </c>
      <c r="E2" s="34" t="str">
        <f>Total!E465</f>
        <v>Subministrament i Serveis</v>
      </c>
      <c r="F2" s="34" t="str">
        <f>Total!F465</f>
        <v>Subministrament i Serveis</v>
      </c>
      <c r="G2" s="34" t="str">
        <f>Total!G465</f>
        <v>Servei suport usuaris i gestió TIC</v>
      </c>
      <c r="H2" s="34" t="str">
        <f>Total!H465</f>
        <v>Contracte de serveis per al suport a usuaris, gestió i administració de la infraestructura TIC de GISA, REGSA, IFERCAT i REGSEGA</v>
      </c>
      <c r="I2" s="6">
        <f>Total!I465</f>
        <v>800000</v>
      </c>
    </row>
    <row r="3" spans="1:9" x14ac:dyDescent="0.2">
      <c r="A3" s="8">
        <f>A2+1</f>
        <v>2</v>
      </c>
      <c r="B3" s="9">
        <f>Total!B466</f>
        <v>40771</v>
      </c>
      <c r="C3" s="9">
        <f>Total!C466</f>
        <v>40819</v>
      </c>
      <c r="D3" s="34" t="str">
        <f>Total!D466</f>
        <v>GISA</v>
      </c>
      <c r="E3" s="34" t="str">
        <f>Total!E466</f>
        <v>Edificació</v>
      </c>
      <c r="F3" s="34" t="str">
        <f>Total!F466</f>
        <v>Projectes i Direccions d'Obra</v>
      </c>
      <c r="G3" s="34" t="str">
        <f>Total!G466</f>
        <v>PE+DO. PNG-10091 2v</v>
      </c>
      <c r="H3" s="34" t="str">
        <f>Total!H466</f>
        <v>Contracte de serveis per a l'assistència tècnica per a la redacció del projecte bàsic i d'execució, la certificació d'eficiència energètica del projecte, l'estudi de seguretat i salut, l'estudi geotècnic, el projecte d'activitats per a la llicència ambiental i posterior Direcció d'Obra i certificació d'eficiència energètica de final d'obra corresponent a la Nova Construcció de l'Escola Pirineu, de Campdevànol. Clau: PNG-10091 (2v)</v>
      </c>
      <c r="I3" s="6">
        <f>Total!I466</f>
        <v>279800</v>
      </c>
    </row>
    <row r="4" spans="1:9" ht="13.5" thickBot="1" x14ac:dyDescent="0.25">
      <c r="A4" s="8">
        <f>A3+1</f>
        <v>3</v>
      </c>
      <c r="B4" s="9">
        <f>Total!B467</f>
        <v>40784</v>
      </c>
      <c r="C4" s="9">
        <f>Total!C467</f>
        <v>40799</v>
      </c>
      <c r="D4" s="34" t="str">
        <f>Total!D467</f>
        <v>GISA</v>
      </c>
      <c r="E4" s="34" t="str">
        <f>Total!E467</f>
        <v>Obra Civil</v>
      </c>
      <c r="F4" s="34" t="str">
        <f>Total!F467</f>
        <v>Direccions d'Obra</v>
      </c>
      <c r="G4" s="34" t="str">
        <f>Total!G467</f>
        <v>AU. TM-05605.A</v>
      </c>
      <c r="H4" s="34" t="str">
        <f>Total!H467</f>
        <v>Contracte de serveis per a l'assistència tècnica per a l'auscultació, monitorització topogràfica i estructural de les obres d'adaptació a la normativa i millora de l'accessibilitat de l'estació de Virrei Amat de la línia 5 de l'FMB. Clau: TM-05605.A</v>
      </c>
      <c r="I4" s="6">
        <f>Total!I467</f>
        <v>140619.09</v>
      </c>
    </row>
    <row r="5" spans="1:9" ht="13.5" thickBot="1" x14ac:dyDescent="0.25">
      <c r="I5" s="33">
        <f>SUM(I2:I4)</f>
        <v>1220419.0900000001</v>
      </c>
    </row>
  </sheetData>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I24"/>
  <sheetViews>
    <sheetView workbookViewId="0">
      <selection activeCell="A11" sqref="A11"/>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Total!B443</f>
        <v>40725</v>
      </c>
      <c r="C2" s="9">
        <f>Total!C443</f>
        <v>40763</v>
      </c>
      <c r="D2" s="34" t="str">
        <f>Total!D443</f>
        <v>GISA</v>
      </c>
      <c r="E2" s="34" t="str">
        <f>Total!E443</f>
        <v>Obra Civil</v>
      </c>
      <c r="F2" s="34" t="str">
        <f>Total!F443</f>
        <v>Projectes</v>
      </c>
      <c r="G2" s="34" t="str">
        <f>Total!G443</f>
        <v>PC. TF-02676.4</v>
      </c>
      <c r="H2" s="34" t="str">
        <f>Total!H443</f>
        <v>Contracte de serveis per a l'assistència tècnica per a la redacció del projecte constructiu del perllongament de la línia d'FGC a Sabadell. Arquitectura i instal.lacions de les estacions Sabadell Estació i Plaça Major. Clau: TF-02676.4</v>
      </c>
      <c r="I2" s="6">
        <f>Total!I443</f>
        <v>535200</v>
      </c>
    </row>
    <row r="3" spans="1:9" x14ac:dyDescent="0.2">
      <c r="A3" s="8">
        <f>A2+1</f>
        <v>2</v>
      </c>
      <c r="B3" s="9">
        <f>Total!B444</f>
        <v>40725</v>
      </c>
      <c r="C3" s="9">
        <f>Total!C444</f>
        <v>40763</v>
      </c>
      <c r="D3" s="34" t="str">
        <f>Total!D444</f>
        <v>GISA</v>
      </c>
      <c r="E3" s="34" t="str">
        <f>Total!E444</f>
        <v>Obra Civil</v>
      </c>
      <c r="F3" s="34" t="str">
        <f>Total!F444</f>
        <v>Projectes</v>
      </c>
      <c r="G3" s="34" t="str">
        <f>Total!G444</f>
        <v>PC. TF-02676.5</v>
      </c>
      <c r="H3" s="34" t="str">
        <f>Total!H444</f>
        <v>Contracte de serveis per a l'assistència tècnica per a la redacció del projecte constructiu del perllongament de la línia d'FGC a Sabadell. Arquitectura i instal.lacions de les estacions Eix Macià i Plaça Espanya. Clau: TF-02676.5</v>
      </c>
      <c r="I3" s="6">
        <f>Total!I444</f>
        <v>535200</v>
      </c>
    </row>
    <row r="4" spans="1:9" x14ac:dyDescent="0.2">
      <c r="A4" s="8">
        <f>A3+1</f>
        <v>3</v>
      </c>
      <c r="B4" s="9">
        <f>Total!B445</f>
        <v>40725</v>
      </c>
      <c r="C4" s="9">
        <f>Total!C445</f>
        <v>40763</v>
      </c>
      <c r="D4" s="34" t="str">
        <f>Total!D445</f>
        <v>GISA</v>
      </c>
      <c r="E4" s="34" t="str">
        <f>Total!E445</f>
        <v>Obra Civil</v>
      </c>
      <c r="F4" s="34" t="str">
        <f>Total!F445</f>
        <v>Projectes</v>
      </c>
      <c r="G4" s="34" t="str">
        <f>Total!G445</f>
        <v>PC. TF-02676.6</v>
      </c>
      <c r="H4" s="34" t="str">
        <f>Total!H445</f>
        <v>Contracte de serveis per a l'assistència tècnica per a la redacció del projecte constructiu del perllongament de la línia d'FGC a Sabadell. Alimentació elèctrica, comunicacions i instal.lacions no ferroviàries del túnel. Clau: TF-02676.6</v>
      </c>
      <c r="I4" s="6">
        <f>Total!I445</f>
        <v>310500</v>
      </c>
    </row>
    <row r="5" spans="1:9" x14ac:dyDescent="0.2">
      <c r="A5" s="8">
        <f t="shared" ref="A5:A23" si="0">A4+1</f>
        <v>4</v>
      </c>
      <c r="B5" s="9">
        <f>Total!B446</f>
        <v>40725</v>
      </c>
      <c r="C5" s="9">
        <f>Total!C446</f>
        <v>40763</v>
      </c>
      <c r="D5" s="34" t="str">
        <f>Total!D446</f>
        <v>GISA</v>
      </c>
      <c r="E5" s="34" t="str">
        <f>Total!E446</f>
        <v>Obra Civil</v>
      </c>
      <c r="F5" s="34" t="str">
        <f>Total!F446</f>
        <v>Projectes</v>
      </c>
      <c r="G5" s="34" t="str">
        <f>Total!G446</f>
        <v>PC. TF-02676.9</v>
      </c>
      <c r="H5" s="34" t="str">
        <f>Total!H446</f>
        <v>Contracte de serveis per a l'assistència tècnica per a la redacció del projecte constructiu del perllongament de la línia d'FGC a Sabadell. Arquitectura i instal.lacions de l'estació Ca N'Oriach i de les cotxeres. Clau: TF-02676.9</v>
      </c>
      <c r="I5" s="6">
        <f>Total!I446</f>
        <v>392800</v>
      </c>
    </row>
    <row r="6" spans="1:9" x14ac:dyDescent="0.2">
      <c r="A6" s="8">
        <f t="shared" si="0"/>
        <v>5</v>
      </c>
      <c r="B6" s="9">
        <f>Total!B447</f>
        <v>40739</v>
      </c>
      <c r="C6" s="9">
        <f>Total!C447</f>
        <v>40787</v>
      </c>
      <c r="D6" s="34" t="str">
        <f>Total!D447</f>
        <v>GISA</v>
      </c>
      <c r="E6" s="34" t="str">
        <f>Total!E447</f>
        <v>Obra Civil</v>
      </c>
      <c r="F6" s="34" t="str">
        <f>Total!F447</f>
        <v>Projectes</v>
      </c>
      <c r="G6" s="34" t="str">
        <f>Total!G447</f>
        <v>EI. EI-AG-03020.4</v>
      </c>
      <c r="H6" s="34" t="str">
        <f>Total!H447</f>
        <v>Contracte de serveis per a l'assistència tècnica per a la redacció de l'estudi informatiu de millora general. Condicionament. Corredor Brugent-Ter. Carretera N-141e, PK 106+200 al 112+000. Tram: Bescanó-Salt. Clau: EI-AG-03020.4</v>
      </c>
      <c r="I6" s="6">
        <f>Total!I447</f>
        <v>90181.38</v>
      </c>
    </row>
    <row r="7" spans="1:9" x14ac:dyDescent="0.2">
      <c r="A7" s="8">
        <f t="shared" si="0"/>
        <v>6</v>
      </c>
      <c r="B7" s="64">
        <f>Total!B448</f>
        <v>40739</v>
      </c>
      <c r="C7" s="64">
        <f>Total!C448</f>
        <v>40787</v>
      </c>
      <c r="D7" s="65" t="str">
        <f>Total!D448</f>
        <v>GISA</v>
      </c>
      <c r="E7" s="65" t="str">
        <f>Total!E448</f>
        <v>Obra Civil</v>
      </c>
      <c r="F7" s="65" t="str">
        <f>Total!F448</f>
        <v>Projectes</v>
      </c>
      <c r="G7" s="65" t="str">
        <f>Total!G448</f>
        <v>EC.EC14</v>
      </c>
      <c r="H7" s="65" t="str">
        <f>Total!H448</f>
        <v>Contracte de serveis per a l'assistència tècnica per a la realització dels treballs de cartografia corresponents als estudis i projectes d'obra civil. Clau: EC14</v>
      </c>
      <c r="I7" s="66">
        <f>Total!I448</f>
        <v>185000</v>
      </c>
    </row>
    <row r="8" spans="1:9" x14ac:dyDescent="0.2">
      <c r="A8" s="8">
        <f t="shared" si="0"/>
        <v>7</v>
      </c>
      <c r="B8" s="9">
        <f>Total!B449</f>
        <v>40745</v>
      </c>
      <c r="C8" s="9">
        <f>Total!C449</f>
        <v>40787</v>
      </c>
      <c r="D8" s="34" t="str">
        <f>Total!D449</f>
        <v>GISA</v>
      </c>
      <c r="E8" s="34" t="str">
        <f>Total!E449</f>
        <v>Obra Civil</v>
      </c>
      <c r="F8" s="34" t="str">
        <f>Total!F449</f>
        <v>Projectes</v>
      </c>
      <c r="G8" s="34" t="str">
        <f>Total!G449</f>
        <v>EI. EI-XG-10028</v>
      </c>
      <c r="H8" s="34" t="str">
        <f>Total!H449</f>
        <v>Contracte de serveis per a l'assistència tècnica per a la redacció de l'estudi informatiu de millora general. Nova carretera. Ronda sud de Figueres. Des del PK 379+700 de la carretera C-31 fins a l'estació de Figueres del TGV. Tram: el Far d'Empordà-Vilafant. Clau: EI-XG-10028</v>
      </c>
      <c r="I8" s="6">
        <f>Total!I449</f>
        <v>70700</v>
      </c>
    </row>
    <row r="9" spans="1:9" x14ac:dyDescent="0.2">
      <c r="A9" s="8">
        <f t="shared" si="0"/>
        <v>8</v>
      </c>
      <c r="B9" s="9">
        <f>Total!B450</f>
        <v>40746</v>
      </c>
      <c r="C9" s="9">
        <f>Total!C450</f>
        <v>40798</v>
      </c>
      <c r="D9" s="34" t="str">
        <f>Total!D450</f>
        <v>GISA</v>
      </c>
      <c r="E9" s="34" t="str">
        <f>Total!E450</f>
        <v>Obra Civil</v>
      </c>
      <c r="F9" s="34" t="str">
        <f>Total!F450</f>
        <v>Projectes</v>
      </c>
      <c r="G9" s="34" t="str">
        <f>Total!G450</f>
        <v>PC. AL-02134.1</v>
      </c>
      <c r="H9" s="34" t="str">
        <f>Total!H450</f>
        <v>Contracte de serveis per a l'assistència tècnica per a la redacció del projecte constructiu de millora general. Condicionament del pas de Comiols. Carreteres C-14, L-512 i C-1412b. Tram: Artesa de Segre. Clau: AL-02134.1</v>
      </c>
      <c r="I9" s="6">
        <f>Total!I450</f>
        <v>817400</v>
      </c>
    </row>
    <row r="10" spans="1:9" x14ac:dyDescent="0.2">
      <c r="A10" s="8">
        <f t="shared" si="0"/>
        <v>9</v>
      </c>
      <c r="B10" s="9">
        <f>Total!B451</f>
        <v>40746</v>
      </c>
      <c r="C10" s="9">
        <f>Total!C451</f>
        <v>40787</v>
      </c>
      <c r="D10" s="34" t="str">
        <f>Total!D451</f>
        <v>GISA</v>
      </c>
      <c r="E10" s="34" t="str">
        <f>Total!E451</f>
        <v>Obra Civil</v>
      </c>
      <c r="F10" s="34" t="str">
        <f>Total!F451</f>
        <v>Projectes</v>
      </c>
      <c r="G10" s="34" t="str">
        <f>Total!G451</f>
        <v>EP.EP39</v>
      </c>
      <c r="H10" s="34" t="str">
        <f>Total!H451</f>
        <v>Contracte de serveis per a l'assistència tècnica per a la realització dels treballs de topografia corresponents als estudis i projectes d'obra civil. Clau: EP39</v>
      </c>
      <c r="I10" s="6">
        <f>Total!I451</f>
        <v>192000</v>
      </c>
    </row>
    <row r="11" spans="1:9" x14ac:dyDescent="0.2">
      <c r="A11" s="8">
        <f t="shared" si="0"/>
        <v>10</v>
      </c>
      <c r="B11" s="68">
        <f>Total!B452</f>
        <v>40746</v>
      </c>
      <c r="C11" s="68">
        <f>Total!C452</f>
        <v>40798</v>
      </c>
      <c r="D11" s="70" t="str">
        <f>Total!D452</f>
        <v>GISA</v>
      </c>
      <c r="E11" s="70" t="str">
        <f>Total!E452</f>
        <v>Obra Civil</v>
      </c>
      <c r="F11" s="70" t="str">
        <f>Total!F452</f>
        <v>Projectes</v>
      </c>
      <c r="G11" s="70" t="str">
        <f>Total!G452</f>
        <v>PC. NB-01134.F1</v>
      </c>
      <c r="H11" s="70" t="str">
        <f>Total!H452</f>
        <v>Contracte de serveis per a l'assistència tècnica per a la redacció del projecte constructiu de millora general. Nova carretera. Eix del Llobregat. Implantació d'un tercer carril reversible a la carretera C-16, del PK 96+500 al 117+300. Tram: Berga-Bagà. Clau: NB-01134.F1</v>
      </c>
      <c r="I11" s="69">
        <f>Total!I452</f>
        <v>1200000</v>
      </c>
    </row>
    <row r="12" spans="1:9" x14ac:dyDescent="0.2">
      <c r="A12" s="8">
        <f t="shared" si="0"/>
        <v>11</v>
      </c>
      <c r="B12" s="9">
        <f>Total!B453</f>
        <v>40746</v>
      </c>
      <c r="C12" s="9">
        <f>Total!C453</f>
        <v>40798</v>
      </c>
      <c r="D12" s="34" t="str">
        <f>Total!D453</f>
        <v>GISA</v>
      </c>
      <c r="E12" s="34" t="str">
        <f>Total!E453</f>
        <v>Obra Civil</v>
      </c>
      <c r="F12" s="34" t="str">
        <f>Total!F453</f>
        <v>Projectes</v>
      </c>
      <c r="G12" s="34" t="str">
        <f>Total!G453</f>
        <v>PB.PC. B-TM-11022 i TM-11022</v>
      </c>
      <c r="H12" s="34" t="str">
        <f>Total!H453</f>
        <v>Contracte de serveis per a l'assistència tècnica per a la redacció del projecte bàsic i del projecte constructiu d'actuacions de millora de l'evacuació i de l'accessibilitat de l'intercanviador de l'estació de Plaça de Sants (L1 i L5 d'FMB). Claus: B-TM-11022 i TM-11022</v>
      </c>
      <c r="I12" s="6">
        <f>Total!I453</f>
        <v>375000</v>
      </c>
    </row>
    <row r="13" spans="1:9" x14ac:dyDescent="0.2">
      <c r="A13" s="8">
        <f t="shared" si="0"/>
        <v>12</v>
      </c>
      <c r="B13" s="9">
        <f>Total!B454</f>
        <v>40746</v>
      </c>
      <c r="C13" s="9">
        <f>Total!C454</f>
        <v>40798</v>
      </c>
      <c r="D13" s="34" t="str">
        <f>Total!D454</f>
        <v>GISA</v>
      </c>
      <c r="E13" s="34" t="str">
        <f>Total!E454</f>
        <v>Obra Civil</v>
      </c>
      <c r="F13" s="34" t="str">
        <f>Total!F454</f>
        <v>Projectes</v>
      </c>
      <c r="G13" s="34" t="str">
        <f>Total!G454</f>
        <v>PB. PC. B-TM-11021 i TM-11021</v>
      </c>
      <c r="H13" s="34" t="str">
        <f>Total!H454</f>
        <v>Contracte de serveis per a l'assistència tècnica per a la redacció del projecte bàsic i del projecte constructiu d'actuacions de millora de l'evacuació i de l'accessibilitat de l'intercanviador de l'estació d'Urquinaona (L1 i L4 d'FMB). Claus: B-TM-11021 i TM-11021</v>
      </c>
      <c r="I13" s="6">
        <f>Total!I454</f>
        <v>375000</v>
      </c>
    </row>
    <row r="14" spans="1:9" x14ac:dyDescent="0.2">
      <c r="A14" s="8">
        <f t="shared" si="0"/>
        <v>13</v>
      </c>
      <c r="B14" s="9">
        <f>Total!B455</f>
        <v>40746</v>
      </c>
      <c r="C14" s="9">
        <f>Total!C455</f>
        <v>40798</v>
      </c>
      <c r="D14" s="34" t="str">
        <f>Total!D455</f>
        <v>GISA</v>
      </c>
      <c r="E14" s="34" t="str">
        <f>Total!E455</f>
        <v>Obra Civil</v>
      </c>
      <c r="F14" s="34" t="str">
        <f>Total!F455</f>
        <v>Projectes</v>
      </c>
      <c r="G14" s="34" t="str">
        <f>Total!G455</f>
        <v>B-TM-11016 / PC. TM-11016</v>
      </c>
      <c r="H14" s="34" t="str">
        <f>Total!H455</f>
        <v>Contracte de serveis per a l'assistència tècnica per a la redacció del projecte bàsic i del projecte constructiu d'actuacions de millora de l'evacuació i de l'accessibilitat de l'intercanviador de l'estació de Plaça Espanya (L1 i L3 d'FMB i L8 d'FGC). Clau: B-TM-11016 i TM-11016</v>
      </c>
      <c r="I14" s="6">
        <f>Total!I455</f>
        <v>319400</v>
      </c>
    </row>
    <row r="15" spans="1:9" x14ac:dyDescent="0.2">
      <c r="A15" s="8">
        <f t="shared" si="0"/>
        <v>14</v>
      </c>
      <c r="B15" s="9">
        <f>Total!B456</f>
        <v>40752</v>
      </c>
      <c r="C15" s="9">
        <f>Total!C456</f>
        <v>40791</v>
      </c>
      <c r="D15" s="34" t="str">
        <f>Total!D456</f>
        <v>GISA</v>
      </c>
      <c r="E15" s="34" t="str">
        <f>Total!E456</f>
        <v>Obra Civil</v>
      </c>
      <c r="F15" s="34" t="str">
        <f>Total!F456</f>
        <v>Projectes</v>
      </c>
      <c r="G15" s="34" t="str">
        <f>Total!G456</f>
        <v>PC. TM-04310.1</v>
      </c>
      <c r="H15" s="34" t="str">
        <f>Total!H456</f>
        <v>Contracte de serveis per a l'assistència tècnica per a la redacció del projecte constructiu de millora de l'accessibilitat i adaptació a la normativa de l'intercanviador de l'estació de Clot (L1 i L2 d'FMB i RENFE). Fase 1. Clau: TM-04310.1</v>
      </c>
      <c r="I15" s="6">
        <f>Total!I456</f>
        <v>171280</v>
      </c>
    </row>
    <row r="16" spans="1:9" x14ac:dyDescent="0.2">
      <c r="A16" s="8">
        <f t="shared" si="0"/>
        <v>15</v>
      </c>
      <c r="B16" s="9">
        <f>Total!B457</f>
        <v>40752</v>
      </c>
      <c r="C16" s="9">
        <f>Total!C457</f>
        <v>40791</v>
      </c>
      <c r="D16" s="34" t="str">
        <f>Total!D457</f>
        <v>GISA</v>
      </c>
      <c r="E16" s="34" t="str">
        <f>Total!E457</f>
        <v>Obra Civil</v>
      </c>
      <c r="F16" s="34" t="str">
        <f>Total!F457</f>
        <v>Projectes</v>
      </c>
      <c r="G16" s="34" t="str">
        <f>Total!G457</f>
        <v>PC. TM-04311.1</v>
      </c>
      <c r="H16" s="34" t="str">
        <f>Total!H457</f>
        <v>Contracte de serveis per a l'assistència tècnica per a la redacció del projecte constructiu de la millora de l'accessibilitat i adaptació a la normativa de l'intercanviador de l'estació de Maragall (L4 i L5 d'FMB). Fase 1. Clau: TM-04311.1</v>
      </c>
      <c r="I16" s="6">
        <f>Total!I457</f>
        <v>189200</v>
      </c>
    </row>
    <row r="17" spans="1:9" x14ac:dyDescent="0.2">
      <c r="A17" s="8">
        <f t="shared" si="0"/>
        <v>16</v>
      </c>
      <c r="B17" s="9">
        <f>Total!B458</f>
        <v>40753</v>
      </c>
      <c r="C17" s="9">
        <f>Total!C458</f>
        <v>40791</v>
      </c>
      <c r="D17" s="34" t="str">
        <f>Total!D458</f>
        <v>GISA</v>
      </c>
      <c r="E17" s="34" t="str">
        <f>Total!E458</f>
        <v>Obra Civil</v>
      </c>
      <c r="F17" s="34" t="str">
        <f>Total!F458</f>
        <v>Projectes</v>
      </c>
      <c r="G17" s="34" t="str">
        <f>Total!G458</f>
        <v>B-TM-11018 / PC. TM-11018</v>
      </c>
      <c r="H17" s="34" t="str">
        <f>Total!H458</f>
        <v>Contracte de serveis per a l'assistència tècnica per a la redacció del projecte bàsic i el projecte constructiu d'actuacions de millora de l'evacuació i de l'accessibilitat de l'estació de Vallcarca de la línia 3 de l'FMB. Claus: B-TM-11018 i TM-11018</v>
      </c>
      <c r="I17" s="6">
        <f>Total!I458</f>
        <v>157500</v>
      </c>
    </row>
    <row r="18" spans="1:9" x14ac:dyDescent="0.2">
      <c r="A18" s="8">
        <f t="shared" si="0"/>
        <v>17</v>
      </c>
      <c r="B18" s="9">
        <f>Total!B459</f>
        <v>40753</v>
      </c>
      <c r="C18" s="9">
        <f>Total!C459</f>
        <v>40791</v>
      </c>
      <c r="D18" s="34" t="str">
        <f>Total!D459</f>
        <v>GISA</v>
      </c>
      <c r="E18" s="34" t="str">
        <f>Total!E459</f>
        <v>Obra Civil</v>
      </c>
      <c r="F18" s="34" t="str">
        <f>Total!F459</f>
        <v>Projectes</v>
      </c>
      <c r="G18" s="34" t="str">
        <f>Total!G459</f>
        <v>B-TM-11019 / PC. TM-11019</v>
      </c>
      <c r="H18" s="34" t="str">
        <f>Total!H459</f>
        <v>Contracte de serveis per a l'assistència tècnica per a la redacció del projecte bàsic i el projecte constructiu d'actuacions de millora de l'evacuació i de l'accessibilitat de l'estació de Poblenou de la línia 4 d'FMB. Claus: B-TM-11019 i TM-11019</v>
      </c>
      <c r="I18" s="6">
        <f>Total!I459</f>
        <v>157500</v>
      </c>
    </row>
    <row r="19" spans="1:9" x14ac:dyDescent="0.2">
      <c r="A19" s="8">
        <f t="shared" si="0"/>
        <v>18</v>
      </c>
      <c r="B19" s="9">
        <f>Total!B460</f>
        <v>40753</v>
      </c>
      <c r="C19" s="9">
        <f>Total!C460</f>
        <v>40791</v>
      </c>
      <c r="D19" s="34" t="str">
        <f>Total!D460</f>
        <v>GISA</v>
      </c>
      <c r="E19" s="34" t="str">
        <f>Total!E460</f>
        <v>Obra Civil</v>
      </c>
      <c r="F19" s="34" t="str">
        <f>Total!F460</f>
        <v>Projectes</v>
      </c>
      <c r="G19" s="34" t="str">
        <f>Total!G460</f>
        <v>B-TM-11020 / PC. TM-11020</v>
      </c>
      <c r="H19" s="34" t="str">
        <f>Total!H460</f>
        <v>Contracte de serveis per a l'assistència tècnica per a la redacció del projecte bàsic i el projecte constructiu d'actuacions de millora de l'evacuació i de l'accessibilitat de l'estació Ciutadella - Vila Olímpica de la línia 4 d'FMB. Claus: B-TM-11020 i TM-11020</v>
      </c>
      <c r="I19" s="6">
        <f>Total!I460</f>
        <v>157500</v>
      </c>
    </row>
    <row r="20" spans="1:9" x14ac:dyDescent="0.2">
      <c r="A20" s="8">
        <f t="shared" si="0"/>
        <v>19</v>
      </c>
      <c r="B20" s="9">
        <f>Total!B461</f>
        <v>40753</v>
      </c>
      <c r="C20" s="9">
        <f>Total!C461</f>
        <v>40791</v>
      </c>
      <c r="D20" s="34" t="str">
        <f>Total!D461</f>
        <v>REGSA</v>
      </c>
      <c r="E20" s="34"/>
      <c r="F20" s="34" t="str">
        <f>Total!F461</f>
        <v>Projectes</v>
      </c>
      <c r="G20" s="34" t="str">
        <f>Total!G461</f>
        <v>PC. ER-03932.R</v>
      </c>
      <c r="H20" s="34" t="str">
        <f>Total!H461</f>
        <v>Contracte de serveis per a l'assistència tècnica per a la redacció del projecte refós del regadiu del Canal de l'Aldea-Camarles. TM de l'Aldea, Camarles, l'Ampolla, Tortosa i el Perelló (Baix Ebre). Clau: ER-03932.R</v>
      </c>
      <c r="I20" s="6">
        <f>Total!I461</f>
        <v>86000</v>
      </c>
    </row>
    <row r="21" spans="1:9" x14ac:dyDescent="0.2">
      <c r="A21" s="8">
        <f t="shared" si="0"/>
        <v>20</v>
      </c>
      <c r="B21" s="9">
        <f>Total!B462</f>
        <v>40753</v>
      </c>
      <c r="C21" s="9">
        <f>Total!C462</f>
        <v>40791</v>
      </c>
      <c r="D21" s="34" t="str">
        <f>Total!D462</f>
        <v>REGSA</v>
      </c>
      <c r="E21" s="34"/>
      <c r="F21" s="34" t="str">
        <f>Total!F462</f>
        <v>Projectes</v>
      </c>
      <c r="G21" s="34" t="str">
        <f>Total!G462</f>
        <v>PC. MR-05919.R</v>
      </c>
      <c r="H21" s="34" t="str">
        <f>Total!H462</f>
        <v>Contracte de serveis per a l'assistència tècnica per a la redacció del projecte refós del regadiu del Canal Xerta-Sénia. TM de Xerta, Aldover, Roquetes, Tortosa, Amposta, Freginals, Mas de Barberans, Masdenverge, Santa Bàrbara, Godall, la Galera i Ulldecona (Baix Ebre i Montsià). Clau: MR-05919.R</v>
      </c>
      <c r="I21" s="6">
        <f>Total!I462</f>
        <v>130000</v>
      </c>
    </row>
    <row r="22" spans="1:9" x14ac:dyDescent="0.2">
      <c r="A22" s="8">
        <f t="shared" si="0"/>
        <v>21</v>
      </c>
      <c r="B22" s="9">
        <f>Total!B463</f>
        <v>40753</v>
      </c>
      <c r="C22" s="9">
        <f>Total!C463</f>
        <v>40791</v>
      </c>
      <c r="D22" s="34" t="str">
        <f>Total!D463</f>
        <v>GISA</v>
      </c>
      <c r="E22" s="34" t="str">
        <f>Total!E463</f>
        <v>Obra Civil</v>
      </c>
      <c r="F22" s="34" t="str">
        <f>Total!F463</f>
        <v>Projectes</v>
      </c>
      <c r="G22" s="34" t="str">
        <f>Total!G463</f>
        <v>PC. TM-04312.1</v>
      </c>
      <c r="H22" s="34" t="str">
        <f>Total!H463</f>
        <v>Contracte de serveis per a l'assistència tècnica per a la redacció del projecte constructiu de la millora de l'accessibilitat i adaptació a la normativa de l'intercanviador de l'estació de Verdaguer (L4 i L5 d'FMB). Fase 1. Clau: TM-04312.1</v>
      </c>
      <c r="I22" s="6">
        <f>Total!I463</f>
        <v>192920</v>
      </c>
    </row>
    <row r="23" spans="1:9" ht="13.5" thickBot="1" x14ac:dyDescent="0.25">
      <c r="A23" s="8">
        <f t="shared" si="0"/>
        <v>22</v>
      </c>
      <c r="B23" s="9">
        <f>Total!B464</f>
        <v>40753</v>
      </c>
      <c r="C23" s="9">
        <f>Total!C464</f>
        <v>40787</v>
      </c>
      <c r="D23" s="34" t="str">
        <f>Total!D464</f>
        <v>GISA</v>
      </c>
      <c r="E23" s="34" t="str">
        <f>Total!E464</f>
        <v>Subministrament i Serveis</v>
      </c>
      <c r="F23" s="34" t="str">
        <f>Total!F464</f>
        <v>Subministrament i Serveis</v>
      </c>
      <c r="G23" s="34" t="str">
        <f>Total!G464</f>
        <v>VA.JJB-00510</v>
      </c>
      <c r="H23" s="34" t="str">
        <f>Total!H464</f>
        <v>Contracte de serveis per al suport operatiu i supervisió del control de gestió del manteniment per a la gerència de la Ciutat de la Justícia de Barcelona i l'Hospitalet. Clau: VA.JJB-00510</v>
      </c>
      <c r="I23" s="6">
        <f>Total!I464</f>
        <v>148646.98000000001</v>
      </c>
    </row>
    <row r="24" spans="1:9" ht="13.5" thickBot="1" x14ac:dyDescent="0.25">
      <c r="I24" s="33">
        <f>SUM(I2:I23)-I7</f>
        <v>6603928.3600000003</v>
      </c>
    </row>
  </sheetData>
  <pageMargins left="0.7" right="0.7" top="0.75" bottom="0.75" header="0.3" footer="0.3"/>
  <extLst>
    <ext xmlns:mx="http://schemas.microsoft.com/office/mac/excel/2008/main" uri="{64002731-A6B0-56B0-2670-7721B7C09600}">
      <mx:PLV Mode="0"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I14"/>
  <sheetViews>
    <sheetView workbookViewId="0">
      <selection activeCell="F18" sqref="F18"/>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Total!B431</f>
        <v>40696</v>
      </c>
      <c r="C2" s="9">
        <f>Total!C431</f>
        <v>40714</v>
      </c>
      <c r="D2" s="34" t="str">
        <f>Total!D431</f>
        <v>GISA</v>
      </c>
      <c r="E2" s="34" t="str">
        <f>Total!E431</f>
        <v>Edificació</v>
      </c>
      <c r="F2" s="34" t="str">
        <f>Total!F431</f>
        <v>Control de Qualitat</v>
      </c>
      <c r="G2" s="34" t="str">
        <f>Total!G431</f>
        <v>CQ. PAM-09293+PAC-07332+PAL-06472</v>
      </c>
      <c r="H2" s="34" t="str">
        <f>Total!H431</f>
        <v>Contracte de serveis per a l'assistència tècnica per al control de qualitat de les obres d'ampliació i reforma Escola a 2 línies a l'Escola Joan Casas de Sant Antoni de Vilamajor (Vallès Oriental). Clau:PAM-09293, Reforma i ampliació a Escola a 1 línia a l'Escola Damià Mateu de Llinars del Vallès (Vallès Oriental). Clau PAC-07332 i Reforma i ampliació escola a 5 unitats a l'Escola Mossèn Ton Clavé de Vila-Sana (Pla d'Urgell). Clau:PAL-06472</v>
      </c>
      <c r="I2" s="6">
        <f>Total!I431</f>
        <v>72725.13</v>
      </c>
    </row>
    <row r="3" spans="1:9" x14ac:dyDescent="0.2">
      <c r="A3" s="8">
        <f>A2+1</f>
        <v>2</v>
      </c>
      <c r="B3" s="9">
        <f>Total!B432</f>
        <v>40697</v>
      </c>
      <c r="C3" s="9">
        <f>Total!C432</f>
        <v>40714</v>
      </c>
      <c r="D3" s="34" t="str">
        <f>Total!D432</f>
        <v>GISA</v>
      </c>
      <c r="E3" s="34" t="str">
        <f>Total!E432</f>
        <v>Edificació</v>
      </c>
      <c r="F3" s="34" t="str">
        <f>Total!F432</f>
        <v>Projectes i Direccions d'Obra</v>
      </c>
      <c r="G3" s="34" t="str">
        <f>Total!G432</f>
        <v>PE+DO. CLT-10099 2v</v>
      </c>
      <c r="H3" s="34" t="str">
        <f>Total!H432</f>
        <v>Contracte de serveis per a l'assistència tècnica per a la redacció del projecte d'arquitectura bàsic i d'execució, l'estudi de seguretat i salut, l'estudi geotècnic, i posterior direcció d'obra corresponent a la construcció d'un Nou Consultori Local a l'Estartit, de Torroella de Montgrí. Clau: CLT-10099 (2v)</v>
      </c>
      <c r="I3" s="6">
        <f>Total!I432</f>
        <v>108345.86</v>
      </c>
    </row>
    <row r="4" spans="1:9" x14ac:dyDescent="0.2">
      <c r="A4" s="8">
        <f>A3+1</f>
        <v>3</v>
      </c>
      <c r="B4" s="9">
        <f>Total!B433</f>
        <v>40697</v>
      </c>
      <c r="C4" s="9">
        <f>Total!C433</f>
        <v>40735</v>
      </c>
      <c r="D4" s="34" t="str">
        <f>Total!D433</f>
        <v>GISA</v>
      </c>
      <c r="E4" s="34" t="str">
        <f>Total!E433</f>
        <v>Obra Civil</v>
      </c>
      <c r="F4" s="34" t="str">
        <f>Total!F433</f>
        <v>Projectes</v>
      </c>
      <c r="G4" s="34" t="str">
        <f>Total!G433</f>
        <v>PC. AT-04178</v>
      </c>
      <c r="H4" s="34" t="str">
        <f>Total!H433</f>
        <v>Contracte de serveis per a l'assistència tècnica per a la redacció del projecte constructiu de millora general. Condicionament de la carretera C-14, del PK 37+770 al 45+120. Tram: Montblanc-Solivella. Clau: AT-04178</v>
      </c>
      <c r="I4" s="6">
        <f>Total!I433</f>
        <v>281000</v>
      </c>
    </row>
    <row r="5" spans="1:9" x14ac:dyDescent="0.2">
      <c r="A5" s="8">
        <f t="shared" ref="A5:A13" si="0">A4+1</f>
        <v>4</v>
      </c>
      <c r="B5" s="9">
        <f>Total!B434</f>
        <v>40697</v>
      </c>
      <c r="C5" s="9">
        <f>Total!C434</f>
        <v>40735</v>
      </c>
      <c r="D5" s="34" t="str">
        <f>Total!D434</f>
        <v>GISA</v>
      </c>
      <c r="E5" s="34" t="str">
        <f>Total!E434</f>
        <v>Obra Civil</v>
      </c>
      <c r="F5" s="34" t="str">
        <f>Total!F434</f>
        <v>Projectes</v>
      </c>
      <c r="G5" s="34" t="str">
        <f>Total!G434</f>
        <v>PC. DB-02125.1</v>
      </c>
      <c r="H5" s="34" t="str">
        <f>Total!H434</f>
        <v>Contracte de serveis per a l'assistència tècnica per a la redacció del projecte contructiu de millora general. Desdoblament de la carretera C-55, del PK 18+500 al 21+500. Tram: Castellbell i El Vilar-Sant Vicenç de Castellet. Clau: DB-02125.1</v>
      </c>
      <c r="I5" s="6">
        <f>Total!I434</f>
        <v>420000</v>
      </c>
    </row>
    <row r="6" spans="1:9" x14ac:dyDescent="0.2">
      <c r="A6" s="8">
        <f t="shared" si="0"/>
        <v>5</v>
      </c>
      <c r="B6" s="9">
        <f>Total!B435</f>
        <v>40697</v>
      </c>
      <c r="C6" s="9">
        <f>Total!C435</f>
        <v>40735</v>
      </c>
      <c r="D6" s="34" t="str">
        <f>Total!D435</f>
        <v>GISA</v>
      </c>
      <c r="E6" s="34" t="str">
        <f>Total!E435</f>
        <v>Obra Civil</v>
      </c>
      <c r="F6" s="34" t="str">
        <f>Total!F435</f>
        <v>Projectes</v>
      </c>
      <c r="G6" s="34" t="str">
        <f>Total!G435</f>
        <v>PC. DB-02125.2</v>
      </c>
      <c r="H6" s="34" t="str">
        <f>Total!H435</f>
        <v>Contracte de serveis per a l'assistència tècnica per a la redacció del projecte constructiu de millora general. Desdoblament de la carretera C-55, del PK 21+500 al 24+700. Tram: Sant Vicenç de Castellet-Manresa. Clau: DB-02125.2</v>
      </c>
      <c r="I6" s="6">
        <f>Total!I435</f>
        <v>925000</v>
      </c>
    </row>
    <row r="7" spans="1:9" x14ac:dyDescent="0.2">
      <c r="A7" s="8">
        <f t="shared" si="0"/>
        <v>6</v>
      </c>
      <c r="B7" s="9">
        <f>Total!B436</f>
        <v>40697</v>
      </c>
      <c r="C7" s="9">
        <f>Total!C436</f>
        <v>40735</v>
      </c>
      <c r="D7" s="34" t="str">
        <f>Total!D436</f>
        <v>GISA</v>
      </c>
      <c r="E7" s="34" t="str">
        <f>Total!E436</f>
        <v>Obra Civil</v>
      </c>
      <c r="F7" s="34" t="str">
        <f>Total!F436</f>
        <v>Projectes</v>
      </c>
      <c r="G7" s="34" t="str">
        <f>Total!G436</f>
        <v>PC. DB-02125.3</v>
      </c>
      <c r="H7" s="34" t="str">
        <f>Total!H436</f>
        <v>Contracte de serveis per a l'assistència tècnica per a la redacció del projecte constructiu de millora general. Desdoblament de la carretera C-55, del PK 24+700 al 27+600. Tram: Manresa. Clau. DB-02125.3</v>
      </c>
      <c r="I7" s="6">
        <f>Total!I436</f>
        <v>669000</v>
      </c>
    </row>
    <row r="8" spans="1:9" x14ac:dyDescent="0.2">
      <c r="A8" s="8">
        <f t="shared" si="0"/>
        <v>7</v>
      </c>
      <c r="B8" s="9">
        <f>Total!B437</f>
        <v>40697</v>
      </c>
      <c r="C8" s="9">
        <f>Total!C437</f>
        <v>40735</v>
      </c>
      <c r="D8" s="34" t="str">
        <f>Total!D437</f>
        <v>GISA</v>
      </c>
      <c r="E8" s="34" t="str">
        <f>Total!E437</f>
        <v>Obra Civil</v>
      </c>
      <c r="F8" s="34" t="str">
        <f>Total!F437</f>
        <v>Projectes</v>
      </c>
      <c r="G8" s="34" t="str">
        <f>Total!G437</f>
        <v>PC. DB-02125.4</v>
      </c>
      <c r="H8" s="34" t="str">
        <f>Total!H437</f>
        <v>Contracte de serveis per a l'assistència tècnica per a la redacció del projecte constructiu de millora general. Desdoblament de la carretera C-55. Nou vial de connexió a la carretera C-25 (Eix Transversal), del PK 1+000 de la C-16c al 138+000 de la C-25. Tram: Sant Fruitós de Bages. Clau: DB-02125.4</v>
      </c>
      <c r="I8" s="6">
        <f>Total!I437</f>
        <v>216100</v>
      </c>
    </row>
    <row r="9" spans="1:9" x14ac:dyDescent="0.2">
      <c r="A9" s="8">
        <f t="shared" si="0"/>
        <v>8</v>
      </c>
      <c r="B9" s="9">
        <f>Total!B438</f>
        <v>40700</v>
      </c>
      <c r="C9" s="9">
        <f>Total!C438</f>
        <v>40716</v>
      </c>
      <c r="D9" s="34" t="str">
        <f>Total!D438</f>
        <v>GISA</v>
      </c>
      <c r="E9" s="34" t="str">
        <f>Total!E438</f>
        <v>Obra Civil</v>
      </c>
      <c r="F9" s="34" t="str">
        <f>Total!F438</f>
        <v>Direccions d'Obra</v>
      </c>
      <c r="G9" s="34" t="str">
        <f>Total!G438</f>
        <v>CSS. TM-00509.5E</v>
      </c>
      <c r="H9" s="34" t="str">
        <f>Total!H438</f>
        <v>Contracte de serveis per a l'assistència tècnica de coordinació de seguretat i salut de les obres del projecte constructiu de la L9 del Metro de Barcelona. Tram 2n. Parc Logístic - Zona Universitària. Complements d'estructura interior, via i catenària del túnel 2. Tram Pou c/ motors -Zona Universitària. Clau: TM-00509.5E</v>
      </c>
      <c r="I9" s="6">
        <f>Total!I438</f>
        <v>192000</v>
      </c>
    </row>
    <row r="10" spans="1:9" x14ac:dyDescent="0.2">
      <c r="A10" s="8">
        <f t="shared" si="0"/>
        <v>9</v>
      </c>
      <c r="B10" s="9">
        <f>Total!B439</f>
        <v>40704</v>
      </c>
      <c r="C10" s="9">
        <f>Total!C439</f>
        <v>40721</v>
      </c>
      <c r="D10" s="34" t="str">
        <f>Total!D439</f>
        <v>GISA</v>
      </c>
      <c r="E10" s="34" t="str">
        <f>Total!E439</f>
        <v>Obra Civil</v>
      </c>
      <c r="F10" s="34" t="str">
        <f>Total!F439</f>
        <v>Projectes</v>
      </c>
      <c r="G10" s="34" t="str">
        <f>Total!G439</f>
        <v>PC. TM-09368</v>
      </c>
      <c r="H10" s="34" t="str">
        <f>Total!H439</f>
        <v>Contracte de serveis per a l'assistència tècnica per a la redacció del projecte constructiu del tractament i reparació de les filtracions a la cua de maniobres de Bellvitge de la línia 1 dels FMB. Clau: TM-09368</v>
      </c>
      <c r="I10" s="6">
        <f>Total!I439</f>
        <v>75000</v>
      </c>
    </row>
    <row r="11" spans="1:9" x14ac:dyDescent="0.2">
      <c r="A11" s="8">
        <f t="shared" si="0"/>
        <v>10</v>
      </c>
      <c r="B11" s="9">
        <f>Total!B440</f>
        <v>40714</v>
      </c>
      <c r="C11" s="9">
        <f>Total!C440</f>
        <v>40749</v>
      </c>
      <c r="D11" s="34" t="str">
        <f>Total!D440</f>
        <v>GISA</v>
      </c>
      <c r="E11" s="34" t="str">
        <f>Total!E440</f>
        <v>Obra Civil</v>
      </c>
      <c r="F11" s="34" t="str">
        <f>Total!F440</f>
        <v>Projectes</v>
      </c>
      <c r="G11" s="34" t="str">
        <f>Total!G440</f>
        <v>PC. DB-05070.2</v>
      </c>
      <c r="H11" s="34" t="str">
        <f>Total!H440</f>
        <v>Contrato de servicios para la asistencia técnica para la redacción del proyecto constructivo de mejora general. Desdoblamiento de la carretera B-124. PK 3+300 al PK 6+500. Tramo: Sabadell-Castellar del Vallès. Clave: DB-05070.2</v>
      </c>
      <c r="I11" s="6">
        <f>Total!I440</f>
        <v>255689.65</v>
      </c>
    </row>
    <row r="12" spans="1:9" x14ac:dyDescent="0.2">
      <c r="A12" s="8">
        <f t="shared" si="0"/>
        <v>11</v>
      </c>
      <c r="B12" s="9">
        <f>Total!B441</f>
        <v>40724</v>
      </c>
      <c r="C12" s="9">
        <f>Total!C441</f>
        <v>40742</v>
      </c>
      <c r="D12" s="34" t="str">
        <f>Total!D441</f>
        <v>GISA</v>
      </c>
      <c r="E12" s="34" t="str">
        <f>Total!E441</f>
        <v>Obra Civil</v>
      </c>
      <c r="F12" s="34" t="str">
        <f>Total!F441</f>
        <v>Projectes</v>
      </c>
      <c r="G12" s="34" t="str">
        <f>Total!G441</f>
        <v>EV. E1-TF-02676.5</v>
      </c>
      <c r="H12" s="34" t="str">
        <f>Total!H441</f>
        <v>Contracte de serveis per a l'assistència tècnica per a la redacció de l'anàlisi de ventilació mitjançant mètodes numèrics dels túnels i estacions del perllongament de la línia dels FGC a Sabadell. Tram: Plaça Major - Plaça Espanya. Clau: E1-TF-02676.5</v>
      </c>
      <c r="I12" s="6">
        <f>Total!I441</f>
        <v>72000</v>
      </c>
    </row>
    <row r="13" spans="1:9" ht="13.5" thickBot="1" x14ac:dyDescent="0.25">
      <c r="A13" s="8">
        <f t="shared" si="0"/>
        <v>12</v>
      </c>
      <c r="B13" s="9">
        <f>Total!B442</f>
        <v>40724</v>
      </c>
      <c r="C13" s="9">
        <f>Total!C442</f>
        <v>40742</v>
      </c>
      <c r="D13" s="34" t="str">
        <f>Total!D442</f>
        <v>GISA</v>
      </c>
      <c r="E13" s="34" t="str">
        <f>Total!E442</f>
        <v>Obra Civil</v>
      </c>
      <c r="F13" s="34" t="str">
        <f>Total!F442</f>
        <v>Projectes</v>
      </c>
      <c r="G13" s="34" t="str">
        <f>Total!G442</f>
        <v>EV. E1-TF-02676.9</v>
      </c>
      <c r="H13" s="34" t="str">
        <f>Total!H442</f>
        <v>Contracte de serveis per a l'assistència tècnica per a la redacció de l'anàlisi de ventilació mitjançant mètodes numèrics dels túnels i estacions del perllongament de la línia dels FGC a Sabadell. Tram: Plaça Espanya - Cotxeres Ca N'Oriach. Clau: E1-TF-02676.9</v>
      </c>
      <c r="I13" s="6">
        <f>Total!I442</f>
        <v>72000</v>
      </c>
    </row>
    <row r="14" spans="1:9" ht="13.5" thickBot="1" x14ac:dyDescent="0.25">
      <c r="I14" s="33">
        <f>SUM(I2:I13)</f>
        <v>3358860.64</v>
      </c>
    </row>
  </sheetData>
  <pageMargins left="0.7" right="0.7" top="0.75" bottom="0.75" header="0.3" footer="0.3"/>
  <extLst>
    <ext xmlns:mx="http://schemas.microsoft.com/office/mac/excel/2008/main" uri="{64002731-A6B0-56B0-2670-7721B7C09600}">
      <mx:PLV Mode="0" OnePage="0" WScale="0"/>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I10"/>
  <sheetViews>
    <sheetView workbookViewId="0">
      <selection activeCell="H18" sqref="H18"/>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Total!B423</f>
        <v>40669</v>
      </c>
      <c r="C2" s="9">
        <f>Total!C423</f>
        <v>40686</v>
      </c>
      <c r="D2" s="34" t="str">
        <f>Total!D423</f>
        <v>GISA</v>
      </c>
      <c r="E2" s="34" t="str">
        <f>Total!E423</f>
        <v>Subministrament i Serveis</v>
      </c>
      <c r="F2" s="34" t="str">
        <f>Total!F423</f>
        <v>Subministrament i Serveis</v>
      </c>
      <c r="G2" s="34" t="str">
        <f>Total!G423</f>
        <v>Manteniment general instal.lacions</v>
      </c>
      <c r="H2" s="34" t="str">
        <f>Total!H423</f>
        <v>Contracte de serveis per al manteniment d'instal.lacions de sanejament, aigua, equip humificador, elèctrica, climatització, ventilació i prevenció, detecció i extinció d'incendis de la Seu de GISA, REGSA i IFERCAT</v>
      </c>
      <c r="I2" s="6">
        <f>Total!I423</f>
        <v>159000</v>
      </c>
    </row>
    <row r="3" spans="1:9" x14ac:dyDescent="0.2">
      <c r="A3" s="8">
        <f>A2+1</f>
        <v>2</v>
      </c>
      <c r="B3" s="9">
        <f>Total!B424</f>
        <v>40676</v>
      </c>
      <c r="C3" s="9">
        <f>Total!C424</f>
        <v>40693</v>
      </c>
      <c r="D3" s="34" t="str">
        <f>Total!D424</f>
        <v>GISA</v>
      </c>
      <c r="E3" s="34" t="str">
        <f>Total!E424</f>
        <v>Obra Civil</v>
      </c>
      <c r="F3" s="34" t="str">
        <f>Total!F424</f>
        <v>Projectes</v>
      </c>
      <c r="G3" s="34" t="str">
        <f>Total!G424</f>
        <v>EV. E1-TF-02676.4</v>
      </c>
      <c r="H3" s="34" t="str">
        <f>Total!H424</f>
        <v>Contrato de servicios para la asistencia técnica para la redacción del análisis de ventilación unidimensional del prolongamiento de la línea de FGC en Sabadell y CFD del tramo inicio soterramiento-Plaça Major. Clave: E1-TF-02676.4</v>
      </c>
      <c r="I3" s="6">
        <f>Total!I424</f>
        <v>120000</v>
      </c>
    </row>
    <row r="4" spans="1:9" x14ac:dyDescent="0.2">
      <c r="A4" s="8">
        <f>A3+1</f>
        <v>3</v>
      </c>
      <c r="B4" s="9">
        <f>Total!B425</f>
        <v>40683</v>
      </c>
      <c r="C4" s="9">
        <f>Total!C425</f>
        <v>40735</v>
      </c>
      <c r="D4" s="34" t="str">
        <f>Total!D425</f>
        <v>GISA</v>
      </c>
      <c r="E4" s="34" t="str">
        <f>Total!E425</f>
        <v>Obra Civil</v>
      </c>
      <c r="F4" s="34" t="str">
        <f>Total!F425</f>
        <v>Projectes</v>
      </c>
      <c r="G4" s="34" t="str">
        <f>Total!G425</f>
        <v>PC. AL-05037</v>
      </c>
      <c r="H4" s="34" t="str">
        <f>Total!H425</f>
        <v>Contracte de serveis per a l'assistència tècnica per a la redacció del projecte constructiu de millora general. Condicionament. Eixamplament i millora de traçat. Carretera C-14. PK 163+200 al 166+520. Tram: Organyà-Montant de Tost. Clau: AL-05037</v>
      </c>
      <c r="I4" s="6">
        <f>Total!I425</f>
        <v>541100</v>
      </c>
    </row>
    <row r="5" spans="1:9" x14ac:dyDescent="0.2">
      <c r="A5" s="8">
        <f t="shared" ref="A5:A9" si="0">A4+1</f>
        <v>4</v>
      </c>
      <c r="B5" s="9">
        <f>Total!B426</f>
        <v>40683</v>
      </c>
      <c r="C5" s="9">
        <f>Total!C426</f>
        <v>40700</v>
      </c>
      <c r="D5" s="34" t="str">
        <f>Total!D426</f>
        <v>GISA</v>
      </c>
      <c r="E5" s="34" t="str">
        <f>Total!E426</f>
        <v>Obra Civil</v>
      </c>
      <c r="F5" s="34" t="str">
        <f>Total!F426</f>
        <v>Projectes</v>
      </c>
      <c r="G5" s="34" t="str">
        <f>Total!G426</f>
        <v>PC. ML-10033</v>
      </c>
      <c r="H5" s="34" t="str">
        <f>Total!H426</f>
        <v>Contracte de serveis per a l'assistència tècnica per a la redacció del projecte constructiu de millora local. Millora de nus. Carretera N-II, PK 453+940. Accés polígon industrial Revés. Tram: Alcarràs. Clau: ML-10033</v>
      </c>
      <c r="I5" s="6">
        <f>Total!I426</f>
        <v>76600</v>
      </c>
    </row>
    <row r="6" spans="1:9" x14ac:dyDescent="0.2">
      <c r="A6" s="8">
        <f t="shared" si="0"/>
        <v>5</v>
      </c>
      <c r="B6" s="9">
        <f>Total!B427</f>
        <v>40683</v>
      </c>
      <c r="C6" s="9">
        <f>Total!C427</f>
        <v>40700</v>
      </c>
      <c r="D6" s="34" t="str">
        <f>Total!D427</f>
        <v>GISA</v>
      </c>
      <c r="E6" s="34" t="str">
        <f>Total!E427</f>
        <v>Obra Civil</v>
      </c>
      <c r="F6" s="34" t="str">
        <f>Total!F427</f>
        <v>Projectes</v>
      </c>
      <c r="G6" s="34" t="str">
        <f>Total!G427</f>
        <v>PC. VB-06102</v>
      </c>
      <c r="H6" s="34" t="str">
        <f>Total!H427</f>
        <v>Contracte de serveis per a l'assistència tècnica per a la redacció del projecte constructiu de millora general. Variant. Prolongació de la variant d'Artés, des de la carretera BV-4512, PK 0+960, fins a la carretera B-431, PK 41+000. Tram: Artés. Clau. VB-06102</v>
      </c>
      <c r="I6" s="6">
        <f>Total!I427</f>
        <v>192000</v>
      </c>
    </row>
    <row r="7" spans="1:9" x14ac:dyDescent="0.2">
      <c r="A7" s="8">
        <f t="shared" si="0"/>
        <v>6</v>
      </c>
      <c r="B7" s="9">
        <f>Total!B428</f>
        <v>40690</v>
      </c>
      <c r="C7" s="9">
        <f>Total!C428</f>
        <v>40735</v>
      </c>
      <c r="D7" s="34" t="str">
        <f>Total!D428</f>
        <v>GISA</v>
      </c>
      <c r="E7" s="34" t="str">
        <f>Total!E428</f>
        <v>Obra Civil</v>
      </c>
      <c r="F7" s="34" t="str">
        <f>Total!F428</f>
        <v>Projectes</v>
      </c>
      <c r="G7" s="34" t="str">
        <f>Total!G428</f>
        <v>PC. DG-9032.6</v>
      </c>
      <c r="H7" s="34" t="str">
        <f>Total!H428</f>
        <v>Contracte de serveis per a l'assistència tècnica per a la redacció del projecte constructiu de millora general. Desdoblament de la carretera C-260. Del PK 29+000 de la C-260 al PK 754+350 de la N-II. Tram: Figueres. Clau: DG-9032.6</v>
      </c>
      <c r="I7" s="6">
        <f>Total!I428</f>
        <v>394500</v>
      </c>
    </row>
    <row r="8" spans="1:9" x14ac:dyDescent="0.2">
      <c r="A8" s="8">
        <f t="shared" si="0"/>
        <v>7</v>
      </c>
      <c r="B8" s="9">
        <f>Total!B429</f>
        <v>40690</v>
      </c>
      <c r="C8" s="9">
        <f>Total!C429</f>
        <v>40735</v>
      </c>
      <c r="D8" s="34" t="str">
        <f>Total!D429</f>
        <v>GISA</v>
      </c>
      <c r="E8" s="34" t="str">
        <f>Total!E429</f>
        <v>Obra Civil</v>
      </c>
      <c r="F8" s="34" t="str">
        <f>Total!F429</f>
        <v>Projectes</v>
      </c>
      <c r="G8" s="34" t="str">
        <f>Total!G429</f>
        <v>PC. NL-05036</v>
      </c>
      <c r="H8" s="34" t="str">
        <f>Total!H429</f>
        <v>Contracte de serveis per a l'assistència tècnica per a la redacció del projecte constructiu de millora general. Nova carretera de Térmens a Menàrguens. De la C-13 (PK 19+890)a la C-12 (PK 158+080). Tram: Térmens-Menàrguens. Clau. NL-05036</v>
      </c>
      <c r="I8" s="6">
        <f>Total!I429</f>
        <v>300700</v>
      </c>
    </row>
    <row r="9" spans="1:9" ht="13.5" thickBot="1" x14ac:dyDescent="0.25">
      <c r="A9" s="8">
        <f t="shared" si="0"/>
        <v>8</v>
      </c>
      <c r="B9" s="9">
        <f>Total!B430</f>
        <v>40690</v>
      </c>
      <c r="C9" s="9">
        <f>Total!C430</f>
        <v>40708</v>
      </c>
      <c r="D9" s="34" t="str">
        <f>Total!D430</f>
        <v>GISA</v>
      </c>
      <c r="E9" s="34" t="str">
        <f>Total!E430</f>
        <v>Obra Civil</v>
      </c>
      <c r="F9" s="34" t="str">
        <f>Total!F430</f>
        <v>Projectes</v>
      </c>
      <c r="G9" s="34" t="str">
        <f>Total!G430</f>
        <v>EI. VG-05143-A1</v>
      </c>
      <c r="H9" s="34" t="str">
        <f>Total!H430</f>
        <v>Contracte de serveis per a l'assistència tècnica per a la redacció de l'estudi informatiu de millora general. Variant de Torroella de Montgrí. Carretera C-31. PK 348+000 al 355+570. Tram: Torroella de Montgrí-Gualta-Verges. Clau: EI-VG-05143-A1</v>
      </c>
      <c r="I9" s="6">
        <f>Total!I430</f>
        <v>160700</v>
      </c>
    </row>
    <row r="10" spans="1:9" ht="13.5" thickBot="1" x14ac:dyDescent="0.25">
      <c r="I10" s="33">
        <f>SUM(I2:I9)</f>
        <v>1944600</v>
      </c>
    </row>
  </sheetData>
  <pageMargins left="0.7" right="0.7" top="0.75" bottom="0.75" header="0.3" footer="0.3"/>
  <extLst>
    <ext xmlns:mx="http://schemas.microsoft.com/office/mac/excel/2008/main" uri="{64002731-A6B0-56B0-2670-7721B7C09600}">
      <mx:PLV Mode="0" OnePage="0" WScale="0"/>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
  <sheetViews>
    <sheetView workbookViewId="0">
      <selection activeCell="I2" sqref="I2"/>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ht="13.5" thickBot="1" x14ac:dyDescent="0.25">
      <c r="A2" s="8">
        <v>1</v>
      </c>
      <c r="B2" s="9">
        <f>Total!B422</f>
        <v>40660</v>
      </c>
      <c r="C2" s="9">
        <f>Total!C422</f>
        <v>40679</v>
      </c>
      <c r="D2" s="34" t="str">
        <f>Total!D422</f>
        <v>GISA</v>
      </c>
      <c r="E2" s="34" t="str">
        <f>Total!E422</f>
        <v>Obra Civil</v>
      </c>
      <c r="F2" s="34" t="str">
        <f>Total!F422</f>
        <v>Direccions d'Obra</v>
      </c>
      <c r="G2" s="34" t="str">
        <f>Total!G422</f>
        <v>CSS. TM-04335</v>
      </c>
      <c r="H2" s="34" t="str">
        <f>Total!H422</f>
        <v>Contrato de servicios para la asistencia técnica de coordinación de seguridad y salud de las obras del proyecto constructivo de nuevos vestíbulos en el intercambiador del Arc de Triomf (L1 del FMB y RENFE). Clave: TM-04335</v>
      </c>
      <c r="I2" s="6">
        <f>Total!I422</f>
        <v>102200</v>
      </c>
    </row>
    <row r="3" spans="1:9" ht="13.5" thickBot="1" x14ac:dyDescent="0.25">
      <c r="I3" s="33">
        <f>SUM(I2:I2)</f>
        <v>102200</v>
      </c>
    </row>
  </sheetData>
  <pageMargins left="0.7" right="0.7" top="0.75" bottom="0.75" header="0.3" footer="0.3"/>
  <extLst>
    <ext xmlns:mx="http://schemas.microsoft.com/office/mac/excel/2008/main" uri="{64002731-A6B0-56B0-2670-7721B7C09600}">
      <mx:PLV Mode="0" OnePage="0" WScale="0"/>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5"/>
  <sheetViews>
    <sheetView workbookViewId="0">
      <selection activeCell="I4" sqref="I4"/>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Total!B419</f>
        <v>40612</v>
      </c>
      <c r="C2" s="9">
        <f>Total!C419</f>
        <v>40659</v>
      </c>
      <c r="D2" s="63" t="str">
        <f>Total!D419</f>
        <v>GISA</v>
      </c>
      <c r="E2" s="63" t="str">
        <f>Total!E419</f>
        <v>Subministrament i Serveis</v>
      </c>
      <c r="F2" s="63" t="str">
        <f>Total!F419</f>
        <v>Subministrament i Serveis</v>
      </c>
      <c r="G2" s="63" t="str">
        <f>Total!G419</f>
        <v>Servei suport usuaris i gestió TIC</v>
      </c>
      <c r="H2" s="63" t="str">
        <f>Total!H419</f>
        <v>Contracte de serveis per al suport a usuaris, gestió i administració de la infraestructura TIC de GISA, REGSA i IFERCAT</v>
      </c>
      <c r="I2" s="6">
        <f>Total!I419</f>
        <v>699990</v>
      </c>
    </row>
    <row r="3" spans="1:9" x14ac:dyDescent="0.2">
      <c r="A3" s="8">
        <f>A2+1</f>
        <v>2</v>
      </c>
      <c r="B3" s="9">
        <f>Total!B420</f>
        <v>40612</v>
      </c>
      <c r="C3" s="9">
        <f>Total!C420</f>
        <v>40659</v>
      </c>
      <c r="D3" s="63" t="str">
        <f>Total!D420</f>
        <v>GISA</v>
      </c>
      <c r="E3" s="63" t="str">
        <f>Total!E420</f>
        <v>Subministrament i Serveis</v>
      </c>
      <c r="F3" s="63" t="str">
        <f>Total!F420</f>
        <v>Subministrament i Serveis</v>
      </c>
      <c r="G3" s="63" t="str">
        <f>Total!G420</f>
        <v>tiquets restaurant</v>
      </c>
      <c r="H3" s="63" t="str">
        <f>Total!H420</f>
        <v>Contracte de subministrament de Vals de menjar per al personal de GISA, REGSA i IFERCAT</v>
      </c>
      <c r="I3" s="6">
        <f>Total!I420</f>
        <v>458622</v>
      </c>
    </row>
    <row r="4" spans="1:9" ht="13.5" thickBot="1" x14ac:dyDescent="0.25">
      <c r="A4" s="8">
        <f>A3+1</f>
        <v>3</v>
      </c>
      <c r="B4" s="9">
        <f>Total!B421</f>
        <v>40630</v>
      </c>
      <c r="C4" s="9">
        <f>Total!C421</f>
        <v>40646</v>
      </c>
      <c r="D4" s="63" t="str">
        <f>Total!D421</f>
        <v>GISA</v>
      </c>
      <c r="E4" s="63" t="str">
        <f>Total!E421</f>
        <v>Obra Civil</v>
      </c>
      <c r="F4" s="63" t="str">
        <f>Total!F421</f>
        <v>Direccions d'Obra</v>
      </c>
      <c r="G4" s="63" t="str">
        <f>Total!G421</f>
        <v>DO. TM-04458-M1</v>
      </c>
      <c r="H4" s="63" t="str">
        <f>Total!H421</f>
        <v>Contracte de serveis per a la direcció de les obres del projecte modificat 1 d'ampliació de l'alimentació elèctrica de la línia 5 de TMB per la posada en servei de nous trens.Clau:TM-04458-M1</v>
      </c>
      <c r="I4" s="6">
        <f>Total!I421</f>
        <v>192627</v>
      </c>
    </row>
    <row r="5" spans="1:9" ht="13.5" thickBot="1" x14ac:dyDescent="0.25">
      <c r="I5" s="33">
        <f>SUM(I2:I4)</f>
        <v>1351239</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5"/>
  <sheetViews>
    <sheetView workbookViewId="0">
      <selection activeCell="I15" sqref="I15"/>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Total!B3288</f>
        <v>44774</v>
      </c>
      <c r="C2" s="101">
        <f>Total!C3288</f>
        <v>44816</v>
      </c>
      <c r="D2" s="112" t="s">
        <v>1092</v>
      </c>
      <c r="E2" s="332" t="str">
        <f>Total!E3288</f>
        <v>Obra Civil</v>
      </c>
      <c r="F2" s="96" t="str">
        <f>Total!F3288</f>
        <v>Projectes</v>
      </c>
      <c r="G2" s="112" t="str">
        <f>Total!G3288</f>
        <v>EV. EU-CGC-22009</v>
      </c>
      <c r="H2" s="112" t="str">
        <f>Total!H3288</f>
        <v>Contracte de serveis per a l'estudi del seguiment acústic de la xarxa viària de titularitat de la Generalitat de Catalunya.</v>
      </c>
      <c r="I2" s="157">
        <f>Total!I3288</f>
        <v>97100</v>
      </c>
    </row>
    <row r="3" spans="1:9" x14ac:dyDescent="0.2">
      <c r="A3" s="8">
        <v>2</v>
      </c>
      <c r="B3" s="101">
        <f>Total!B3289</f>
        <v>44778</v>
      </c>
      <c r="C3" s="101">
        <f>Total!C3289</f>
        <v>44816</v>
      </c>
      <c r="D3" s="112" t="s">
        <v>1092</v>
      </c>
      <c r="E3" s="332" t="str">
        <f>Total!E3289</f>
        <v>Obra Civil</v>
      </c>
      <c r="F3" s="96" t="str">
        <f>Total!F3289</f>
        <v>Direccions d'Obra</v>
      </c>
      <c r="G3" s="112" t="str">
        <f>Total!G3289</f>
        <v>DO. TA-16203-AA</v>
      </c>
      <c r="H3" s="112" t="str">
        <f>Total!H3289</f>
        <v>Contracte de serveis per a la direcció de les obres del projecte constructiu de la nova estació d'autobusos d'Almacelles.</v>
      </c>
      <c r="I3" s="157">
        <f>Total!I3289</f>
        <v>52752.71</v>
      </c>
    </row>
    <row r="4" spans="1:9" x14ac:dyDescent="0.2">
      <c r="A4" s="8">
        <v>3</v>
      </c>
      <c r="B4" s="101">
        <f>Total!B3290</f>
        <v>44778</v>
      </c>
      <c r="C4" s="101">
        <f>Total!C3290</f>
        <v>44816</v>
      </c>
      <c r="D4" s="112" t="s">
        <v>1092</v>
      </c>
      <c r="E4" s="332" t="str">
        <f>Total!E3290</f>
        <v>Obra Civil</v>
      </c>
      <c r="F4" s="96" t="str">
        <f>Total!F3290</f>
        <v>Control de Qualitat</v>
      </c>
      <c r="G4" s="112" t="str">
        <f>Total!G3290</f>
        <v>CQ. TA-16203-AA</v>
      </c>
      <c r="H4" s="112" t="str">
        <f>Total!H3290</f>
        <v>Contracte de serveis per a l'assistència tècnica de control de qualitat de les obres del projecte constructiu de la nova estació d'autobusos d'Almacelles.</v>
      </c>
      <c r="I4" s="157">
        <f>Total!I3290</f>
        <v>13022.07</v>
      </c>
    </row>
    <row r="5" spans="1:9" x14ac:dyDescent="0.2">
      <c r="A5" s="8">
        <v>4</v>
      </c>
      <c r="B5" s="101">
        <f>Total!B3291</f>
        <v>44778</v>
      </c>
      <c r="C5" s="101">
        <f>Total!C3291</f>
        <v>44816</v>
      </c>
      <c r="D5" s="112" t="s">
        <v>1092</v>
      </c>
      <c r="E5" s="332" t="str">
        <f>Total!E3291</f>
        <v>Obra Civil</v>
      </c>
      <c r="F5" s="96" t="str">
        <f>Total!F3291</f>
        <v>Control de Qualitat</v>
      </c>
      <c r="G5" s="112" t="str">
        <f>Total!G3291</f>
        <v>CQ. TA-13277-AA</v>
      </c>
      <c r="H5" s="112" t="str">
        <f>Total!H3291</f>
        <v>Contracte de serveis per a l'assistència tècnica de Control de Qualitat de les obres de la Parada d'autobusos de Juneda.</v>
      </c>
      <c r="I5" s="157">
        <f>Total!I3291</f>
        <v>3944.15</v>
      </c>
    </row>
    <row r="6" spans="1:9" x14ac:dyDescent="0.2">
      <c r="A6" s="8">
        <v>5</v>
      </c>
      <c r="B6" s="101">
        <f>Total!B3292</f>
        <v>44778</v>
      </c>
      <c r="C6" s="101">
        <f>Total!C3292</f>
        <v>44816</v>
      </c>
      <c r="D6" s="112" t="s">
        <v>1092</v>
      </c>
      <c r="E6" s="332" t="str">
        <f>Total!E3292</f>
        <v>Obra Civil</v>
      </c>
      <c r="F6" s="96" t="str">
        <f>Total!F3292</f>
        <v>Direccions d'Obra</v>
      </c>
      <c r="G6" s="112" t="str">
        <f>Total!G3292</f>
        <v>DO. SC.PAS-21237</v>
      </c>
      <c r="H6" s="112" t="str">
        <f>Total!H3292</f>
        <v>Contracte de serveis per a la direcció de Conservació pistes forestals Parc Nacional d'Aigüestortes i Estany de Sant Maurici.</v>
      </c>
      <c r="I6" s="157">
        <f>Total!I3292</f>
        <v>139199.9</v>
      </c>
    </row>
    <row r="7" spans="1:9" x14ac:dyDescent="0.2">
      <c r="A7" s="8">
        <v>6</v>
      </c>
      <c r="B7" s="101">
        <f>Total!B3293</f>
        <v>44778</v>
      </c>
      <c r="C7" s="101">
        <f>Total!C3293</f>
        <v>44816</v>
      </c>
      <c r="D7" s="112" t="s">
        <v>1092</v>
      </c>
      <c r="E7" s="332" t="str">
        <f>Total!E3293</f>
        <v>Obra Civil</v>
      </c>
      <c r="F7" s="96" t="str">
        <f>Total!F3293</f>
        <v>Direccions d'Obra</v>
      </c>
      <c r="G7" s="112" t="str">
        <f>Total!G3293</f>
        <v>CSS. SC.PAS-21237</v>
      </c>
      <c r="H7" s="112" t="str">
        <f>Total!H3293</f>
        <v>Contracte de serveis per a l'assistència tècnica de coordinació de seguretat i salut de Conservació pistes forestals Parc Nacional d'Aigüestortes i Estany de Sant Maurici.</v>
      </c>
      <c r="I7" s="157">
        <f>Total!I3293</f>
        <v>21278.18</v>
      </c>
    </row>
    <row r="8" spans="1:9" x14ac:dyDescent="0.2">
      <c r="A8" s="8">
        <v>7</v>
      </c>
      <c r="B8" s="101">
        <f>Total!B3294</f>
        <v>44778</v>
      </c>
      <c r="C8" s="101">
        <f>Total!C3294</f>
        <v>44816</v>
      </c>
      <c r="D8" s="112" t="s">
        <v>1092</v>
      </c>
      <c r="E8" s="332" t="str">
        <f>Total!E3294</f>
        <v>Obra Civil</v>
      </c>
      <c r="F8" s="96" t="str">
        <f>Total!F3294</f>
        <v>Control de Qualitat</v>
      </c>
      <c r="G8" s="112" t="str">
        <f>Total!G3294</f>
        <v>CQ. SC.PAS-21237</v>
      </c>
      <c r="H8" s="112" t="str">
        <f>Total!H3294</f>
        <v>Contracte de serveis per a l'assistència tècnica de Control de Qualitat de Conservació pistes forestals Parc Nacional d'Aigüestortes i Estany de Sant Maurici.</v>
      </c>
      <c r="I8" s="157">
        <f>Total!I3294</f>
        <v>3780.99</v>
      </c>
    </row>
    <row r="9" spans="1:9" x14ac:dyDescent="0.2">
      <c r="A9" s="8">
        <v>8</v>
      </c>
      <c r="B9" s="101">
        <f>Total!B3295</f>
        <v>44778</v>
      </c>
      <c r="C9" s="101">
        <f>Total!C3295</f>
        <v>44818</v>
      </c>
      <c r="D9" s="112" t="s">
        <v>1092</v>
      </c>
      <c r="E9" s="332" t="str">
        <f>Total!E3295</f>
        <v>Obra Civil</v>
      </c>
      <c r="F9" s="96" t="str">
        <f>Total!F3295</f>
        <v>Direccions d'Obra</v>
      </c>
      <c r="G9" s="112" t="str">
        <f>Total!G3295</f>
        <v>DO. MT-16058</v>
      </c>
      <c r="H9" s="112" t="str">
        <f>Total!H3295</f>
        <v>Contracte de serveis per a la direcció de les obres de Millora local. Carril bici, drenatge longitudinal i cunetes remuntables a la carretera TV-3141 del PK 4+700 al 6+500 (rotonda Blancafort). Reus.</v>
      </c>
      <c r="I9" s="157">
        <f>Total!I3295</f>
        <v>56818.33</v>
      </c>
    </row>
    <row r="10" spans="1:9" x14ac:dyDescent="0.2">
      <c r="A10" s="8">
        <v>9</v>
      </c>
      <c r="B10" s="101">
        <f>Total!B3296</f>
        <v>44783</v>
      </c>
      <c r="C10" s="101">
        <f>Total!C3296</f>
        <v>44816</v>
      </c>
      <c r="D10" s="112" t="s">
        <v>1092</v>
      </c>
      <c r="E10" s="332" t="str">
        <f>Total!E3296</f>
        <v>Edificació</v>
      </c>
      <c r="F10" s="96" t="str">
        <f>Total!F3296</f>
        <v>Direccions d'Execució</v>
      </c>
      <c r="G10" s="112" t="str">
        <f>Total!G3296</f>
        <v>CSS. TA-16203-AA</v>
      </c>
      <c r="H10" s="112" t="str">
        <f>Total!H3296</f>
        <v>Contracte de serveis per a l'assistència tècnica de coordinació de seguretat i salut de les obres del projecte constructiu de la nova estació d'autobusos d'Almacelles.</v>
      </c>
      <c r="I10" s="157">
        <f>Total!I3296</f>
        <v>7301.1</v>
      </c>
    </row>
    <row r="11" spans="1:9" x14ac:dyDescent="0.2">
      <c r="A11" s="8">
        <v>10</v>
      </c>
      <c r="B11" s="101">
        <f>Total!B3297</f>
        <v>44783</v>
      </c>
      <c r="C11" s="101">
        <f>Total!C3297</f>
        <v>44818</v>
      </c>
      <c r="D11" s="112" t="s">
        <v>1092</v>
      </c>
      <c r="E11" s="332" t="str">
        <f>Total!E3297</f>
        <v>Obra Civil</v>
      </c>
      <c r="F11" s="96" t="str">
        <f>Total!F3297</f>
        <v>Direccions d'Obra</v>
      </c>
      <c r="G11" s="112" t="str">
        <f>Total!G3297</f>
        <v>CSS. MT-16058</v>
      </c>
      <c r="H11" s="112" t="str">
        <f>Total!H3297</f>
        <v>Contracte de serveis per a l'assistència tècnica de coordinació de seguretat i salut de les obres de Millora local. Carril bici, drenatge longitudinal i cunetes remuntables a la carretera TV-3141 del PK 4+700 al 6+500 (rotonda Blancafort). Reus.</v>
      </c>
      <c r="I11" s="157">
        <f>Total!I3297</f>
        <v>7135.87</v>
      </c>
    </row>
    <row r="12" spans="1:9" x14ac:dyDescent="0.2">
      <c r="A12" s="8">
        <v>11</v>
      </c>
      <c r="B12" s="101">
        <f>Total!B3298</f>
        <v>44783</v>
      </c>
      <c r="C12" s="101">
        <f>Total!C3298</f>
        <v>44823</v>
      </c>
      <c r="D12" s="112" t="s">
        <v>1092</v>
      </c>
      <c r="E12" s="332" t="str">
        <f>Total!E3298</f>
        <v>Obra Civil</v>
      </c>
      <c r="F12" s="96" t="str">
        <f>Total!F3298</f>
        <v>Direccions d'Obra</v>
      </c>
      <c r="G12" s="112" t="str">
        <f>Total!G3298</f>
        <v>ATAM. TA-07264.1-AA</v>
      </c>
      <c r="H12" s="112" t="str">
        <f>Total!H3298</f>
        <v>Contracte de serveis per a l'assistència tècnica ambiental de les obres del projecte constructiu del carril bus d'entrada a Barcelona a l'autopista B-23 del PK 0+000 al PK 7+260.</v>
      </c>
      <c r="I12" s="157">
        <f>Total!I3298</f>
        <v>84847.62</v>
      </c>
    </row>
    <row r="13" spans="1:9" x14ac:dyDescent="0.2">
      <c r="A13" s="8">
        <v>12</v>
      </c>
      <c r="B13" s="101">
        <f>Total!B3299</f>
        <v>44783</v>
      </c>
      <c r="C13" s="101">
        <f>Total!C3299</f>
        <v>44818</v>
      </c>
      <c r="D13" s="112" t="s">
        <v>1092</v>
      </c>
      <c r="E13" s="332" t="str">
        <f>Total!E3299</f>
        <v>Obra Civil</v>
      </c>
      <c r="F13" s="96" t="str">
        <f>Total!F3299</f>
        <v>Direccions d'Obra</v>
      </c>
      <c r="G13" s="112" t="str">
        <f>Total!G3299</f>
        <v>CSS. TA-13277-AA</v>
      </c>
      <c r="H13" s="112" t="str">
        <f>Total!H3299</f>
        <v>Contracte de serveis per a l'assistència tècnica de coordinació de seguretat i salut de les obres de la Parada d'autobusos de Juneda.</v>
      </c>
      <c r="I13" s="157">
        <f>Total!I3299</f>
        <v>4248</v>
      </c>
    </row>
    <row r="14" spans="1:9" x14ac:dyDescent="0.2">
      <c r="A14" s="8">
        <v>13</v>
      </c>
      <c r="B14" s="101">
        <f>Total!B3301</f>
        <v>44783</v>
      </c>
      <c r="C14" s="101">
        <f>Total!C3301</f>
        <v>44816</v>
      </c>
      <c r="D14" s="112" t="s">
        <v>1092</v>
      </c>
      <c r="E14" s="332" t="str">
        <f>Total!E3301</f>
        <v>Obra Civil</v>
      </c>
      <c r="F14" s="96" t="str">
        <f>Total!F3301</f>
        <v>Direccions d'Obra</v>
      </c>
      <c r="G14" s="112" t="str">
        <f>Total!G3301</f>
        <v>DO. TA-07264.1-AA</v>
      </c>
      <c r="H14" s="112" t="str">
        <f>Total!H3301</f>
        <v>Contracte de serveis per a la direcció de les obres del projecte constructiu del carril bus d'entrada a Barcelona a l'autopista B-23 del PK 0+000 al PK 7+260.</v>
      </c>
      <c r="I14" s="157">
        <f>Total!I3301</f>
        <v>571297.13</v>
      </c>
    </row>
    <row r="15" spans="1:9" x14ac:dyDescent="0.2">
      <c r="I15" s="126">
        <f>SUM(I2:I14)</f>
        <v>1062726.0499999998</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I3"/>
  <sheetViews>
    <sheetView workbookViewId="0">
      <selection activeCell="F25" sqref="F2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ht="13.5" thickBot="1" x14ac:dyDescent="0.25">
      <c r="A2" s="8">
        <v>1</v>
      </c>
      <c r="B2" s="9">
        <f>Total!B418</f>
        <v>40581</v>
      </c>
      <c r="C2" s="9">
        <f>Total!C418</f>
        <v>40597</v>
      </c>
      <c r="D2" s="34" t="str">
        <f>Total!D418</f>
        <v>GISA</v>
      </c>
      <c r="E2" s="34" t="str">
        <f>Total!E418</f>
        <v>Edificació</v>
      </c>
      <c r="F2" s="34" t="str">
        <f>Total!F418</f>
        <v>Direccions d'Execució</v>
      </c>
      <c r="G2" s="34" t="str">
        <f>Total!G418</f>
        <v>CSS. HBB-00394.2</v>
      </c>
      <c r="H2" s="34" t="str">
        <f>Total!H418</f>
        <v>Contracte de serveis per a l'assistència tècnica de coordinació de seguretat i salut de les obres 'Ampliació de l'Hospital Prínceps d'Espanya de l'Hospitalet de Llobregat'. Clau: HBB-00394.2</v>
      </c>
      <c r="I2" s="6">
        <f>Total!I418</f>
        <v>121500</v>
      </c>
    </row>
    <row r="3" spans="1:9" ht="13.5" thickBot="1" x14ac:dyDescent="0.25">
      <c r="I3" s="33">
        <f>SUM(I2:I2)</f>
        <v>121500</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I6"/>
  <sheetViews>
    <sheetView workbookViewId="0">
      <selection activeCell="H16" sqref="H16"/>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Total!B414</f>
        <v>40557</v>
      </c>
      <c r="C2" s="9">
        <f>Total!C414</f>
        <v>40574</v>
      </c>
      <c r="D2" s="34" t="str">
        <f>Total!D414</f>
        <v>GISA</v>
      </c>
      <c r="E2" s="34" t="str">
        <f>Total!E414</f>
        <v>Edificació</v>
      </c>
      <c r="F2" s="34" t="str">
        <f>Total!F414</f>
        <v>Direccions d'Execució</v>
      </c>
      <c r="G2" s="34" t="str">
        <f>Total!G414</f>
        <v>CSS. PAM-09293+4</v>
      </c>
      <c r="H2" s="34" t="str">
        <f>Total!H414</f>
        <v>Contracte de serveis per a l'assistència tècnica de coordinació de seguretat i salut de les obres:'Ampliació i reforma Escola a 2 línies a l'Escola Joan Casas de Sant Antoni de Vilamajor (Vallès Oriental). Clau: PAM-09293'; 'Reforma i ampliació Escola a 1 línia a l'Escola Alzina Reclamadora a Fontcoberta (Pla de l'Estany). Clau:PAG-08223'; 'Reforma i ampliació escola a 5 unitats a l'Escola Mossèn Ton Clavé de Vila-Sana (Pla d'Urgell). Clau: PAL-06472'; 'Nova construcció Escola 6 unitats a l'Escola El Timó de Sidamon (El Pla d'Urgell). Clau:PNL-09318' i 'Ampliació Escola Parc del Saladar, Escola 1 línia Primària (2a fase). Clau: PNL-09213'</v>
      </c>
      <c r="I2" s="6">
        <f>Total!I414</f>
        <v>65002.5</v>
      </c>
    </row>
    <row r="3" spans="1:9" x14ac:dyDescent="0.2">
      <c r="A3" s="8">
        <v>2</v>
      </c>
      <c r="B3" s="9">
        <f>Total!B415</f>
        <v>40560</v>
      </c>
      <c r="C3" s="9">
        <f>Total!C415</f>
        <v>40576</v>
      </c>
      <c r="D3" s="34" t="str">
        <f>Total!D415</f>
        <v>GISA</v>
      </c>
      <c r="E3" s="34" t="str">
        <f>Total!E415</f>
        <v>Obra Civil</v>
      </c>
      <c r="F3" s="34" t="str">
        <f>Total!F415</f>
        <v>Direccions d'Obra</v>
      </c>
      <c r="G3" s="34" t="str">
        <f>Total!G415</f>
        <v>CSS. TM-00509.6A2-C1</v>
      </c>
      <c r="H3" s="34" t="str">
        <f>Total!H415</f>
        <v>Contracte de serveis per a l'assistència tècnica de coordinació de seguretat i salut de les obres del projecte d'execució del Centre Intermodal del Baix Llobregat al Prat de Llobregat. Clau: TM-00509.6A2-C1</v>
      </c>
      <c r="I3" s="6">
        <f>Total!I415</f>
        <v>151470</v>
      </c>
    </row>
    <row r="4" spans="1:9" x14ac:dyDescent="0.2">
      <c r="A4" s="8">
        <v>3</v>
      </c>
      <c r="B4" s="64">
        <f>Total!B416</f>
        <v>40564</v>
      </c>
      <c r="C4" s="64">
        <f>Total!C416</f>
        <v>40616</v>
      </c>
      <c r="D4" s="65" t="str">
        <f>Total!D416</f>
        <v>GISA</v>
      </c>
      <c r="E4" s="65" t="str">
        <f>Total!E416</f>
        <v>Obra Civil</v>
      </c>
      <c r="F4" s="65" t="str">
        <f>Total!F416</f>
        <v>Direccions dObra</v>
      </c>
      <c r="G4" s="65" t="str">
        <f>Total!G416</f>
        <v>DO. TF-03474.1R-M5</v>
      </c>
      <c r="H4" s="65" t="str">
        <f>Total!H416</f>
        <v>Contracte de serveis per a la direcció de les obres del projecte modificat núm. 5 del perllongament dels FGC a Terrassa. Infraestructura, superestructura de via i catenària. Tram: Túnel Terrassa-Rambla/Can Roca i estacions intercanviador RENFE i Can Roca. Clau: TF-03474.1.R-M5</v>
      </c>
      <c r="I4" s="66">
        <f>Total!I416</f>
        <v>579000</v>
      </c>
    </row>
    <row r="5" spans="1:9" ht="13.5" thickBot="1" x14ac:dyDescent="0.25">
      <c r="A5" s="8">
        <v>4</v>
      </c>
      <c r="B5" s="9">
        <f>Total!B417</f>
        <v>40569</v>
      </c>
      <c r="C5" s="9">
        <f>Total!C417</f>
        <v>40595</v>
      </c>
      <c r="D5" s="34" t="str">
        <f>Total!D417</f>
        <v>GISA</v>
      </c>
      <c r="E5" s="34" t="str">
        <f>Total!E417</f>
        <v>Edificació</v>
      </c>
      <c r="F5" s="34" t="str">
        <f>Total!F417</f>
        <v>Control de Qualitat</v>
      </c>
      <c r="G5" s="34" t="str">
        <f>Total!G417</f>
        <v>CQ.SOC-10077</v>
      </c>
      <c r="H5" s="34" t="str">
        <f>Total!H417</f>
        <v>Contracte de serveis per l'assistència tècnica al control de qualitat de les obres del nou centre de formació professional del sector de l'automoció a Martorell.Clau:SOC-10077</v>
      </c>
      <c r="I5" s="6">
        <f>Total!I417</f>
        <v>82040.28</v>
      </c>
    </row>
    <row r="6" spans="1:9" ht="13.5" thickBot="1" x14ac:dyDescent="0.25">
      <c r="I6" s="33">
        <f>SUM(I2:I5)-I4</f>
        <v>298512.78000000003</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I12"/>
  <sheetViews>
    <sheetView workbookViewId="0">
      <selection activeCell="H24" sqref="H24"/>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Total!B404</f>
        <v>40522</v>
      </c>
      <c r="C2" s="9">
        <f>Total!C404</f>
        <v>40539</v>
      </c>
      <c r="D2" s="34" t="str">
        <f>Total!D404</f>
        <v>GISA</v>
      </c>
      <c r="E2" s="34" t="str">
        <f>Total!E404</f>
        <v>Obra Civil</v>
      </c>
      <c r="F2" s="34" t="str">
        <f>Total!F404</f>
        <v>Control de Qualitat</v>
      </c>
      <c r="G2" s="34" t="str">
        <f>Total!G404</f>
        <v>CQ.TF-03474.1R-C2</v>
      </c>
      <c r="H2" s="34" t="str">
        <f>Total!H404</f>
        <v>Contracte de serveis per a l'assistència tècnica de control de qualitat de les obres del projecte complementari núm. 2 del perllongament dels FGC a Terrassa. Infraestructura, superestructura de via i catenària. Tram: Túnel Terrassa-Rambla/Can Roca i estacions intercanviador RENFE i Can Roca. Clau: TF-03474.1R-C2</v>
      </c>
      <c r="I2" s="6">
        <f>Total!I404</f>
        <v>177500.06</v>
      </c>
    </row>
    <row r="3" spans="1:9" x14ac:dyDescent="0.2">
      <c r="A3" s="8">
        <f t="shared" ref="A3:A9" si="0">A2+1</f>
        <v>2</v>
      </c>
      <c r="B3" s="9">
        <f>Total!B405</f>
        <v>40522</v>
      </c>
      <c r="C3" s="9">
        <f>Total!C405</f>
        <v>40539</v>
      </c>
      <c r="D3" s="34" t="str">
        <f>Total!D405</f>
        <v>GISA</v>
      </c>
      <c r="E3" s="34" t="str">
        <f>Total!E405</f>
        <v>Obra Civil</v>
      </c>
      <c r="F3" s="34" t="str">
        <f>Total!F405</f>
        <v>Control de Qualitat</v>
      </c>
      <c r="G3" s="34" t="str">
        <f>Total!G405</f>
        <v>CQ VB-05146</v>
      </c>
      <c r="H3" s="34" t="str">
        <f>Total!H405</f>
        <v>Contracte de serveis per a l'assistència tècnica de control de qualitat de les obres de millora general. Variant d'Olost. PK 18+000 de la carretera C-154 al PK 1+300 de la carretera BV-4405. Tram: Olost. Clau: VB-05146</v>
      </c>
      <c r="I3" s="6">
        <f>Total!I405</f>
        <v>192550.16</v>
      </c>
    </row>
    <row r="4" spans="1:9" x14ac:dyDescent="0.2">
      <c r="A4" s="8">
        <f t="shared" si="0"/>
        <v>3</v>
      </c>
      <c r="B4" s="9">
        <f>Total!B406</f>
        <v>40526</v>
      </c>
      <c r="C4" s="9">
        <f>Total!C406</f>
        <v>40546</v>
      </c>
      <c r="D4" s="34" t="str">
        <f>Total!D406</f>
        <v>GISA</v>
      </c>
      <c r="E4" s="34" t="str">
        <f>Total!E406</f>
        <v>Edificació</v>
      </c>
      <c r="F4" s="34" t="str">
        <f>Total!F406</f>
        <v>Direccions d'Execució</v>
      </c>
      <c r="G4" s="34" t="str">
        <f>Total!G406</f>
        <v>CSS. HHB-02672</v>
      </c>
      <c r="H4" s="34" t="str">
        <f>Total!H406</f>
        <v>Contracte de Serveis per a l'assistència tècnica de coordinació de seguretat i salut de les obres de 'Remodelació del bloc quirúrgic. Àrea de crítics i nucli de comunicacions verticals de l'Hospital General de la Vall d'Hebrón' Clau: HHB-02672</v>
      </c>
      <c r="I4" s="6">
        <f>Total!I406</f>
        <v>138100</v>
      </c>
    </row>
    <row r="5" spans="1:9" x14ac:dyDescent="0.2">
      <c r="A5" s="8">
        <f t="shared" si="0"/>
        <v>4</v>
      </c>
      <c r="B5" s="9">
        <f>Total!B407</f>
        <v>40533</v>
      </c>
      <c r="C5" s="9">
        <f>Total!C407</f>
        <v>40562</v>
      </c>
      <c r="D5" s="34" t="str">
        <f>Total!D407</f>
        <v>REGSA</v>
      </c>
      <c r="E5" s="34"/>
      <c r="F5" s="34" t="str">
        <f>Total!F407</f>
        <v>Projectes</v>
      </c>
      <c r="G5" s="34" t="str">
        <f>Total!G407</f>
        <v>PC. ER-04905-C2</v>
      </c>
      <c r="H5" s="34" t="str">
        <f>Total!H407</f>
        <v>Contracte de serveis per a l'assistència tècnica per a la redacció del projecte complementari núm. 2 del regadiu de la Terra Alta. Compactació de la superfície regable de les basses 1, 2.1, 2.2, 2.3, 2.4 i 3. Clau: ER-04905-C2</v>
      </c>
      <c r="I5" s="6">
        <f>Total!I407</f>
        <v>75000</v>
      </c>
    </row>
    <row r="6" spans="1:9" x14ac:dyDescent="0.2">
      <c r="A6" s="8">
        <f t="shared" si="0"/>
        <v>5</v>
      </c>
      <c r="B6" s="64">
        <f>Total!B408</f>
        <v>40539</v>
      </c>
      <c r="C6" s="64">
        <f>Total!C408</f>
        <v>40555</v>
      </c>
      <c r="D6" s="65" t="str">
        <f>Total!D408</f>
        <v>GISA</v>
      </c>
      <c r="E6" s="65" t="str">
        <f>Total!E408</f>
        <v>Edificació</v>
      </c>
      <c r="F6" s="65" t="str">
        <f>Total!F408</f>
        <v>Control de Qualitat</v>
      </c>
      <c r="G6" s="65" t="str">
        <f>Total!G408</f>
        <v>CQ. PAM-09293+PAC-07332+PAL-06472</v>
      </c>
      <c r="H6" s="65" t="str">
        <f>Total!H408</f>
        <v>Contracte de serveis per a l'assistència tècnica per el control de qualitat de les obres: 'Ampliació i reforma a 2 línies a l'Escola Joan Casas de Sant Antoni de Vilamajor( Vallès Oriental). Clau: PAM-09293', 'Reforma i ampliació a Escola a 1 línia a l'Escola Damià Mateu de Llinars del Vallès (Vallès Oriental). Clau: PAC-07332' i 'Reforma i ampliació escola a 5 unitats a l'Escola Mossèn Ton Clavé de Vila-Sana (Pla d'Urgell). Clau: PAL-06472'</v>
      </c>
      <c r="I6" s="66">
        <f>Total!I408</f>
        <v>72725.13</v>
      </c>
    </row>
    <row r="7" spans="1:9" x14ac:dyDescent="0.2">
      <c r="A7" s="8">
        <f t="shared" si="0"/>
        <v>6</v>
      </c>
      <c r="B7" s="9">
        <f>Total!B409</f>
        <v>40539</v>
      </c>
      <c r="C7" s="9">
        <f>Total!C409</f>
        <v>40555</v>
      </c>
      <c r="D7" s="34" t="str">
        <f>Total!D409</f>
        <v>GISA</v>
      </c>
      <c r="E7" s="34" t="str">
        <f>Total!E409</f>
        <v>Edificació</v>
      </c>
      <c r="F7" s="34" t="str">
        <f>Total!F409</f>
        <v>Control de Qualitat</v>
      </c>
      <c r="G7" s="34" t="str">
        <f>Total!G409</f>
        <v>CQ. PFG-08392 + BSE-03420-C1</v>
      </c>
      <c r="H7" s="34" t="str">
        <f>Total!H409</f>
        <v>Contracte de serveis per a l'assistència tècnica del control de qualitat conjunt corresponent a les obres de:'Nova construcció del Parc de Bombers i de l'Edifici de la Seu Regional d'Emergències de Girona' Clau: PFG-08392 i 'Complementari núm 1 d'adequació del Centre d'Infancia i Adolescència per a l'edifici de la Mare de Déu de la Misericòrdia de Girona'. Clau:BSE-03420-C1</v>
      </c>
      <c r="I7" s="6">
        <f>Total!I409</f>
        <v>102537.33</v>
      </c>
    </row>
    <row r="8" spans="1:9" x14ac:dyDescent="0.2">
      <c r="A8" s="8">
        <f t="shared" si="0"/>
        <v>7</v>
      </c>
      <c r="B8" s="9">
        <f>Total!B410</f>
        <v>40539</v>
      </c>
      <c r="C8" s="9">
        <f>Total!C410</f>
        <v>40555</v>
      </c>
      <c r="D8" s="34" t="str">
        <f>Total!D410</f>
        <v>GISA</v>
      </c>
      <c r="E8" s="34" t="str">
        <f>Total!E410</f>
        <v>Edificació</v>
      </c>
      <c r="F8" s="34" t="str">
        <f>Total!F410</f>
        <v>Control de Qualitat</v>
      </c>
      <c r="G8" s="34" t="str">
        <f>Total!G410</f>
        <v>CQ. PNT-08510</v>
      </c>
      <c r="H8" s="34" t="str">
        <f>Total!H410</f>
        <v>Contracte de serveis per a l'assistència tècnica del control de qualitat de les obres de nova construcció Escola 2 línies a l'Escola Sant Llàtzer, a Tortosa (Baix Ebre). Clau: PNT-08510</v>
      </c>
      <c r="I8" s="6">
        <f>Total!I410</f>
        <v>101081.95</v>
      </c>
    </row>
    <row r="9" spans="1:9" x14ac:dyDescent="0.2">
      <c r="A9" s="8">
        <f t="shared" si="0"/>
        <v>8</v>
      </c>
      <c r="B9" s="9">
        <f>Total!B411</f>
        <v>40539</v>
      </c>
      <c r="C9" s="9">
        <f>Total!C411</f>
        <v>40555</v>
      </c>
      <c r="D9" s="34" t="str">
        <f>Total!D411</f>
        <v>GISA</v>
      </c>
      <c r="E9" s="34" t="str">
        <f>Total!E411</f>
        <v>Edificació</v>
      </c>
      <c r="F9" s="34" t="str">
        <f>Total!F411</f>
        <v>Direccions d'Execució</v>
      </c>
      <c r="G9" s="34" t="str">
        <f>Total!G411</f>
        <v>CSS. PNG-08339+2</v>
      </c>
      <c r="H9" s="34" t="str">
        <f>Total!H411</f>
        <v>Contracte de serveis per a l'assistència tècnica de coordinació de seguretat i salut de les obres 'nova construcció CEIP Ventalló, Ventalló. Substitució 6 unitats d'infantil i primària. Clau: PNG-08339'; 'nova construcció CEIP La Sinia, Calonge. CEIP 1 línia. Clau: PNG-08479' i 'nova construcció CEIP Cavaller Arnau, Riudoms. CEIP 1 línia. Clau: PNT-09233'</v>
      </c>
      <c r="I9" s="6">
        <f>Total!I411</f>
        <v>73312.5</v>
      </c>
    </row>
    <row r="10" spans="1:9" x14ac:dyDescent="0.2">
      <c r="A10" s="8">
        <f>A9+1</f>
        <v>9</v>
      </c>
      <c r="B10" s="9">
        <f>Total!B412</f>
        <v>40541</v>
      </c>
      <c r="C10" s="9">
        <f>Total!C412</f>
        <v>40590</v>
      </c>
      <c r="D10" s="34" t="str">
        <f>Total!D412</f>
        <v>GISA</v>
      </c>
      <c r="E10" s="34" t="str">
        <f>Total!E412</f>
        <v>Obra Civil</v>
      </c>
      <c r="F10" s="34" t="str">
        <f>Total!F412</f>
        <v>Direccions d'Obra</v>
      </c>
      <c r="G10" s="34" t="str">
        <f>Total!G412</f>
        <v>DO. TM-04341.R-M2</v>
      </c>
      <c r="H10" s="34" t="str">
        <f>Total!H412</f>
        <v>Contracte de serveis per a la direcció de les obres del projecte modificat núm. 2 del projecte refós dels projectes de nous vestíbuls a les estacions de Bogatell, Llacuna i Selva de Mar de la L4 del FMB. Clau: TM-04341.R-M2</v>
      </c>
      <c r="I10" s="6">
        <f>Total!I412</f>
        <v>538232.35</v>
      </c>
    </row>
    <row r="11" spans="1:9" ht="13.5" thickBot="1" x14ac:dyDescent="0.25">
      <c r="A11" s="8">
        <f>A10+1</f>
        <v>10</v>
      </c>
      <c r="B11" s="9">
        <f>Total!B413</f>
        <v>40541</v>
      </c>
      <c r="C11" s="9">
        <f>Total!C413</f>
        <v>40595</v>
      </c>
      <c r="D11" s="34" t="str">
        <f>Total!D413</f>
        <v>GISA</v>
      </c>
      <c r="E11" s="34" t="str">
        <f>Total!E413</f>
        <v>Obra Civil</v>
      </c>
      <c r="F11" s="34" t="str">
        <f>Total!F413</f>
        <v>Direccions d'Obra</v>
      </c>
      <c r="G11" s="34" t="str">
        <f>Total!G413</f>
        <v>DO. TM-04335-M2</v>
      </c>
      <c r="H11" s="34" t="str">
        <f>Total!H413</f>
        <v>Contracte de serveis per a la direcció de les obres del projecte modificat núm. 2 de nous vestíbuls a l'intercanviador de l'Arc de Triomf (L-1 del FMB i RENFE). Clau: TM-04335-M2</v>
      </c>
      <c r="I11" s="6">
        <f>Total!I413</f>
        <v>740555.56</v>
      </c>
    </row>
    <row r="12" spans="1:9" ht="13.5" thickBot="1" x14ac:dyDescent="0.25">
      <c r="I12" s="33">
        <f>SUM(I2:I11)-I6</f>
        <v>2138869.91</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I30"/>
  <sheetViews>
    <sheetView workbookViewId="0">
      <selection activeCell="I30" sqref="I30"/>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Total!B376</f>
        <v>40485</v>
      </c>
      <c r="C2" s="9">
        <f>Total!C376</f>
        <v>40532</v>
      </c>
      <c r="D2" s="34" t="str">
        <f>Total!D376</f>
        <v>GISA</v>
      </c>
      <c r="E2" s="34" t="str">
        <f>Total!E376</f>
        <v>Subministrament i Serveis</v>
      </c>
      <c r="F2" s="34" t="str">
        <f>Total!F376</f>
        <v>Subministrament i Serveis</v>
      </c>
      <c r="G2" s="34" t="str">
        <f>Total!G376</f>
        <v>Reducció de les afectacions</v>
      </c>
      <c r="H2" s="34" t="str">
        <f>Total!H376</f>
        <v>Contracte de serveis per al control de les mesures per a la reducció de les afectacions a la via pública de les obres de GISA</v>
      </c>
      <c r="I2" s="6">
        <f>Total!I376</f>
        <v>285000</v>
      </c>
    </row>
    <row r="3" spans="1:9" x14ac:dyDescent="0.2">
      <c r="A3" s="8">
        <f t="shared" ref="A3:A14" si="0">A2+1</f>
        <v>2</v>
      </c>
      <c r="B3" s="9">
        <f>Total!B377</f>
        <v>40491</v>
      </c>
      <c r="C3" s="9">
        <f>Total!C377</f>
        <v>40553</v>
      </c>
      <c r="D3" s="34" t="str">
        <f>Total!D377</f>
        <v>GISA</v>
      </c>
      <c r="E3" s="34" t="str">
        <f>Total!E377</f>
        <v>Obra Civil</v>
      </c>
      <c r="F3" s="34" t="str">
        <f>Total!F377</f>
        <v>Direccions d'Obra</v>
      </c>
      <c r="G3" s="34" t="str">
        <f>Total!G377</f>
        <v>AT.TM-02609.0</v>
      </c>
      <c r="H3" s="34" t="str">
        <f>Total!H377</f>
        <v>Contracte de serveis per a l'assistència tècnica per a l'Enginyeria d'integració dels sistemes i infraestructures, i coordinació de proves de la Línia 9 del Metro de Barcelona. Clau: TM-02609.0</v>
      </c>
      <c r="I3" s="6">
        <f>Total!I377</f>
        <v>690100</v>
      </c>
    </row>
    <row r="4" spans="1:9" x14ac:dyDescent="0.2">
      <c r="A4" s="8">
        <f t="shared" si="0"/>
        <v>3</v>
      </c>
      <c r="B4" s="9">
        <f>Total!B378</f>
        <v>40492</v>
      </c>
      <c r="C4" s="9">
        <f>Total!C378</f>
        <v>40188</v>
      </c>
      <c r="D4" s="34" t="str">
        <f>Total!D378</f>
        <v>GISA</v>
      </c>
      <c r="E4" s="34" t="str">
        <f>Total!E378</f>
        <v>Edificació</v>
      </c>
      <c r="F4" s="34" t="str">
        <f>Total!F378</f>
        <v>Projectes i Direccions d'Obra</v>
      </c>
      <c r="G4" s="34" t="str">
        <f>Total!G378</f>
        <v>PE+DO CAP-10066 2v</v>
      </c>
      <c r="H4" s="34" t="str">
        <f>Total!H378</f>
        <v>Contracte de serveis per a l'assistència tècnica per a la redacció del projecte bàsic i d'execució, l'estudi de seguretat i salut, la certificació d'eficiència energètica del projecte, l'estudi geotècnic, el projecte d'activitats per a llicència ambiental i poster ior Direcció d'Obra i certificació d'eficiència energètica de final d'obra corresponent a la construcció del nou CAP del Pont de Suert. Clau: CAP-10066 (2v)</v>
      </c>
      <c r="I4" s="6">
        <f>Total!I378</f>
        <v>364594.29</v>
      </c>
    </row>
    <row r="5" spans="1:9" x14ac:dyDescent="0.2">
      <c r="A5" s="8">
        <f t="shared" si="0"/>
        <v>4</v>
      </c>
      <c r="B5" s="9">
        <f>Total!B379</f>
        <v>40492</v>
      </c>
      <c r="C5" s="9">
        <f>Total!C379</f>
        <v>40188</v>
      </c>
      <c r="D5" s="34" t="str">
        <f>Total!D379</f>
        <v>GISA</v>
      </c>
      <c r="E5" s="34" t="str">
        <f>Total!E379</f>
        <v>Edificació</v>
      </c>
      <c r="F5" s="34" t="str">
        <f>Total!F379</f>
        <v>Projectes i Direccions d'Obra</v>
      </c>
      <c r="G5" s="34" t="str">
        <f>Total!G379</f>
        <v>PE+DO CAP-10070 2v</v>
      </c>
      <c r="H5" s="34" t="str">
        <f>Total!H379</f>
        <v>Contracte de serveis per a l'assistència tècnica per a la redacció del projecte bàsic i d'execució, l'estudi de seguretat i salut, la certificació d'eficiència energètica del projecte, l'estudi geotècnic, el projecte d'enderroc, el projecte d'activitats per a llicència ambiental i posterior Direcció d'Obra i certificació d'eficiència energètica de final d'obra corresponent a la Construcció d'un Centre Polivalent a Roquetes. Clau: CAP-10070 (2v)</v>
      </c>
      <c r="I5" s="6">
        <f>Total!I379</f>
        <v>532797.14</v>
      </c>
    </row>
    <row r="6" spans="1:9" x14ac:dyDescent="0.2">
      <c r="A6" s="8">
        <f t="shared" si="0"/>
        <v>5</v>
      </c>
      <c r="B6" s="9">
        <f>Total!B380</f>
        <v>40492</v>
      </c>
      <c r="C6" s="9">
        <f>Total!C380</f>
        <v>40511</v>
      </c>
      <c r="D6" s="34" t="str">
        <f>Total!D380</f>
        <v>GISA</v>
      </c>
      <c r="E6" s="34" t="str">
        <f>Total!E380</f>
        <v>Obra Civil</v>
      </c>
      <c r="F6" s="34" t="str">
        <f>Total!F380</f>
        <v>Direccions d'Obra</v>
      </c>
      <c r="G6" s="34" t="str">
        <f>Total!G380</f>
        <v>DO. TM-02405-C5.1+TM-02405-C5.2</v>
      </c>
      <c r="H6" s="34" t="str">
        <f>Total!H380</f>
        <v>Contracte de serveis per a la direcció conjunta de les obres del 'Projecte complementari núm. 5 d'urbanització de la carretera de Collblanc, entre el carrer d'Ernest Lluch i el carrer de Josep Sunyol i Garriga. Fase 1. Clau: TM-02405-C5.1' i 'Projecte complementari núm. 5 d'urbanització de la carretera de Collblanc, entre el carrer d'Ernest Lluch i el carrer de Josep Sunyol i Garriga. Fase 2. Clau TM-02405-C5.2'</v>
      </c>
      <c r="I6" s="6">
        <f>Total!I380</f>
        <v>85111.11</v>
      </c>
    </row>
    <row r="7" spans="1:9" x14ac:dyDescent="0.2">
      <c r="A7" s="8">
        <f t="shared" si="0"/>
        <v>6</v>
      </c>
      <c r="B7" s="9">
        <f>Total!B381</f>
        <v>40492</v>
      </c>
      <c r="C7" s="9">
        <f>Total!C381</f>
        <v>40511</v>
      </c>
      <c r="D7" s="34" t="str">
        <f>Total!D381</f>
        <v>GISA</v>
      </c>
      <c r="E7" s="34" t="str">
        <f>Total!E381</f>
        <v>Obra Civil</v>
      </c>
      <c r="F7" s="34" t="str">
        <f>Total!F381</f>
        <v>Projectes</v>
      </c>
      <c r="G7" s="34" t="str">
        <f>Total!G381</f>
        <v>PR.TM-00509.4R</v>
      </c>
      <c r="H7" s="34" t="str">
        <f>Total!H381</f>
        <v>Contracte de serveis per a l'assistència tècnica per a la redacció del 'Projecte refós de les estacions del tram 3r de la Línia 9 de Metro de Barcelona. Estacions: Campus Nord, Manuel Girona, Prat de la Riba, Sarrià, Mandri, El Putxet, Lesseps, Muntanya, Sanllehy, Guinardó i Maragall'. Clau: TM-00509.4R</v>
      </c>
      <c r="I7" s="6">
        <f>Total!I381</f>
        <v>190000</v>
      </c>
    </row>
    <row r="8" spans="1:9" x14ac:dyDescent="0.2">
      <c r="A8" s="8">
        <f t="shared" si="0"/>
        <v>7</v>
      </c>
      <c r="B8" s="9">
        <f>Total!B382</f>
        <v>40493</v>
      </c>
      <c r="C8" s="9">
        <f>Total!C382</f>
        <v>40511</v>
      </c>
      <c r="D8" s="34" t="str">
        <f>Total!D382</f>
        <v>GISA</v>
      </c>
      <c r="E8" s="34" t="str">
        <f>Total!E382</f>
        <v>Edificació</v>
      </c>
      <c r="F8" s="34" t="str">
        <f>Total!F382</f>
        <v>Direccions d'Execució</v>
      </c>
      <c r="G8" s="34" t="str">
        <f>Total!G382</f>
        <v>CSS. PNA-07461.1+2</v>
      </c>
      <c r="H8" s="34" t="str">
        <f>Total!H382</f>
        <v>Contracte de serveis per a l'assistència tècnica de coordinació de seguretat i salut conjunta de les obres 'Nova construcció Escola 2 línies (sense gimnàs) a l'Escola Pau Vila de Sant Feliu de Llobregat (Baix Llobregat)'. Clau:PNA-07461.1; 'Nova construcció Institut 3/2 línies a l'Institu Angeleta Ferrer i Sensat de Barcelona'. Clau:INB-07393 i 'Nova construcció CEIP de Cervelló. Cervelló. CEIP 1 línia.' Clau: PNA-09222</v>
      </c>
      <c r="I8" s="6">
        <f>Total!I382</f>
        <v>98010</v>
      </c>
    </row>
    <row r="9" spans="1:9" x14ac:dyDescent="0.2">
      <c r="A9" s="8">
        <f t="shared" si="0"/>
        <v>8</v>
      </c>
      <c r="B9" s="9">
        <f>Total!B383</f>
        <v>40493</v>
      </c>
      <c r="C9" s="9">
        <f>Total!C383</f>
        <v>40511</v>
      </c>
      <c r="D9" s="34" t="str">
        <f>Total!D383</f>
        <v>GISA</v>
      </c>
      <c r="E9" s="34" t="str">
        <f>Total!E383</f>
        <v>Edificació</v>
      </c>
      <c r="F9" s="34" t="str">
        <f>Total!F383</f>
        <v>Direccions d'Execució</v>
      </c>
      <c r="G9" s="34" t="str">
        <f>Total!G383</f>
        <v>CSS. PNG-07952+1</v>
      </c>
      <c r="H9" s="34" t="str">
        <f>Total!H383</f>
        <v>Contracte de serveis per a l'assistència tècnica de coordinació de seguretat i salut conjunta de les obres 'Nova construcció Escola 1 línia a l'Escola de les Preses (Garrotxa)'.Clau:PNG-07952 i 'Complementari núm. 1 d'adequació al Centre d'Infància i Adololescència per a l'edifici de la Mare de Déu de la Misericòrdia'. Clau:BSE-03420-C1</v>
      </c>
      <c r="I9" s="6">
        <f>Total!I383</f>
        <v>78705</v>
      </c>
    </row>
    <row r="10" spans="1:9" x14ac:dyDescent="0.2">
      <c r="A10" s="8">
        <f t="shared" si="0"/>
        <v>9</v>
      </c>
      <c r="B10" s="9">
        <f>Total!B384</f>
        <v>40493</v>
      </c>
      <c r="C10" s="9">
        <f>Total!C384</f>
        <v>40511</v>
      </c>
      <c r="D10" s="34" t="str">
        <f>Total!D384</f>
        <v>GISA</v>
      </c>
      <c r="E10" s="34" t="str">
        <f>Total!E384</f>
        <v>Edificació</v>
      </c>
      <c r="F10" s="34" t="str">
        <f>Total!F384</f>
        <v>Direccions d'Execució</v>
      </c>
      <c r="G10" s="34" t="str">
        <f>Total!G384</f>
        <v>CSS. PNL-07357+2</v>
      </c>
      <c r="H10" s="34" t="str">
        <f>Total!H384</f>
        <v>Contracte de serveis per a l'assistència tècnica de coordinació de seguretat i salut conjunta de les obres 'Nova construcció Escola 2 línies a l'Escola d'Almenar (Segrià)'. Clau:PNL-07357;'Nova construcció Institut 2/2 línies sense gimnàs a l'Institut de Tecnificació d'Amposta (Montsià)'. Clau:INE-08363 i 'Nova construcció Escola 7 unitats a l'Escola El Montcau de Subirats (Alt Penedès)'. Clau:PNC-08445</v>
      </c>
      <c r="I10" s="6">
        <f>Total!I384</f>
        <v>98010</v>
      </c>
    </row>
    <row r="11" spans="1:9" x14ac:dyDescent="0.2">
      <c r="A11" s="8">
        <f t="shared" si="0"/>
        <v>10</v>
      </c>
      <c r="B11" s="9">
        <f>Total!B385</f>
        <v>40493</v>
      </c>
      <c r="C11" s="9">
        <f>Total!C385</f>
        <v>40511</v>
      </c>
      <c r="D11" s="34" t="str">
        <f>Total!D385</f>
        <v>GISA</v>
      </c>
      <c r="E11" s="34" t="str">
        <f>Total!E385</f>
        <v>Edificació</v>
      </c>
      <c r="F11" s="34" t="str">
        <f>Total!F385</f>
        <v>Direccions d'Execució</v>
      </c>
      <c r="G11" s="34" t="str">
        <f>Total!G385</f>
        <v>CSS. BSE-09380+2</v>
      </c>
      <c r="H11" s="34" t="str">
        <f>Total!H385</f>
        <v>Contracte de serveis per a l'assistència tècnica de coordinació de seguretat i salut conjunta de les obres 'Nova construcció del Casal Cívic i Oficina d'Acció Ciutadana de Solsona'. Clau:BSE-09380; 'Nova construcció del Parc de Bombers d'Olot'. Clau:POG-08268 i 'Nova construcció CEIP l'Olivar, Castellnou del Bages.CEIP 1 Línia.' Clau:PNH-09307</v>
      </c>
      <c r="I11" s="6">
        <f>Total!I385</f>
        <v>75735</v>
      </c>
    </row>
    <row r="12" spans="1:9" x14ac:dyDescent="0.2">
      <c r="A12" s="8">
        <f t="shared" si="0"/>
        <v>11</v>
      </c>
      <c r="B12" s="9">
        <f>Total!B386</f>
        <v>40494</v>
      </c>
      <c r="C12" s="9">
        <f>Total!C386</f>
        <v>40525</v>
      </c>
      <c r="D12" s="34" t="str">
        <f>Total!D386</f>
        <v>GISA</v>
      </c>
      <c r="E12" s="34" t="str">
        <f>Total!E386</f>
        <v>Edificació</v>
      </c>
      <c r="F12" s="34" t="str">
        <f>Total!F386</f>
        <v>Direccions d'Execució</v>
      </c>
      <c r="G12" s="34" t="str">
        <f>Total!G386</f>
        <v>DE.PFG-08392</v>
      </c>
      <c r="H12" s="34" t="str">
        <f>Total!H386</f>
        <v>Contracte de serveis per la direcció d'execució de les obres de nova construcció del Parc de Bombers i de l'Edifici de la Seu Regional d'Emergències de Girona. Clau:PFG-08392</v>
      </c>
      <c r="I12" s="6">
        <f>Total!I386</f>
        <v>191334</v>
      </c>
    </row>
    <row r="13" spans="1:9" x14ac:dyDescent="0.2">
      <c r="A13" s="8">
        <f t="shared" si="0"/>
        <v>12</v>
      </c>
      <c r="B13" s="9">
        <f>Total!B387</f>
        <v>40494</v>
      </c>
      <c r="C13" s="9">
        <f>Total!C387</f>
        <v>40525</v>
      </c>
      <c r="D13" s="34" t="str">
        <f>Total!D387</f>
        <v>GISA</v>
      </c>
      <c r="E13" s="34" t="str">
        <f>Total!E387</f>
        <v>Edificació</v>
      </c>
      <c r="F13" s="34" t="str">
        <f>Total!F387</f>
        <v>Direccions d'Execució</v>
      </c>
      <c r="G13" s="34" t="str">
        <f>Total!G387</f>
        <v>DE. INM-09325 + PNG-08339</v>
      </c>
      <c r="H13" s="34" t="str">
        <f>Total!H387</f>
        <v>Contracte de serveis per a la direcció d'execució conjunta de les obres:'Nova construcció Institut Pineda de Mar, Maresme, Institut 3/0. Secundària. Clau:INM-09325' i 'Nova construcció CEIP Ventalló, Ventalló, substitució 6 unitats d'infantil i primària. Clau: PNG-08339'</v>
      </c>
      <c r="I13" s="6">
        <f>Total!I387</f>
        <v>139152</v>
      </c>
    </row>
    <row r="14" spans="1:9" x14ac:dyDescent="0.2">
      <c r="A14" s="8">
        <f t="shared" si="0"/>
        <v>13</v>
      </c>
      <c r="B14" s="9">
        <f>Total!B388</f>
        <v>40494</v>
      </c>
      <c r="C14" s="9">
        <f>Total!C388</f>
        <v>40525</v>
      </c>
      <c r="D14" s="34" t="str">
        <f>Total!D388</f>
        <v>GISA</v>
      </c>
      <c r="E14" s="34" t="str">
        <f>Total!E388</f>
        <v>Edificació</v>
      </c>
      <c r="F14" s="34" t="str">
        <f>Total!F388</f>
        <v>Direccions d'Execució</v>
      </c>
      <c r="G14" s="34" t="str">
        <f>Total!G388</f>
        <v>DE. INT-09371</v>
      </c>
      <c r="H14" s="34" t="str">
        <f>Total!H388</f>
        <v>Contracte de serveis per a la direcció d'execució de les obres:'Nova construcció Institut Segur de Calafell.Calafell. Institut 4/0 secundària.(1a fase). Clau:INT-09371'</v>
      </c>
      <c r="I14" s="6">
        <f>Total!I388</f>
        <v>128137</v>
      </c>
    </row>
    <row r="15" spans="1:9" x14ac:dyDescent="0.2">
      <c r="A15" s="8">
        <f t="shared" ref="A15:A20" si="1">A14+1</f>
        <v>14</v>
      </c>
      <c r="B15" s="9">
        <f>Total!B389</f>
        <v>40498</v>
      </c>
      <c r="C15" s="9">
        <f>Total!C389</f>
        <v>40513</v>
      </c>
      <c r="D15" s="34" t="str">
        <f>Total!D389</f>
        <v>GISA</v>
      </c>
      <c r="E15" s="34" t="str">
        <f>Total!E389</f>
        <v>Edificació</v>
      </c>
      <c r="F15" s="34" t="str">
        <f>Total!F389</f>
        <v>Direccions d'Execució</v>
      </c>
      <c r="G15" s="34" t="str">
        <f>Total!G389</f>
        <v>DE. PAM-09291+IAC-03591</v>
      </c>
      <c r="H15" s="34" t="str">
        <f>Total!H389</f>
        <v>Contracte de serveis per a la direcció d'execució conjunta de les obres d'ampliació a l'Escola Aqua Alba de Gualba, Escola 1 línia sense gimnàs. Clau:PAM-09291 i Reforma i ampliació Institut Can Vilumara de l'Hospitalet de Llobregat. Clau:IAC-03591</v>
      </c>
      <c r="I15" s="6">
        <f>Total!I389</f>
        <v>187100</v>
      </c>
    </row>
    <row r="16" spans="1:9" x14ac:dyDescent="0.2">
      <c r="A16" s="8">
        <f t="shared" si="1"/>
        <v>15</v>
      </c>
      <c r="B16" s="9">
        <f>Total!B390</f>
        <v>40499</v>
      </c>
      <c r="C16" s="9">
        <f>Total!C390</f>
        <v>40521</v>
      </c>
      <c r="D16" s="34" t="str">
        <f>Total!D390</f>
        <v>GISA</v>
      </c>
      <c r="E16" s="34" t="str">
        <f>Total!E390</f>
        <v>Edificació</v>
      </c>
      <c r="F16" s="34" t="str">
        <f>Total!F390</f>
        <v>Direccions d'Execució</v>
      </c>
      <c r="G16" s="34" t="str">
        <f>Total!G390</f>
        <v>DE.TM-99500.1A-M1-C1</v>
      </c>
      <c r="H16" s="34" t="str">
        <f>Total!H390</f>
        <v>Contracte de serveis per a la direcció d'execució de les obres del projecte complementari núm. 1 del projecte modificat núm.1 d'infraestructures, superestructures i electrificació de la línia 5. Tram: Horta-Vall d'Hebron. Reposició de les instal.lacions esportives del Tir amb arc de Vall d'Hebron.Clau:TM-99500.1A-M1-C1</v>
      </c>
      <c r="I16" s="6">
        <f>Total!I390</f>
        <v>93732</v>
      </c>
    </row>
    <row r="17" spans="1:9" x14ac:dyDescent="0.2">
      <c r="A17" s="8">
        <f t="shared" si="1"/>
        <v>16</v>
      </c>
      <c r="B17" s="9">
        <f>Total!B391</f>
        <v>40500</v>
      </c>
      <c r="C17" s="9">
        <f>Total!C391</f>
        <v>40521</v>
      </c>
      <c r="D17" s="34" t="str">
        <f>Total!D391</f>
        <v>GISA</v>
      </c>
      <c r="E17" s="34" t="str">
        <f>Total!E391</f>
        <v>Obra Civil</v>
      </c>
      <c r="F17" s="34" t="str">
        <f>Total!F391</f>
        <v>Direccions d'Obra</v>
      </c>
      <c r="G17" s="34" t="str">
        <f>Total!G391</f>
        <v>DB VE-09029</v>
      </c>
      <c r="H17" s="34" t="str">
        <f>Total!H391</f>
        <v>Contracte de serveis per a la direcció de les obres de millora general. Variant de Sant Jaume d'Enveja. Carretera TV-3403, PK 6+300 fins a la TV-3404, PK 0+000 i obres complementàries. Tram: Sant Jaume d'Enveja. Clau: VE-09029</v>
      </c>
      <c r="I17" s="6">
        <f>Total!I391</f>
        <v>95375</v>
      </c>
    </row>
    <row r="18" spans="1:9" x14ac:dyDescent="0.2">
      <c r="A18" s="8">
        <f t="shared" si="1"/>
        <v>17</v>
      </c>
      <c r="B18" s="43">
        <f>Total!B392</f>
        <v>40500</v>
      </c>
      <c r="C18" s="43">
        <f>Total!C392</f>
        <v>40525</v>
      </c>
      <c r="D18" s="46" t="str">
        <f>Total!D392</f>
        <v>GISA</v>
      </c>
      <c r="E18" s="46" t="str">
        <f>Total!E392</f>
        <v>Edificació</v>
      </c>
      <c r="F18" s="46" t="str">
        <f>Total!F392</f>
        <v>Control de Qualitat</v>
      </c>
      <c r="G18" s="46" t="str">
        <f>Total!G392</f>
        <v>CQ. PAM-09293+PAC-07332+PAL-06472</v>
      </c>
      <c r="H18" s="46" t="str">
        <f>Total!H392</f>
        <v>Contracte de serveis per a l'assistència tècnica per el control de qualitat de les obres: 'Ampliació i reforma a 2 línies a l'Escola Joan Casas de Sant Antoni de Vilamajor( Vallès Oriental). Clau: PAM-09293', 'Reforma i ampliació a Escola a 1 línia a l'Escola Damià Mateu de Llinars del Vallès (Vallès Oriental). Clau: PAC-07332' i 'Reforma i ampliació escola a 5 unitats a l'Escola Mossèn Ton Clavé de Vila-Sana (Pla d'Urgell). Clau: PAL-06472'</v>
      </c>
      <c r="I18" s="44">
        <f>Total!I392</f>
        <v>72725.13</v>
      </c>
    </row>
    <row r="19" spans="1:9" x14ac:dyDescent="0.2">
      <c r="A19" s="8">
        <f t="shared" si="1"/>
        <v>18</v>
      </c>
      <c r="B19" s="43">
        <f>Total!B393</f>
        <v>40500</v>
      </c>
      <c r="C19" s="43">
        <f>Total!C393</f>
        <v>40532</v>
      </c>
      <c r="D19" s="46" t="str">
        <f>Total!D393</f>
        <v>GISA</v>
      </c>
      <c r="E19" s="46" t="str">
        <f>Total!E393</f>
        <v>Edificació</v>
      </c>
      <c r="F19" s="46" t="str">
        <f>Total!F393</f>
        <v>Control de Qualitat</v>
      </c>
      <c r="G19" s="46" t="str">
        <f>Total!G393</f>
        <v>CQ. PFG-08392 + BSE-03420-C1</v>
      </c>
      <c r="H19" s="46" t="str">
        <f>Total!H393</f>
        <v>Contracte de serveis per a l'assistència tècnica del control de qualitat conjunt corresponent a les obres de:'Nova construcció del Parc de Bombers i de l'Edifici de la Seu Regional d'Emergències de Girona' Clau: PFG-08392 i 'Complementari núm 1 d'adequació del Centre d'Infancia i Adolescència per a l'edifici de la Mare de Déu de la Misericòrdia de Girona'. Clau:BSE-03420-C1</v>
      </c>
      <c r="I19" s="44">
        <f>Total!I393</f>
        <v>102537.33</v>
      </c>
    </row>
    <row r="20" spans="1:9" x14ac:dyDescent="0.2">
      <c r="A20" s="8">
        <f t="shared" si="1"/>
        <v>19</v>
      </c>
      <c r="B20" s="9">
        <f>Total!B394</f>
        <v>40500</v>
      </c>
      <c r="C20" s="9">
        <f>Total!C394</f>
        <v>40532</v>
      </c>
      <c r="D20" s="34" t="str">
        <f>Total!D394</f>
        <v>GISA</v>
      </c>
      <c r="E20" s="34" t="str">
        <f>Total!E394</f>
        <v>Edificació</v>
      </c>
      <c r="F20" s="34" t="str">
        <f>Total!F394</f>
        <v>Control de Qualitat</v>
      </c>
      <c r="G20" s="34" t="str">
        <f>Total!G394</f>
        <v>CQ. INM-09325 + PNG-08339 + INT-09371</v>
      </c>
      <c r="H20" s="34" t="str">
        <f>Total!H394</f>
        <v>Contracte de serveis per al control de qualitat conjunt de les obres:'Nova construcció Institut Pineda de Mar,Maresme, Institut 3/0. Secundària. Clau: INM-09325', 'Nova construcció CEIP Ventalló, Ventalló, substitució 6 unitats d'infantil i primària.Clau: PNG-08339' i 'Nova construcció Institut Segur de Calafell, Calafell. Institut 4/0 Secundària (1a fase). Clau: INT-09371'</v>
      </c>
      <c r="I20" s="6">
        <f>Total!I394</f>
        <v>99355.93</v>
      </c>
    </row>
    <row r="21" spans="1:9" x14ac:dyDescent="0.2">
      <c r="A21" s="8">
        <f t="shared" ref="A21:A29" si="2">A20+1</f>
        <v>20</v>
      </c>
      <c r="B21" s="9">
        <f>Total!B395</f>
        <v>40501</v>
      </c>
      <c r="C21" s="9">
        <f>Total!C395</f>
        <v>40553</v>
      </c>
      <c r="D21" s="34" t="str">
        <f>Total!D395</f>
        <v>GISA</v>
      </c>
      <c r="E21" s="34" t="str">
        <f>Total!E395</f>
        <v>Obra Civil</v>
      </c>
      <c r="F21" s="34" t="str">
        <f>Total!F395</f>
        <v>Control de Qualitat</v>
      </c>
      <c r="G21" s="34" t="str">
        <f>Total!G395</f>
        <v>CQ.TM-00509.6A2-C1</v>
      </c>
      <c r="H21" s="34" t="str">
        <f>Total!H395</f>
        <v>Contracte de serveis per a l'assistència tècnica de control de qualitat de les obres del projecte d'execució del Centre Intermodal del Baix Llobregat al Prat de Llobregat. Clau: TM-00509.6A2-C1</v>
      </c>
      <c r="I21" s="6">
        <f>Total!I395</f>
        <v>767845.64</v>
      </c>
    </row>
    <row r="22" spans="1:9" x14ac:dyDescent="0.2">
      <c r="A22" s="8">
        <f t="shared" si="2"/>
        <v>21</v>
      </c>
      <c r="B22" s="9">
        <f>Total!B396</f>
        <v>40504</v>
      </c>
      <c r="C22" s="9">
        <f>Total!C396</f>
        <v>40553</v>
      </c>
      <c r="D22" s="34" t="str">
        <f>Total!D396</f>
        <v>GISA</v>
      </c>
      <c r="E22" s="34" t="str">
        <f>Total!E396</f>
        <v>Edificació</v>
      </c>
      <c r="F22" s="34" t="str">
        <f>Total!F396</f>
        <v>Direccions d'Execució</v>
      </c>
      <c r="G22" s="34" t="str">
        <f>Total!G396</f>
        <v>DE.SOC-10077</v>
      </c>
      <c r="H22" s="34" t="str">
        <f>Total!H396</f>
        <v>Contracte de serveis per la direcció d'execució de les obres del nou centre de formació professional del sector de l'Automoció, a Martorell.Clau:SOC-10077</v>
      </c>
      <c r="I22" s="6">
        <f>Total!I396</f>
        <v>261529</v>
      </c>
    </row>
    <row r="23" spans="1:9" x14ac:dyDescent="0.2">
      <c r="A23" s="8">
        <f t="shared" si="2"/>
        <v>22</v>
      </c>
      <c r="B23" s="9">
        <f>Total!B397</f>
        <v>40504</v>
      </c>
      <c r="C23" s="9">
        <f>Total!C397</f>
        <v>40553</v>
      </c>
      <c r="D23" s="34" t="str">
        <f>Total!D397</f>
        <v>GISA</v>
      </c>
      <c r="E23" s="34" t="str">
        <f>Total!E397</f>
        <v>Edificació</v>
      </c>
      <c r="F23" s="34" t="str">
        <f>Total!F397</f>
        <v>Direccions d'Obra</v>
      </c>
      <c r="G23" s="34" t="str">
        <f>Total!G397</f>
        <v>DO.SOC-10077</v>
      </c>
      <c r="H23" s="34" t="str">
        <f>Total!H397</f>
        <v>Contracte de serveis per la direcció de les obres per a la construcció del nou centre de formació professional del sector de l'automoció a Martorell. Clau:SOC-10077</v>
      </c>
      <c r="I23" s="6">
        <f>Total!I397</f>
        <v>235400</v>
      </c>
    </row>
    <row r="24" spans="1:9" x14ac:dyDescent="0.2">
      <c r="A24" s="8">
        <f t="shared" si="2"/>
        <v>23</v>
      </c>
      <c r="B24" s="9">
        <f>Total!B398</f>
        <v>40506</v>
      </c>
      <c r="C24" s="9">
        <f>Total!C398</f>
        <v>40532</v>
      </c>
      <c r="D24" s="34" t="str">
        <f>Total!D398</f>
        <v>GISA</v>
      </c>
      <c r="E24" s="34" t="str">
        <f>Total!E398</f>
        <v>Obra Civil</v>
      </c>
      <c r="F24" s="34" t="str">
        <f>Total!F398</f>
        <v>Control de Qualitat</v>
      </c>
      <c r="G24" s="34" t="str">
        <f>Total!G398</f>
        <v>CQ VE-09029</v>
      </c>
      <c r="H24" s="34" t="str">
        <f>Total!H398</f>
        <v>Contracte de serveis per a l'assistència tècnica de control de qualitat de les obres de millora general. Variant de Sant Jaume d'Enveja. Carretera TV-3403, PK 6+300, fins a la TV-3404, PK 0+000 i obres complementàries. Tram: Sant Jaume d'Enveja. Clau: VE-09029</v>
      </c>
      <c r="I24" s="6">
        <f>Total!I398</f>
        <v>56733.57</v>
      </c>
    </row>
    <row r="25" spans="1:9" x14ac:dyDescent="0.2">
      <c r="A25" s="8">
        <f t="shared" si="2"/>
        <v>24</v>
      </c>
      <c r="B25" s="9">
        <f>Total!B399</f>
        <v>40508</v>
      </c>
      <c r="C25" s="9">
        <f>Total!C399</f>
        <v>40525</v>
      </c>
      <c r="D25" s="34" t="str">
        <f>Total!D399</f>
        <v>GISA</v>
      </c>
      <c r="E25" s="34" t="str">
        <f>Total!E399</f>
        <v>Subministrament i Serveis</v>
      </c>
      <c r="F25" s="34" t="str">
        <f>Total!F399</f>
        <v>Subministrament i Serveis</v>
      </c>
      <c r="G25" s="34" t="str">
        <f>Total!G399</f>
        <v>Pressupostació ingressos i despeses</v>
      </c>
      <c r="H25" s="34" t="str">
        <f>Total!H399</f>
        <v>Contracte de serveis per a la implementació d'una solució per a l'elaboració de la pressupostació d'ingressos i despeses de GISA i REGSA</v>
      </c>
      <c r="I25" s="6">
        <f>Total!I399</f>
        <v>145000</v>
      </c>
    </row>
    <row r="26" spans="1:9" x14ac:dyDescent="0.2">
      <c r="A26" s="8">
        <f t="shared" si="2"/>
        <v>25</v>
      </c>
      <c r="B26" s="43">
        <f>Total!B400</f>
        <v>40508</v>
      </c>
      <c r="C26" s="43">
        <f>Total!C400</f>
        <v>40525</v>
      </c>
      <c r="D26" s="46" t="str">
        <f>Total!D400</f>
        <v>GISA</v>
      </c>
      <c r="E26" s="46" t="str">
        <f>Total!E400</f>
        <v>Edificació</v>
      </c>
      <c r="F26" s="46" t="str">
        <f>Total!F400</f>
        <v>Control de Qualitat</v>
      </c>
      <c r="G26" s="46" t="str">
        <f>Total!G400</f>
        <v>CQ. PNT-08510</v>
      </c>
      <c r="H26" s="46" t="str">
        <f>Total!H400</f>
        <v>Contracte de serveis per a l'assistència tècnica del control de qualitat de les obres de nova construcció Escola 2 línies a l'Escola Sant Llàtzer, a Tortosa (Baix Ebre). Clau: PNT-08510</v>
      </c>
      <c r="I26" s="44">
        <f>Total!I400</f>
        <v>101081.95</v>
      </c>
    </row>
    <row r="27" spans="1:9" x14ac:dyDescent="0.2">
      <c r="A27" s="8">
        <f t="shared" si="2"/>
        <v>26</v>
      </c>
      <c r="B27" s="9">
        <f>Total!B401</f>
        <v>40508</v>
      </c>
      <c r="C27" s="9">
        <f>Total!C401</f>
        <v>40555</v>
      </c>
      <c r="D27" s="34" t="str">
        <f>Total!D401</f>
        <v>GISA</v>
      </c>
      <c r="E27" s="34" t="str">
        <f>Total!E401</f>
        <v>Edificació</v>
      </c>
      <c r="F27" s="34" t="str">
        <f>Total!F401</f>
        <v>Direccions d'Execució</v>
      </c>
      <c r="G27" s="34" t="str">
        <f>Total!G401</f>
        <v>CSS. SOC-10077</v>
      </c>
      <c r="H27" s="34" t="str">
        <f>Total!H401</f>
        <v>Contracte de serveis per a l'assistència tècnica de coordinació de seguretat i salut de les obres nou centre de formació professional del sector de l'automoció a Martorell. Clau: SOC-10077</v>
      </c>
      <c r="I27" s="6">
        <f>Total!I401</f>
        <v>78408</v>
      </c>
    </row>
    <row r="28" spans="1:9" x14ac:dyDescent="0.2">
      <c r="A28" s="8">
        <f t="shared" si="2"/>
        <v>27</v>
      </c>
      <c r="B28" s="43">
        <f>Total!B402</f>
        <v>40508</v>
      </c>
      <c r="C28" s="43">
        <f>Total!C402</f>
        <v>40555</v>
      </c>
      <c r="D28" s="46" t="str">
        <f>Total!D402</f>
        <v>GISA</v>
      </c>
      <c r="E28" s="46" t="str">
        <f>Total!E402</f>
        <v>Edificació</v>
      </c>
      <c r="F28" s="46" t="str">
        <f>Total!F402</f>
        <v>Control de Qualitat</v>
      </c>
      <c r="G28" s="46" t="str">
        <f>Total!G402</f>
        <v>CQ.SOC-10077</v>
      </c>
      <c r="H28" s="46" t="str">
        <f>Total!H402</f>
        <v>Contracte de serveis per l'assistència tècnica al control de qualitat de les obres del nou centre de formació professional del sector de l'automoció a Martorell. Clau:SOC-10077</v>
      </c>
      <c r="I28" s="44">
        <f>Total!I402</f>
        <v>82040.28</v>
      </c>
    </row>
    <row r="29" spans="1:9" ht="13.5" thickBot="1" x14ac:dyDescent="0.25">
      <c r="A29" s="8">
        <f t="shared" si="2"/>
        <v>28</v>
      </c>
      <c r="B29" s="9">
        <f>Total!B403</f>
        <v>40508</v>
      </c>
      <c r="C29" s="9">
        <f>Total!C403</f>
        <v>40546</v>
      </c>
      <c r="D29" s="34" t="str">
        <f>Total!D403</f>
        <v>GISA</v>
      </c>
      <c r="E29" s="34" t="str">
        <f>Total!E403</f>
        <v>Edificació</v>
      </c>
      <c r="F29" s="34" t="str">
        <f>Total!F403</f>
        <v>Projectes i Direccions d'Obra</v>
      </c>
      <c r="G29" s="34" t="str">
        <f>Total!G403</f>
        <v>PE+DO. PNG-10096</v>
      </c>
      <c r="H29" s="34" t="str">
        <f>Total!H403</f>
        <v>Contracte de serveis per a l'assistència tècnica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l'Escola Sa Forcanera, de Blanes. Clau: PNG-10096 (1v)</v>
      </c>
      <c r="I29" s="6">
        <f>Total!I403</f>
        <v>360632.86</v>
      </c>
    </row>
    <row r="30" spans="1:9" ht="13.5" thickBot="1" x14ac:dyDescent="0.25">
      <c r="I30" s="33">
        <f>SUM(I2:I29)-I18-I19-I26-I28</f>
        <v>5337797.540000001</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35"/>
  <sheetViews>
    <sheetView workbookViewId="0">
      <selection activeCell="D34" sqref="D34"/>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0.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Total!B343</f>
        <v>40452</v>
      </c>
      <c r="C2" s="9">
        <f>Total!C343</f>
        <v>40504</v>
      </c>
      <c r="D2" s="4" t="str">
        <f>Total!D343</f>
        <v>GISA</v>
      </c>
      <c r="E2" s="4" t="str">
        <f>Total!E343</f>
        <v>Obra Civil</v>
      </c>
      <c r="F2" s="4" t="str">
        <f>Total!F343</f>
        <v>Direccions d'Obra</v>
      </c>
      <c r="G2" s="4" t="str">
        <f>Total!G343</f>
        <v>DO. NB-03114.1-A1</v>
      </c>
      <c r="H2" s="4" t="str">
        <f>Total!H343</f>
        <v>Contracte de serveis per a la direcció de les obres de millora general. Nova carretera. Vial Port-Aeroport. Tram 1, entre la carretera B-250 i el polígon industrial Patrenc. Tram: el Prat de Llobregat. Clau: NB-03114.1-A1</v>
      </c>
      <c r="I2" s="6">
        <f>Total!I343</f>
        <v>554000</v>
      </c>
    </row>
    <row r="3" spans="1:9" x14ac:dyDescent="0.2">
      <c r="A3" s="8">
        <v>2</v>
      </c>
      <c r="B3" s="9">
        <f>Total!B344</f>
        <v>40452</v>
      </c>
      <c r="C3" s="9">
        <f>Total!C344</f>
        <v>40471</v>
      </c>
      <c r="D3" s="4" t="str">
        <f>Total!D344</f>
        <v>GISA</v>
      </c>
      <c r="E3" s="4" t="str">
        <f>Total!E344</f>
        <v>Obra Civil</v>
      </c>
      <c r="F3" s="4" t="str">
        <f>Total!F344</f>
        <v>Direccions d'Obra</v>
      </c>
      <c r="G3" s="4" t="str">
        <f>Total!G344</f>
        <v>CSS. MB-03141.1</v>
      </c>
      <c r="H3" s="4" t="str">
        <f>Total!H344</f>
        <v>Contracte de serveis per a l'assistència tècnica de coordinació de seguretat i salut de les obres de millora local. Millora de nus. Enllaços a diferent nivell entre la carretera C-17 (PK 1+720) i la carretera N-150 (PK 0+000) i entre la carretera C-17 i la carretera BV-1411 entre els PK 4+330 i el 5+740 de la C-17. Tram: Barcelona-Montcada i Reixac. Clau: MB-03141.1</v>
      </c>
      <c r="I3" s="6">
        <f>Total!I344</f>
        <v>72058</v>
      </c>
    </row>
    <row r="4" spans="1:9" x14ac:dyDescent="0.2">
      <c r="A4" s="8">
        <v>3</v>
      </c>
      <c r="B4" s="9">
        <f>Total!B345</f>
        <v>40452</v>
      </c>
      <c r="C4" s="9">
        <f>Total!C345</f>
        <v>40492</v>
      </c>
      <c r="D4" s="4" t="str">
        <f>Total!D345</f>
        <v>REGSA</v>
      </c>
      <c r="E4" s="4"/>
      <c r="F4" s="4" t="str">
        <f>Total!F345</f>
        <v>Direccions d'Obra</v>
      </c>
      <c r="G4" s="4" t="str">
        <f>Total!G345</f>
        <v>CSS. MC-05910.4</v>
      </c>
      <c r="H4" s="4" t="str">
        <f>Total!H345</f>
        <v>Contracte de serveis per a l'assistència tècnica de coordinació de seguretat i salut de les obres del projecte de regadiu Xerta-Sénia. Adequació del canal. Tram 4. Clau: MC-05910.4</v>
      </c>
      <c r="I4" s="6">
        <f>Total!I345</f>
        <v>72900</v>
      </c>
    </row>
    <row r="5" spans="1:9" x14ac:dyDescent="0.2">
      <c r="A5" s="8">
        <v>4</v>
      </c>
      <c r="B5" s="9">
        <f>Total!B346</f>
        <v>40455</v>
      </c>
      <c r="C5" s="9">
        <f>Total!C346</f>
        <v>40478</v>
      </c>
      <c r="D5" s="4" t="str">
        <f>Total!D346</f>
        <v>GISA</v>
      </c>
      <c r="E5" s="4" t="str">
        <f>Total!E346</f>
        <v>Subministrament i Serveis</v>
      </c>
      <c r="F5" s="4" t="str">
        <f>Total!F346</f>
        <v>Subministrament i Serveis</v>
      </c>
      <c r="G5" s="4" t="str">
        <f>Total!G346</f>
        <v>Manteniment aplicacions web</v>
      </c>
      <c r="H5" s="4" t="str">
        <f>Total!H346</f>
        <v>Contracte de serveis per al manteniment de les aplicacions corporatives basades en plataforma WEB-EC de GISA i REGSA</v>
      </c>
      <c r="I5" s="6">
        <f>Total!I346</f>
        <v>91800</v>
      </c>
    </row>
    <row r="6" spans="1:9" x14ac:dyDescent="0.2">
      <c r="A6" s="8">
        <v>5</v>
      </c>
      <c r="B6" s="47">
        <f>Total!B347</f>
        <v>40456</v>
      </c>
      <c r="C6" s="47">
        <f>Total!C347</f>
        <v>40532</v>
      </c>
      <c r="D6" s="51" t="str">
        <f>Total!D347</f>
        <v>REGSA</v>
      </c>
      <c r="E6" s="51"/>
      <c r="F6" s="51" t="str">
        <f>Total!F347</f>
        <v>Direccions d'Obra</v>
      </c>
      <c r="G6" s="51" t="str">
        <f>Total!G347</f>
        <v>DO. MC-05910.4</v>
      </c>
      <c r="H6" s="51" t="str">
        <f>Total!H347</f>
        <v>Contracte de serveis per a la direcció de les obres del projecte de regadiu Xerta-Sénia. Adequació del canal. Tram 4. Clau: MC-05910.4</v>
      </c>
      <c r="I6" s="49">
        <f>Total!I347</f>
        <v>470144</v>
      </c>
    </row>
    <row r="7" spans="1:9" x14ac:dyDescent="0.2">
      <c r="A7" s="8">
        <v>6</v>
      </c>
      <c r="B7" s="9">
        <f>Total!B348</f>
        <v>40457</v>
      </c>
      <c r="C7" s="9">
        <f>Total!C348</f>
        <v>40476</v>
      </c>
      <c r="D7" s="4" t="str">
        <f>Total!D348</f>
        <v>GISA</v>
      </c>
      <c r="E7" s="4" t="str">
        <f>Total!E348</f>
        <v>Obra Civil</v>
      </c>
      <c r="F7" s="4" t="str">
        <f>Total!F348</f>
        <v>Projectes</v>
      </c>
      <c r="G7" s="4" t="str">
        <f>Total!G348</f>
        <v>PC. AL-99276 (AMPL)</v>
      </c>
      <c r="H7" s="4" t="str">
        <f>Total!H348</f>
        <v>Contracte de serveis per a l'assistència tècnica per a la redacció de l'ampliació del projecte constructiu de millora general. Condicionament. Eixamplament i millora del traçat. Carretera C-26, del PK 116+930 al 129+960. Tram: Navès-Montmajor. Clau: AL-99276</v>
      </c>
      <c r="I7" s="6">
        <f>Total!I348</f>
        <v>150000</v>
      </c>
    </row>
    <row r="8" spans="1:9" x14ac:dyDescent="0.2">
      <c r="A8" s="8">
        <v>7</v>
      </c>
      <c r="B8" s="9">
        <f>Total!B349</f>
        <v>40457</v>
      </c>
      <c r="C8" s="9">
        <f>Total!C349</f>
        <v>40478</v>
      </c>
      <c r="D8" s="4" t="str">
        <f>Total!D349</f>
        <v>GISA</v>
      </c>
      <c r="E8" s="4" t="str">
        <f>Total!E349</f>
        <v>Obra Civil</v>
      </c>
      <c r="F8" s="4" t="str">
        <f>Total!F349</f>
        <v>Control de Qualitat</v>
      </c>
      <c r="G8" s="4" t="str">
        <f>Total!G349</f>
        <v>QP. CQPT2010.2</v>
      </c>
      <c r="H8" s="4" t="str">
        <f>Total!H349</f>
        <v>Contracte de serveis per a l'assistència tècnica per a la redacció del control de qualitat d'estudis i projectes de transports 2010. Grup 2. Clau: CQPT2010.2</v>
      </c>
      <c r="I8" s="6">
        <f>Total!I349</f>
        <v>192500</v>
      </c>
    </row>
    <row r="9" spans="1:9" x14ac:dyDescent="0.2">
      <c r="A9" s="8">
        <v>8</v>
      </c>
      <c r="B9" s="9">
        <f>Total!B350</f>
        <v>40458</v>
      </c>
      <c r="C9" s="9">
        <f>Total!C350</f>
        <v>40485</v>
      </c>
      <c r="D9" s="4" t="str">
        <f>Total!D350</f>
        <v>GISA</v>
      </c>
      <c r="E9" s="4" t="str">
        <f>Total!E350</f>
        <v>Edificació</v>
      </c>
      <c r="F9" s="4" t="str">
        <f>Total!F350</f>
        <v>Control de Qualitat</v>
      </c>
      <c r="G9" s="4" t="str">
        <f>Total!G350</f>
        <v>CQ.PAG-08223+PNG-06484+IAG-02727-C1+PAG-</v>
      </c>
      <c r="H9" s="4" t="str">
        <f>Total!H350</f>
        <v>Contracte de serveis per a l'assistència tècnica del control de qualitat conjunt de les obres de: 'Reforma i ampliació Escola a 1 línia a l'Escola Alzina Reclamadora de Fontcoberta (Pla de l'Estany). Clau:PAG-08223';'nova construcció Escola 6 unitats a l'Escola de Vall-Llobrega (Baix Empordà). Clau:PNG-06484'; 'projecte complementari núm.1 per les obres de heura, reixes, accés pista, desmuntatge mòduls, aire comprimit laboratori, a l'Institut Serrallarga de Blanes (Selva). Clau:IAG-02727.1-C1' i 'projecte complementari núm. 1 per les obres de reforma (varis gimnàs, acc.finestra claraboia, equipament esportiu, etc) a l'Escola Doctor Sobrequés de Bescanó. Clau:PAG-03639-C1</v>
      </c>
      <c r="I9" s="6">
        <f>Total!I350</f>
        <v>56270.78</v>
      </c>
    </row>
    <row r="10" spans="1:9" x14ac:dyDescent="0.2">
      <c r="A10" s="8">
        <v>9</v>
      </c>
      <c r="B10" s="9">
        <f>Total!B351</f>
        <v>40459</v>
      </c>
      <c r="C10" s="9">
        <f>Total!C351</f>
        <v>40490</v>
      </c>
      <c r="D10" s="4" t="str">
        <f>Total!D351</f>
        <v>GISA</v>
      </c>
      <c r="E10" s="4" t="str">
        <f>Total!E351</f>
        <v>Edificació</v>
      </c>
      <c r="F10" s="4" t="str">
        <f>Total!F351</f>
        <v>Direccions d'Execució</v>
      </c>
      <c r="G10" s="4" t="str">
        <f>Total!G351</f>
        <v>DE. HLL-09996+1</v>
      </c>
      <c r="H10" s="4" t="str">
        <f>Total!H351</f>
        <v>Contracte de serveis per a la direcció d'execució conjunta de les obres 'Implantació del segon accelerador lineal a l'Hospital Arnau de Vilanova de Lleida. Clau:HLL-09996' i de la 'Reforma de la planta 7a per a Unitat d'Hospitalització (Fase 1), de l'Hospital Joan XXIII, de Tarragona.Clau:HTT-07437.1</v>
      </c>
      <c r="I10" s="6">
        <f>Total!I351</f>
        <v>82162.22</v>
      </c>
    </row>
    <row r="11" spans="1:9" x14ac:dyDescent="0.2">
      <c r="A11" s="8">
        <v>10</v>
      </c>
      <c r="B11" s="9">
        <f>Total!B352</f>
        <v>40459</v>
      </c>
      <c r="C11" s="9">
        <f>Total!C352</f>
        <v>40490</v>
      </c>
      <c r="D11" s="4" t="str">
        <f>Total!D352</f>
        <v>GISA</v>
      </c>
      <c r="E11" s="4" t="str">
        <f>Total!E352</f>
        <v>Edificació</v>
      </c>
      <c r="F11" s="4" t="str">
        <f>Total!F352</f>
        <v>Control de Qualitat</v>
      </c>
      <c r="G11" s="4" t="str">
        <f>Total!G352</f>
        <v>CQ. HLL-09996+1</v>
      </c>
      <c r="H11" s="4" t="str">
        <f>Total!H352</f>
        <v>Contracte de serveis per a l'assistència tècnica del control de qualitat conjunt de les obres 'd'Implantació del segon accelerador lineal a l'Hospital Arnau de Vilanova de Lleida. Clau:HLL-09996' i de la 'Reforma de la planta 7a per a Unitat d'Hospitalització (Fase 1) de l'Hospital Joan XXIII, de Tarragona. Clau:HTT-07437.1</v>
      </c>
      <c r="I11" s="6">
        <f>Total!I352</f>
        <v>55508.88</v>
      </c>
    </row>
    <row r="12" spans="1:9" x14ac:dyDescent="0.2">
      <c r="A12" s="8">
        <v>11</v>
      </c>
      <c r="B12" s="9">
        <f>Total!B353</f>
        <v>40459</v>
      </c>
      <c r="C12" s="9">
        <f>Total!C353</f>
        <v>40511</v>
      </c>
      <c r="D12" s="4" t="str">
        <f>Total!D353</f>
        <v>GISA</v>
      </c>
      <c r="E12" s="4" t="str">
        <f>Total!E353</f>
        <v>Edificació</v>
      </c>
      <c r="F12" s="4" t="str">
        <f>Total!F353</f>
        <v>Projectes i Direccions d'Obra</v>
      </c>
      <c r="G12" s="4" t="str">
        <f>Total!G353</f>
        <v>PE+DO IAM-10053 1v</v>
      </c>
      <c r="H12" s="4" t="str">
        <f>Total!H353</f>
        <v>Contracte de serveis per a l'assistència tècnica per a la redacció del projecte bàsic i d'execució, la certificació d'eficiència energètica del projecte, l'estudi de seguretat i salut, l'estudi geotècnic, l'aixecament de plànols, l'estudi de patologies, el projecte d'activitats per a llicència ambiental i posterior Direcció d'Obra i certificació d'eficiència energètica de final d'obra corresponent a l'ampliació a Institut Escola de l'Escola Josep Pallerola i Roca, de Sant Celoni. Clau:IAM-10053(1v)</v>
      </c>
      <c r="I12" s="6">
        <f>Total!I353</f>
        <v>247721.43</v>
      </c>
    </row>
    <row r="13" spans="1:9" x14ac:dyDescent="0.2">
      <c r="A13" s="8">
        <v>12</v>
      </c>
      <c r="B13" s="9">
        <f>Total!B354</f>
        <v>40459</v>
      </c>
      <c r="C13" s="9">
        <f>Total!C354</f>
        <v>40532</v>
      </c>
      <c r="D13" s="4" t="str">
        <f>Total!D354</f>
        <v>GISA</v>
      </c>
      <c r="E13" s="4" t="str">
        <f>Total!E354</f>
        <v>Obra Civil</v>
      </c>
      <c r="F13" s="4" t="str">
        <f>Total!F354</f>
        <v>Direccions d'Obra</v>
      </c>
      <c r="G13" s="4" t="str">
        <f>Total!G354</f>
        <v>AU.TF-04306.A</v>
      </c>
      <c r="H13" s="4" t="str">
        <f>Total!H354</f>
        <v>Contracte de serveis per a l'assistència tècnica per a l'auscultació de les obres d'adaptació a la normativa. Millora de l'accessibilitat i remodelació de l'estació de Gràcia dels FGC. Clau: TF-04306.A</v>
      </c>
      <c r="I13" s="6">
        <f>Total!I354</f>
        <v>525506.73</v>
      </c>
    </row>
    <row r="14" spans="1:9" x14ac:dyDescent="0.2">
      <c r="A14" s="8">
        <v>13</v>
      </c>
      <c r="B14" s="9">
        <f>Total!B355</f>
        <v>40459</v>
      </c>
      <c r="C14" s="9">
        <f>Total!C355</f>
        <v>40532</v>
      </c>
      <c r="D14" s="4" t="str">
        <f>Total!D355</f>
        <v>GISA</v>
      </c>
      <c r="E14" s="4" t="str">
        <f>Total!E355</f>
        <v>Obra Civil</v>
      </c>
      <c r="F14" s="4" t="str">
        <f>Total!F355</f>
        <v>Direccions d'Obra</v>
      </c>
      <c r="G14" s="4" t="str">
        <f>Total!G355</f>
        <v>AU. TM-05605.A</v>
      </c>
      <c r="H14" s="4" t="str">
        <f>Total!H355</f>
        <v>Contracte de serveis per a l'assistència tècnica per a l'auscultació de les obres d'adaptació a la normativa i millora de l'accessibilitat de l'estació de Virrei Amat de la Línia 5 de l'FMB. Clau: TM-05605.A</v>
      </c>
      <c r="I14" s="6">
        <f>Total!I355</f>
        <v>339614.22</v>
      </c>
    </row>
    <row r="15" spans="1:9" x14ac:dyDescent="0.2">
      <c r="A15" s="8">
        <v>14</v>
      </c>
      <c r="B15" s="9">
        <f>Total!B356</f>
        <v>40459</v>
      </c>
      <c r="C15" s="9">
        <f>Total!C356</f>
        <v>40478</v>
      </c>
      <c r="D15" s="4" t="str">
        <f>Total!D356</f>
        <v>GISA</v>
      </c>
      <c r="E15" s="4" t="str">
        <f>Total!E356</f>
        <v>Obra Civil</v>
      </c>
      <c r="F15" s="4" t="str">
        <f>Total!F356</f>
        <v>Projectes</v>
      </c>
      <c r="G15" s="4" t="str">
        <f>Total!G356</f>
        <v>EP.EP38</v>
      </c>
      <c r="H15" s="4" t="str">
        <f>Total!H356</f>
        <v>Contracte de serveis per a l'assistència tècnica per a la realització dels treballs de topografia corresponents als estudis i projectes d'obra civil. Clau: EP38</v>
      </c>
      <c r="I15" s="6">
        <f>Total!I356</f>
        <v>192000</v>
      </c>
    </row>
    <row r="16" spans="1:9" x14ac:dyDescent="0.2">
      <c r="A16" s="8">
        <v>15</v>
      </c>
      <c r="B16" s="9">
        <f>Total!B357</f>
        <v>40459</v>
      </c>
      <c r="C16" s="9">
        <f>Total!C357</f>
        <v>40490</v>
      </c>
      <c r="D16" s="4" t="str">
        <f>Total!D357</f>
        <v>GISA</v>
      </c>
      <c r="E16" s="4" t="str">
        <f>Total!E357</f>
        <v>Edificació</v>
      </c>
      <c r="F16" s="4" t="str">
        <f>Total!F357</f>
        <v>Direccions d'Execució</v>
      </c>
      <c r="G16" s="4" t="str">
        <f>Total!G357</f>
        <v>DE.POG-08268</v>
      </c>
      <c r="H16" s="4" t="str">
        <f>Total!H357</f>
        <v>Contracte de serveis per a la direcció d'execució de les obres de Nova Construcció del Parc de Bombers d'Olot. Clau:POG-08268</v>
      </c>
      <c r="I16" s="6">
        <f>Total!I357</f>
        <v>101989</v>
      </c>
    </row>
    <row r="17" spans="1:9" x14ac:dyDescent="0.2">
      <c r="A17" s="8">
        <v>16</v>
      </c>
      <c r="B17" s="9">
        <f>Total!B358</f>
        <v>40459</v>
      </c>
      <c r="C17" s="9">
        <f>Total!C358</f>
        <v>40490</v>
      </c>
      <c r="D17" s="4" t="str">
        <f>Total!D358</f>
        <v>GISA</v>
      </c>
      <c r="E17" s="4" t="str">
        <f>Total!E358</f>
        <v>Edificació</v>
      </c>
      <c r="F17" s="4" t="str">
        <f>Total!F358</f>
        <v>Direccions d'Execució</v>
      </c>
      <c r="G17" s="4" t="str">
        <f>Total!G358</f>
        <v>DE.BSE-03420-C1</v>
      </c>
      <c r="H17" s="4" t="str">
        <f>Total!H358</f>
        <v>Contracte de serveis per a la direcció d'execució de les obres del projecte complementari núm 1 d'adequació del Centre d'Infància i adolescència per a l'Edifici de la Mare de Déu de la Misericòrdia. Clau:BSE-03420-C1</v>
      </c>
      <c r="I17" s="6">
        <f>Total!I358</f>
        <v>148691</v>
      </c>
    </row>
    <row r="18" spans="1:9" x14ac:dyDescent="0.2">
      <c r="A18" s="8">
        <v>17</v>
      </c>
      <c r="B18" s="9">
        <f>Total!B359</f>
        <v>40459</v>
      </c>
      <c r="C18" s="9">
        <f>Total!C359</f>
        <v>40478</v>
      </c>
      <c r="D18" s="4" t="str">
        <f>Total!D359</f>
        <v>REGSA</v>
      </c>
      <c r="E18" s="4"/>
      <c r="F18" s="4" t="str">
        <f>Total!F359</f>
        <v>Projectes</v>
      </c>
      <c r="G18" s="4" t="str">
        <f>Total!G359</f>
        <v>EC.TR-10028</v>
      </c>
      <c r="H18" s="4" t="str">
        <f>Total!H359</f>
        <v>Contracte de serveis per a l'assistència tècnica per a la realització de la cartografia del projecte de condicionament i millora del regadiu de Sant Julià de Ramis, Cervià de Ter, Sant Jordi Desvalls, Sant Joan de Mollet (Gironès) i Colomers, Jafre i Vilopriu (Baix Empordà). Clau: TR-10028</v>
      </c>
      <c r="I18" s="6">
        <f>Total!I359</f>
        <v>50862.07</v>
      </c>
    </row>
    <row r="19" spans="1:9" x14ac:dyDescent="0.2">
      <c r="A19" s="8">
        <v>18</v>
      </c>
      <c r="B19" s="9">
        <f>Total!B360</f>
        <v>40459</v>
      </c>
      <c r="C19" s="9">
        <f>Total!C360</f>
        <v>40478</v>
      </c>
      <c r="D19" s="4" t="str">
        <f>Total!D360</f>
        <v>REGSA</v>
      </c>
      <c r="E19" s="4"/>
      <c r="F19" s="4" t="str">
        <f>Total!F360</f>
        <v>Projectes</v>
      </c>
      <c r="G19" s="4" t="str">
        <f>Total!G360</f>
        <v>EC.OX-10046</v>
      </c>
      <c r="H19" s="4" t="str">
        <f>Total!H360</f>
        <v>Contracte de serveis per a l'assistència tècnica per a la realització de la cartografia del projecte de modernització de la xarxa de reg de les Comunitats de Regants de Llitera-Vincamet i Serrabrisa-Montfret i del regadiu del canal Aragó-Catalunya TM d'Aitona i Seròs (Segrià). Clau: OX-10046</v>
      </c>
      <c r="I19" s="6">
        <f>Total!I360</f>
        <v>59000</v>
      </c>
    </row>
    <row r="20" spans="1:9" x14ac:dyDescent="0.2">
      <c r="A20" s="8">
        <v>19</v>
      </c>
      <c r="B20" s="9">
        <f>Total!B361</f>
        <v>40459</v>
      </c>
      <c r="C20" s="9">
        <f>Total!C361</f>
        <v>40478</v>
      </c>
      <c r="D20" s="4" t="str">
        <f>Total!D361</f>
        <v>REGSA</v>
      </c>
      <c r="E20" s="4"/>
      <c r="F20" s="4" t="str">
        <f>Total!F361</f>
        <v>Projectes</v>
      </c>
      <c r="G20" s="4" t="str">
        <f>Total!G361</f>
        <v>EC.VR-10064</v>
      </c>
      <c r="H20" s="4" t="str">
        <f>Total!H361</f>
        <v>Contracte de serveis per a l'assistència tècnica per a la realització de la cartografia del projecte de modernització del reg de la CR de la Sèquia de Torres de Segre. TM de Torres de Segre i Sudanell (Segrià). Clau: VR-10064</v>
      </c>
      <c r="I20" s="6">
        <f>Total!I361</f>
        <v>48000</v>
      </c>
    </row>
    <row r="21" spans="1:9" x14ac:dyDescent="0.2">
      <c r="A21" s="8">
        <v>20</v>
      </c>
      <c r="B21" s="9">
        <f>Total!B362</f>
        <v>40462</v>
      </c>
      <c r="C21" s="9">
        <f>Total!C362</f>
        <v>40511</v>
      </c>
      <c r="D21" s="4" t="str">
        <f>Total!D362</f>
        <v>GISA</v>
      </c>
      <c r="E21" s="4" t="str">
        <f>Total!E362</f>
        <v>Subministrament i Serveis</v>
      </c>
      <c r="F21" s="4" t="str">
        <f>Total!F362</f>
        <v>Subministrament i Serveis</v>
      </c>
      <c r="G21" s="4" t="str">
        <f>Total!G362</f>
        <v>Arrendament dispositius impressió</v>
      </c>
      <c r="H21" s="4" t="str">
        <f>Total!H362</f>
        <v>Contracte de subministrament mitjançant arrendament de dispositius d'impressió i multifunció per a la Seu Corporativa de GISA</v>
      </c>
      <c r="I21" s="6">
        <f>Total!I362</f>
        <v>437500</v>
      </c>
    </row>
    <row r="22" spans="1:9" x14ac:dyDescent="0.2">
      <c r="A22" s="8">
        <v>21</v>
      </c>
      <c r="B22" s="47">
        <f>Total!B363</f>
        <v>40470</v>
      </c>
      <c r="C22" s="47">
        <f>Total!C363</f>
        <v>40521</v>
      </c>
      <c r="D22" s="51" t="str">
        <f>Total!D363</f>
        <v>GISA</v>
      </c>
      <c r="E22" s="51" t="str">
        <f>Total!E363</f>
        <v>Obra Civil</v>
      </c>
      <c r="F22" s="51" t="str">
        <f>Total!F363</f>
        <v>Direccions d'Obra</v>
      </c>
      <c r="G22" s="51" t="str">
        <f>Total!G363</f>
        <v>UASPO. TM-08402.2</v>
      </c>
      <c r="H22" s="51" t="str">
        <f>Total!H363</f>
        <v>Contracte de serveis per a l'assistència tècnica d'unitat d'avaluació i supervisió de projecte i obra (UASPO). Concessió. Estacions i determinades infraestructures del tram 2n de la línia 9 del Metro de Barcelona. Clau: TM-08402.2</v>
      </c>
      <c r="I22" s="49">
        <f>Total!I363</f>
        <v>3293250</v>
      </c>
    </row>
    <row r="23" spans="1:9" x14ac:dyDescent="0.2">
      <c r="A23" s="8">
        <v>22</v>
      </c>
      <c r="B23" s="9">
        <f>Total!B364</f>
        <v>40472</v>
      </c>
      <c r="C23" s="9">
        <f>Total!C364</f>
        <v>40490</v>
      </c>
      <c r="D23" s="4" t="str">
        <f>Total!D364</f>
        <v>GISA</v>
      </c>
      <c r="E23" s="4" t="str">
        <f>Total!E364</f>
        <v>Edificació</v>
      </c>
      <c r="F23" s="4" t="str">
        <f>Total!F364</f>
        <v>Direccions d'Obra</v>
      </c>
      <c r="G23" s="4" t="str">
        <f>Total!G364</f>
        <v>DO.BSE-03420-C1</v>
      </c>
      <c r="H23" s="4" t="str">
        <f>Total!H364</f>
        <v>Contracte de serveis per a la direcció de les obres del projecte complementari núm 1 d'adequació del Centre d'Infancia i Adolescència per a l'edifici de la Mare de Déu de la Misericòrdia. Clau:BSE-03420-C1</v>
      </c>
      <c r="I23" s="6">
        <f>Total!I364</f>
        <v>120150</v>
      </c>
    </row>
    <row r="24" spans="1:9" x14ac:dyDescent="0.2">
      <c r="A24" s="8">
        <v>23</v>
      </c>
      <c r="B24" s="9">
        <f>Total!B365</f>
        <v>40473</v>
      </c>
      <c r="C24" s="9">
        <f>Total!C365</f>
        <v>40490</v>
      </c>
      <c r="D24" s="4" t="str">
        <f>Total!D365</f>
        <v>GISA</v>
      </c>
      <c r="E24" s="4" t="str">
        <f>Total!E365</f>
        <v>Obra Civil</v>
      </c>
      <c r="F24" s="4" t="str">
        <f>Total!F365</f>
        <v>Direccions d'Obra</v>
      </c>
      <c r="G24" s="4" t="str">
        <f>Total!G365</f>
        <v>ATAM. VB-05146</v>
      </c>
      <c r="H24" s="4" t="str">
        <f>Total!H365</f>
        <v>Contracte de serveis per a l'assistència tècnica ambiental a la direcció de les obres de millora general. Variant d'Olost. PK 18+000 de la carretera C-154 al PK 1+300 de la carretera BV-4405. Tram: Olost. Clau: VB-05146</v>
      </c>
      <c r="I24" s="6">
        <f>Total!I365</f>
        <v>54054</v>
      </c>
    </row>
    <row r="25" spans="1:9" x14ac:dyDescent="0.2">
      <c r="A25" s="8">
        <v>24</v>
      </c>
      <c r="B25" s="9">
        <f>Total!B366</f>
        <v>40476</v>
      </c>
      <c r="C25" s="9">
        <f>Total!C366</f>
        <v>40492</v>
      </c>
      <c r="D25" s="4" t="str">
        <f>Total!D366</f>
        <v>GISA</v>
      </c>
      <c r="E25" s="4" t="str">
        <f>Total!E366</f>
        <v>Obra Civil</v>
      </c>
      <c r="F25" s="4" t="str">
        <f>Total!F366</f>
        <v>Direccions d'Obra</v>
      </c>
      <c r="G25" s="4" t="str">
        <f>Total!G366</f>
        <v>IN. TM-05605.A</v>
      </c>
      <c r="H25" s="4" t="str">
        <f>Total!H366</f>
        <v>Contracte de serveis per a l'assistència tècnica d'inspecció prèvia d'edificis de les obres del projecte constructiu d'adaptació a la normativa i millora de l'accessibilitat de l'estació de Virrei Amat de la línia 5 de l'FMB. Clau: TM-05605.A</v>
      </c>
      <c r="I25" s="6">
        <f>Total!I366</f>
        <v>56695</v>
      </c>
    </row>
    <row r="26" spans="1:9" x14ac:dyDescent="0.2">
      <c r="A26" s="8">
        <v>25</v>
      </c>
      <c r="B26" s="9">
        <f>Total!B367</f>
        <v>40477</v>
      </c>
      <c r="C26" s="9">
        <f>Total!C367</f>
        <v>40499</v>
      </c>
      <c r="D26" s="4" t="str">
        <f>Total!D367</f>
        <v>GISA</v>
      </c>
      <c r="E26" s="4" t="str">
        <f>Total!E367</f>
        <v>Edificació</v>
      </c>
      <c r="F26" s="4" t="str">
        <f>Total!F367</f>
        <v>Projectes i Direccions d'Obra</v>
      </c>
      <c r="G26" s="4" t="str">
        <f>Total!G367</f>
        <v>PE+DO PNG-02453.A 1v</v>
      </c>
      <c r="H26" s="4" t="str">
        <f>Total!H367</f>
        <v>Contracte de serveis per a l'actualització i adaptació a la nova normativa del projecte de Nova Construcció de l'Escola Vall d'Aro,de Castell-Platja d'Aro que inclou l'actualització del pressupost i l'adaptació de la documentació tècnica i gràfica del projecte executiu al compliment del Reglament d'Instal.lacions Tèrmiques dels Edificis - RITE i al Codi Tècnic d'Edificació - CTE, així com la certificació energètica del projecte, la modificació del projecte d'activitats per a llicència ambiental i la posterior direcció d'obra i certificació d'eficiència energètica de final d'obra. Clau: PNG-02453.A (1v)</v>
      </c>
      <c r="I26" s="6">
        <f>Total!I367</f>
        <v>153447.5</v>
      </c>
    </row>
    <row r="27" spans="1:9" x14ac:dyDescent="0.2">
      <c r="A27" s="8">
        <v>26</v>
      </c>
      <c r="B27" s="9">
        <f>Total!B368</f>
        <v>40477</v>
      </c>
      <c r="C27" s="9">
        <f>Total!C368</f>
        <v>40497</v>
      </c>
      <c r="D27" s="4" t="str">
        <f>Total!D368</f>
        <v>GISA</v>
      </c>
      <c r="E27" s="4" t="str">
        <f>Total!E368</f>
        <v>Edificació</v>
      </c>
      <c r="F27" s="4" t="str">
        <f>Total!F368</f>
        <v>Direccions d'Execució</v>
      </c>
      <c r="G27" s="4" t="str">
        <f>Total!G368</f>
        <v>CSS. CLT-08245+4</v>
      </c>
      <c r="H27" s="4" t="str">
        <f>Total!H368</f>
        <v>Contracte de serveis per a l'assistència tècnica de coordinació de seguretat i salut conjunta de les obres de construcció del 'Consultori local de Paüls'. Clau:CLT-08245; 'Consultori local de La Bisbal de Falset'.Clau: CLT-08342; 'Nou Consultori local d'Aiguaviva'.Clau:CLT-08471; 'Consultori local del Pinell de Brai'.Clau: CLT-09263 i 'Consultori local de Nulles'.Clau:CLT-09288</v>
      </c>
      <c r="I27" s="6">
        <f>Total!I368</f>
        <v>51408</v>
      </c>
    </row>
    <row r="28" spans="1:9" x14ac:dyDescent="0.2">
      <c r="A28" s="8">
        <v>27</v>
      </c>
      <c r="B28" s="9">
        <f>Total!B369</f>
        <v>40477</v>
      </c>
      <c r="C28" s="9">
        <f>Total!C369</f>
        <v>40525</v>
      </c>
      <c r="D28" s="4" t="str">
        <f>Total!D369</f>
        <v>GISA</v>
      </c>
      <c r="E28" s="4" t="str">
        <f>Total!E369</f>
        <v>Obra Civil</v>
      </c>
      <c r="F28" s="4" t="str">
        <f>Total!F369</f>
        <v>Direccions d'Obra</v>
      </c>
      <c r="G28" s="4" t="str">
        <f>Total!G369</f>
        <v>DO. TM-05605.A</v>
      </c>
      <c r="H28" s="4" t="str">
        <f>Total!H369</f>
        <v>Contracte de serveis per a la direcció de les obres del projecte constructiu d'adaptació a la normativa i millora de l'accessibilitat de l'estació de Virrei Amat de la línia 5 de l'FMB. Clau: TM-05605.A</v>
      </c>
      <c r="I28" s="6">
        <f>Total!I369</f>
        <v>483683.33</v>
      </c>
    </row>
    <row r="29" spans="1:9" x14ac:dyDescent="0.2">
      <c r="A29" s="8">
        <v>28</v>
      </c>
      <c r="B29" s="9">
        <f>Total!B370</f>
        <v>40477</v>
      </c>
      <c r="C29" s="9">
        <f>Total!C370</f>
        <v>40525</v>
      </c>
      <c r="D29" s="4" t="str">
        <f>Total!D370</f>
        <v>GISA</v>
      </c>
      <c r="E29" s="4" t="str">
        <f>Total!E370</f>
        <v>Obra Civil</v>
      </c>
      <c r="F29" s="4" t="str">
        <f>Total!F370</f>
        <v>Direccions d'Obra</v>
      </c>
      <c r="G29" s="4" t="str">
        <f>Total!G370</f>
        <v>DO. VB-05146</v>
      </c>
      <c r="H29" s="4" t="str">
        <f>Total!H370</f>
        <v>Contracte de serveis per a la direcció de les obres de millora general. Variant d'Olost. PK 18+000 de la carretera C-154 al PK 1+300 de la carretera BV-4405. Tram: Olost. Clau: VB-05146</v>
      </c>
      <c r="I29" s="6">
        <f>Total!I370</f>
        <v>312461.11</v>
      </c>
    </row>
    <row r="30" spans="1:9" x14ac:dyDescent="0.2">
      <c r="A30" s="8">
        <v>29</v>
      </c>
      <c r="B30" s="9">
        <f>Total!B371</f>
        <v>40477</v>
      </c>
      <c r="C30" s="9">
        <f>Total!C371</f>
        <v>40497</v>
      </c>
      <c r="D30" s="4" t="str">
        <f>Total!D371</f>
        <v>GISA</v>
      </c>
      <c r="E30" s="4" t="str">
        <f>Total!E371</f>
        <v>Obra Civil</v>
      </c>
      <c r="F30" s="4" t="str">
        <f>Total!F371</f>
        <v>Control de Qualitat</v>
      </c>
      <c r="G30" s="4" t="str">
        <f>Total!G371</f>
        <v>CQ. VB-05146</v>
      </c>
      <c r="H30" s="4" t="str">
        <f>Total!H371</f>
        <v>Contracte de serveis per a l'assistència tècnica de control de qualitat de les obres de millora general. Variant d'Olost. PK 18+000 de la carretera C-154 al PK 1+300 de la carretera BV-4405. Tram: Olost. Clau: VB-05146</v>
      </c>
      <c r="I30" s="6">
        <f>Total!I371</f>
        <v>192550.16</v>
      </c>
    </row>
    <row r="31" spans="1:9" x14ac:dyDescent="0.2">
      <c r="A31" s="8">
        <v>30</v>
      </c>
      <c r="B31" s="9">
        <f>Total!B372</f>
        <v>40477</v>
      </c>
      <c r="C31" s="9">
        <f>Total!C372</f>
        <v>40497</v>
      </c>
      <c r="D31" s="4" t="str">
        <f>Total!D372</f>
        <v>GISA</v>
      </c>
      <c r="E31" s="4" t="str">
        <f>Total!E372</f>
        <v>Obra Civil</v>
      </c>
      <c r="F31" s="4" t="str">
        <f>Total!F372</f>
        <v>Control de Qualitat</v>
      </c>
      <c r="G31" s="4" t="str">
        <f>Total!G372</f>
        <v>CQ.TF-03474.1R-C2</v>
      </c>
      <c r="H31" s="4" t="str">
        <f>Total!H372</f>
        <v>Contracte de serveis per a l'assistència tècnica de control de qualitat de les obres del projecte complementari núm. 2 del perllongament dels FGC a Terrassa. Infraestructura, superestructura de via i catenària. Tram: Túnel Terrassa-Rambla/Can Roca i estacions intercanviador RENFE i Can Roca. Clau: TF-03474.1R-C2</v>
      </c>
      <c r="I31" s="6">
        <f>Total!I372</f>
        <v>177500.06</v>
      </c>
    </row>
    <row r="32" spans="1:9" x14ac:dyDescent="0.2">
      <c r="A32" s="8">
        <v>31</v>
      </c>
      <c r="B32" s="9">
        <f>Total!B373</f>
        <v>40478</v>
      </c>
      <c r="C32" s="9">
        <f>Total!C373</f>
        <v>40497</v>
      </c>
      <c r="D32" s="4" t="str">
        <f>Total!D373</f>
        <v>GISA</v>
      </c>
      <c r="E32" s="4" t="str">
        <f>Total!E373</f>
        <v>Edificació</v>
      </c>
      <c r="F32" s="4" t="str">
        <f>Total!F373</f>
        <v>Direccions d'Execució</v>
      </c>
      <c r="G32" s="4" t="str">
        <f>Total!G373</f>
        <v>CSS. PNC-09215+2</v>
      </c>
      <c r="H32" s="4" t="str">
        <f>Total!H373</f>
        <v>Contracte de serveis per a l'assistència tècnica de coordinació de seguretat i salut conjunta de les obres 'Nova construcció de l'Escola Bufalà II, Badalona. Escola 1 Línia Infantil + Primària'. Clau:PNC-09215; 'Reforma i ampliació de l'IES Can Vilumara de l'Hospitalet de Llobregat(Barcelonès)'. Clau: IAC-03591 i 'Construcció de la Nova Seu de la Casa de les Llengües al recinte de Can Ricart de Barcelona. Fase 1: Consolidació i ampliació estructurals i de tancaments dels edificis'. Clau:GPV-09264.1</v>
      </c>
      <c r="I32" s="6">
        <f>Total!I373</f>
        <v>68400</v>
      </c>
    </row>
    <row r="33" spans="1:9" x14ac:dyDescent="0.2">
      <c r="A33" s="8">
        <v>32</v>
      </c>
      <c r="B33" s="9">
        <f>Total!B374</f>
        <v>40479</v>
      </c>
      <c r="C33" s="9">
        <f>Total!C374</f>
        <v>40499</v>
      </c>
      <c r="D33" s="4" t="str">
        <f>Total!D374</f>
        <v>GISA</v>
      </c>
      <c r="E33" s="4" t="str">
        <f>Total!E374</f>
        <v>Edificació</v>
      </c>
      <c r="F33" s="4" t="str">
        <f>Total!F374</f>
        <v>Direccions d'Execució</v>
      </c>
      <c r="G33" s="4" t="str">
        <f>Total!G374</f>
        <v>DE. PNT-08510</v>
      </c>
      <c r="H33" s="4" t="str">
        <f>Total!H374</f>
        <v>Contracte de serveis per a la direcció d'execució de les obres de nova construcció Escola 2 línies a l'Escola Sant Llàtzer de Tortosa (Baix Ebre). Clau:PNT-08510</v>
      </c>
      <c r="I33" s="6">
        <f>Total!I374</f>
        <v>159468</v>
      </c>
    </row>
    <row r="34" spans="1:9" ht="13.5" thickBot="1" x14ac:dyDescent="0.25">
      <c r="A34" s="8">
        <v>33</v>
      </c>
      <c r="B34" s="9">
        <f>Total!B375</f>
        <v>40479</v>
      </c>
      <c r="C34" s="9">
        <f>Total!C375</f>
        <v>40499</v>
      </c>
      <c r="D34" s="4" t="str">
        <f>Total!D375</f>
        <v>GISA</v>
      </c>
      <c r="E34" s="4" t="str">
        <f>Total!E375</f>
        <v>Edificació</v>
      </c>
      <c r="F34" s="4" t="str">
        <f>Total!F375</f>
        <v>Direccions d'Obra</v>
      </c>
      <c r="G34" s="4" t="str">
        <f>Total!G375</f>
        <v>DO. PNT-08510</v>
      </c>
      <c r="H34" s="4" t="str">
        <f>Total!H375</f>
        <v>Contracte de serveis per a la direcció de les obres de nova construcció Escola 2 línies a l'Escola Sant Llàtzer de Tortosa (Baix Ebre). Clau: PNT-08510</v>
      </c>
      <c r="I34" s="6">
        <f>Total!I375</f>
        <v>143521</v>
      </c>
    </row>
    <row r="35" spans="1:9" ht="13.5" thickBot="1" x14ac:dyDescent="0.25">
      <c r="I35" s="33">
        <f>SUM(I2:I34)</f>
        <v>9214816.4900000002</v>
      </c>
    </row>
  </sheetData>
  <phoneticPr fontId="2" type="noConversion"/>
  <pageMargins left="0.75" right="0.75" top="1" bottom="1" header="0" footer="0"/>
  <pageSetup paperSize="9" orientation="portrait" horizontalDpi="4294967292" verticalDpi="4294967292"/>
  <headerFooter alignWithMargins="0"/>
  <extLst>
    <ext xmlns:mx="http://schemas.microsoft.com/office/mac/excel/2008/main" uri="{64002731-A6B0-56B0-2670-7721B7C09600}">
      <mx:PLV Mode="0" OnePage="0" WScale="0"/>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I56"/>
  <sheetViews>
    <sheetView workbookViewId="0">
      <selection activeCell="I14" activeCellId="1" sqref="I21 I14:I15"/>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1.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Total!B289</f>
        <v>40422</v>
      </c>
      <c r="C2" s="9">
        <f>Total!C289</f>
        <v>40455</v>
      </c>
      <c r="D2" s="34" t="str">
        <f>Total!D289</f>
        <v>GISA</v>
      </c>
      <c r="E2" s="34" t="str">
        <f>Total!E289</f>
        <v>Edificació</v>
      </c>
      <c r="F2" s="34" t="str">
        <f>Total!F289</f>
        <v>Direccions d'Execució</v>
      </c>
      <c r="G2" s="34" t="str">
        <f>Total!G289</f>
        <v>DE. PNA-09222 + PNC-09224</v>
      </c>
      <c r="H2" s="34" t="str">
        <f>Total!H289</f>
        <v>Contracte de serveis per a la direccio d'execució conjunta de les obres:'nova construcció CEIP de Cervelló. Cervelló CEIP 1 Línia. Clau: PNA-09222', i 'nova construcció CEIP Mar i Cel, Cubelles. CEIP 2 Línies (2a fase 1 Línia Infantil i Primària). Clau:PNC-09224'</v>
      </c>
      <c r="I2" s="6">
        <f>Total!I289</f>
        <v>110711.12</v>
      </c>
    </row>
    <row r="3" spans="1:9" x14ac:dyDescent="0.2">
      <c r="A3" s="8">
        <v>2</v>
      </c>
      <c r="B3" s="9">
        <f>Total!B290</f>
        <v>40422</v>
      </c>
      <c r="C3" s="9">
        <f>Total!C290</f>
        <v>40455</v>
      </c>
      <c r="D3" s="34" t="str">
        <f>Total!D290</f>
        <v>GISA</v>
      </c>
      <c r="E3" s="34" t="str">
        <f>Total!E290</f>
        <v>Edificació</v>
      </c>
      <c r="F3" s="34" t="str">
        <f>Total!F290</f>
        <v>Direccions d'Execució</v>
      </c>
      <c r="G3" s="34" t="str">
        <f>Total!G290</f>
        <v>DE. PNG-09324 + PNC-09228</v>
      </c>
      <c r="H3" s="34" t="str">
        <f>Total!H290</f>
        <v>Contracte de serveis per a la direcció d'execució conjunta de les obres:'nova construcció CEIP Sant Iscle, Vidreres. Substitució 2 Línies. Clau: PNG-09324', i 'nova construcció CEIP Els Vinyals, Lliçà de Vall. CEIP 1 Línia. Clau: PNC-09228'</v>
      </c>
      <c r="I3" s="6">
        <f>Total!I290</f>
        <v>180000</v>
      </c>
    </row>
    <row r="4" spans="1:9" x14ac:dyDescent="0.2">
      <c r="A4" s="8">
        <v>3</v>
      </c>
      <c r="B4" s="9">
        <f>Total!B291</f>
        <v>40422</v>
      </c>
      <c r="C4" s="9">
        <f>Total!C291</f>
        <v>40455</v>
      </c>
      <c r="D4" s="34" t="str">
        <f>Total!D291</f>
        <v>GISA</v>
      </c>
      <c r="E4" s="34" t="str">
        <f>Total!E291</f>
        <v>Edificació</v>
      </c>
      <c r="F4" s="34" t="str">
        <f>Total!F291</f>
        <v>Direccions d'Execució</v>
      </c>
      <c r="G4" s="34" t="str">
        <f>Total!G291</f>
        <v>DE. PNH-09307 + PNV-09299</v>
      </c>
      <c r="H4" s="34" t="str">
        <f>Total!H291</f>
        <v>Contracte de serveis per a la direcció d'execució conjunta de les obres:'nova construcció CEIP L'Olivar, Castellnou del Bages. CEIP 1 línia. Clau: PNH-09307', i 'nova construcció CEIP Santa Perpètua III, Santa Perpètua de la Mogoda. CEIP 1 Línia. Clau: PNV-09299'</v>
      </c>
      <c r="I4" s="6">
        <f>Total!I291</f>
        <v>152520</v>
      </c>
    </row>
    <row r="5" spans="1:9" x14ac:dyDescent="0.2">
      <c r="A5" s="8">
        <v>4</v>
      </c>
      <c r="B5" s="9">
        <f>Total!B292</f>
        <v>40427</v>
      </c>
      <c r="C5" s="9">
        <f>Total!C292</f>
        <v>40457</v>
      </c>
      <c r="D5" s="34" t="str">
        <f>Total!D292</f>
        <v>GISA</v>
      </c>
      <c r="E5" s="34" t="str">
        <f>Total!E292</f>
        <v>Edificació</v>
      </c>
      <c r="F5" s="34" t="str">
        <f>Total!F292</f>
        <v>Direccions d'Execució</v>
      </c>
      <c r="G5" s="34" t="str">
        <f>Total!G292</f>
        <v>DE. PNG-06484</v>
      </c>
      <c r="H5" s="34" t="str">
        <f>Total!H292</f>
        <v>Contracte de serveis per a la direcció d'execució de les obres de nova construcció Escola 6 unitats a l'Escola de Vall-llobrega (Baix Empordà). Clau: PNG-06484</v>
      </c>
      <c r="I5" s="6">
        <f>Total!I292</f>
        <v>68777.78</v>
      </c>
    </row>
    <row r="6" spans="1:9" x14ac:dyDescent="0.2">
      <c r="A6" s="8">
        <v>5</v>
      </c>
      <c r="B6" s="9">
        <f>Total!B293</f>
        <v>40427</v>
      </c>
      <c r="C6" s="9">
        <f>Total!C293</f>
        <v>40457</v>
      </c>
      <c r="D6" s="34" t="str">
        <f>Total!D293</f>
        <v>GISA</v>
      </c>
      <c r="E6" s="34" t="str">
        <f>Total!E293</f>
        <v>Edificació</v>
      </c>
      <c r="F6" s="34" t="str">
        <f>Total!F293</f>
        <v>Direccions d'Execució</v>
      </c>
      <c r="G6" s="34" t="str">
        <f>Total!G293</f>
        <v>DE. INB-07393</v>
      </c>
      <c r="H6" s="34" t="str">
        <f>Total!H293</f>
        <v>Contracte de serveis per a la direcció d'execució de les obres de nova Construcció Institut 3/2 línies a l'Institut Angeleta Ferrer i Sensat, de Barcelona. Clau: INB- 07393</v>
      </c>
      <c r="I6" s="6">
        <f>Total!I293</f>
        <v>137777.78</v>
      </c>
    </row>
    <row r="7" spans="1:9" x14ac:dyDescent="0.2">
      <c r="A7" s="8">
        <v>6</v>
      </c>
      <c r="B7" s="9">
        <f>Total!B294</f>
        <v>40427</v>
      </c>
      <c r="C7" s="9">
        <f>Total!C294</f>
        <v>40457</v>
      </c>
      <c r="D7" s="34" t="str">
        <f>Total!D294</f>
        <v>GISA</v>
      </c>
      <c r="E7" s="34" t="str">
        <f>Total!E294</f>
        <v>Edificació</v>
      </c>
      <c r="F7" s="34" t="str">
        <f>Total!F294</f>
        <v>Direccions d'Execució</v>
      </c>
      <c r="G7" s="34" t="str">
        <f>Total!G294</f>
        <v>DE. PNL-07357</v>
      </c>
      <c r="H7" s="34" t="str">
        <f>Total!H294</f>
        <v>Contracte de serveis per a la direcció d'execució de les obres de nova construcció Escola 2 línies a l'Escola d'Almenar(Segrià). Clau: PNL-07357</v>
      </c>
      <c r="I7" s="6">
        <f>Total!I294</f>
        <v>129000</v>
      </c>
    </row>
    <row r="8" spans="1:9" x14ac:dyDescent="0.2">
      <c r="A8" s="8">
        <v>7</v>
      </c>
      <c r="B8" s="9">
        <f>Total!B295</f>
        <v>40427</v>
      </c>
      <c r="C8" s="9">
        <f>Total!C295</f>
        <v>40457</v>
      </c>
      <c r="D8" s="34" t="str">
        <f>Total!D295</f>
        <v>GISA</v>
      </c>
      <c r="E8" s="34" t="str">
        <f>Total!E295</f>
        <v>Edificació</v>
      </c>
      <c r="F8" s="34" t="str">
        <f>Total!F295</f>
        <v>Direccions d'Execució</v>
      </c>
      <c r="G8" s="34" t="str">
        <f>Total!G295</f>
        <v>DE. INE-08363</v>
      </c>
      <c r="H8" s="34" t="str">
        <f>Total!H295</f>
        <v>Contracte de serveis per a la direcció d'execució de les obres de nova construcció Institut 2/2 línies sense gimnàs a l'Institut de Tecnificació d'Amposta (Montsià). Clau: INE-08363</v>
      </c>
      <c r="I8" s="6">
        <f>Total!I295</f>
        <v>122000</v>
      </c>
    </row>
    <row r="9" spans="1:9" x14ac:dyDescent="0.2">
      <c r="A9" s="8">
        <v>8</v>
      </c>
      <c r="B9" s="9">
        <f>Total!B296</f>
        <v>40427</v>
      </c>
      <c r="C9" s="9">
        <f>Total!C296</f>
        <v>40457</v>
      </c>
      <c r="D9" s="34" t="str">
        <f>Total!D296</f>
        <v>GISA</v>
      </c>
      <c r="E9" s="34" t="str">
        <f>Total!E296</f>
        <v>Edificació</v>
      </c>
      <c r="F9" s="34" t="str">
        <f>Total!F296</f>
        <v>Direccions d'Execució</v>
      </c>
      <c r="G9" s="34" t="str">
        <f>Total!G296</f>
        <v>DE. PNA-07461.1</v>
      </c>
      <c r="H9" s="34" t="str">
        <f>Total!H296</f>
        <v>Contracte de serveis per a la direcció d'execució de les obres de nova construcció escola 2 línies (sense gimnàs) a l'Escola Pau Vila de Sant Feliu de Llobregat (Baix Llobregat). Clau: PNA-07461.1</v>
      </c>
      <c r="I9" s="6">
        <f>Total!I296</f>
        <v>122000</v>
      </c>
    </row>
    <row r="10" spans="1:9" x14ac:dyDescent="0.2">
      <c r="A10" s="8">
        <v>9</v>
      </c>
      <c r="B10" s="9">
        <f>Total!B297</f>
        <v>40428</v>
      </c>
      <c r="C10" s="9">
        <f>Total!C297</f>
        <v>40448</v>
      </c>
      <c r="D10" s="34" t="str">
        <f>Total!D297</f>
        <v>REGSA</v>
      </c>
      <c r="E10" s="34"/>
      <c r="F10" s="34" t="str">
        <f>Total!F297</f>
        <v>Projectes</v>
      </c>
      <c r="G10" s="34" t="str">
        <f>Total!G297</f>
        <v>PC. VR-09991</v>
      </c>
      <c r="H10" s="34" t="str">
        <f>Total!H297</f>
        <v>Contracte de serveis per a l'assistència tècnica per a la redacció del projecte constructiu de millores de la xarxa de reg i aprofitament de les aigües de la riera de Vallforners. Comunitat de Regants de les aigües de l'embassament de la riera de Vallforners i afluents. TM de Cànoves i Samalús, Cardedeu i les Franqueses del Vallès (Vallès Oriental). Clau: VR-09991</v>
      </c>
      <c r="I10" s="6">
        <f>Total!I297</f>
        <v>35000</v>
      </c>
    </row>
    <row r="11" spans="1:9" x14ac:dyDescent="0.2">
      <c r="A11" s="8">
        <v>10</v>
      </c>
      <c r="B11" s="9">
        <f>Total!B298</f>
        <v>40428</v>
      </c>
      <c r="C11" s="9">
        <f>Total!C298</f>
        <v>40478</v>
      </c>
      <c r="D11" s="34" t="str">
        <f>Total!D298</f>
        <v>GISA</v>
      </c>
      <c r="E11" s="34" t="str">
        <f>Total!E298</f>
        <v>Obra Civil</v>
      </c>
      <c r="F11" s="34" t="str">
        <f>Total!F298</f>
        <v>Direccions d'Obra</v>
      </c>
      <c r="G11" s="34" t="str">
        <f>Total!G298</f>
        <v>AT. RCS-00509.5</v>
      </c>
      <c r="H11" s="34" t="str">
        <f>Total!H298</f>
        <v>Contracte de serveis per a l'assistència tècnica per al control i seguiment de l'execució de les obres de la Línia 9. Tram 2on. Parc Logístic-Pou Bifurcació i Pou introducció tuneladora Zona Franca-Zona Universitària. 2a fase. Clau: AT.RCS-00509.5</v>
      </c>
      <c r="I11" s="6">
        <f>Total!I298</f>
        <v>558000</v>
      </c>
    </row>
    <row r="12" spans="1:9" x14ac:dyDescent="0.2">
      <c r="A12" s="8">
        <v>11</v>
      </c>
      <c r="B12" s="9">
        <f>Total!B299</f>
        <v>40428</v>
      </c>
      <c r="C12" s="9">
        <f>Total!C299</f>
        <v>40448</v>
      </c>
      <c r="D12" s="34" t="str">
        <f>Total!D299</f>
        <v>GISA</v>
      </c>
      <c r="E12" s="34" t="str">
        <f>Total!E299</f>
        <v>Obra Civil</v>
      </c>
      <c r="F12" s="34" t="str">
        <f>Total!F299</f>
        <v>Direccions d'Obra</v>
      </c>
      <c r="G12" s="34" t="str">
        <f>Total!G299</f>
        <v>ATAM. NB-05091.1</v>
      </c>
      <c r="H12" s="34" t="str">
        <f>Total!H299</f>
        <v>Contracte de serveis per a l'assistència tècnica ambiental de les obres de millora general. Millora de l'accessibilitat a Mataró. Carretera C-31, PK 231+800 al 235+000. Tram: Cabrera de Mar-Mataró. Clau: NB-05091.1</v>
      </c>
      <c r="I12" s="6">
        <f>Total!I299</f>
        <v>171828</v>
      </c>
    </row>
    <row r="13" spans="1:9" x14ac:dyDescent="0.2">
      <c r="A13" s="8">
        <v>12</v>
      </c>
      <c r="B13" s="9">
        <f>Total!B300</f>
        <v>40428</v>
      </c>
      <c r="C13" s="9">
        <f>Total!C300</f>
        <v>40478</v>
      </c>
      <c r="D13" s="34" t="str">
        <f>Total!D300</f>
        <v>GISA</v>
      </c>
      <c r="E13" s="34" t="str">
        <f>Total!E300</f>
        <v>Obra Civil</v>
      </c>
      <c r="F13" s="34" t="str">
        <f>Total!F300</f>
        <v>Direccions d'Obra</v>
      </c>
      <c r="G13" s="34" t="str">
        <f>Total!G300</f>
        <v>DO. MB-03141.1</v>
      </c>
      <c r="H13" s="34" t="str">
        <f>Total!H300</f>
        <v>Contracte de serveis per a la direcció de les obres de millora local. Millora de nus. Enllaços a diferent nivell entre la carretera C-17 (PK 1+720) i la carretera N-150 (PK 0+000), i entre la carretera C-17 i la carretera BV-1411 entre el PK 4+330 i el 5+740 de la C-17. Tram: Barcelona-Montcada i Reixac. Clau: MB-03141.1</v>
      </c>
      <c r="I13" s="6">
        <f>Total!I300</f>
        <v>496777.78</v>
      </c>
    </row>
    <row r="14" spans="1:9" x14ac:dyDescent="0.2">
      <c r="A14" s="8">
        <v>13</v>
      </c>
      <c r="B14" s="9">
        <f>Total!B301</f>
        <v>40428</v>
      </c>
      <c r="C14" s="9">
        <f>Total!C301</f>
        <v>40448</v>
      </c>
      <c r="D14" s="34" t="str">
        <f>Total!D301</f>
        <v>GISA</v>
      </c>
      <c r="E14" s="34" t="str">
        <f>Total!E301</f>
        <v>Subministrament i Serveis</v>
      </c>
      <c r="F14" s="34" t="str">
        <f>Total!F301</f>
        <v>Subministrament i Serveis</v>
      </c>
      <c r="G14" s="34" t="str">
        <f>Total!G301</f>
        <v>Elaboració PEF</v>
      </c>
      <c r="H14" s="34" t="str">
        <f>Total!H301</f>
        <v>Contracte de serveis per al suport en la implantació d'una solució destinada a la gestió del procés d'elaboració del Pla Econòmic Financer de GISA i REGSA</v>
      </c>
      <c r="I14" s="6">
        <f>Total!I301</f>
        <v>118000</v>
      </c>
    </row>
    <row r="15" spans="1:9" x14ac:dyDescent="0.2">
      <c r="A15" s="8">
        <v>14</v>
      </c>
      <c r="B15" s="9">
        <f>Total!B302</f>
        <v>40428</v>
      </c>
      <c r="C15" s="9">
        <f>Total!C302</f>
        <v>40448</v>
      </c>
      <c r="D15" s="34" t="str">
        <f>Total!D302</f>
        <v>GISA</v>
      </c>
      <c r="E15" s="34" t="str">
        <f>Total!E302</f>
        <v>Subministrament i Serveis</v>
      </c>
      <c r="F15" s="34" t="str">
        <f>Total!F302</f>
        <v>Subministrament i Serveis</v>
      </c>
      <c r="G15" s="34" t="str">
        <f>Total!G302</f>
        <v>Suport sistemes gestió operació</v>
      </c>
      <c r="H15" s="34" t="str">
        <f>Total!H302</f>
        <v>Contracte de serveis per al suport a l'àrea de sistemes i infraestructures en la gestió i operació de projectes tecnològics de GISA i REGSA</v>
      </c>
      <c r="I15" s="6">
        <f>Total!I302</f>
        <v>90900</v>
      </c>
    </row>
    <row r="16" spans="1:9" x14ac:dyDescent="0.2">
      <c r="A16" s="8">
        <v>15</v>
      </c>
      <c r="B16" s="47">
        <f>Total!B303</f>
        <v>40429</v>
      </c>
      <c r="C16" s="47">
        <f>Total!C303</f>
        <v>40477</v>
      </c>
      <c r="D16" s="48" t="str">
        <f>Total!D303</f>
        <v>GISA</v>
      </c>
      <c r="E16" s="48" t="str">
        <f>Total!E303</f>
        <v>Obra Civil</v>
      </c>
      <c r="F16" s="48" t="str">
        <f>Total!F303</f>
        <v>Projectes</v>
      </c>
      <c r="G16" s="48" t="str">
        <f>Total!G303</f>
        <v>PB+PC. TM-06501.1</v>
      </c>
      <c r="H16" s="48" t="str">
        <f>Total!H303</f>
        <v>Contracte de serveis per a l'assistència tècnica per a la redacció del projecte bàsic i el projecte constructiu del perllongament de la línia 3 dels FMB. Tram: Zona Universitària - Sant Feliu de Llobregat. Infraestructura, via i catenària. Clau: PB-TM-06501.1 i TM-06501.1</v>
      </c>
      <c r="I16" s="49">
        <f>Total!I303</f>
        <v>10429465.859999999</v>
      </c>
    </row>
    <row r="17" spans="1:9" x14ac:dyDescent="0.2">
      <c r="A17" s="8">
        <v>16</v>
      </c>
      <c r="B17" s="9">
        <f>Total!B304</f>
        <v>40429</v>
      </c>
      <c r="C17" s="9">
        <f>Total!C304</f>
        <v>40478</v>
      </c>
      <c r="D17" s="34" t="str">
        <f>Total!D304</f>
        <v>GISA</v>
      </c>
      <c r="E17" s="34" t="str">
        <f>Total!E304</f>
        <v>Obra Civil</v>
      </c>
      <c r="F17" s="34" t="str">
        <f>Total!F304</f>
        <v>Projectes</v>
      </c>
      <c r="G17" s="34" t="str">
        <f>Total!G304</f>
        <v>EV. EG-TM-06501.1</v>
      </c>
      <c r="H17" s="34" t="str">
        <f>Total!H304</f>
        <v>Contracte de serveis per a l'assistència tècnica per a la redacció de l'anàlisi geotècnic, geològic i hidrogeològic del perllongament de la línia 3 dels FMB. Tram: Zona Universitària - Sant Feliu de Llobregat. Infraestructura, via i catenària. Clau: EG-TM-06501.1</v>
      </c>
      <c r="I17" s="6">
        <f>Total!I304</f>
        <v>915313.61</v>
      </c>
    </row>
    <row r="18" spans="1:9" x14ac:dyDescent="0.2">
      <c r="A18" s="8">
        <v>17</v>
      </c>
      <c r="B18" s="9">
        <f>Total!B305</f>
        <v>40429</v>
      </c>
      <c r="C18" s="9">
        <f>Total!C305</f>
        <v>40478</v>
      </c>
      <c r="D18" s="34" t="str">
        <f>Total!D305</f>
        <v>GISA</v>
      </c>
      <c r="E18" s="34" t="str">
        <f>Total!E305</f>
        <v>Obra Civil</v>
      </c>
      <c r="F18" s="34" t="str">
        <f>Total!F305</f>
        <v>Projectes</v>
      </c>
      <c r="G18" s="34" t="str">
        <f>Total!G305</f>
        <v>CQP. PB-TM-06501.1</v>
      </c>
      <c r="H18" s="34" t="str">
        <f>Total!H305</f>
        <v>Contracte de serveis per a l'assistència tècnica per al control de qualitat del projecte bàsic del perllongament de la línia 3 dels FMB. Tram: Zona Universitària - Sant Feliu de Llobregat. Infraestructura, via i catenària. Clau:PB-TM-06501.1</v>
      </c>
      <c r="I18" s="6">
        <f>Total!I305</f>
        <v>236714.81</v>
      </c>
    </row>
    <row r="19" spans="1:9" x14ac:dyDescent="0.2">
      <c r="A19" s="8">
        <v>18</v>
      </c>
      <c r="B19" s="47">
        <f>Total!B306</f>
        <v>40430</v>
      </c>
      <c r="C19" s="47">
        <f>Total!C306</f>
        <v>40485</v>
      </c>
      <c r="D19" s="48" t="str">
        <f>Total!D306</f>
        <v>REGSA</v>
      </c>
      <c r="E19" s="48"/>
      <c r="F19" s="48" t="str">
        <f>Total!F306</f>
        <v>Direccions d'Obra</v>
      </c>
      <c r="G19" s="48" t="str">
        <f>Total!G306</f>
        <v>DO. VR-03921.1</v>
      </c>
      <c r="H19" s="48" t="str">
        <f>Total!H306</f>
        <v>Contracte de serveis per a la direcció de les obres d'ampliació i modernització del regadiu de la conca de Tremp. Captació i canonada de transport. Clau: VR-03921.1</v>
      </c>
      <c r="I19" s="49">
        <f>Total!I306</f>
        <v>296699</v>
      </c>
    </row>
    <row r="20" spans="1:9" x14ac:dyDescent="0.2">
      <c r="A20" s="8">
        <v>19</v>
      </c>
      <c r="B20" s="9">
        <f>Total!B307</f>
        <v>40430</v>
      </c>
      <c r="C20" s="9">
        <f>Total!C307</f>
        <v>40448</v>
      </c>
      <c r="D20" s="34" t="str">
        <f>Total!D307</f>
        <v>GISA</v>
      </c>
      <c r="E20" s="34" t="str">
        <f>Total!E307</f>
        <v>Obra Civil</v>
      </c>
      <c r="F20" s="34" t="str">
        <f>Total!F307</f>
        <v>Control de Qualitat</v>
      </c>
      <c r="G20" s="34" t="str">
        <f>Total!G307</f>
        <v>CQP. CQPT2010.1</v>
      </c>
      <c r="H20" s="34" t="str">
        <f>Total!H307</f>
        <v>Contracte de serveis per a l'assistència tècnica per a la redacció del control de qualitat d'estudis i projectes de transports 2010. Grup 1. Clau: CQPT2010.1</v>
      </c>
      <c r="I20" s="6">
        <f>Total!I307</f>
        <v>192500</v>
      </c>
    </row>
    <row r="21" spans="1:9" x14ac:dyDescent="0.2">
      <c r="A21" s="8">
        <v>20</v>
      </c>
      <c r="B21" s="9">
        <f>Total!B308</f>
        <v>40430</v>
      </c>
      <c r="C21" s="9">
        <f>Total!C308</f>
        <v>40448</v>
      </c>
      <c r="D21" s="34" t="str">
        <f>Total!D308</f>
        <v>GISA</v>
      </c>
      <c r="E21" s="34" t="str">
        <f>Total!E308</f>
        <v>Subministrament i Serveis</v>
      </c>
      <c r="F21" s="34" t="str">
        <f>Total!F308</f>
        <v>Subministrament i Serveis</v>
      </c>
      <c r="G21" s="34" t="str">
        <f>Total!G308</f>
        <v>EG. GEOT2010</v>
      </c>
      <c r="H21" s="34" t="str">
        <f>Total!H308</f>
        <v>Contracte de serveis per a l'assistència tècnica per a la realització de treballs de prospeccions geotècniques, geològiques i hidrogeològiques per als estudis i projectes de Carreteres. Clau: GEOT2010</v>
      </c>
      <c r="I21" s="6">
        <f>Total!I308</f>
        <v>95908</v>
      </c>
    </row>
    <row r="22" spans="1:9" x14ac:dyDescent="0.2">
      <c r="A22" s="8">
        <v>21</v>
      </c>
      <c r="B22" s="9">
        <f>Total!B309</f>
        <v>40431</v>
      </c>
      <c r="C22" s="9">
        <f>Total!C309</f>
        <v>40457</v>
      </c>
      <c r="D22" s="34" t="str">
        <f>Total!D309</f>
        <v>GISA</v>
      </c>
      <c r="E22" s="34" t="str">
        <f>Total!E309</f>
        <v>Edificació</v>
      </c>
      <c r="F22" s="34" t="str">
        <f>Total!F309</f>
        <v>Direccions d'Obra</v>
      </c>
      <c r="G22" s="34" t="str">
        <f>Total!G309</f>
        <v>DO. INE-08363</v>
      </c>
      <c r="H22" s="34" t="str">
        <f>Total!H309</f>
        <v>Contracte de serveis per a la Direcció de les obres de Nova construcció Institut 2/2 línies sense gimnàs a l'Institut de Tecnificació d'Amposta (Montsià). Clau:INE-08363</v>
      </c>
      <c r="I22" s="6">
        <f>Total!I309</f>
        <v>109620</v>
      </c>
    </row>
    <row r="23" spans="1:9" x14ac:dyDescent="0.2">
      <c r="A23" s="8">
        <v>22</v>
      </c>
      <c r="B23" s="9">
        <f>Total!B310</f>
        <v>40431</v>
      </c>
      <c r="C23" s="9">
        <f>Total!C310</f>
        <v>40457</v>
      </c>
      <c r="D23" s="34" t="str">
        <f>Total!D310</f>
        <v>REGSA</v>
      </c>
      <c r="E23" s="34"/>
      <c r="F23" s="34" t="str">
        <f>Total!F310</f>
        <v>Direccions d'Obra</v>
      </c>
      <c r="G23" s="34" t="str">
        <f>Total!G310</f>
        <v>CSS. VR-03921.1</v>
      </c>
      <c r="H23" s="34" t="str">
        <f>Total!H310</f>
        <v>Contracte de serveis per a l'assistència tècnica de coordinació de seguretat i salut de les obres d'ampliació i modernització del regadiu de la conca de Tremp. Captació i canonada de transport. Clau: VR-03921.1</v>
      </c>
      <c r="I23" s="6">
        <f>Total!I310</f>
        <v>42000</v>
      </c>
    </row>
    <row r="24" spans="1:9" x14ac:dyDescent="0.2">
      <c r="A24" s="8">
        <v>23</v>
      </c>
      <c r="B24" s="9">
        <f>Total!B311</f>
        <v>40435</v>
      </c>
      <c r="C24" s="9">
        <f>Total!C311</f>
        <v>40455</v>
      </c>
      <c r="D24" s="34" t="str">
        <f>Total!D311</f>
        <v>GISA</v>
      </c>
      <c r="E24" s="34" t="str">
        <f>Total!E311</f>
        <v>Edificació</v>
      </c>
      <c r="F24" s="34" t="str">
        <f>Total!F311</f>
        <v>Control de Qualitat</v>
      </c>
      <c r="G24" s="34" t="str">
        <f>Total!G311</f>
        <v>CQ. PAC-08254 + PNC-07355</v>
      </c>
      <c r="H24" s="34" t="str">
        <f>Total!H311</f>
        <v>Contracte de serveis per a l'assistència tècnica del control de qualitat conjunt de les obres: 'Reforma i ampliació a 2 línies a l'Escola La Muntanya d'Aiguafreda (Vallès Oriental). Clau: PAC-08254' i 'Nova construcció escola 2 unitats a l'Escola de l'Estany (Bages). Clau: PNC-07355'</v>
      </c>
      <c r="I24" s="6">
        <f>Total!I311</f>
        <v>106261.7</v>
      </c>
    </row>
    <row r="25" spans="1:9" x14ac:dyDescent="0.2">
      <c r="A25" s="8">
        <v>24</v>
      </c>
      <c r="B25" s="9">
        <f>Total!B312</f>
        <v>40435</v>
      </c>
      <c r="C25" s="9">
        <f>Total!C312</f>
        <v>40455</v>
      </c>
      <c r="D25" s="34" t="str">
        <f>Total!D312</f>
        <v>GISA</v>
      </c>
      <c r="E25" s="34" t="str">
        <f>Total!E312</f>
        <v>Edificació</v>
      </c>
      <c r="F25" s="34" t="str">
        <f>Total!F312</f>
        <v>Control de Qualitat</v>
      </c>
      <c r="G25" s="34" t="str">
        <f>Total!G312</f>
        <v>CQ. PNA-09222 + PNC-09224</v>
      </c>
      <c r="H25" s="34" t="str">
        <f>Total!H312</f>
        <v>Contracte de serveis per al control de qualitat conjunt de les obres:'nova construcció CEIP de Cervelló, Cervelló CEIP 1 Línia. Clau: PNA-09222' i 'nova construcció CEIP Mar i Cel de Cubelles, CEIP 2 línies (2a fase 1 línia Infantil i Primària).Clau: PNC-09224'</v>
      </c>
      <c r="I25" s="6">
        <f>Total!I312</f>
        <v>54310.07</v>
      </c>
    </row>
    <row r="26" spans="1:9" x14ac:dyDescent="0.2">
      <c r="A26" s="8">
        <v>25</v>
      </c>
      <c r="B26" s="9">
        <f>Total!B313</f>
        <v>40435</v>
      </c>
      <c r="C26" s="9">
        <f>Total!C313</f>
        <v>40455</v>
      </c>
      <c r="D26" s="34" t="str">
        <f>Total!D313</f>
        <v>GISA</v>
      </c>
      <c r="E26" s="34" t="str">
        <f>Total!E313</f>
        <v>Edificació</v>
      </c>
      <c r="F26" s="34" t="str">
        <f>Total!F313</f>
        <v>Control de Qualitat</v>
      </c>
      <c r="G26" s="34" t="str">
        <f>Total!G313</f>
        <v>CQ. PNH-09307 + PNV-09299</v>
      </c>
      <c r="H26" s="34" t="str">
        <f>Total!H313</f>
        <v>Contracte de serveis per l'assistència tècnica del control de qualitat conjunt de les obres:'nova construcció de CEIP L'Olivar de Castellnou de Bages, CEIP 1 línia. Clau: PNH-09307' i 'nova construcció CEIP Santa. Perpètua III de Santa Perpètua de la Mogoda, CEIP 1 línia. Clau: PNV-09299'</v>
      </c>
      <c r="I26" s="6">
        <f>Total!I313</f>
        <v>75317.31</v>
      </c>
    </row>
    <row r="27" spans="1:9" x14ac:dyDescent="0.2">
      <c r="A27" s="8">
        <v>26</v>
      </c>
      <c r="B27" s="9">
        <f>Total!B314</f>
        <v>40435</v>
      </c>
      <c r="C27" s="9">
        <f>Total!C314</f>
        <v>40455</v>
      </c>
      <c r="D27" s="34" t="str">
        <f>Total!D314</f>
        <v>GISA</v>
      </c>
      <c r="E27" s="34" t="str">
        <f>Total!E314</f>
        <v>Edificació</v>
      </c>
      <c r="F27" s="34" t="str">
        <f>Total!F314</f>
        <v>Control de Qualitat</v>
      </c>
      <c r="G27" s="34" t="str">
        <f>Total!G314</f>
        <v>CQ. PNG-09324 + PNC-09228</v>
      </c>
      <c r="H27" s="34" t="str">
        <f>Total!H314</f>
        <v>Contracte de serveis per l'assistència tècnica del control de qualitat conjunt de les obres:'nova construcció de CEIP Sant Iscle, Vidreres, Substitució 2 línies. Clau: PNG-09324' i 'nova construcció CEIP Els Vinyals, Lliçà de Vall, CEIP 1 línia. Clau: PNC-09228'</v>
      </c>
      <c r="I27" s="6">
        <f>Total!I314</f>
        <v>89565.02</v>
      </c>
    </row>
    <row r="28" spans="1:9" x14ac:dyDescent="0.2">
      <c r="A28" s="8">
        <v>27</v>
      </c>
      <c r="B28" s="9">
        <f>Total!B315</f>
        <v>40435</v>
      </c>
      <c r="C28" s="9">
        <f>Total!C315</f>
        <v>40455</v>
      </c>
      <c r="D28" s="34" t="str">
        <f>Total!D315</f>
        <v>GISA</v>
      </c>
      <c r="E28" s="34" t="str">
        <f>Total!E315</f>
        <v>Obra Civil</v>
      </c>
      <c r="F28" s="34" t="str">
        <f>Total!F315</f>
        <v>Control de Qualitat</v>
      </c>
      <c r="G28" s="34" t="str">
        <f>Total!G315</f>
        <v>CQ. TM-00509.8-C2</v>
      </c>
      <c r="H28" s="34" t="str">
        <f>Total!H315</f>
        <v>Contracte de serveis per a l'assistència tècnica de control de qualitat de les obres del projecte complementari núm. 2 de la línia 9 de Metro de Barcelona. Subtram: Sagrera-Pou tuneladora (zona final Sagrera TAV-Bon Pastor). Coberta i forjats interiors del pou d'extracció de tuneladora a la plaça Havaneres. Clau: TM-00509.8-C2</v>
      </c>
      <c r="I28" s="6">
        <f>Total!I315</f>
        <v>80039.789999999994</v>
      </c>
    </row>
    <row r="29" spans="1:9" x14ac:dyDescent="0.2">
      <c r="A29" s="8">
        <v>28</v>
      </c>
      <c r="B29" s="9">
        <f>Total!B316</f>
        <v>40436</v>
      </c>
      <c r="C29" s="9">
        <f>Total!C316</f>
        <v>40464</v>
      </c>
      <c r="D29" s="34" t="str">
        <f>Total!D316</f>
        <v>GISA</v>
      </c>
      <c r="E29" s="34" t="str">
        <f>Total!E316</f>
        <v>Edificació</v>
      </c>
      <c r="F29" s="34" t="str">
        <f>Total!F316</f>
        <v>Control de Qualitat</v>
      </c>
      <c r="G29" s="34" t="str">
        <f>Total!G316</f>
        <v>CQ. PNA-07461.1+ INA-07419.1 + PNC-08445</v>
      </c>
      <c r="H29" s="34" t="str">
        <f>Total!H316</f>
        <v>Contracte de serveis per a l'assistència tècnica del control de qualitat conjunt de les obres: 'nova construcció Escola 2 línies (sense gimnàs) a l'Escola Pau Vila, de Sant Feliu de Llobregat (Baix Llobregat). Clau PNA-07461.1', 'nova construcció Institut 3/0 línies (primera fase) a l'Institut de Castelldefels (Baix Llobregat).Clau INA-07419.1' i 'nova construcció Escola 7 unitats a l'Escola El Montcau de Subirats (Alt Penedès). Clau: PNC-08445'</v>
      </c>
      <c r="I29" s="6">
        <f>Total!I316</f>
        <v>142529.32</v>
      </c>
    </row>
    <row r="30" spans="1:9" x14ac:dyDescent="0.2">
      <c r="A30" s="8">
        <v>29</v>
      </c>
      <c r="B30" s="9">
        <f>Total!B317</f>
        <v>40436</v>
      </c>
      <c r="C30" s="9">
        <f>Total!C317</f>
        <v>40464</v>
      </c>
      <c r="D30" s="34" t="str">
        <f>Total!D317</f>
        <v>GISA</v>
      </c>
      <c r="E30" s="34" t="str">
        <f>Total!E317</f>
        <v>Edificació</v>
      </c>
      <c r="F30" s="34" t="str">
        <f>Total!F317</f>
        <v>Control de Qualitat</v>
      </c>
      <c r="G30" s="34" t="str">
        <f>Total!G317</f>
        <v>CQ. PNL-07357 + PNL-09318</v>
      </c>
      <c r="H30" s="34" t="str">
        <f>Total!H317</f>
        <v>Contracte de serveis per a l'assistència tècnica del control de qualitat conjunt de les obres de: 'nova construcció Escola 2 línies a l'Escola d'Almenar (Segrià). Clau:PNL-07357' i 'nova construcció Escola 6 unitats a l'Escola El Timó de Sidamon (El Pla d'Urgell). Clau:PNL-09318'</v>
      </c>
      <c r="I30" s="6">
        <f>Total!I317</f>
        <v>90189.28</v>
      </c>
    </row>
    <row r="31" spans="1:9" x14ac:dyDescent="0.2">
      <c r="A31" s="8">
        <v>30</v>
      </c>
      <c r="B31" s="9">
        <f>Total!B318</f>
        <v>40436</v>
      </c>
      <c r="C31" s="9">
        <f>Total!C318</f>
        <v>40457</v>
      </c>
      <c r="D31" s="34" t="str">
        <f>Total!D318</f>
        <v>GISA</v>
      </c>
      <c r="E31" s="34" t="str">
        <f>Total!E318</f>
        <v>Edificació</v>
      </c>
      <c r="F31" s="34" t="str">
        <f>Total!F318</f>
        <v>Control de Qualitat</v>
      </c>
      <c r="G31" s="34" t="str">
        <f>Total!G318</f>
        <v>CQ. INB-07393</v>
      </c>
      <c r="H31" s="34" t="str">
        <f>Total!H318</f>
        <v>Contracte de serveis per a l'assistència tècnica del control de qualitat de les obres de nova construcció Institut 3/2 línies a l'Institut Angeleta Ferrer i Sensat de Barcelona. Clau: INB-07393</v>
      </c>
      <c r="I31" s="6">
        <f>Total!I318</f>
        <v>79485.119999999995</v>
      </c>
    </row>
    <row r="32" spans="1:9" x14ac:dyDescent="0.2">
      <c r="A32" s="8">
        <v>31</v>
      </c>
      <c r="B32" s="9">
        <f>Total!B319</f>
        <v>40436</v>
      </c>
      <c r="C32" s="9">
        <f>Total!C319</f>
        <v>40457</v>
      </c>
      <c r="D32" s="34" t="str">
        <f>Total!D319</f>
        <v>GISA</v>
      </c>
      <c r="E32" s="34" t="str">
        <f>Total!E319</f>
        <v>Edificació</v>
      </c>
      <c r="F32" s="34" t="str">
        <f>Total!F319</f>
        <v>Control de Qualitat</v>
      </c>
      <c r="G32" s="34" t="str">
        <f>Total!G319</f>
        <v>CQ. INE-08363</v>
      </c>
      <c r="H32" s="34" t="str">
        <f>Total!H319</f>
        <v>Contracte de serveis per a l'assistència tècnica del control de qualitat de les obres de nova construcció Institut 2/2 línies sense gimnàs a l'Institut de Tecnificació d'Amposta (Montsià). Clau:INE-08363</v>
      </c>
      <c r="I32" s="6">
        <f>Total!I319</f>
        <v>60471.9</v>
      </c>
    </row>
    <row r="33" spans="1:9" x14ac:dyDescent="0.2">
      <c r="A33" s="8">
        <v>32</v>
      </c>
      <c r="B33" s="9">
        <f>Total!B320</f>
        <v>40438</v>
      </c>
      <c r="C33" s="9">
        <f>Total!C320</f>
        <v>40455</v>
      </c>
      <c r="D33" s="34" t="str">
        <f>Total!D320</f>
        <v>GISA</v>
      </c>
      <c r="E33" s="34" t="str">
        <f>Total!E320</f>
        <v>Obra Civil</v>
      </c>
      <c r="F33" s="34" t="str">
        <f>Total!F320</f>
        <v>Control de Qualitat</v>
      </c>
      <c r="G33" s="34" t="str">
        <f>Total!G320</f>
        <v>CQ.UB-01461.A3.1</v>
      </c>
      <c r="H33" s="34" t="str">
        <f>Total!H320</f>
        <v>Contracte de serveis per a l'assistència tècnica de control de qualitat de les obres de recuperació mediambiental de la platja del Cavaió, als tt.mm. d'Arenys de Mar i Canet de Mar. Fase 1. Clau: UB-01461.A3.1</v>
      </c>
      <c r="I33" s="6">
        <f>Total!I320</f>
        <v>61299.82</v>
      </c>
    </row>
    <row r="34" spans="1:9" x14ac:dyDescent="0.2">
      <c r="A34" s="8">
        <v>33</v>
      </c>
      <c r="B34" s="9">
        <f>Total!B321</f>
        <v>40438</v>
      </c>
      <c r="C34" s="9">
        <f>Total!C321</f>
        <v>40464</v>
      </c>
      <c r="D34" s="34" t="str">
        <f>Total!D321</f>
        <v>GISA</v>
      </c>
      <c r="E34" s="34" t="str">
        <f>Total!E321</f>
        <v>Obra Civil</v>
      </c>
      <c r="F34" s="34" t="str">
        <f>Total!F321</f>
        <v>Projectes</v>
      </c>
      <c r="G34" s="34" t="str">
        <f>Total!G321</f>
        <v>EI-VB-03120-A1</v>
      </c>
      <c r="H34" s="34" t="str">
        <f>Total!H321</f>
        <v>Contracte de serveis per a l'assistència tècnica per a la redacció de l'estudi informatiu de millora general. Variant de la carretera C-59, del PK 19+000 al 25+000. Tram: Sant Feliu de Codines. Clau: EI-VB-03120-A1</v>
      </c>
      <c r="I34" s="6">
        <f>Total!I321</f>
        <v>177000</v>
      </c>
    </row>
    <row r="35" spans="1:9" x14ac:dyDescent="0.2">
      <c r="A35" s="8">
        <v>34</v>
      </c>
      <c r="B35" s="9">
        <f>Total!B322</f>
        <v>40438</v>
      </c>
      <c r="C35" s="9">
        <f>Total!C322</f>
        <v>40464</v>
      </c>
      <c r="D35" s="34" t="str">
        <f>Total!D322</f>
        <v>GISA</v>
      </c>
      <c r="E35" s="34" t="str">
        <f>Total!E322</f>
        <v>Obra Civil</v>
      </c>
      <c r="F35" s="34" t="str">
        <f>Total!F322</f>
        <v>Projectes</v>
      </c>
      <c r="G35" s="34" t="str">
        <f>Total!G322</f>
        <v>IA-VB-03120-A1</v>
      </c>
      <c r="H35" s="34" t="str">
        <f>Total!H322</f>
        <v>Contracte de serveis per a l'assistència tècnica per a la redacció de l'estudi d'impacte ambiental de millora general. Variant de la carretera C-59, del PK 19+000 al 25+000. Tram: Sant Feliu de Codines. Clau: IA-VB-03120-A1</v>
      </c>
      <c r="I35" s="6">
        <f>Total!I322</f>
        <v>54700</v>
      </c>
    </row>
    <row r="36" spans="1:9" x14ac:dyDescent="0.2">
      <c r="A36" s="8">
        <v>35</v>
      </c>
      <c r="B36" s="9">
        <f>Total!B323</f>
        <v>40438</v>
      </c>
      <c r="C36" s="9">
        <f>Total!C323</f>
        <v>40464</v>
      </c>
      <c r="D36" s="34" t="str">
        <f>Total!D323</f>
        <v>GISA</v>
      </c>
      <c r="E36" s="34" t="str">
        <f>Total!E323</f>
        <v>Obra Civil</v>
      </c>
      <c r="F36" s="34" t="str">
        <f>Total!F323</f>
        <v>Projectes</v>
      </c>
      <c r="G36" s="34" t="str">
        <f>Total!G323</f>
        <v>EI-VB-98171-A2</v>
      </c>
      <c r="H36" s="34" t="str">
        <f>Total!H323</f>
        <v>Contracte de serveis per a l'assistència tècnica per a la redacció de l'estudi informatiu de millora general. Variant de la carretera B-224. Del PK 36+000 de la C-15 al PK 14+000 de la B-224. Tram: Vallbona d'Anoia-Piera-Masquefa. Clau: EI-VB-98171-A2</v>
      </c>
      <c r="I36" s="6">
        <f>Total!I323</f>
        <v>124200</v>
      </c>
    </row>
    <row r="37" spans="1:9" x14ac:dyDescent="0.2">
      <c r="A37" s="8">
        <v>36</v>
      </c>
      <c r="B37" s="9">
        <f>Total!B324</f>
        <v>40441</v>
      </c>
      <c r="C37" s="9">
        <f>Total!C324</f>
        <v>40464</v>
      </c>
      <c r="D37" s="34" t="str">
        <f>Total!D324</f>
        <v>GISA</v>
      </c>
      <c r="E37" s="34" t="str">
        <f>Total!E324</f>
        <v>Obra Civil</v>
      </c>
      <c r="F37" s="34" t="str">
        <f>Total!F324</f>
        <v>Projectes</v>
      </c>
      <c r="G37" s="34" t="str">
        <f>Total!G324</f>
        <v>PC. MB-10041</v>
      </c>
      <c r="H37" s="34" t="str">
        <f>Total!H324</f>
        <v>Contracte de serveis per a l'assistència tècnica per a la redacció del projecte constructiu de millora local. Eixample puntual. Carretera C-55, del PK 28+550 al 30+000. Tram: Manresa. Clau: MB-10041</v>
      </c>
      <c r="I37" s="6">
        <f>Total!I324</f>
        <v>78300</v>
      </c>
    </row>
    <row r="38" spans="1:9" x14ac:dyDescent="0.2">
      <c r="A38" s="8">
        <v>37</v>
      </c>
      <c r="B38" s="43">
        <f>Total!B325</f>
        <v>40442</v>
      </c>
      <c r="C38" s="43">
        <f>Total!C325</f>
        <v>40471</v>
      </c>
      <c r="D38" s="46" t="str">
        <f>Total!D325</f>
        <v>GISA</v>
      </c>
      <c r="E38" s="46" t="str">
        <f>Total!E325</f>
        <v>Obra Civil</v>
      </c>
      <c r="F38" s="46" t="str">
        <f>Total!F325</f>
        <v>Direccions d'Obra</v>
      </c>
      <c r="G38" s="46" t="str">
        <f>Total!G325</f>
        <v>DO. TM-02405-C5.1</v>
      </c>
      <c r="H38" s="46" t="str">
        <f>Total!H325</f>
        <v>Contracte de serveis per a la direcció de les obres del projecte complementari núm. 5 d'urbanització de la carretera de Collblanc, entre el carrer d'Ernest Lluch i el carrer Josep Sunyol i Garriga. Fase 1. Clau: TM-02405-C5.1</v>
      </c>
      <c r="I38" s="44">
        <f>Total!I325</f>
        <v>140000</v>
      </c>
    </row>
    <row r="39" spans="1:9" x14ac:dyDescent="0.2">
      <c r="A39" s="8">
        <v>38</v>
      </c>
      <c r="B39" s="9">
        <f>Total!B326</f>
        <v>40442</v>
      </c>
      <c r="C39" s="9">
        <f>Total!C326</f>
        <v>40471</v>
      </c>
      <c r="D39" s="34" t="str">
        <f>Total!D326</f>
        <v>GISA</v>
      </c>
      <c r="E39" s="34" t="str">
        <f>Total!E326</f>
        <v>Obra Civil</v>
      </c>
      <c r="F39" s="34" t="str">
        <f>Total!F326</f>
        <v>Direccions d'Obra</v>
      </c>
      <c r="G39" s="34" t="str">
        <f>Total!G326</f>
        <v>CSS. TM-05605.A</v>
      </c>
      <c r="H39" s="34" t="str">
        <f>Total!H326</f>
        <v>Contracte de serveis per a l'assistència tècnica de coordinació de seguretat i salut de les obres del projecte constructiu d'adaptació a la normativa i millora de l'accessibilitat de l'estació de Virrei Amat de la línia 5 de l'FMB. Clau: TM-05605.A</v>
      </c>
      <c r="I39" s="6">
        <f>Total!I326</f>
        <v>71280</v>
      </c>
    </row>
    <row r="40" spans="1:9" x14ac:dyDescent="0.2">
      <c r="A40" s="8">
        <v>39</v>
      </c>
      <c r="B40" s="9">
        <f>Total!B327</f>
        <v>40442</v>
      </c>
      <c r="C40" s="9">
        <f>Total!C327</f>
        <v>40471</v>
      </c>
      <c r="D40" s="34" t="str">
        <f>Total!D327</f>
        <v>GISA</v>
      </c>
      <c r="E40" s="34" t="str">
        <f>Total!E327</f>
        <v>Obra Civil</v>
      </c>
      <c r="F40" s="34" t="str">
        <f>Total!F327</f>
        <v>Direccions d'Obra</v>
      </c>
      <c r="G40" s="34" t="str">
        <f>Total!G327</f>
        <v>CSS. NB-05091.1</v>
      </c>
      <c r="H40" s="34" t="str">
        <f>Total!H327</f>
        <v>Contracte de serveis per a l'assistència tècnica de coordinació de seguretat i salut de les obres de millora general. Millora de l'a ccessibilitat a Mataró. Carretera C-31 PK 231+800 al 235+000. Tram: Cabrera de Mar - Mataró. Clau: NB-05091.1</v>
      </c>
      <c r="I40" s="6">
        <f>Total!I327</f>
        <v>114048</v>
      </c>
    </row>
    <row r="41" spans="1:9" x14ac:dyDescent="0.2">
      <c r="A41" s="8">
        <v>40</v>
      </c>
      <c r="B41" s="9">
        <f>Total!B328</f>
        <v>40448</v>
      </c>
      <c r="C41" s="9">
        <f>Total!C328</f>
        <v>40471</v>
      </c>
      <c r="D41" s="34" t="str">
        <f>Total!D328</f>
        <v>GISA</v>
      </c>
      <c r="E41" s="34" t="str">
        <f>Total!E328</f>
        <v>Edificació</v>
      </c>
      <c r="F41" s="34" t="str">
        <f>Total!F328</f>
        <v>Direccions d'Execució</v>
      </c>
      <c r="G41" s="34" t="str">
        <f>Total!G328</f>
        <v>DE. PAM-09293+PAC-07332</v>
      </c>
      <c r="H41" s="34" t="str">
        <f>Total!H328</f>
        <v>Contracte de serveis per a la direcció d'execució conjunta de les obres d'ampliació i reforma, Escola a 2 línies a l'Escola Joan Casas de Sant Antoni de Vilamajor (Vallès Oriental). Clau:PAM-09293 i a Escola a 1 línia a l'Escola Damià Mateu de Llinars del Vallès (Vallès Oriental). Clau: PAC-07332</v>
      </c>
      <c r="I41" s="6">
        <f>Total!I328</f>
        <v>190000</v>
      </c>
    </row>
    <row r="42" spans="1:9" x14ac:dyDescent="0.2">
      <c r="A42" s="8">
        <v>41</v>
      </c>
      <c r="B42" s="9">
        <f>Total!B329</f>
        <v>40448</v>
      </c>
      <c r="C42" s="9">
        <f>Total!C329</f>
        <v>40471</v>
      </c>
      <c r="D42" s="34" t="str">
        <f>Total!D329</f>
        <v>GISA</v>
      </c>
      <c r="E42" s="34" t="str">
        <f>Total!E329</f>
        <v>Edificació</v>
      </c>
      <c r="F42" s="34" t="str">
        <f>Total!F329</f>
        <v>Direccions d'Execució</v>
      </c>
      <c r="G42" s="34" t="str">
        <f>Total!G329</f>
        <v>DE. CLT-08245+2</v>
      </c>
      <c r="H42" s="34" t="str">
        <f>Total!H329</f>
        <v>Contracte de serveis per a la direcció d'execució conjunta de les obres:'Contrucció del Consultori Local de Paüls. Clau:CLT-08245;'C onstrucció del Consultori Local de La Bisbal de Falset. Clau:CLT-08342';'Construcció del Consultori Local d'Aiguaviva. Clau:CLT-08471'</v>
      </c>
      <c r="I42" s="6">
        <f>Total!I329</f>
        <v>59732.83</v>
      </c>
    </row>
    <row r="43" spans="1:9" x14ac:dyDescent="0.2">
      <c r="A43" s="8">
        <v>42</v>
      </c>
      <c r="B43" s="9">
        <f>Total!B330</f>
        <v>40448</v>
      </c>
      <c r="C43" s="9">
        <f>Total!C330</f>
        <v>40490</v>
      </c>
      <c r="D43" s="34" t="str">
        <f>Total!D330</f>
        <v>GISA</v>
      </c>
      <c r="E43" s="34" t="str">
        <f>Total!E330</f>
        <v>Edificació</v>
      </c>
      <c r="F43" s="34" t="str">
        <f>Total!F330</f>
        <v>Control de Qualitat</v>
      </c>
      <c r="G43" s="34" t="str">
        <f>Total!G330</f>
        <v>CQ. CLT-08245+2</v>
      </c>
      <c r="H43" s="34" t="str">
        <f>Total!H330</f>
        <v>Contracte de serveis per a l'assistència tècnica del control de qualitat conjunt de les obres de construcció del Consultori Local de Paüls. Clau:CLT-08245; construcció del Consultori Local de La Bisbal de Falset. Clau:CLT-08342; construcció del Consultori Local d'Aiguaviva. Clau:CLT-08471</v>
      </c>
      <c r="I43" s="6">
        <f>Total!I330</f>
        <v>48258.9</v>
      </c>
    </row>
    <row r="44" spans="1:9" x14ac:dyDescent="0.2">
      <c r="A44" s="8">
        <v>43</v>
      </c>
      <c r="B44" s="9">
        <f>Total!B331</f>
        <v>40448</v>
      </c>
      <c r="C44" s="9">
        <f>Total!C331</f>
        <v>40476</v>
      </c>
      <c r="D44" s="34" t="str">
        <f>Total!D331</f>
        <v>GISA</v>
      </c>
      <c r="E44" s="34" t="str">
        <f>Total!E331</f>
        <v>Edificació</v>
      </c>
      <c r="F44" s="34" t="str">
        <f>Total!F331</f>
        <v>Direccions d'Execució</v>
      </c>
      <c r="G44" s="34" t="str">
        <f>Total!G331</f>
        <v>DE. PNL-09213 + PNT-09233</v>
      </c>
      <c r="H44" s="34" t="str">
        <f>Total!H331</f>
        <v>Contracte de serveis per a la direcció d'execució conjunta de les obres:Ampliació Escola Parc del Saladar, Escola 1 línia Primària (2a FASE). Clau: PNL-09213 i Nova construcció CEIP Cavaller Arnau. Riudoms. CEIP 1 Línia. Clau:PNT-09233</v>
      </c>
      <c r="I44" s="6">
        <f>Total!I331</f>
        <v>138055</v>
      </c>
    </row>
    <row r="45" spans="1:9" x14ac:dyDescent="0.2">
      <c r="A45" s="8">
        <v>44</v>
      </c>
      <c r="B45" s="9">
        <f>Total!B332</f>
        <v>40448</v>
      </c>
      <c r="C45" s="9">
        <f>Total!C332</f>
        <v>40476</v>
      </c>
      <c r="D45" s="34" t="str">
        <f>Total!D332</f>
        <v>REGSA</v>
      </c>
      <c r="E45" s="34"/>
      <c r="F45" s="34" t="str">
        <f>Total!F332</f>
        <v>Control de Qualitat</v>
      </c>
      <c r="G45" s="34" t="str">
        <f>Total!G332</f>
        <v>CQ. VR-03921.1</v>
      </c>
      <c r="H45" s="34" t="str">
        <f>Total!H332</f>
        <v>Contracte de serveis per a l'assistència tècnica de control de qualitat de les obres d'ampliació i modernització del regadiu de la conca de Tremp. Captació i canonada de transport. Clau: VR-03921.1</v>
      </c>
      <c r="I45" s="6">
        <f>Total!I332</f>
        <v>135102.06</v>
      </c>
    </row>
    <row r="46" spans="1:9" x14ac:dyDescent="0.2">
      <c r="A46" s="8">
        <v>45</v>
      </c>
      <c r="B46" s="9">
        <f>Total!B333</f>
        <v>40449</v>
      </c>
      <c r="C46" s="9">
        <f>Total!C333</f>
        <v>40476</v>
      </c>
      <c r="D46" s="34" t="str">
        <f>Total!D333</f>
        <v>GISA</v>
      </c>
      <c r="E46" s="34" t="str">
        <f>Total!E333</f>
        <v>Edificació</v>
      </c>
      <c r="F46" s="34" t="str">
        <f>Total!F333</f>
        <v>Control de Qualitat</v>
      </c>
      <c r="G46" s="34" t="str">
        <f>Total!G333</f>
        <v>CQ.GPV-09264.1</v>
      </c>
      <c r="H46" s="34" t="str">
        <f>Total!H333</f>
        <v>Contracte de serveis per el control de qualitat de les obres de construcció de la nova Seu de la Casa de les Llengües al recinte de Can Ricart de Barcelona.Fase 1 Consolidació i ampliació estructurals i de tancaments dels edificis. Clau:GPV-09264.1</v>
      </c>
      <c r="I46" s="6">
        <f>Total!I333</f>
        <v>90109.36</v>
      </c>
    </row>
    <row r="47" spans="1:9" x14ac:dyDescent="0.2">
      <c r="A47" s="8">
        <v>46</v>
      </c>
      <c r="B47" s="9">
        <f>Total!B334</f>
        <v>40449</v>
      </c>
      <c r="C47" s="9">
        <f>Total!C334</f>
        <v>40476</v>
      </c>
      <c r="D47" s="34" t="str">
        <f>Total!D334</f>
        <v>GISA</v>
      </c>
      <c r="E47" s="34" t="str">
        <f>Total!E334</f>
        <v>Edificació</v>
      </c>
      <c r="F47" s="34" t="str">
        <f>Total!F334</f>
        <v>Direccions d'Execució</v>
      </c>
      <c r="G47" s="34" t="str">
        <f>Total!G334</f>
        <v>DE. PNV-09322 + PNC-09215</v>
      </c>
      <c r="H47" s="34" t="str">
        <f>Total!H334</f>
        <v>Contracte de serveis per a la direcció d'execució conjunta de les obres:Nova construcció de l'Escola de Rubí. Vallès Occidental. Escola 2 línies Infantil + Primària. Clau: PNV-09322, i Nova construcció de l'Escola Bufalà II, Badalona. Escola 1 Línia Infantil + Primària. Clau: PNC-09215</v>
      </c>
      <c r="I47" s="6">
        <f>Total!I334</f>
        <v>180002</v>
      </c>
    </row>
    <row r="48" spans="1:9" x14ac:dyDescent="0.2">
      <c r="A48" s="8">
        <v>47</v>
      </c>
      <c r="B48" s="9">
        <f>Total!B335</f>
        <v>40449</v>
      </c>
      <c r="C48" s="9">
        <f>Total!C335</f>
        <v>40476</v>
      </c>
      <c r="D48" s="34" t="str">
        <f>Total!D335</f>
        <v>GISA</v>
      </c>
      <c r="E48" s="34" t="str">
        <f>Total!E335</f>
        <v>Edificació</v>
      </c>
      <c r="F48" s="34" t="str">
        <f>Total!F335</f>
        <v>Direccions d'Execució</v>
      </c>
      <c r="G48" s="34" t="str">
        <f>Total!G335</f>
        <v>DE. PNG-09218 + PNG-08479</v>
      </c>
      <c r="H48" s="34" t="str">
        <f>Total!H335</f>
        <v>Contracte de serveis per a la direcció d'execució conjunta de les obres de nova construcció CEIP La Benaula. Caldes de Malavella.1 línia. Clau:PNG-09218 i nova construcció CEIP La Sínia, Calonge. CEIP 1 línia. Clau: PNG-08479</v>
      </c>
      <c r="I48" s="6">
        <f>Total!I335</f>
        <v>152526</v>
      </c>
    </row>
    <row r="49" spans="1:9" x14ac:dyDescent="0.2">
      <c r="A49" s="8">
        <v>48</v>
      </c>
      <c r="B49" s="9">
        <f>Total!B336</f>
        <v>40449</v>
      </c>
      <c r="C49" s="9">
        <f>Total!C336</f>
        <v>40471</v>
      </c>
      <c r="D49" s="34" t="str">
        <f>Total!D336</f>
        <v>GISA</v>
      </c>
      <c r="E49" s="34" t="str">
        <f>Total!E336</f>
        <v>Edificació</v>
      </c>
      <c r="F49" s="34" t="str">
        <f>Total!F336</f>
        <v>Direccions d'Execució</v>
      </c>
      <c r="G49" s="34" t="str">
        <f>Total!G336</f>
        <v>DE. PNA-09212</v>
      </c>
      <c r="H49" s="34" t="str">
        <f>Total!H336</f>
        <v>Contracte de serveis per a la direcció d'execució de les obres:Nova construcció de l'Escola d'Abrera.Abrera. Escola 1 Línia Infantil + Primària. Clau:PNA-09212</v>
      </c>
      <c r="I49" s="6">
        <f>Total!I336</f>
        <v>76263</v>
      </c>
    </row>
    <row r="50" spans="1:9" x14ac:dyDescent="0.2">
      <c r="A50" s="8">
        <v>49</v>
      </c>
      <c r="B50" s="9">
        <f>Total!B337</f>
        <v>40449</v>
      </c>
      <c r="C50" s="9">
        <f>Total!C337</f>
        <v>40485</v>
      </c>
      <c r="D50" s="34" t="str">
        <f>Total!D337</f>
        <v>GISA</v>
      </c>
      <c r="E50" s="34" t="str">
        <f>Total!E337</f>
        <v>Edificació</v>
      </c>
      <c r="F50" s="34" t="str">
        <f>Total!F337</f>
        <v>Direccions d'Execució</v>
      </c>
      <c r="G50" s="34" t="str">
        <f>Total!G337</f>
        <v>DE. PAG-08223</v>
      </c>
      <c r="H50" s="34" t="str">
        <f>Total!H337</f>
        <v>Contracte de serveis per a la direcció d'execució de les obres de reforma i ampliació Escola a 1 línia a l'Escola Alzina Reclamadora de Fontcoberta (Pla de l'Estany). Clau:PAG-08223</v>
      </c>
      <c r="I50" s="6">
        <f>Total!I337</f>
        <v>68777.78</v>
      </c>
    </row>
    <row r="51" spans="1:9" x14ac:dyDescent="0.2">
      <c r="A51" s="8">
        <v>50</v>
      </c>
      <c r="B51" s="9">
        <f>Total!B338</f>
        <v>40449</v>
      </c>
      <c r="C51" s="9">
        <f>Total!C338</f>
        <v>40476</v>
      </c>
      <c r="D51" s="34" t="str">
        <f>Total!D338</f>
        <v>GISA</v>
      </c>
      <c r="E51" s="34" t="str">
        <f>Total!E338</f>
        <v>Edificació</v>
      </c>
      <c r="F51" s="34" t="str">
        <f>Total!F338</f>
        <v>Control de Qualitat</v>
      </c>
      <c r="G51" s="34" t="str">
        <f>Total!G338</f>
        <v>CQ. PNV-09322 + PNC-09215</v>
      </c>
      <c r="H51" s="34" t="str">
        <f>Total!H338</f>
        <v>Contracte de serveis per al control de qualitat conjunt de les obres, nova construcció de l'Escola de Rubí. Vallès occidental. Escola 2 Línies, Infantil + Primària. Clau: PNV-09322 i nova construcció de l'Escola Bufalà II de Badalona, Escola 1 línia Infantil + Primària.Clau: PNC-09215</v>
      </c>
      <c r="I51" s="6">
        <f>Total!I338</f>
        <v>77205.23</v>
      </c>
    </row>
    <row r="52" spans="1:9" x14ac:dyDescent="0.2">
      <c r="A52" s="8">
        <v>51</v>
      </c>
      <c r="B52" s="9">
        <f>Total!B339</f>
        <v>40449</v>
      </c>
      <c r="C52" s="9">
        <f>Total!C339</f>
        <v>40476</v>
      </c>
      <c r="D52" s="34" t="str">
        <f>Total!D339</f>
        <v>GISA</v>
      </c>
      <c r="E52" s="34" t="str">
        <f>Total!E339</f>
        <v>Edificació</v>
      </c>
      <c r="F52" s="34" t="str">
        <f>Total!F339</f>
        <v>Control de Qualitat</v>
      </c>
      <c r="G52" s="34" t="str">
        <f>Total!G339</f>
        <v>CQ. PNL-09213 + PNT-09233 + PNA-09212</v>
      </c>
      <c r="H52" s="34" t="str">
        <f>Total!H339</f>
        <v>Contracte de serveis per al control de qualitat conjunt de les obres d'ampliació de l'Escola Parc del Saladar, Escola 1 Línia Primària (2a fase). Clau:PNL-09213; nova construcció CEIP Cavaller Arnau. Riudoms. CEIP 1 línia. Clau:PNT-09233 i nova construcció de l'Escola d'Abrera, Abrera. Escola 1 línia Infantil + Primària. Clau: PNA-09212</v>
      </c>
      <c r="I52" s="6">
        <f>Total!I339</f>
        <v>90981.04</v>
      </c>
    </row>
    <row r="53" spans="1:9" x14ac:dyDescent="0.2">
      <c r="A53" s="8">
        <v>52</v>
      </c>
      <c r="B53" s="9">
        <f>Total!B340</f>
        <v>40449</v>
      </c>
      <c r="C53" s="9">
        <f>Total!C340</f>
        <v>40476</v>
      </c>
      <c r="D53" s="34" t="str">
        <f>Total!D340</f>
        <v>GISA</v>
      </c>
      <c r="E53" s="34" t="str">
        <f>Total!E340</f>
        <v>Edificació</v>
      </c>
      <c r="F53" s="34" t="str">
        <f>Total!F340</f>
        <v>Control de Qualitat</v>
      </c>
      <c r="G53" s="34" t="str">
        <f>Total!G340</f>
        <v>CQ. PNG-09218 + PNG-08479</v>
      </c>
      <c r="H53" s="34" t="str">
        <f>Total!H340</f>
        <v>Contracte de serveis per al control de qualitat conjunt de les obres de nova construcció CEIP La Benaula. Caldes de Malavella. 1 línia. Clau:PNG-09218 i nova construcció CEIP La Sínia, Calonge. CEIP 1 línia. Clau: PNG-08479</v>
      </c>
      <c r="I53" s="6">
        <f>Total!I340</f>
        <v>64912.28</v>
      </c>
    </row>
    <row r="54" spans="1:9" x14ac:dyDescent="0.2">
      <c r="A54" s="8">
        <v>53</v>
      </c>
      <c r="B54" s="9">
        <f>Total!B341</f>
        <v>40450</v>
      </c>
      <c r="C54" s="9">
        <f>Total!C341</f>
        <v>40471</v>
      </c>
      <c r="D54" s="34" t="str">
        <f>Total!D341</f>
        <v>GISA</v>
      </c>
      <c r="E54" s="34" t="str">
        <f>Total!E341</f>
        <v>Obra Civil</v>
      </c>
      <c r="F54" s="34" t="str">
        <f>Total!F341</f>
        <v>Control de Qualitat</v>
      </c>
      <c r="G54" s="34" t="str">
        <f>Total!G341</f>
        <v>CQ. TM-05605.A</v>
      </c>
      <c r="H54" s="34" t="str">
        <f>Total!H341</f>
        <v>Contracte de serveis per a l'assistència tècnica de control de qualitat del projecte constructiu d'adaptació a la normativa i millora de l'accessibilitat de l'estació de Virrei Amat de la línia 5 de l'FMB. Clau: TM-05605.A</v>
      </c>
      <c r="I54" s="6">
        <f>Total!I341</f>
        <v>110579.84</v>
      </c>
    </row>
    <row r="55" spans="1:9" ht="13.5" thickBot="1" x14ac:dyDescent="0.25">
      <c r="A55" s="8">
        <v>54</v>
      </c>
      <c r="B55" s="9">
        <f>Total!B342</f>
        <v>40451</v>
      </c>
      <c r="C55" s="9">
        <f>Total!C342</f>
        <v>40476</v>
      </c>
      <c r="D55" s="34" t="str">
        <f>Total!D342</f>
        <v>REGSA</v>
      </c>
      <c r="E55" s="34"/>
      <c r="F55" s="34" t="str">
        <f>Total!F342</f>
        <v>Control de Qualitat</v>
      </c>
      <c r="G55" s="34" t="str">
        <f>Total!G342</f>
        <v>CQ. MC-05910.4</v>
      </c>
      <c r="H55" s="34" t="str">
        <f>Total!H342</f>
        <v>Contracte de serveis per a l'assistència tècnica de control de qualitat de les obres del projecte de regadiu Xerta-Sénia. Adequació del canal. Tram 4. Clau: MC-05910.4</v>
      </c>
      <c r="I55" s="6">
        <f>Total!I342</f>
        <v>179191.81</v>
      </c>
    </row>
    <row r="56" spans="1:9" ht="13.5" thickBot="1" x14ac:dyDescent="0.25">
      <c r="I56" s="33">
        <f>SUM(I2:I55)-I38</f>
        <v>17932208.199999996</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I14"/>
  <sheetViews>
    <sheetView workbookViewId="0">
      <selection activeCell="G40" sqref="G40"/>
    </sheetView>
  </sheetViews>
  <sheetFormatPr baseColWidth="10" defaultColWidth="11.42578125" defaultRowHeight="12.75" x14ac:dyDescent="0.2"/>
  <cols>
    <col min="1" max="1" width="7" style="10" customWidth="1"/>
    <col min="2" max="2" width="12.42578125" style="10" bestFit="1" customWidth="1"/>
    <col min="3" max="3" width="12.42578125" style="10" customWidth="1"/>
    <col min="4" max="4" width="7.7109375" style="5" bestFit="1" customWidth="1"/>
    <col min="5" max="5" width="10.140625" style="5" bestFit="1" customWidth="1"/>
    <col min="6" max="6" width="19.42578125" style="5" bestFit="1" customWidth="1"/>
    <col min="7" max="7" width="24.7109375" style="5" customWidth="1"/>
    <col min="8" max="8" width="61.85546875" style="35" customWidth="1"/>
    <col min="9" max="9" width="20" style="7" bestFit="1" customWidth="1"/>
  </cols>
  <sheetData>
    <row r="1" spans="1:9" x14ac:dyDescent="0.2">
      <c r="B1" s="37" t="s">
        <v>57</v>
      </c>
      <c r="C1" s="2" t="s">
        <v>499</v>
      </c>
      <c r="D1" s="2" t="s">
        <v>58</v>
      </c>
      <c r="E1" s="3" t="s">
        <v>59</v>
      </c>
      <c r="F1" s="3" t="s">
        <v>60</v>
      </c>
      <c r="G1" s="3" t="s">
        <v>61</v>
      </c>
      <c r="H1" s="38" t="s">
        <v>62</v>
      </c>
      <c r="I1" s="39" t="s">
        <v>63</v>
      </c>
    </row>
    <row r="2" spans="1:9" x14ac:dyDescent="0.2">
      <c r="A2" s="8">
        <v>1</v>
      </c>
      <c r="B2" s="9">
        <f>Total!B277</f>
        <v>40392</v>
      </c>
      <c r="C2" s="9">
        <f>Total!C277</f>
        <v>40464</v>
      </c>
      <c r="D2" s="36" t="str">
        <f>Total!D277</f>
        <v>GISA</v>
      </c>
      <c r="E2" s="36" t="str">
        <f>Total!E277</f>
        <v>Obra Civil</v>
      </c>
      <c r="F2" s="36" t="str">
        <f>Total!F277</f>
        <v>Direccions d'Obra</v>
      </c>
      <c r="G2" s="36" t="str">
        <f>Total!G277</f>
        <v>ATDO.TF-04306.A INSPECCIONS EDIFICIS</v>
      </c>
      <c r="H2" s="36" t="str">
        <f>Total!H277</f>
        <v>Contracte de serveis per a l'assistència tècnica per a la inspecció prèvia d'edificis de les obres d'adaptació a la normativa. Millora de l'accessibilitat i remodelació de l'estació de Gràcia dels FGC. Clau: TF-04306.A</v>
      </c>
      <c r="I2" s="6">
        <f>Total!I277</f>
        <v>76170</v>
      </c>
    </row>
    <row r="3" spans="1:9" x14ac:dyDescent="0.2">
      <c r="A3" s="8">
        <v>2</v>
      </c>
      <c r="B3" s="9">
        <f>Total!B278</f>
        <v>40394</v>
      </c>
      <c r="C3" s="9">
        <f>Total!C278</f>
        <v>40448</v>
      </c>
      <c r="D3" s="36" t="str">
        <f>Total!D278</f>
        <v>GISA</v>
      </c>
      <c r="E3" s="36" t="str">
        <f>Total!E278</f>
        <v>Edificació</v>
      </c>
      <c r="F3" s="36" t="str">
        <f>Total!F278</f>
        <v>Direccions d'Execució</v>
      </c>
      <c r="G3" s="36" t="str">
        <f>Total!G278</f>
        <v>DE.GPV-09264.1</v>
      </c>
      <c r="H3" s="36" t="str">
        <f>Total!H278</f>
        <v>Contracte de serveis per la direcció d'execució de les obres de Construcció de la nova seu de la Casa de les Llengües al recinte de Can Ricart de Barcelona, Fase 1 Consolidació i ampliació estructurals i de tancaments dels edificis. Clau: GPV-09264.1</v>
      </c>
      <c r="I3" s="6">
        <f>Total!I278</f>
        <v>267921.11</v>
      </c>
    </row>
    <row r="4" spans="1:9" x14ac:dyDescent="0.2">
      <c r="A4" s="8">
        <v>3</v>
      </c>
      <c r="B4" s="47">
        <f>Total!B279</f>
        <v>40395</v>
      </c>
      <c r="C4" s="47">
        <f>Total!C279</f>
        <v>40448</v>
      </c>
      <c r="D4" s="53" t="str">
        <f>Total!D279</f>
        <v>GISA</v>
      </c>
      <c r="E4" s="53" t="str">
        <f>Total!E279</f>
        <v>Edificació</v>
      </c>
      <c r="F4" s="53" t="str">
        <f>Total!F279</f>
        <v>Direccions Integrades</v>
      </c>
      <c r="G4" s="53" t="str">
        <f>Total!G279</f>
        <v>DI JNP-05539</v>
      </c>
      <c r="H4" s="53" t="str">
        <f>Total!H279</f>
        <v>Contracte de serveis per a la direcció integrada de les obres del centre penitenciari Els Plans de Tàrrega al municipi de Tàrrega. Clau: JNP-05539</v>
      </c>
      <c r="I4" s="49">
        <f>Total!I279</f>
        <v>1116000</v>
      </c>
    </row>
    <row r="5" spans="1:9" x14ac:dyDescent="0.2">
      <c r="A5" s="8">
        <v>4</v>
      </c>
      <c r="B5" s="47">
        <f>Total!B280</f>
        <v>40395</v>
      </c>
      <c r="C5" s="47">
        <f>Total!C280</f>
        <v>40448</v>
      </c>
      <c r="D5" s="53" t="str">
        <f>Total!D280</f>
        <v>GISA</v>
      </c>
      <c r="E5" s="53" t="str">
        <f>Total!E280</f>
        <v>Edificació</v>
      </c>
      <c r="F5" s="53" t="str">
        <f>Total!F280</f>
        <v>Direccions Integrades</v>
      </c>
      <c r="G5" s="53" t="str">
        <f>Total!G280</f>
        <v>DI JNP-08246.1</v>
      </c>
      <c r="H5" s="53" t="str">
        <f>Total!H280</f>
        <v>Contracte de serveis per a la direcció integrada de les obres del centre penitenciari de Preventius a Barcelona. Clau:JNP-08246.1</v>
      </c>
      <c r="I5" s="49">
        <f>Total!I280</f>
        <v>1021500</v>
      </c>
    </row>
    <row r="6" spans="1:9" x14ac:dyDescent="0.2">
      <c r="A6" s="8">
        <v>5</v>
      </c>
      <c r="B6" s="47">
        <f>Total!B281</f>
        <v>40395</v>
      </c>
      <c r="C6" s="47">
        <f>Total!C281</f>
        <v>40448</v>
      </c>
      <c r="D6" s="53" t="str">
        <f>Total!D281</f>
        <v>GISA</v>
      </c>
      <c r="E6" s="53" t="str">
        <f>Total!E281</f>
        <v>Obra Civil</v>
      </c>
      <c r="F6" s="53" t="str">
        <f>Total!F281</f>
        <v>Direccions d'Obra</v>
      </c>
      <c r="G6" s="53" t="str">
        <f>Total!G281</f>
        <v>DO.TF-04306.A</v>
      </c>
      <c r="H6" s="53" t="str">
        <f>Total!H281</f>
        <v>Contracte de serveis per a la direcció de les obres d'adaptació a la normativa. Millora de l'ac cessibilitat i remodelació de l'estació de Gràcia dels FGC. Clau: TF-04306.A</v>
      </c>
      <c r="I6" s="49">
        <f>Total!I281</f>
        <v>1227083.33</v>
      </c>
    </row>
    <row r="7" spans="1:9" x14ac:dyDescent="0.2">
      <c r="A7" s="8">
        <v>6</v>
      </c>
      <c r="B7" s="9">
        <f>Total!B282</f>
        <v>40396</v>
      </c>
      <c r="C7" s="9">
        <f>Total!C282</f>
        <v>40441</v>
      </c>
      <c r="D7" s="36" t="str">
        <f>Total!D282</f>
        <v>GISA</v>
      </c>
      <c r="E7" s="36" t="str">
        <f>Total!E282</f>
        <v>Obra Civil</v>
      </c>
      <c r="F7" s="36" t="str">
        <f>Total!F282</f>
        <v>Projectes</v>
      </c>
      <c r="G7" s="36" t="str">
        <f>Total!G282</f>
        <v>EI. NG-10030</v>
      </c>
      <c r="H7" s="36" t="str">
        <f>Total!H282</f>
        <v>Contracte de serveis per a l'assistència tècnica per a la redacció de l'estudi informatiu de millora general. Nova carretera. Des del PK 375+200 de la carretera C-31 al PK 34+000 de la C-260. Tram: Siurana-Castelló d'Empúries. Clau: EI-NG-10030</v>
      </c>
      <c r="I7" s="6">
        <f>Total!I282</f>
        <v>113474.58</v>
      </c>
    </row>
    <row r="8" spans="1:9" x14ac:dyDescent="0.2">
      <c r="A8" s="8">
        <v>7</v>
      </c>
      <c r="B8" s="9">
        <f>Total!B283</f>
        <v>40396</v>
      </c>
      <c r="C8" s="9">
        <f>Total!C283</f>
        <v>40441</v>
      </c>
      <c r="D8" s="36" t="str">
        <f>Total!D283</f>
        <v>GISA</v>
      </c>
      <c r="E8" s="36" t="str">
        <f>Total!E283</f>
        <v>Obra Civil</v>
      </c>
      <c r="F8" s="36" t="str">
        <f>Total!F283</f>
        <v>Projectes</v>
      </c>
      <c r="G8" s="36" t="str">
        <f>Total!G283</f>
        <v>EI. XG-10031</v>
      </c>
      <c r="H8" s="36" t="str">
        <f>Total!H283</f>
        <v>Contracte de serveis per a l'assistència tècnica per a la redacció de l'estudi informatiu de millora general. Variant de Sant Pere Pescador. De la carretera GIV-6216 al camí de Sant Martí d'Empúries. Tram: Sant Pere Pescador. Clau: EI-XG-10031</v>
      </c>
      <c r="I8" s="6">
        <f>Total!I283</f>
        <v>97203.39</v>
      </c>
    </row>
    <row r="9" spans="1:9" x14ac:dyDescent="0.2">
      <c r="A9" s="8">
        <v>8</v>
      </c>
      <c r="B9" s="9">
        <f>Total!B284</f>
        <v>40400</v>
      </c>
      <c r="C9" s="9">
        <f>Total!C284</f>
        <v>40448</v>
      </c>
      <c r="D9" s="36" t="str">
        <f>Total!D284</f>
        <v>GISA</v>
      </c>
      <c r="E9" s="36" t="str">
        <f>Total!E284</f>
        <v>Obra Civil</v>
      </c>
      <c r="F9" s="36" t="str">
        <f>Total!F284</f>
        <v>Control de Qualitat</v>
      </c>
      <c r="G9" s="36" t="str">
        <f>Total!G284</f>
        <v>CQ.TF-04306.A</v>
      </c>
      <c r="H9" s="36" t="str">
        <f>Total!H284</f>
        <v>Contracte de serveis per a l'assistència tècnica de control de qualitat de les obres d'adaptació a la normativa. Millora de l'accessibilitat i remodelació de l'estació de Gràcia dels FGC. Clau: TF-04306.A</v>
      </c>
      <c r="I9" s="6">
        <f>Total!I284</f>
        <v>701383.23</v>
      </c>
    </row>
    <row r="10" spans="1:9" x14ac:dyDescent="0.2">
      <c r="A10" s="8">
        <v>9</v>
      </c>
      <c r="B10" s="9">
        <f>Total!B285</f>
        <v>40421</v>
      </c>
      <c r="C10" s="9">
        <f>Total!C285</f>
        <v>40441</v>
      </c>
      <c r="D10" s="36" t="str">
        <f>Total!D285</f>
        <v>GISA</v>
      </c>
      <c r="E10" s="36" t="str">
        <f>Total!E285</f>
        <v>Edificació</v>
      </c>
      <c r="F10" s="36" t="str">
        <f>Total!F285</f>
        <v>Direccions d'Execució</v>
      </c>
      <c r="G10" s="36" t="str">
        <f>Total!G285</f>
        <v>DE. PNL-09318</v>
      </c>
      <c r="H10" s="36" t="str">
        <f>Total!H285</f>
        <v>Contracte de serveis per a la direcció d'execució de les obres de nova construcció escola 6 unitats a l'Escola El Timó de Sidamón (El Pla d'Urgell). Clau: PNL-09318</v>
      </c>
      <c r="I10" s="6">
        <f>Total!I285</f>
        <v>59444.44</v>
      </c>
    </row>
    <row r="11" spans="1:9" x14ac:dyDescent="0.2">
      <c r="A11" s="8">
        <v>10</v>
      </c>
      <c r="B11" s="9">
        <f>Total!B286</f>
        <v>40421</v>
      </c>
      <c r="C11" s="9">
        <f>Total!C286</f>
        <v>40441</v>
      </c>
      <c r="D11" s="36" t="str">
        <f>Total!D286</f>
        <v>GISA</v>
      </c>
      <c r="E11" s="36" t="str">
        <f>Total!E286</f>
        <v>Edificació</v>
      </c>
      <c r="F11" s="36" t="str">
        <f>Total!F286</f>
        <v>Direccions d'Execució</v>
      </c>
      <c r="G11" s="36" t="str">
        <f>Total!G286</f>
        <v>DE. INA-07419.1</v>
      </c>
      <c r="H11" s="36" t="str">
        <f>Total!H286</f>
        <v>Contracte de serveis per a la direcció d'execució de les obres de nova construcció Institut 3/0 línies (primera fase) a l'Institut de Castelldefels (Baix Llobregat). Clau: INA-07419.1</v>
      </c>
      <c r="I11" s="6">
        <f>Total!I286</f>
        <v>125333.33</v>
      </c>
    </row>
    <row r="12" spans="1:9" x14ac:dyDescent="0.2">
      <c r="A12" s="8">
        <v>11</v>
      </c>
      <c r="B12" s="9">
        <f>Total!B287</f>
        <v>40421</v>
      </c>
      <c r="C12" s="9">
        <f>Total!C287</f>
        <v>40441</v>
      </c>
      <c r="D12" s="36" t="str">
        <f>Total!D287</f>
        <v>GISA</v>
      </c>
      <c r="E12" s="36" t="str">
        <f>Total!E287</f>
        <v>Edificació</v>
      </c>
      <c r="F12" s="36" t="str">
        <f>Total!F287</f>
        <v>Direccions d'Execució</v>
      </c>
      <c r="G12" s="36" t="str">
        <f>Total!G287</f>
        <v>DE. PNG-07952</v>
      </c>
      <c r="H12" s="36" t="str">
        <f>Total!H287</f>
        <v>Contracte de serveis per a la direcció d'execució de les obres de nova construcció Escola 1 línia a l'Escola de Les Preses (Garrotxa). Clau: PNG-07952</v>
      </c>
      <c r="I12" s="6">
        <f>Total!I287</f>
        <v>97777.78</v>
      </c>
    </row>
    <row r="13" spans="1:9" ht="13.5" thickBot="1" x14ac:dyDescent="0.25">
      <c r="A13" s="8">
        <v>12</v>
      </c>
      <c r="B13" s="9">
        <f>Total!B288</f>
        <v>40421</v>
      </c>
      <c r="C13" s="9">
        <f>Total!C288</f>
        <v>40441</v>
      </c>
      <c r="D13" s="36" t="str">
        <f>Total!D288</f>
        <v>GISA</v>
      </c>
      <c r="E13" s="36" t="str">
        <f>Total!E288</f>
        <v>Edificació</v>
      </c>
      <c r="F13" s="36" t="str">
        <f>Total!F288</f>
        <v>Direccions d'Execució</v>
      </c>
      <c r="G13" s="36" t="str">
        <f>Total!G288</f>
        <v>DE. PNC-08445</v>
      </c>
      <c r="H13" s="36" t="str">
        <f>Total!H288</f>
        <v>Contracte de serveis per a la direcció d'execució de les obres de nova construcció Escola 7 unitats a l'Escola El Montcau de Subirats (Alt Penedès). Clau:PNC-08445</v>
      </c>
      <c r="I13" s="6">
        <f>Total!I288</f>
        <v>74666.67</v>
      </c>
    </row>
    <row r="14" spans="1:9" ht="13.5" thickBot="1" x14ac:dyDescent="0.25">
      <c r="I14" s="33">
        <f>SUM(I2:I13)</f>
        <v>4977957.8600000013</v>
      </c>
    </row>
  </sheetData>
  <phoneticPr fontId="2" type="noConversion"/>
  <pageMargins left="0.75" right="0.75" top="1" bottom="1" header="0" footer="0"/>
  <pageSetup paperSize="9" orientation="portrait" horizontalDpi="4294967292" verticalDpi="4294967292"/>
  <headerFooter alignWithMargins="0"/>
  <extLst>
    <ext xmlns:mx="http://schemas.microsoft.com/office/mac/excel/2008/main" uri="{64002731-A6B0-56B0-2670-7721B7C09600}">
      <mx:PLV Mode="0" OnePage="0" WScale="0"/>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H27"/>
  <sheetViews>
    <sheetView topLeftCell="A4" workbookViewId="0">
      <selection activeCell="F16" sqref="F16"/>
    </sheetView>
  </sheetViews>
  <sheetFormatPr baseColWidth="10" defaultColWidth="11.42578125" defaultRowHeight="12.75" x14ac:dyDescent="0.2"/>
  <cols>
    <col min="1" max="1" width="7" style="10" customWidth="1"/>
    <col min="2" max="2" width="12.42578125" style="10" bestFit="1" customWidth="1"/>
    <col min="3" max="3" width="7.7109375" style="5" bestFit="1" customWidth="1"/>
    <col min="4" max="4" width="10.140625" style="5" bestFit="1" customWidth="1"/>
    <col min="5" max="5" width="19.42578125" style="5" bestFit="1" customWidth="1"/>
    <col min="6" max="6" width="24.7109375" style="5" customWidth="1"/>
    <col min="7" max="7" width="73.42578125" style="35" customWidth="1"/>
    <col min="8" max="8" width="20" style="7" bestFit="1" customWidth="1"/>
  </cols>
  <sheetData>
    <row r="1" spans="1:8" x14ac:dyDescent="0.2">
      <c r="B1" s="37" t="s">
        <v>57</v>
      </c>
      <c r="C1" s="2" t="s">
        <v>58</v>
      </c>
      <c r="D1" s="3" t="s">
        <v>59</v>
      </c>
      <c r="E1" s="3" t="s">
        <v>60</v>
      </c>
      <c r="F1" s="3" t="s">
        <v>61</v>
      </c>
      <c r="G1" s="38" t="s">
        <v>62</v>
      </c>
      <c r="H1" s="39" t="s">
        <v>63</v>
      </c>
    </row>
    <row r="2" spans="1:8" x14ac:dyDescent="0.2">
      <c r="A2" s="8">
        <v>1</v>
      </c>
      <c r="B2" s="47">
        <f>Total!B252</f>
        <v>40360</v>
      </c>
      <c r="C2" s="48" t="str">
        <f>Total!D252</f>
        <v>REGSA</v>
      </c>
      <c r="D2" s="48"/>
      <c r="E2" s="48" t="str">
        <f>Total!F252</f>
        <v>Projectes</v>
      </c>
      <c r="F2" s="48" t="str">
        <f>Total!G252</f>
        <v>PC. TC-09413</v>
      </c>
      <c r="G2" s="48" t="str">
        <f>Total!H252</f>
        <v>Contracte de serveis per a l'assistència tècnica per a la redacció del projecte de condicionament i millora de la xarxa de reg de la CR de la Sèquia Vinyals. Sèquia principal. TM de Girona i Celrà (Gironès). Clau: TC-09413</v>
      </c>
      <c r="H2" s="49">
        <f>Total!I252</f>
        <v>177586.21</v>
      </c>
    </row>
    <row r="3" spans="1:8" x14ac:dyDescent="0.2">
      <c r="A3" s="8">
        <v>2</v>
      </c>
      <c r="B3" s="9">
        <f>Total!B253</f>
        <v>40378</v>
      </c>
      <c r="C3" s="34" t="str">
        <f>Total!D253</f>
        <v>GISA</v>
      </c>
      <c r="D3" s="34" t="str">
        <f>Total!E253</f>
        <v>Obra Civil</v>
      </c>
      <c r="E3" s="34" t="str">
        <f>Total!F253</f>
        <v>Direccions d'Obra</v>
      </c>
      <c r="F3" s="34" t="str">
        <f>Total!G253</f>
        <v>DO. TM-04464-M2</v>
      </c>
      <c r="G3" s="34" t="str">
        <f>Total!H253</f>
        <v>Contracte de serveis per a la direcció de les obres del projecte modificat núm. 2 de tallers de via i obres a l'estació d'Hospital de Bellvitge de l'L1 de l'FMB. Clau: TM-04464-M2</v>
      </c>
      <c r="H3" s="6">
        <f>Total!I253</f>
        <v>160000</v>
      </c>
    </row>
    <row r="4" spans="1:8" x14ac:dyDescent="0.2">
      <c r="A4" s="8">
        <v>3</v>
      </c>
      <c r="B4" s="9">
        <f>Total!B254</f>
        <v>40378</v>
      </c>
      <c r="C4" s="34" t="str">
        <f>Total!D254</f>
        <v>GISA</v>
      </c>
      <c r="D4" s="34" t="str">
        <f>Total!E254</f>
        <v>Edificació</v>
      </c>
      <c r="E4" s="34" t="str">
        <f>Total!F254</f>
        <v>Projectes i Direccions d'Obra</v>
      </c>
      <c r="F4" s="34" t="str">
        <f>Total!G254</f>
        <v>PE+DO CLT-10047 1v</v>
      </c>
      <c r="G4" s="34" t="str">
        <f>Total!H254</f>
        <v>Contracte de serveis per a l'assistència tècnica per a la redacció del projecte bàsic i d'execució, l'estudi de seguretat i salut, la certificació d'eficiència energètica del projecte, l'estudi geotècnic, el projecte d'activitats per a llicència ambiental i poster ior Direcció d'Obra i certificació d'eficiència energètica de final d'obra corresponent a la construcció del nou Consultori Local d' Albinyana. Clau: CLT-10047 (1v)</v>
      </c>
      <c r="H4" s="6">
        <f>Total!I254</f>
        <v>58208.57</v>
      </c>
    </row>
    <row r="5" spans="1:8" x14ac:dyDescent="0.2">
      <c r="A5" s="8">
        <v>4</v>
      </c>
      <c r="B5" s="9">
        <f>Total!B255</f>
        <v>40379</v>
      </c>
      <c r="C5" s="34" t="str">
        <f>Total!D255</f>
        <v>GISA</v>
      </c>
      <c r="D5" s="34" t="str">
        <f>Total!E255</f>
        <v>Edificació</v>
      </c>
      <c r="E5" s="34" t="str">
        <f>Total!F255</f>
        <v>Projectes i Direccions d'Obra</v>
      </c>
      <c r="F5" s="34" t="str">
        <f>Total!G255</f>
        <v>PE+DO PAL-08347 1v</v>
      </c>
      <c r="G5" s="34" t="str">
        <f>Total!H255</f>
        <v>Contracte de serveis per a l'assistència tècnica per a la redacció del projecte bàsic i d'execució, la certificació d'eficiència energètica del projecte, l'estudi de seguretat i salut, l'estudi geotècnic, l'estudi de patologies, el projecte d'activitats per a llic ència ambiental i posterior Direcció d'Obra i certificació d'eficiència energètica de final d'obra corresponent a l'ampliació de l'Escola la Rossella, de Rosselló. Clau: PAL-08347(1v)</v>
      </c>
      <c r="H5" s="6">
        <f>Total!I255</f>
        <v>193358.57</v>
      </c>
    </row>
    <row r="6" spans="1:8" x14ac:dyDescent="0.2">
      <c r="A6" s="8">
        <v>5</v>
      </c>
      <c r="B6" s="9">
        <f>Total!B256</f>
        <v>40379</v>
      </c>
      <c r="C6" s="34" t="str">
        <f>Total!D256</f>
        <v>GISA</v>
      </c>
      <c r="D6" s="34" t="str">
        <f>Total!E256</f>
        <v>Edificació</v>
      </c>
      <c r="E6" s="34" t="str">
        <f>Total!F256</f>
        <v>Projectes i Direccions d'Obra</v>
      </c>
      <c r="F6" s="34" t="str">
        <f>Total!G256</f>
        <v>PE+DO HTT-10017 1v</v>
      </c>
      <c r="G6" s="34" t="str">
        <f>Total!H256</f>
        <v>Contracte de serveis per a l'assistència tècnica per a la redacció del projecte bàsic i d'execució, l'estudi de seguretat i salut, la certificació d'eficiència energètica del projecte, l'estudi de patologies, el projecte d'activitats per a llicència ambiental i po sterior direcció d'obra i certificació d'eficiència energètica de final d'obra corresponent a l'ampliació i reforma del Bloc Quirúrgic, Cirurgia Major Ambulatòria CMA, Llenceria i Esterilització de l'Hospital Joan XXIII, de Tarragona. Clau HTT-10017(1v)</v>
      </c>
      <c r="H6" s="6">
        <f>Total!I256</f>
        <v>741998.57</v>
      </c>
    </row>
    <row r="7" spans="1:8" x14ac:dyDescent="0.2">
      <c r="A7" s="8">
        <v>6</v>
      </c>
      <c r="B7" s="9">
        <f>Total!B257</f>
        <v>40379</v>
      </c>
      <c r="C7" s="34" t="str">
        <f>Total!D257</f>
        <v>GISA</v>
      </c>
      <c r="D7" s="34" t="str">
        <f>Total!E257</f>
        <v>Edificació</v>
      </c>
      <c r="E7" s="34" t="str">
        <f>Total!F257</f>
        <v>Projectes i Direccions d'Obra</v>
      </c>
      <c r="F7" s="34" t="str">
        <f>Total!G257</f>
        <v>PE+DO PMB-10039 1v</v>
      </c>
      <c r="G7" s="34" t="str">
        <f>Total!H257</f>
        <v>Contracte de serveis per a l'assistència tècnica per a la redacció del projecte bàsic i d'execució, la certificació d'eficiència energètica del projecte, l'estudi de seguretat i salut, l'estudi geotècnic, el projecte d'activitats per a llicència ambiental i poster ior Direcció d'Obra i certificació d'eficiència energètica de final d'obra corresponent a la Construcció del centre de formació en incendis d'Interior i Reforma del Parc de Bombers de Martorell. Clau: PMB-10039(1v)</v>
      </c>
      <c r="H7" s="6">
        <f>Total!I257</f>
        <v>415814.29</v>
      </c>
    </row>
    <row r="8" spans="1:8" x14ac:dyDescent="0.2">
      <c r="A8" s="8">
        <v>7</v>
      </c>
      <c r="B8" s="9">
        <f>Total!B258</f>
        <v>40381</v>
      </c>
      <c r="C8" s="34" t="str">
        <f>Total!D258</f>
        <v>GISA</v>
      </c>
      <c r="D8" s="34" t="str">
        <f>Total!E258</f>
        <v>Edificació</v>
      </c>
      <c r="E8" s="34" t="str">
        <f>Total!F258</f>
        <v>Direccions d'Execució</v>
      </c>
      <c r="F8" s="34" t="str">
        <f>Total!G258</f>
        <v>DE. INC-09235 + PNC-09298</v>
      </c>
      <c r="G8" s="34" t="str">
        <f>Total!H258</f>
        <v>Contracte de serveis per a la direcció d'execució conjunta de les obres:'Nova construcció Institut Escola SES de Sant Martí Sarroca.3/0 (ampliable).Clau: INC-09235', i 'Nova construcció CEIP Antoni Grau i Minguell, Sant Quintí de Mediona. Substitució 1 línia + 4 aules. Clau:PNC-09298'</v>
      </c>
      <c r="H8" s="6">
        <f>Total!I258</f>
        <v>188373.32</v>
      </c>
    </row>
    <row r="9" spans="1:8" x14ac:dyDescent="0.2">
      <c r="A9" s="8">
        <v>8</v>
      </c>
      <c r="B9" s="9">
        <f>Total!B259</f>
        <v>40381</v>
      </c>
      <c r="C9" s="34" t="str">
        <f>Total!D259</f>
        <v>GISA</v>
      </c>
      <c r="D9" s="34" t="str">
        <f>Total!E259</f>
        <v>Edificació</v>
      </c>
      <c r="E9" s="34" t="str">
        <f>Total!F259</f>
        <v>Direccions d'Execució</v>
      </c>
      <c r="F9" s="34" t="str">
        <f>Total!G259</f>
        <v>DE. INT-09232</v>
      </c>
      <c r="G9" s="34" t="str">
        <f>Total!H259</f>
        <v>Contracte de serveis per a la direcció d'execució de les obres de nova construcció IES de Reus. REUS IES 4/0 sense gimnàs (ampliable). Clau:INT-09232</v>
      </c>
      <c r="H9" s="6">
        <f>Total!I259</f>
        <v>108087.78</v>
      </c>
    </row>
    <row r="10" spans="1:8" x14ac:dyDescent="0.2">
      <c r="A10" s="8">
        <v>9</v>
      </c>
      <c r="B10" s="9">
        <f>Total!B260</f>
        <v>40381</v>
      </c>
      <c r="C10" s="34" t="str">
        <f>Total!D260</f>
        <v>GISA</v>
      </c>
      <c r="D10" s="34" t="str">
        <f>Total!E260</f>
        <v>Edificació</v>
      </c>
      <c r="E10" s="34" t="str">
        <f>Total!F260</f>
        <v>Direccions d'Execució</v>
      </c>
      <c r="F10" s="34" t="str">
        <f>Total!G260</f>
        <v>DE. INC-09245</v>
      </c>
      <c r="G10" s="34" t="str">
        <f>Total!H260</f>
        <v>Contracte de serveis per a la direcció d'execució de les obres nova construcció IES Montgròs, Sant Pere de Ribes. IES 3/0(ampliable). Clau: INC-09245</v>
      </c>
      <c r="H10" s="6">
        <f>Total!I260</f>
        <v>99625.56</v>
      </c>
    </row>
    <row r="11" spans="1:8" x14ac:dyDescent="0.2">
      <c r="A11" s="8">
        <v>10</v>
      </c>
      <c r="B11" s="9">
        <f>Total!B261</f>
        <v>40382</v>
      </c>
      <c r="C11" s="34" t="str">
        <f>Total!D261</f>
        <v>GISA</v>
      </c>
      <c r="D11" s="34" t="str">
        <f>Total!E261</f>
        <v>Edificació</v>
      </c>
      <c r="E11" s="34" t="str">
        <f>Total!F261</f>
        <v>Control de Qualitat</v>
      </c>
      <c r="F11" s="34" t="str">
        <f>Total!G261</f>
        <v>CQ. INC-09235 + PNC-09298</v>
      </c>
      <c r="G11" s="34" t="str">
        <f>Total!H261</f>
        <v>Contracte de serveis per a l'assistència tècnica del control de qualitat conjunt de les obres:'Nova construcció del SES de Sant Martí Sarroca, Sant Marti Sarroca SES 3/0 (ampliable). Clau: INC-09235' i 'Nova construcció de CEIP Antoni Grau i MInguell de Sant Quintí de Mediona, Substitució 1 línia + 4 aules. Clau: PNC-09298'</v>
      </c>
      <c r="H11" s="6">
        <f>Total!I261</f>
        <v>93836.11</v>
      </c>
    </row>
    <row r="12" spans="1:8" x14ac:dyDescent="0.2">
      <c r="A12" s="8">
        <v>11</v>
      </c>
      <c r="B12" s="9">
        <f>Total!B262</f>
        <v>40382</v>
      </c>
      <c r="C12" s="34" t="str">
        <f>Total!D262</f>
        <v>GISA</v>
      </c>
      <c r="D12" s="34" t="str">
        <f>Total!E262</f>
        <v>Edificació</v>
      </c>
      <c r="E12" s="34" t="str">
        <f>Total!F262</f>
        <v>Control de Qualitat</v>
      </c>
      <c r="F12" s="34" t="str">
        <f>Total!G262</f>
        <v>CQ. INC-09245 + INT-09232</v>
      </c>
      <c r="G12" s="34" t="str">
        <f>Total!H262</f>
        <v>Contracte de serveis per l'assistència tècnica del control de qualitat conjunt de les obres:'Nova construcció IES Montgròs de Sant Pere de Ribes IES 3/0 (Ampliable). Clau: INC-09245' i 'Nova construcció IES de Reus, REUS IES 4/0 sense gimnàs (ampliable).Clau: INT-09232'</v>
      </c>
      <c r="H12" s="6">
        <f>Total!I262</f>
        <v>103964.18</v>
      </c>
    </row>
    <row r="13" spans="1:8" x14ac:dyDescent="0.2">
      <c r="A13" s="8">
        <v>12</v>
      </c>
      <c r="B13" s="9">
        <f>Total!B263</f>
        <v>40382</v>
      </c>
      <c r="C13" s="34" t="str">
        <f>Total!D263</f>
        <v>GISA</v>
      </c>
      <c r="D13" s="34" t="str">
        <f>Total!E263</f>
        <v>Obra Civil</v>
      </c>
      <c r="E13" s="34" t="str">
        <f>Total!F263</f>
        <v>Direccions d'Obra</v>
      </c>
      <c r="F13" s="34" t="str">
        <f>Total!G263</f>
        <v>ATDO.RSC.TF-04306.A</v>
      </c>
      <c r="G13" s="34" t="str">
        <f>Total!H263</f>
        <v>Contracte de serveis per a l'assistència tècnica per al seguiment i control de les obres d'adaptació a la normativa. Millora de l'ac cessibilitat i remodelació de l'estació de Gràcia dels FGC. Clau: TF-04306.A</v>
      </c>
      <c r="H13" s="6">
        <f>Total!I263</f>
        <v>217000</v>
      </c>
    </row>
    <row r="14" spans="1:8" x14ac:dyDescent="0.2">
      <c r="A14" s="8">
        <v>13</v>
      </c>
      <c r="B14" s="9">
        <f>Total!B264</f>
        <v>40385</v>
      </c>
      <c r="C14" s="34" t="str">
        <f>Total!D264</f>
        <v>GISA</v>
      </c>
      <c r="D14" s="34" t="str">
        <f>Total!E264</f>
        <v>Obra Civil</v>
      </c>
      <c r="E14" s="34" t="str">
        <f>Total!F264</f>
        <v>Direccions d'Obra</v>
      </c>
      <c r="F14" s="34" t="str">
        <f>Total!G264</f>
        <v>DO.UB-01461.A3.1</v>
      </c>
      <c r="G14" s="34" t="str">
        <f>Total!H264</f>
        <v>Contracte de serveis per a la direcció de les obres de recuperació mediambiental de la platja del Cavaió, als tt.mm. d'Arenys de Mar i Canet de Mar. Fase 1. Clau: UB-01461.A3.1</v>
      </c>
      <c r="H14" s="6">
        <f>Total!I264</f>
        <v>142620</v>
      </c>
    </row>
    <row r="15" spans="1:8" x14ac:dyDescent="0.2">
      <c r="A15" s="8">
        <v>14</v>
      </c>
      <c r="B15" s="9">
        <f>Total!B265</f>
        <v>40385</v>
      </c>
      <c r="C15" s="34" t="str">
        <f>Total!D265</f>
        <v>GISA</v>
      </c>
      <c r="D15" s="34" t="str">
        <f>Total!E265</f>
        <v>Obra Civil</v>
      </c>
      <c r="E15" s="34" t="str">
        <f>Total!F265</f>
        <v>Projectes</v>
      </c>
      <c r="F15" s="34" t="str">
        <f>Total!G265</f>
        <v>PV. A-TH-10068</v>
      </c>
      <c r="G15" s="34" t="str">
        <f>Total!H265</f>
        <v>Contracte de serveis per a l'assistència tècnica per a la redacció de l'avantprojecte d'ampliació de la Zona de Servei de l'aeroport Lleida - Alguaire. Clau: A-TH-10068</v>
      </c>
      <c r="H15" s="6">
        <f>Total!I265</f>
        <v>192000</v>
      </c>
    </row>
    <row r="16" spans="1:8" x14ac:dyDescent="0.2">
      <c r="A16" s="8">
        <v>15</v>
      </c>
      <c r="B16" s="9">
        <f>Total!B266</f>
        <v>40387</v>
      </c>
      <c r="C16" s="34" t="str">
        <f>Total!D266</f>
        <v>GISA</v>
      </c>
      <c r="D16" s="34" t="str">
        <f>Total!E266</f>
        <v>Subministrament i Serveis</v>
      </c>
      <c r="E16" s="34" t="str">
        <f>Total!F266</f>
        <v>Subministrament i Serveis</v>
      </c>
      <c r="F16" s="34" t="str">
        <f>Total!G266</f>
        <v>AT. INCIDENCIES POST-OBRA DIAGNOSIS</v>
      </c>
      <c r="G16" s="34" t="str">
        <f>Total!H266</f>
        <v>Contracte de serveis per a l’assistència tècnica per al suport en el seguiment i resolució d‘incidències i la realització de diagnosis de les obres acabades d’Edificació de GISA</v>
      </c>
      <c r="H16" s="6">
        <f>Total!I266</f>
        <v>149900</v>
      </c>
    </row>
    <row r="17" spans="1:8" x14ac:dyDescent="0.2">
      <c r="A17" s="8">
        <v>16</v>
      </c>
      <c r="B17" s="9">
        <f>Total!B267</f>
        <v>40388</v>
      </c>
      <c r="C17" s="34" t="str">
        <f>Total!D267</f>
        <v>REGSA</v>
      </c>
      <c r="D17" s="34"/>
      <c r="E17" s="34" t="str">
        <f>Total!F267</f>
        <v>Direccions d'Obra</v>
      </c>
      <c r="F17" s="34" t="str">
        <f>Total!G267</f>
        <v>CSS. VX-08296+VX-09312.1</v>
      </c>
      <c r="G17" s="34" t="str">
        <f>Total!H267</f>
        <v>Contracte de serveis per a l'assistència tècnica conjunta de Coordinació de Seguretat i Salut de les obres: 'Reg d'Oliana. Xarxa de distribució. TM. d'Oliana. Clau: VX-08296' i 'Xarxa de distribució dels regs de l'entorn de l'embassament de Rialb. Xarxa de Peramola-Bassella, marge dret. TTMM de Peramola i Bassella (Alt Urgell). Clau: VX-09312.1'</v>
      </c>
      <c r="H17" s="6">
        <f>Total!I267</f>
        <v>36000</v>
      </c>
    </row>
    <row r="18" spans="1:8" x14ac:dyDescent="0.2">
      <c r="A18" s="8">
        <v>17</v>
      </c>
      <c r="B18" s="9">
        <f>Total!B268</f>
        <v>40388</v>
      </c>
      <c r="C18" s="34" t="str">
        <f>Total!D268</f>
        <v>REGSA</v>
      </c>
      <c r="D18" s="34"/>
      <c r="E18" s="34" t="str">
        <f>Total!F268</f>
        <v>Direccions d'Obra</v>
      </c>
      <c r="F18" s="34" t="str">
        <f>Total!G268</f>
        <v>DO. VX-08296</v>
      </c>
      <c r="G18" s="34" t="str">
        <f>Total!H268</f>
        <v>Contracte de serveis per a la direcció de les obres del Reg d'Oliana. Xarxa de distribució. TM d'Oliana. Clau: VX-08296</v>
      </c>
      <c r="H18" s="6">
        <f>Total!I268</f>
        <v>116055.56</v>
      </c>
    </row>
    <row r="19" spans="1:8" x14ac:dyDescent="0.2">
      <c r="A19" s="8">
        <v>18</v>
      </c>
      <c r="B19" s="47">
        <f>Total!B269</f>
        <v>40389</v>
      </c>
      <c r="C19" s="48" t="str">
        <f>Total!D269</f>
        <v>REGSA</v>
      </c>
      <c r="D19" s="48"/>
      <c r="E19" s="48" t="str">
        <f>Total!F269</f>
        <v>Projectes</v>
      </c>
      <c r="F19" s="48" t="str">
        <f>Total!G269</f>
        <v>PC. VR-10064</v>
      </c>
      <c r="G19" s="48" t="str">
        <f>Total!H269</f>
        <v>Contracte de serveis per a l'assistència tècnica per a la redacció del projecte de Modernització del reg de la CR de la Sèquia de Torres de Segre. TM de Torres de Segre i Sudanell (Segrià). Clau: VR-10064</v>
      </c>
      <c r="H19" s="49">
        <f>Total!I269</f>
        <v>320000</v>
      </c>
    </row>
    <row r="20" spans="1:8" x14ac:dyDescent="0.2">
      <c r="A20" s="8">
        <v>19</v>
      </c>
      <c r="B20" s="9">
        <f>Total!B270</f>
        <v>40389</v>
      </c>
      <c r="C20" s="34" t="str">
        <f>Total!D270</f>
        <v>GISA</v>
      </c>
      <c r="D20" s="34" t="str">
        <f>Total!E270</f>
        <v>Obra Civil</v>
      </c>
      <c r="E20" s="34" t="str">
        <f>Total!F270</f>
        <v>Projectes</v>
      </c>
      <c r="F20" s="34" t="str">
        <f>Total!G270</f>
        <v>PC. VB-05072</v>
      </c>
      <c r="G20" s="34" t="str">
        <f>Total!H270</f>
        <v>Contracte de serveis per a l'assistència tècnica per a la redacció del projecte constructiu de millora general. Variant. Ronda sud d'Igualada des de la carretera C-37, PK 62+970, a la carretera A-2, PK 549+800. Tram: Santa Margarida de Montbui (Sant Maure)-Jorba. Clau: VB-05072</v>
      </c>
      <c r="H20" s="6">
        <f>Total!I270</f>
        <v>657100</v>
      </c>
    </row>
    <row r="21" spans="1:8" x14ac:dyDescent="0.2">
      <c r="A21" s="8">
        <v>20</v>
      </c>
      <c r="B21" s="47">
        <f>Total!B271</f>
        <v>40389</v>
      </c>
      <c r="C21" s="48" t="str">
        <f>Total!D271</f>
        <v>GISA</v>
      </c>
      <c r="D21" s="48" t="str">
        <f>Total!E271</f>
        <v>Edificació</v>
      </c>
      <c r="E21" s="48" t="str">
        <f>Total!F271</f>
        <v>Projectes i Direccions d'Obra</v>
      </c>
      <c r="F21" s="48" t="str">
        <f>Total!G271</f>
        <v>PE+DO JJB-10060 2v</v>
      </c>
      <c r="G21" s="48" t="str">
        <f>Total!H271</f>
        <v>Contracte de serveis per a l'assistència tècnica per a la redacció del projecte bàsic i d'execució, l'estudi de seguretat i salut, la certificació d'eficiència energètica del projecte, l'estudi geotècnic, el projecte d'activitats per a llicència ambiental i posterior Direcció d'Obra i certificació d'eficiència energètica de final d'obra corresponent a la Nova Construcció d'un Edifici Judicial a Badalona. Clau: JJB-10060 (2v)</v>
      </c>
      <c r="H21" s="49">
        <f>Total!I271</f>
        <v>1409905.71</v>
      </c>
    </row>
    <row r="22" spans="1:8" x14ac:dyDescent="0.2">
      <c r="A22" s="8">
        <v>21</v>
      </c>
      <c r="B22" s="9">
        <f>Total!B272</f>
        <v>40389</v>
      </c>
      <c r="C22" s="34" t="str">
        <f>Total!D272</f>
        <v>GISA</v>
      </c>
      <c r="D22" s="34" t="str">
        <f>Total!E272</f>
        <v>Edificació</v>
      </c>
      <c r="E22" s="34" t="str">
        <f>Total!F272</f>
        <v>Projectes i Direccions d'Obra</v>
      </c>
      <c r="F22" s="34" t="str">
        <f>Total!G272</f>
        <v>PE+DO BSV-10044 2v</v>
      </c>
      <c r="G22" s="34" t="str">
        <f>Total!H272</f>
        <v>Contracte de serveis per a l'assistència tècnica per a la redacció del projecte bàsic i d'execució, la certificació d'eficiència energètica del projecte, l'estudi de seguretat i salut, el projecte d'activitats per a llicència ambiental, l'estudi geotècnic, el pla especial de concreció d'ús i posterior Direcció d'Obra i certificació d'eficiència energètica de final d'obra corresponent a la Nova Construcció de la Residència Assistida amb Centre de Dia per a Gent Gran al Parc de les Muntanyetes, de Badalona. Clau: BSV-10044 (2v)</v>
      </c>
      <c r="H22" s="6">
        <f>Total!I272</f>
        <v>755134.29</v>
      </c>
    </row>
    <row r="23" spans="1:8" x14ac:dyDescent="0.2">
      <c r="A23" s="8">
        <v>22</v>
      </c>
      <c r="B23" s="9">
        <f>Total!B273</f>
        <v>40389</v>
      </c>
      <c r="C23" s="34" t="str">
        <f>Total!D273</f>
        <v>GISA</v>
      </c>
      <c r="D23" s="34" t="str">
        <f>Total!E273</f>
        <v>Edificació</v>
      </c>
      <c r="E23" s="34" t="str">
        <f>Total!F273</f>
        <v>Projectes i Direccions d'Obra</v>
      </c>
      <c r="F23" s="34" t="str">
        <f>Total!G273</f>
        <v>PE+DO PLG-10040 2v</v>
      </c>
      <c r="G23" s="34" t="str">
        <f>Total!H273</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del Parc de Bombers a Santa Llogaia d'Àlguema. Clau: PLG-10040 (2v)</v>
      </c>
      <c r="H23" s="6">
        <f>Total!I273</f>
        <v>413032.86</v>
      </c>
    </row>
    <row r="24" spans="1:8" x14ac:dyDescent="0.2">
      <c r="A24" s="8">
        <v>23</v>
      </c>
      <c r="B24" s="9">
        <f>Total!B274</f>
        <v>40389</v>
      </c>
      <c r="C24" s="34" t="str">
        <f>Total!D274</f>
        <v>GISA</v>
      </c>
      <c r="D24" s="34" t="str">
        <f>Total!E274</f>
        <v>Edificació</v>
      </c>
      <c r="E24" s="34" t="str">
        <f>Total!F274</f>
        <v>Projectes i Direccions d'Obra</v>
      </c>
      <c r="F24" s="34" t="str">
        <f>Total!G274</f>
        <v>PE+DO PNG-10033 2v</v>
      </c>
      <c r="G24" s="34" t="str">
        <f>Total!H274</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l'Escola Alzines Balladores, de Sant Feliu de Buixareu. Clau: PNG-10033 (2v)</v>
      </c>
      <c r="H24" s="6">
        <f>Total!I274</f>
        <v>296380</v>
      </c>
    </row>
    <row r="25" spans="1:8" x14ac:dyDescent="0.2">
      <c r="A25" s="8">
        <v>24</v>
      </c>
      <c r="B25" s="9">
        <f>Total!B275</f>
        <v>40389</v>
      </c>
      <c r="C25" s="34" t="str">
        <f>Total!D275</f>
        <v>GISA</v>
      </c>
      <c r="D25" s="34" t="str">
        <f>Total!E275</f>
        <v>Obra Civil</v>
      </c>
      <c r="E25" s="34" t="str">
        <f>Total!F275</f>
        <v>Direccions d'Obra</v>
      </c>
      <c r="F25" s="34" t="str">
        <f>Total!G275</f>
        <v>CSS. TF-04306.A</v>
      </c>
      <c r="G25" s="34" t="str">
        <f>Total!H275</f>
        <v>Contracte de serveis per a l'assistència tècnica de coordinació de seguretat i salut de les obres d'adaptació a la normativa. Millora de l'accessibilitat i remodelació de l'estació de Gràcia dels FGC. Clau: TF-04306.A</v>
      </c>
      <c r="H25" s="6">
        <f>Total!I275</f>
        <v>110484</v>
      </c>
    </row>
    <row r="26" spans="1:8" ht="13.5" thickBot="1" x14ac:dyDescent="0.25">
      <c r="A26" s="8">
        <v>25</v>
      </c>
      <c r="B26" s="9">
        <f>Total!B276</f>
        <v>40389</v>
      </c>
      <c r="C26" s="34" t="str">
        <f>Total!D276</f>
        <v>GISA</v>
      </c>
      <c r="D26" s="34" t="str">
        <f>Total!E276</f>
        <v>Edificació</v>
      </c>
      <c r="E26" s="34" t="str">
        <f>Total!F276</f>
        <v>Direccions d'Execució</v>
      </c>
      <c r="F26" s="34" t="str">
        <f>Total!G276</f>
        <v>DE.BSE-09380+1</v>
      </c>
      <c r="G26" s="34" t="str">
        <f>Total!H276</f>
        <v>Contracte de serveis per la direcció d'execució conjunta de les obres: 'Nova construcció del Casal Civic i Oficina d'Acció Ciutadana de Solsona. Clau : BSE-09380' i 'Nova construcció del Parc de Bombers de Llança. Clau: PLG-08424'</v>
      </c>
      <c r="H26" s="6">
        <f>Total!I276</f>
        <v>153251</v>
      </c>
    </row>
    <row r="27" spans="1:8" ht="13.5" thickBot="1" x14ac:dyDescent="0.25">
      <c r="H27" s="33">
        <f>SUM(H2:H26)</f>
        <v>7309716.5800000001</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H28"/>
  <sheetViews>
    <sheetView workbookViewId="0">
      <selection activeCell="H2" sqref="H2:H27"/>
    </sheetView>
  </sheetViews>
  <sheetFormatPr baseColWidth="10" defaultColWidth="11.42578125" defaultRowHeight="12.75" x14ac:dyDescent="0.2"/>
  <cols>
    <col min="1" max="1" width="7" style="10" customWidth="1"/>
    <col min="2" max="2" width="12.42578125" style="10" bestFit="1" customWidth="1"/>
    <col min="3" max="3" width="7.7109375" style="5" bestFit="1" customWidth="1"/>
    <col min="4" max="4" width="10.140625" style="5" bestFit="1" customWidth="1"/>
    <col min="5" max="5" width="19.42578125" style="5" bestFit="1" customWidth="1"/>
    <col min="6" max="6" width="24.7109375" style="5" customWidth="1"/>
    <col min="7" max="7" width="73.42578125" style="35" customWidth="1"/>
    <col min="8" max="8" width="20" style="7" bestFit="1" customWidth="1"/>
  </cols>
  <sheetData>
    <row r="1" spans="1:8" x14ac:dyDescent="0.2">
      <c r="B1" s="37" t="s">
        <v>57</v>
      </c>
      <c r="C1" s="2" t="s">
        <v>58</v>
      </c>
      <c r="D1" s="3" t="s">
        <v>59</v>
      </c>
      <c r="E1" s="3" t="s">
        <v>60</v>
      </c>
      <c r="F1" s="3" t="s">
        <v>61</v>
      </c>
      <c r="G1" s="38" t="s">
        <v>62</v>
      </c>
      <c r="H1" s="39" t="s">
        <v>63</v>
      </c>
    </row>
    <row r="2" spans="1:8" x14ac:dyDescent="0.2">
      <c r="A2" s="8">
        <v>1</v>
      </c>
      <c r="B2" s="9">
        <f>Total!B226</f>
        <v>40332</v>
      </c>
      <c r="C2" s="34" t="str">
        <f>Total!D226</f>
        <v>GISA</v>
      </c>
      <c r="D2" s="34" t="str">
        <f>Total!E226</f>
        <v>Obra Civil</v>
      </c>
      <c r="E2" s="34" t="str">
        <f>Total!F226</f>
        <v>Projectes</v>
      </c>
      <c r="F2" s="34" t="str">
        <f>Total!G226</f>
        <v>PC. VL-02184 (AMPL)</v>
      </c>
      <c r="G2" s="34" t="str">
        <f>Total!H226</f>
        <v>Contracte de serveis per a l'assistència tècnica per a la redacció de l'ampliació del projecte contructiu de millora general. Variant de la carretera C-14. PK 69+400 al 76+700. Tram: Tàrrega. Clau: VL-02184</v>
      </c>
      <c r="H2" s="6">
        <f>Total!I226</f>
        <v>192000</v>
      </c>
    </row>
    <row r="3" spans="1:8" x14ac:dyDescent="0.2">
      <c r="A3" s="8">
        <v>2</v>
      </c>
      <c r="B3" s="9">
        <f>Total!B227</f>
        <v>40333</v>
      </c>
      <c r="C3" s="34" t="str">
        <f>Total!D227</f>
        <v>GISA</v>
      </c>
      <c r="D3" s="34" t="str">
        <f>Total!E227</f>
        <v>Obra Civil</v>
      </c>
      <c r="E3" s="34" t="str">
        <f>Total!F227</f>
        <v>Control de Qualitat</v>
      </c>
      <c r="F3" s="34" t="str">
        <f>Total!G227</f>
        <v>CQ VL-02137.1</v>
      </c>
      <c r="G3" s="34" t="str">
        <f>Total!H227</f>
        <v>Contracte de serveis per a l'assistència tècnica de control de qualitat de les obres de millora general. Variant de la carretera C-13 del PK 13+100 al 20+000. Tram: Vilanova de la Barca - Térmens. Clau: VL-02137.1</v>
      </c>
      <c r="H3" s="6">
        <f>Total!I227</f>
        <v>973316.16</v>
      </c>
    </row>
    <row r="4" spans="1:8" x14ac:dyDescent="0.2">
      <c r="A4" s="8">
        <v>3</v>
      </c>
      <c r="B4" s="47">
        <f>Total!B228</f>
        <v>40336</v>
      </c>
      <c r="C4" s="48" t="str">
        <f>Total!D228</f>
        <v>GISA</v>
      </c>
      <c r="D4" s="48" t="str">
        <f>Total!E228</f>
        <v>Obra Civil</v>
      </c>
      <c r="E4" s="48" t="str">
        <f>Total!F228</f>
        <v>Direccions d'Obra</v>
      </c>
      <c r="F4" s="48" t="str">
        <f>Total!G228</f>
        <v>DO. NB-05091.1</v>
      </c>
      <c r="G4" s="48" t="str">
        <f>Total!H228</f>
        <v>Contracte de serveis per a la direcció de les obres de millora general. Millora de l'accessibilitat a Mataró. Carretera C-31. PK 231+800 al 235+000. Tram: Cabrera de Mar-Mataró. Clau: NB-05091.1</v>
      </c>
      <c r="H4" s="49">
        <f>Total!I228</f>
        <v>1360666.67</v>
      </c>
    </row>
    <row r="5" spans="1:8" x14ac:dyDescent="0.2">
      <c r="A5" s="8">
        <v>4</v>
      </c>
      <c r="B5" s="47">
        <f>Total!B229</f>
        <v>40336</v>
      </c>
      <c r="C5" s="48" t="str">
        <f>Total!D229</f>
        <v>GISA</v>
      </c>
      <c r="D5" s="48" t="str">
        <f>Total!E229</f>
        <v>Obra Civil</v>
      </c>
      <c r="E5" s="48" t="str">
        <f>Total!F229</f>
        <v>Control de Qualitat</v>
      </c>
      <c r="F5" s="48" t="str">
        <f>Total!G229</f>
        <v>CQ. NB-05091.1</v>
      </c>
      <c r="G5" s="48" t="str">
        <f>Total!H229</f>
        <v>Contracte de serveis per a l'assistència tècnica de control de qualitat de les obres de millora general. Millora de l'accessibilitat a Mataró. Carretera C-31. PK 231+800 al 235+000. Tram: Cabrera de Mar-Mataró. Clau: NB-05091.1</v>
      </c>
      <c r="H5" s="49">
        <f>Total!I229</f>
        <v>1118268.77</v>
      </c>
    </row>
    <row r="6" spans="1:8" x14ac:dyDescent="0.2">
      <c r="A6" s="8">
        <v>5</v>
      </c>
      <c r="B6" s="9">
        <f>Total!B230</f>
        <v>40337</v>
      </c>
      <c r="C6" s="34" t="str">
        <f>Total!D230</f>
        <v>GISA</v>
      </c>
      <c r="D6" s="34" t="str">
        <f>Total!E230</f>
        <v>Obra Civil</v>
      </c>
      <c r="E6" s="34" t="str">
        <f>Total!F230</f>
        <v>Projectes</v>
      </c>
      <c r="F6" s="34" t="str">
        <f>Total!G230</f>
        <v>Revisió 2010-1</v>
      </c>
      <c r="G6" s="34" t="str">
        <f>Total!H230</f>
        <v>Contracte de serveis per a l'assistència tècnica per a l'assessorament a la Gerència de Projectes de Carreteres en revisió de projectes i estudis.</v>
      </c>
      <c r="H6" s="6">
        <f>Total!I230</f>
        <v>89000</v>
      </c>
    </row>
    <row r="7" spans="1:8" x14ac:dyDescent="0.2">
      <c r="A7" s="8">
        <v>6</v>
      </c>
      <c r="B7" s="9">
        <f>Total!B231</f>
        <v>40338</v>
      </c>
      <c r="C7" s="34" t="str">
        <f>Total!D231</f>
        <v>GISA</v>
      </c>
      <c r="D7" s="34" t="str">
        <f>Total!E231</f>
        <v>Obra Civil</v>
      </c>
      <c r="E7" s="34" t="str">
        <f>Total!F231</f>
        <v>Projectes</v>
      </c>
      <c r="F7" s="34" t="str">
        <f>Total!G231</f>
        <v>EV. EA-TM-09317</v>
      </c>
      <c r="G7" s="34" t="str">
        <f>Total!H231</f>
        <v>Contracte de serveis per a l'assistència tècnica per a la redacció de l'estudi d'alternatives per a la base de manteniment per a via i catenària i millora de l'accés al Triangle Ferroviari des de les línies 2 i 4 dels FMB. Clau: EA-TM-09317</v>
      </c>
      <c r="H7" s="6">
        <f>Total!I231</f>
        <v>180000</v>
      </c>
    </row>
    <row r="8" spans="1:8" x14ac:dyDescent="0.2">
      <c r="A8" s="8">
        <v>7</v>
      </c>
      <c r="B8" s="9">
        <f>Total!B232</f>
        <v>40338</v>
      </c>
      <c r="C8" s="34" t="str">
        <f>Total!D232</f>
        <v>GISA</v>
      </c>
      <c r="D8" s="34" t="str">
        <f>Total!E232</f>
        <v>Obra Civil</v>
      </c>
      <c r="E8" s="34" t="str">
        <f>Total!F232</f>
        <v>Projectes</v>
      </c>
      <c r="F8" s="34" t="str">
        <f>Total!G232</f>
        <v>PC. TA-10034</v>
      </c>
      <c r="G8" s="34" t="str">
        <f>Total!H232</f>
        <v>Contracte de serveis per a l'assistència tècnica per a la redacció del projecte constructiu de la nova estació d'autobusos a Falset. Clau: TA-10034</v>
      </c>
      <c r="H8" s="6">
        <f>Total!I232</f>
        <v>73150</v>
      </c>
    </row>
    <row r="9" spans="1:8" x14ac:dyDescent="0.2">
      <c r="A9" s="8">
        <v>8</v>
      </c>
      <c r="B9" s="9">
        <f>Total!B233</f>
        <v>40338</v>
      </c>
      <c r="C9" s="34" t="str">
        <f>Total!D233</f>
        <v>GISA</v>
      </c>
      <c r="D9" s="34" t="str">
        <f>Total!E233</f>
        <v>Obra Civil</v>
      </c>
      <c r="E9" s="34" t="str">
        <f>Total!F233</f>
        <v>Projectes</v>
      </c>
      <c r="F9" s="34" t="str">
        <f>Total!G233</f>
        <v>PC. VB-01128-A1</v>
      </c>
      <c r="G9" s="34" t="str">
        <f>Total!H233</f>
        <v>Contracte de serveis per a l'assistència tècnica per a la redacció del projecte constructiu de millora general. Variant de la carretera B-510, PK 3+400 al 4+250. Tram: Dosrius. Clau: VB-01128-A1</v>
      </c>
      <c r="H9" s="6">
        <f>Total!I233</f>
        <v>79741.38</v>
      </c>
    </row>
    <row r="10" spans="1:8" x14ac:dyDescent="0.2">
      <c r="A10" s="8">
        <v>9</v>
      </c>
      <c r="B10" s="9">
        <f>Total!B234</f>
        <v>40338</v>
      </c>
      <c r="C10" s="34" t="str">
        <f>Total!D234</f>
        <v>GISA</v>
      </c>
      <c r="D10" s="34" t="str">
        <f>Total!E234</f>
        <v>Obra Civil</v>
      </c>
      <c r="E10" s="34" t="str">
        <f>Total!F234</f>
        <v>Projectes</v>
      </c>
      <c r="F10" s="34" t="str">
        <f>Total!G234</f>
        <v>PC. XG-10021.2</v>
      </c>
      <c r="G10" s="34" t="str">
        <f>Total!H234</f>
        <v>Contracte de serveis per a l'assistència tècnica per a la redacció del projecte constructiu de millora local. Via verda a l'entorn de la carretera C-31, del PK 363+600 (límit de comarca) de la C-31 al 36+246 de la C-252 (cruïlla amb la N-IIa). Tram: Viladamat-el Far d'Empordà. Clau: XG-10021.2</v>
      </c>
      <c r="H10" s="6">
        <f>Total!I234</f>
        <v>89224.14</v>
      </c>
    </row>
    <row r="11" spans="1:8" x14ac:dyDescent="0.2">
      <c r="A11" s="8">
        <v>10</v>
      </c>
      <c r="B11" s="9">
        <f>Total!B235</f>
        <v>40340</v>
      </c>
      <c r="C11" s="34" t="str">
        <f>Total!D235</f>
        <v>GISA</v>
      </c>
      <c r="D11" s="34" t="str">
        <f>Total!E235</f>
        <v>Edificació</v>
      </c>
      <c r="E11" s="34" t="str">
        <f>Total!F235</f>
        <v>Projectes i Direccions d'Obra</v>
      </c>
      <c r="F11" s="34" t="str">
        <f>Total!G235</f>
        <v>PE+DO PAM-10026 1v</v>
      </c>
      <c r="G11" s="34" t="str">
        <f>Total!H235</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l'ampliació de l'Escola Trentapasses, de Vilalba Sasserra. Clau: PAM-10026(1v)</v>
      </c>
      <c r="H11" s="6">
        <f>Total!I235</f>
        <v>136824.29</v>
      </c>
    </row>
    <row r="12" spans="1:8" x14ac:dyDescent="0.2">
      <c r="A12" s="8">
        <v>11</v>
      </c>
      <c r="B12" s="9">
        <f>Total!B236</f>
        <v>40340</v>
      </c>
      <c r="C12" s="34" t="str">
        <f>Total!D236</f>
        <v>GISA</v>
      </c>
      <c r="D12" s="34" t="str">
        <f>Total!E236</f>
        <v>Edificació</v>
      </c>
      <c r="E12" s="34" t="str">
        <f>Total!F236</f>
        <v>Projectes i Direccions d'Obra</v>
      </c>
      <c r="F12" s="34" t="str">
        <f>Total!G236</f>
        <v>PE+DO PCB-09353 1v</v>
      </c>
      <c r="G12" s="34" t="str">
        <f>Total!H236</f>
        <v>Contracte de serveis per a l'assistència tècnica per a la redacció del projecte bàsic i d'execució, la certificació d'eficiència energètica del projecte, l'estudi de seguretat i salut, el projecte d'activitats per a llicència ambiental i posterior Direcció d'Obra i certificació d'eficiència energètica de final d'obra corresponent a la reforma del Parc de Bombers de Santa Coloma de Cervelló. Clau: PCB-09353 (1v)</v>
      </c>
      <c r="H12" s="6">
        <f>Total!I236</f>
        <v>123597.29</v>
      </c>
    </row>
    <row r="13" spans="1:8" x14ac:dyDescent="0.2">
      <c r="A13" s="8">
        <v>12</v>
      </c>
      <c r="B13" s="9">
        <f>Total!B237</f>
        <v>40340</v>
      </c>
      <c r="C13" s="34" t="str">
        <f>Total!D237</f>
        <v>GISA</v>
      </c>
      <c r="D13" s="34" t="str">
        <f>Total!E237</f>
        <v>Edificació</v>
      </c>
      <c r="E13" s="34" t="str">
        <f>Total!F237</f>
        <v>Projectes i Direccions d'Obra</v>
      </c>
      <c r="F13" s="34" t="str">
        <f>Total!G237</f>
        <v>PE+DO PGB-08419 1v</v>
      </c>
      <c r="G13" s="34" t="str">
        <f>Total!H237</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del Parc de Bombers voluntaris a Gelida. Clau:PGB-08419(1v)</v>
      </c>
      <c r="H13" s="6">
        <f>Total!I237</f>
        <v>192122.86</v>
      </c>
    </row>
    <row r="14" spans="1:8" x14ac:dyDescent="0.2">
      <c r="A14" s="8">
        <v>13</v>
      </c>
      <c r="B14" s="9">
        <f>Total!B238</f>
        <v>40340</v>
      </c>
      <c r="C14" s="34" t="str">
        <f>Total!D238</f>
        <v>GISA</v>
      </c>
      <c r="D14" s="34" t="str">
        <f>Total!E238</f>
        <v>Edificació</v>
      </c>
      <c r="E14" s="34" t="str">
        <f>Total!F238</f>
        <v>Projectes</v>
      </c>
      <c r="F14" s="34" t="str">
        <f>Total!G238</f>
        <v>EG.EG08</v>
      </c>
      <c r="G14" s="34" t="str">
        <f>Total!H238</f>
        <v>Contracte de serveis per a l'assistència técnica per a la realització dels informes preliminars dels emplaçaments dels projectes d'edificació encarregats pel Servei Català de la Salut. Clau: EG08</v>
      </c>
      <c r="H14" s="6">
        <f>Total!I238</f>
        <v>100000</v>
      </c>
    </row>
    <row r="15" spans="1:8" x14ac:dyDescent="0.2">
      <c r="A15" s="8">
        <v>14</v>
      </c>
      <c r="B15" s="9">
        <f>Total!B239</f>
        <v>40345</v>
      </c>
      <c r="C15" s="34" t="str">
        <f>Total!D239</f>
        <v>GISA</v>
      </c>
      <c r="D15" s="34" t="str">
        <f>Total!E239</f>
        <v>Obra Civil</v>
      </c>
      <c r="E15" s="34" t="str">
        <f>Total!F239</f>
        <v>Direccions d'Obra</v>
      </c>
      <c r="F15" s="34" t="str">
        <f>Total!G239</f>
        <v>ATAM. MB-03141.1</v>
      </c>
      <c r="G15" s="34" t="str">
        <f>Total!H239</f>
        <v>Contracte de serveis per l'assistència tècnica ambiental de les obres de millora local. Millora de nus. Enllaços a diferent nivell entre la carretera C-17 (PK 1+720) i la carretera N-150 (PK 0+000) i entre la carretera C-17 i la carretera BV-1411 entre el PK 4+330 i el PK 5+740 de la C-17. Tram: Barcelona-Montcada i Reixac. Clau: MB-03141.1</v>
      </c>
      <c r="H15" s="6">
        <f>Total!I239</f>
        <v>113400</v>
      </c>
    </row>
    <row r="16" spans="1:8" x14ac:dyDescent="0.2">
      <c r="A16" s="8">
        <v>15</v>
      </c>
      <c r="B16" s="9">
        <f>Total!B240</f>
        <v>40345</v>
      </c>
      <c r="C16" s="34" t="str">
        <f>Total!D240</f>
        <v>GISA</v>
      </c>
      <c r="D16" s="34" t="str">
        <f>Total!E240</f>
        <v>Obra Civil</v>
      </c>
      <c r="E16" s="34" t="str">
        <f>Total!F240</f>
        <v>Direccions d'Obra</v>
      </c>
      <c r="F16" s="34" t="str">
        <f>Total!G240</f>
        <v>ATAM. NB-03114.1-A1</v>
      </c>
      <c r="G16" s="34" t="str">
        <f>Total!H240</f>
        <v>Contracte de serveis per l'assistència tècnica ambiental de les obres de millora general. Nova carretera. Vial Port-Aeroport. Tram 1, entre la carretera B-250 i el polígon industrial Patrenc. Tram: el Prat de Llobregat. Clau: NB-03114.1-A1</v>
      </c>
      <c r="H16" s="6">
        <f>Total!I240</f>
        <v>90782</v>
      </c>
    </row>
    <row r="17" spans="1:8" x14ac:dyDescent="0.2">
      <c r="A17" s="8">
        <v>16</v>
      </c>
      <c r="B17" s="9">
        <f>Total!B241</f>
        <v>40346</v>
      </c>
      <c r="C17" s="34" t="str">
        <f>Total!D241</f>
        <v>REGSA</v>
      </c>
      <c r="D17" s="34"/>
      <c r="E17" s="34" t="str">
        <f>Total!F241</f>
        <v>Projectes</v>
      </c>
      <c r="F17" s="34" t="str">
        <f>Total!G241</f>
        <v>PC. XA-10051</v>
      </c>
      <c r="G17" s="34" t="str">
        <f>Total!H241</f>
        <v>Contracte de serveis per a l'assistència tècnica per a la redacció del projecte de condicionament i millora del camí del Pont de Suert al Pont de Saraís, passant per Gotarta, Igüerri, Irgo i Iran. TM de Pont de Suert i la Vall de Boí (Alta Ribagorça). Clau: XA-10051</v>
      </c>
      <c r="H17" s="6">
        <f>Total!I241</f>
        <v>65000</v>
      </c>
    </row>
    <row r="18" spans="1:8" x14ac:dyDescent="0.2">
      <c r="A18" s="8">
        <v>17</v>
      </c>
      <c r="B18" s="9">
        <f>Total!B242</f>
        <v>40350</v>
      </c>
      <c r="C18" s="34" t="str">
        <f>Total!D242</f>
        <v>REGSA</v>
      </c>
      <c r="D18" s="34"/>
      <c r="E18" s="34" t="str">
        <f>Total!F242</f>
        <v>Direccions d'Obra</v>
      </c>
      <c r="F18" s="34" t="str">
        <f>Total!G242</f>
        <v>CSS. ER-03932.1</v>
      </c>
      <c r="G18" s="34" t="str">
        <f>Total!H242</f>
        <v>Contracte de serveis per a l'assistència tècnica de coordinació de seguretat i salut de les obres del projecte constructiu del reg de l'Aldea-Camarles. Captació, impulsió i bassa 1. Clau: ER-03932.1</v>
      </c>
      <c r="H18" s="6">
        <f>Total!I242</f>
        <v>61500</v>
      </c>
    </row>
    <row r="19" spans="1:8" x14ac:dyDescent="0.2">
      <c r="A19" s="8">
        <v>18</v>
      </c>
      <c r="B19" s="47">
        <f>Total!B243</f>
        <v>40350</v>
      </c>
      <c r="C19" s="48" t="str">
        <f>Total!D243</f>
        <v>REGSA</v>
      </c>
      <c r="D19" s="48"/>
      <c r="E19" s="48" t="str">
        <f>Total!F243</f>
        <v>Control de Qualitat</v>
      </c>
      <c r="F19" s="48" t="str">
        <f>Total!G243</f>
        <v>CQ. ER-03932.1</v>
      </c>
      <c r="G19" s="48" t="str">
        <f>Total!H243</f>
        <v>Contracte de serveis per a l'assistència tècnica de control de qualitat de les obres del projecte constructiu del reg de l'Aldea-Camarles. Captació, impulsió i bassa 1. Clau: ER-03932.1</v>
      </c>
      <c r="H19" s="49">
        <f>Total!I243</f>
        <v>189469.92</v>
      </c>
    </row>
    <row r="20" spans="1:8" x14ac:dyDescent="0.2">
      <c r="A20" s="8">
        <v>19</v>
      </c>
      <c r="B20" s="9">
        <f>Total!B244</f>
        <v>40352</v>
      </c>
      <c r="C20" s="34" t="str">
        <f>Total!D244</f>
        <v>GISA</v>
      </c>
      <c r="D20" s="34" t="str">
        <f>Total!E244</f>
        <v>Edificació</v>
      </c>
      <c r="E20" s="34" t="str">
        <f>Total!F244</f>
        <v>Control de Qualitat</v>
      </c>
      <c r="F20" s="34" t="str">
        <f>Total!G244</f>
        <v>CQP-2010.1</v>
      </c>
      <c r="G20" s="34" t="str">
        <f>Total!H244</f>
        <v>Contracte de serveis per a l'assistència tècnica per al Control de Qualitat de Projectes d'Edificació. Clau: CQP-2010.1</v>
      </c>
      <c r="H20" s="6">
        <f>Total!I244</f>
        <v>396812</v>
      </c>
    </row>
    <row r="21" spans="1:8" x14ac:dyDescent="0.2">
      <c r="A21" s="8">
        <v>20</v>
      </c>
      <c r="B21" s="9">
        <f>Total!B245</f>
        <v>40352</v>
      </c>
      <c r="C21" s="34" t="str">
        <f>Total!D245</f>
        <v>GISA</v>
      </c>
      <c r="D21" s="34" t="str">
        <f>Total!E245</f>
        <v>Edificació</v>
      </c>
      <c r="E21" s="34" t="str">
        <f>Total!F245</f>
        <v>Control de Qualitat</v>
      </c>
      <c r="F21" s="34" t="str">
        <f>Total!G245</f>
        <v>CQP-2010.2</v>
      </c>
      <c r="G21" s="34" t="str">
        <f>Total!H245</f>
        <v>Contracte de serveis per a l'assistència tècnica per al Control de Qualitat de Projectes d'Edificació. Clau: CQP-2010.2</v>
      </c>
      <c r="H21" s="6">
        <f>Total!I245</f>
        <v>396812</v>
      </c>
    </row>
    <row r="22" spans="1:8" x14ac:dyDescent="0.2">
      <c r="A22" s="8">
        <v>21</v>
      </c>
      <c r="B22" s="9">
        <f>Total!B246</f>
        <v>40352</v>
      </c>
      <c r="C22" s="34" t="str">
        <f>Total!D246</f>
        <v>GISA</v>
      </c>
      <c r="D22" s="34" t="str">
        <f>Total!E246</f>
        <v>Edificació</v>
      </c>
      <c r="E22" s="34" t="str">
        <f>Total!F246</f>
        <v>Control de Qualitat</v>
      </c>
      <c r="F22" s="34" t="str">
        <f>Total!G246</f>
        <v>CQP-2010.3</v>
      </c>
      <c r="G22" s="34" t="str">
        <f>Total!H246</f>
        <v>Contracte de serveis per a l'Assistència tècnica per al Control de Qualitat de Projectes d'Edificació. Clau: CQP-2010.3</v>
      </c>
      <c r="H22" s="6">
        <f>Total!I246</f>
        <v>396812</v>
      </c>
    </row>
    <row r="23" spans="1:8" x14ac:dyDescent="0.2">
      <c r="A23" s="8">
        <v>22</v>
      </c>
      <c r="B23" s="47">
        <f>Total!B247</f>
        <v>40352</v>
      </c>
      <c r="C23" s="48" t="str">
        <f>Total!D247</f>
        <v>REGSA</v>
      </c>
      <c r="D23" s="48"/>
      <c r="E23" s="48" t="str">
        <f>Total!F247</f>
        <v>Projectes</v>
      </c>
      <c r="F23" s="48" t="str">
        <f>Total!G247</f>
        <v>PC. OX-10046</v>
      </c>
      <c r="G23" s="48" t="str">
        <f>Total!H247</f>
        <v>Contracte de serveis per a l'assistència tècnica per a la redacció del projecte de Modernització de la xarxa de reg de les Comunitats de Regants de Llitera-Vincament i Serrabrisa -Montfret i del regadiu del canal Aragó-Catalunya TM d'Aitona i Seròs (Segrià). Clau: OX-10046</v>
      </c>
      <c r="H23" s="49">
        <f>Total!I247</f>
        <v>240000</v>
      </c>
    </row>
    <row r="24" spans="1:8" x14ac:dyDescent="0.2">
      <c r="A24" s="8">
        <v>23</v>
      </c>
      <c r="B24" s="47">
        <f>Total!B248</f>
        <v>40352</v>
      </c>
      <c r="C24" s="48" t="str">
        <f>Total!D248</f>
        <v>REGSA</v>
      </c>
      <c r="D24" s="48"/>
      <c r="E24" s="48" t="str">
        <f>Total!F248</f>
        <v>Direccions d'Obra</v>
      </c>
      <c r="F24" s="48" t="str">
        <f>Total!G248</f>
        <v>DO. ER-03932.1</v>
      </c>
      <c r="G24" s="48" t="str">
        <f>Total!H248</f>
        <v>Contracte de serveis per a la direcció de les obres del projecte constructiu del reg de l'Aldea-Camarles. Captació, impulsió i bassa 1. Clau: ER-03932.1</v>
      </c>
      <c r="H24" s="49">
        <f>Total!I248</f>
        <v>480222.22</v>
      </c>
    </row>
    <row r="25" spans="1:8" x14ac:dyDescent="0.2">
      <c r="A25" s="8">
        <v>24</v>
      </c>
      <c r="B25" s="9">
        <f>Total!B249</f>
        <v>40352</v>
      </c>
      <c r="C25" s="34" t="str">
        <f>Total!D249</f>
        <v>GISA</v>
      </c>
      <c r="D25" s="34" t="str">
        <f>Total!E249</f>
        <v>Obra Civil</v>
      </c>
      <c r="E25" s="34" t="str">
        <f>Total!F249</f>
        <v>Projectes</v>
      </c>
      <c r="F25" s="34" t="str">
        <f>Total!G249</f>
        <v>PC. NB-05091.2</v>
      </c>
      <c r="G25" s="34" t="str">
        <f>Total!H249</f>
        <v>Contracte de Serveis per a l'assistència tècnica per a la redacció del projecte constructiu de millora general. Millora de l'accessibilitat a Mataró. C-31. PK 235+000 al 237+600. Tram: Mataró. Clau: NB-05091.2</v>
      </c>
      <c r="H25" s="6">
        <f>Total!I249</f>
        <v>295000</v>
      </c>
    </row>
    <row r="26" spans="1:8" x14ac:dyDescent="0.2">
      <c r="A26" s="8">
        <v>25</v>
      </c>
      <c r="B26" s="9">
        <f>Total!B250</f>
        <v>40352</v>
      </c>
      <c r="C26" s="34" t="str">
        <f>Total!D250</f>
        <v>GISA</v>
      </c>
      <c r="D26" s="34" t="str">
        <f>Total!E250</f>
        <v>Edificació</v>
      </c>
      <c r="E26" s="34" t="str">
        <f>Total!F250</f>
        <v>Projectes i Direccions d'Obra</v>
      </c>
      <c r="F26" s="34" t="str">
        <f>Total!G250</f>
        <v>PE+DO INM-10018 2v</v>
      </c>
      <c r="G26" s="34" t="str">
        <f>Total!H250</f>
        <v>Contracte de serveis per a l'assistència tècnica per a la redacció del projecte bàsic i d'execució, la certificació d'eficiència energètica del projecte, l'estudi de seguretat i salut, l'estudi geotècnic, el projecte d'activitats per a llicència ambiental i poster ior Direcció d'Obra i certificació d'eficiència energètica de final d'obra corresponent a la Nova Construcció de l'Institut de Mollet del Vallès. Clau:INM-10018(2v)</v>
      </c>
      <c r="H26" s="6">
        <f>Total!I250</f>
        <v>378120</v>
      </c>
    </row>
    <row r="27" spans="1:8" ht="13.5" thickBot="1" x14ac:dyDescent="0.25">
      <c r="A27" s="8">
        <v>26</v>
      </c>
      <c r="B27" s="9">
        <f>Total!B251</f>
        <v>40352</v>
      </c>
      <c r="C27" s="34" t="str">
        <f>Total!D251</f>
        <v>GISA</v>
      </c>
      <c r="D27" s="34" t="str">
        <f>Total!E251</f>
        <v>Edificació</v>
      </c>
      <c r="E27" s="34" t="str">
        <f>Total!F251</f>
        <v>Projectes i Direccions d'Obra</v>
      </c>
      <c r="F27" s="34" t="str">
        <f>Total!G251</f>
        <v>PE+DO CAP-10007 2v</v>
      </c>
      <c r="G27" s="34" t="str">
        <f>Total!H251</f>
        <v>Contracte de serveis per a l'assistència tècnica per a la redacció del projecte bàsic i d'execució, l'estudi de seguretat i salut, la certificació d'eficiència energètica del projecte, l'estudi geotècnic, el projecte d'activitats per a llicència ambiental i posterior Direcció d'Obra i certificació d'eficiència energètica de final d'obra corresponent a la construcció del nou CAP 'Gornal', de l'Hospitalet de Llobregat. Clau: CAP-10007 (2v)</v>
      </c>
      <c r="H27" s="6">
        <f>Total!I251</f>
        <v>375744.29</v>
      </c>
    </row>
    <row r="28" spans="1:8" ht="13.5" thickBot="1" x14ac:dyDescent="0.25">
      <c r="H28" s="33">
        <f>SUM(H2:H27)</f>
        <v>8187585.9900000002</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H15"/>
  <sheetViews>
    <sheetView workbookViewId="0">
      <selection activeCell="H7" sqref="H7"/>
    </sheetView>
  </sheetViews>
  <sheetFormatPr baseColWidth="10" defaultColWidth="11.42578125" defaultRowHeight="12.75" x14ac:dyDescent="0.2"/>
  <cols>
    <col min="1" max="1" width="7" style="10" customWidth="1"/>
    <col min="2" max="2" width="12.42578125" style="10" bestFit="1" customWidth="1"/>
    <col min="3" max="3" width="7.7109375" style="5" bestFit="1" customWidth="1"/>
    <col min="4" max="4" width="10.140625" style="5" bestFit="1" customWidth="1"/>
    <col min="5" max="5" width="19.42578125" style="5" bestFit="1" customWidth="1"/>
    <col min="6" max="6" width="24.7109375" style="5" customWidth="1"/>
    <col min="7" max="7" width="73.42578125" style="35" customWidth="1"/>
    <col min="8" max="8" width="20" style="7" bestFit="1" customWidth="1"/>
  </cols>
  <sheetData>
    <row r="1" spans="1:8" x14ac:dyDescent="0.2">
      <c r="B1" s="37" t="s">
        <v>57</v>
      </c>
      <c r="C1" s="2" t="s">
        <v>58</v>
      </c>
      <c r="D1" s="3" t="s">
        <v>59</v>
      </c>
      <c r="E1" s="3" t="s">
        <v>60</v>
      </c>
      <c r="F1" s="3" t="s">
        <v>61</v>
      </c>
      <c r="G1" s="38" t="s">
        <v>62</v>
      </c>
      <c r="H1" s="39" t="s">
        <v>63</v>
      </c>
    </row>
    <row r="2" spans="1:8" x14ac:dyDescent="0.2">
      <c r="A2" s="8">
        <v>1</v>
      </c>
      <c r="B2" s="9">
        <v>40301</v>
      </c>
      <c r="C2" s="34" t="s">
        <v>66</v>
      </c>
      <c r="D2" s="34" t="s">
        <v>422</v>
      </c>
      <c r="E2" s="34" t="s">
        <v>701</v>
      </c>
      <c r="F2" s="34" t="s">
        <v>708</v>
      </c>
      <c r="G2" s="34" t="s">
        <v>709</v>
      </c>
      <c r="H2" s="6">
        <v>86034.48</v>
      </c>
    </row>
    <row r="3" spans="1:8" x14ac:dyDescent="0.2">
      <c r="A3" s="8">
        <f t="shared" ref="A3:A11" si="0">A2+1</f>
        <v>2</v>
      </c>
      <c r="B3" s="9">
        <v>40301</v>
      </c>
      <c r="C3" s="34" t="s">
        <v>66</v>
      </c>
      <c r="D3" s="34" t="s">
        <v>422</v>
      </c>
      <c r="E3" s="34" t="s">
        <v>701</v>
      </c>
      <c r="F3" s="34" t="s">
        <v>710</v>
      </c>
      <c r="G3" s="34" t="s">
        <v>711</v>
      </c>
      <c r="H3" s="6">
        <v>82931.03</v>
      </c>
    </row>
    <row r="4" spans="1:8" x14ac:dyDescent="0.2">
      <c r="A4" s="8">
        <f t="shared" si="0"/>
        <v>3</v>
      </c>
      <c r="B4" s="12">
        <f>Total!B215</f>
        <v>40304</v>
      </c>
      <c r="C4" s="56" t="str">
        <f>Total!D215</f>
        <v>GISA</v>
      </c>
      <c r="D4" s="56" t="str">
        <f>Total!E215</f>
        <v>Obra Civil</v>
      </c>
      <c r="E4" s="56" t="str">
        <f>Total!F215</f>
        <v>Projectes</v>
      </c>
      <c r="F4" s="56" t="str">
        <f>Total!G215</f>
        <v>PC. DB-05070.2</v>
      </c>
      <c r="G4" s="56" t="str">
        <f>Total!H215</f>
        <v>Contracte de serveis per a l'assistència tècnica per a la redacció del projecte constructiu de millora general. Desdoblament de la carretera B-124. PK 3+300 al PK 6+500. Tram: Sabadell-Castellar del Vallès. Clau: DB-05070.2</v>
      </c>
      <c r="H4" s="15">
        <f>Total!I215</f>
        <v>255689.65</v>
      </c>
    </row>
    <row r="5" spans="1:8" x14ac:dyDescent="0.2">
      <c r="A5" s="8">
        <f t="shared" si="0"/>
        <v>4</v>
      </c>
      <c r="B5" s="12">
        <f>Total!B216</f>
        <v>40309</v>
      </c>
      <c r="C5" s="56" t="str">
        <f>Total!D216</f>
        <v>GISA</v>
      </c>
      <c r="D5" s="56" t="str">
        <f>Total!E216</f>
        <v>Obra Civil</v>
      </c>
      <c r="E5" s="56" t="str">
        <f>Total!F216</f>
        <v>Projectes</v>
      </c>
      <c r="F5" s="56" t="str">
        <f>Total!G216</f>
        <v>EI-AL-02134.1</v>
      </c>
      <c r="G5" s="56" t="str">
        <f>Total!H216</f>
        <v>Contracte de serveis per a l'assistència tècnica per a la redacció de l'estudi informatiu de millora general. Condicionament del pas de Comiols. Carreteres C-14, L-512 i C-1412b. Tram: Artesa de Segre. Clau: EI-AL-02134.1</v>
      </c>
      <c r="H5" s="15">
        <f>Total!I216</f>
        <v>191034.48</v>
      </c>
    </row>
    <row r="6" spans="1:8" x14ac:dyDescent="0.2">
      <c r="A6" s="8">
        <f t="shared" si="0"/>
        <v>5</v>
      </c>
      <c r="B6" s="12">
        <f>Total!B217</f>
        <v>40309</v>
      </c>
      <c r="C6" s="56" t="str">
        <f>Total!D217</f>
        <v>GISA</v>
      </c>
      <c r="D6" s="56" t="str">
        <f>Total!E217</f>
        <v>Obra Civil</v>
      </c>
      <c r="E6" s="56" t="str">
        <f>Total!F217</f>
        <v>Direccions d'Obra</v>
      </c>
      <c r="F6" s="56" t="str">
        <f>Total!G217</f>
        <v>ATAM. VL-02137.1</v>
      </c>
      <c r="G6" s="56" t="str">
        <f>Total!H217</f>
        <v>Contracte de serveis per a l'assistència tècnica ambiental de les obres de millora general. Variant de la carretera C-13 del PK 13+100 al 20+000. Tram: Vilanova de la Barca - Térmens. Clau: VL-02137.1</v>
      </c>
      <c r="H6" s="15">
        <f>Total!I217</f>
        <v>215600</v>
      </c>
    </row>
    <row r="7" spans="1:8" x14ac:dyDescent="0.2">
      <c r="A7" s="8">
        <f t="shared" si="0"/>
        <v>6</v>
      </c>
      <c r="B7" s="9">
        <f>Total!B218</f>
        <v>40310</v>
      </c>
      <c r="C7" s="34" t="str">
        <f>Total!D218</f>
        <v>GISA</v>
      </c>
      <c r="D7" s="34" t="str">
        <f>Total!E218</f>
        <v>Edificació</v>
      </c>
      <c r="E7" s="34" t="str">
        <f>Total!F218</f>
        <v>Direccions d'Execució</v>
      </c>
      <c r="F7" s="34" t="str">
        <f>Total!G218</f>
        <v>DE. PAC-08254+PAC-09351</v>
      </c>
      <c r="G7" s="34" t="str">
        <f>Total!H218</f>
        <v>Contracte de serveis per a la direcció d'execució de les obres de reforma i ampliació a 2 línies a l'Escola La Muntanya d'Aiguafreda (Vallès Oriental). Clau:PAC-08254 i de l'Escola Serra Marina de Santa Coloma de Gramenet. Clau:PAC-09351</v>
      </c>
      <c r="H7" s="15">
        <f>Total!I218</f>
        <v>190000</v>
      </c>
    </row>
    <row r="8" spans="1:8" x14ac:dyDescent="0.2">
      <c r="A8" s="8">
        <f t="shared" si="0"/>
        <v>7</v>
      </c>
      <c r="B8" s="9">
        <f>Total!B219</f>
        <v>40312</v>
      </c>
      <c r="C8" s="34" t="str">
        <f>Total!D219</f>
        <v>GISA</v>
      </c>
      <c r="D8" s="34" t="str">
        <f>Total!E219</f>
        <v>Obra Civil</v>
      </c>
      <c r="E8" s="34" t="str">
        <f>Total!F219</f>
        <v>Direccions d'Obra</v>
      </c>
      <c r="F8" s="34" t="str">
        <f>Total!G219</f>
        <v>CSS. TM-00509.4A-A1.A+6</v>
      </c>
      <c r="G8" s="34" t="str">
        <f>Total!H219</f>
        <v>Contracte de serveis per a l'assistència tècnica de Coordinació de Seguretat i Salut conjunta de les obres: 'Projecte actualitzat núm. 1 de la Línia 9 de Metro de Barcelona. Tram 3r Zona Universitària-Sagrera Meridiana. Estació Zona Universitària, Campus Nord, M. Girona i pous de ventilació. Clau: TM-00509.4A-A1.A'; 'Projecte actualitzat núm. 1 de la Línia 9 de Metro de Barcelona. Tram 3r Zona Universitària-Sagrera Meridiana. Estacions Campus Nord, M. Girona i pous de ventilació. Clau: TM-00509.4A-A1.B'; 'Projecte constructiu de la L9 del Metro de Barcelona. Tram 3r. Zona Universitària-Sagrera Meridiana. Estacions Prat de la Riba. Sarrià, Mandri i pous de ventilació. Clau: TM-0509.4B'; 'Projecte constructiu Línia 9 de Metro de Barcelona. Tram 3r Zona Universitària-Sagrera Meridiana. Estació Prat de la Riba. Recinte del pou, vestíbul i galeries de connexió. Clau: TM-00509.4B-BIS.2'; 'Projecte constructiu de la L9 del Metro de Barcelona. Tram 3r Zona Universitària-Sagrera Meridiana. Estacions Putxet, Lesseps, Muntanya i pous de ventilació. Clau: TM-00509.4C'; 'Projecte constructiu Línia 9 de Metro de Barcelona. Tram 3r Zona Universitària-Sagrera Meridiana. Estació Muntanya. Recinte del pou, vestíbul i galeries connexió. Clau: TM-00509.4C-BIS.2' i 'Projecte constructiu de la L9 del Metro de Barcelona. Tram 3r Zona Universitària-Sagrera Meridiana. Estacions Sanhelly, Guinardó, Maragall i pous de ventilació. Clau: TM-00509.4D'</v>
      </c>
      <c r="H8" s="15">
        <f>Total!I219</f>
        <v>171599.98</v>
      </c>
    </row>
    <row r="9" spans="1:8" x14ac:dyDescent="0.2">
      <c r="A9" s="8">
        <f t="shared" si="0"/>
        <v>8</v>
      </c>
      <c r="B9" s="9">
        <f>Total!B220</f>
        <v>40312</v>
      </c>
      <c r="C9" s="34" t="str">
        <f>Total!D220</f>
        <v>GISA</v>
      </c>
      <c r="D9" s="34" t="str">
        <f>Total!E220</f>
        <v>Obra Civil</v>
      </c>
      <c r="E9" s="34" t="str">
        <f>Total!F220</f>
        <v>Direccions d'Obra</v>
      </c>
      <c r="F9" s="34" t="str">
        <f>Total!G220</f>
        <v>CSS. VL-02137.1</v>
      </c>
      <c r="G9" s="34" t="str">
        <f>Total!H220</f>
        <v>Contracte de serveis per a l'assistència tècnica de Coordinació de Seguretat i Salut de les obres de millora general. Variant de la carretera C-13 del PK 13+100 al 20+000. Tram: Vilanova de la Barca-Térmens. Clau: VL-02137.1</v>
      </c>
      <c r="H9" s="15">
        <f>Total!I220</f>
        <v>127680</v>
      </c>
    </row>
    <row r="10" spans="1:8" x14ac:dyDescent="0.2">
      <c r="A10" s="8">
        <f t="shared" si="0"/>
        <v>9</v>
      </c>
      <c r="B10" s="9">
        <f>Total!B221</f>
        <v>40312</v>
      </c>
      <c r="C10" s="34" t="str">
        <f>Total!D221</f>
        <v>GISA</v>
      </c>
      <c r="D10" s="34" t="str">
        <f>Total!E221</f>
        <v>Obra Civil</v>
      </c>
      <c r="E10" s="34" t="str">
        <f>Total!F221</f>
        <v>Direccions d'Obra</v>
      </c>
      <c r="F10" s="34" t="str">
        <f>Total!G221</f>
        <v>CSS. TM-00509.35.2</v>
      </c>
      <c r="G10" s="34" t="str">
        <f>Total!H221</f>
        <v>Contracte de serveis per a l'assistència tècnica de Coordinació de Seguretat i Salut de les obres del projecte constructiu de supere structura (via i catenària) del tram Prat Eixample Nord-Bifurcació Gornal de l'L9 de Metro de Barcelona. Clau: TM-00509.35.2</v>
      </c>
      <c r="H10" s="15">
        <f>Total!I221</f>
        <v>67200</v>
      </c>
    </row>
    <row r="11" spans="1:8" x14ac:dyDescent="0.2">
      <c r="A11" s="8">
        <f t="shared" si="0"/>
        <v>10</v>
      </c>
      <c r="B11" s="47">
        <f>Total!B222</f>
        <v>40312</v>
      </c>
      <c r="C11" s="48" t="str">
        <f>Total!D222</f>
        <v>GISA</v>
      </c>
      <c r="D11" s="48" t="str">
        <f>Total!E222</f>
        <v>Obra Civil</v>
      </c>
      <c r="E11" s="48" t="str">
        <f>Total!F222</f>
        <v>Projectes</v>
      </c>
      <c r="F11" s="48" t="str">
        <f>Total!G222</f>
        <v>PC. AL-02134.2</v>
      </c>
      <c r="G11" s="48" t="str">
        <f>Total!H222</f>
        <v>Contracte de serveis per a l'assistència tècnica per a la redacció del projecte constructiu de millora general. Condicionament del pas de Comiols. Carreteres C-1412b. Tram: Artesa de Segre (Folquer)-Isona i Conca Dellà. Clau: AL-02134.2</v>
      </c>
      <c r="H11" s="52">
        <f>Total!I222</f>
        <v>1470689.65</v>
      </c>
    </row>
    <row r="12" spans="1:8" x14ac:dyDescent="0.2">
      <c r="A12" s="8">
        <f>A11+1</f>
        <v>11</v>
      </c>
      <c r="B12" s="9">
        <f>Total!B223</f>
        <v>40316</v>
      </c>
      <c r="C12" s="34" t="str">
        <f>Total!D223</f>
        <v>GISA</v>
      </c>
      <c r="D12" s="34" t="str">
        <f>Total!E223</f>
        <v>Obra Civil</v>
      </c>
      <c r="E12" s="34" t="str">
        <f>Total!F223</f>
        <v>Projectes</v>
      </c>
      <c r="F12" s="34" t="str">
        <f>Total!G223</f>
        <v>PC. ML-10015</v>
      </c>
      <c r="G12" s="34" t="str">
        <f>Total!H223</f>
        <v>Contracte de serveis per a l'assistència tècnica per a la redacció del projecte constructiu de millora local. Travesseres. Condicionament de la carretera C-13z, del PK 157+966 al 159+560. Tram: Esterri d'Àneu. Clau: ML-10015</v>
      </c>
      <c r="H12" s="15">
        <f>Total!I223</f>
        <v>139482.76</v>
      </c>
    </row>
    <row r="13" spans="1:8" x14ac:dyDescent="0.2">
      <c r="A13" s="8">
        <f>A12+1</f>
        <v>12</v>
      </c>
      <c r="B13" s="47">
        <f>Total!B224</f>
        <v>40318</v>
      </c>
      <c r="C13" s="48" t="str">
        <f>Total!D224</f>
        <v>REGSA</v>
      </c>
      <c r="D13" s="48"/>
      <c r="E13" s="48" t="str">
        <f>Total!F224</f>
        <v>Projectes</v>
      </c>
      <c r="F13" s="48" t="str">
        <f>Total!G224</f>
        <v>PC. TR-10028</v>
      </c>
      <c r="G13" s="48" t="str">
        <f>Total!H224</f>
        <v>Contracte de serveis per a l'assistència tècnica per a la redacció del projecte constructiu de condicionament i millora del regadiu de Sant Julià de Ramis, Cervià de Ter, Sant Jordi Desvalls, Sant Joan de Mollet (Gironès) i Colomers, Jafre i Vilopriu (Baix Empordà). Clau: TR-10028</v>
      </c>
      <c r="H13" s="52">
        <f>Total!I224</f>
        <v>224200</v>
      </c>
    </row>
    <row r="14" spans="1:8" ht="13.5" thickBot="1" x14ac:dyDescent="0.25">
      <c r="A14" s="8">
        <f>A13+1</f>
        <v>13</v>
      </c>
      <c r="B14" s="47">
        <f>Total!B225</f>
        <v>40323</v>
      </c>
      <c r="C14" s="48" t="str">
        <f>Total!D225</f>
        <v>GISA</v>
      </c>
      <c r="D14" s="48" t="str">
        <f>Total!E225</f>
        <v>Obra Civil</v>
      </c>
      <c r="E14" s="48" t="str">
        <f>Total!F225</f>
        <v>Direccions d'Obra</v>
      </c>
      <c r="F14" s="48" t="str">
        <f>Total!G225</f>
        <v>DB VL-02137.1</v>
      </c>
      <c r="G14" s="48" t="str">
        <f>Total!H225</f>
        <v>Contracte de serveis per a la direcció de les obres de millora general. Variant de la carretera C-13 del PK 13+100 al 20+000. Tram: Vilanova de la Barca - Térmens. Clau: VL-02137.1</v>
      </c>
      <c r="H14" s="52">
        <f>Total!I225</f>
        <v>1462222.22</v>
      </c>
    </row>
    <row r="15" spans="1:8" ht="13.5" thickBot="1" x14ac:dyDescent="0.25">
      <c r="H15" s="33">
        <f>SUM(H2:H14)</f>
        <v>4684364.25</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46"/>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Total!B3244</f>
        <v>44753</v>
      </c>
      <c r="C2" s="101">
        <f>Total!C3244</f>
        <v>44809</v>
      </c>
      <c r="D2" s="112" t="s">
        <v>1092</v>
      </c>
      <c r="E2" s="332" t="str">
        <f>Total!E3244</f>
        <v>Edificació</v>
      </c>
      <c r="F2" s="96" t="str">
        <f>Total!F3244</f>
        <v>Projectes i Direccions d'Obra</v>
      </c>
      <c r="G2" s="112" t="str">
        <f>Total!G3244</f>
        <v>PE+DO CAP-22207</v>
      </c>
      <c r="H2" s="112" t="str">
        <f>Total!H3244</f>
        <v>Concurs de projectes per a la redacció del projecte bàsic i executiu i la posterior direcció de les obres del Nou Centre d'Atenció Primària Sant Celoni.</v>
      </c>
      <c r="I2" s="157">
        <f>Total!I3244</f>
        <v>457818.09</v>
      </c>
    </row>
    <row r="3" spans="1:9" x14ac:dyDescent="0.2">
      <c r="A3" s="8">
        <v>2</v>
      </c>
      <c r="B3" s="101">
        <f>Total!B3245</f>
        <v>44753</v>
      </c>
      <c r="C3" s="101">
        <f>Total!C3245</f>
        <v>44769</v>
      </c>
      <c r="D3" s="112" t="s">
        <v>1092</v>
      </c>
      <c r="E3" s="332" t="str">
        <f>Total!E3245</f>
        <v>Obra Civil</v>
      </c>
      <c r="F3" s="96" t="str">
        <f>Total!F3245</f>
        <v>Projectes</v>
      </c>
      <c r="G3" s="112" t="str">
        <f>Total!G3245</f>
        <v>PC. PC-CGG-21011</v>
      </c>
      <c r="H3" s="112" t="str">
        <f>Total!H3245</f>
        <v>Contracte de serveis per a l'assistència tècnica per a la redacció del projecte constructiu "Mesures de seguretat viària a la C-31 del PK 350+505 al 351+935. Torroella de Montgrí-Ullà".</v>
      </c>
      <c r="I3" s="157">
        <f>Total!I3245</f>
        <v>31610</v>
      </c>
    </row>
    <row r="4" spans="1:9" x14ac:dyDescent="0.2">
      <c r="A4" s="8">
        <v>3</v>
      </c>
      <c r="B4" s="101">
        <f>Total!B3246</f>
        <v>44755</v>
      </c>
      <c r="C4" s="101">
        <f>Total!C3246</f>
        <v>44823</v>
      </c>
      <c r="D4" s="112" t="s">
        <v>1092</v>
      </c>
      <c r="E4" s="332" t="str">
        <f>Total!E3246</f>
        <v>Edificació</v>
      </c>
      <c r="F4" s="96" t="str">
        <f>Total!F3246</f>
        <v>Projectes i Direccions d'Obra</v>
      </c>
      <c r="G4" s="112" t="str">
        <f>Total!G3246</f>
        <v>PE+DO. SAH-20224</v>
      </c>
      <c r="H4" s="112" t="str">
        <f>Total!H3246</f>
        <v>Concurs de projectes per a la redacció del projecte bàsic i executiu i la posterior direcció de les obres de l'Ampliació i reforma a Institut Escola 1L a l'Escola de Castellterçol.</v>
      </c>
      <c r="I4" s="157">
        <f>Total!I3246</f>
        <v>465509.83</v>
      </c>
    </row>
    <row r="5" spans="1:9" x14ac:dyDescent="0.2">
      <c r="A5" s="8">
        <v>4</v>
      </c>
      <c r="B5" s="101">
        <f>Total!B3247</f>
        <v>44760</v>
      </c>
      <c r="C5" s="101">
        <f>Total!C3247</f>
        <v>44781</v>
      </c>
      <c r="D5" s="112" t="s">
        <v>1092</v>
      </c>
      <c r="E5" s="332" t="str">
        <f>Total!E3247</f>
        <v>Edificació</v>
      </c>
      <c r="F5" s="96" t="str">
        <f>Total!F3247</f>
        <v>Control de Qualitat</v>
      </c>
      <c r="G5" s="112" t="str">
        <f>Total!G3247</f>
        <v>CQ. JVX-18318</v>
      </c>
      <c r="H5" s="112" t="str">
        <f>Total!H3247</f>
        <v>Contracte de serveis per a l'assistència tècnica de control de qualitat de les obres de RAM de modernització d'ascensors i resolució de barreres arquitectòniques en els accessos i per a la descàrrega de mercaderies al Palau de Justícia de Barcelona.</v>
      </c>
      <c r="I5" s="157">
        <f>Total!I3247</f>
        <v>8170.56</v>
      </c>
    </row>
    <row r="6" spans="1:9" x14ac:dyDescent="0.2">
      <c r="A6" s="8">
        <v>5</v>
      </c>
      <c r="B6" s="101">
        <f>Total!B3248</f>
        <v>44760</v>
      </c>
      <c r="C6" s="101">
        <f>Total!C3248</f>
        <v>44781</v>
      </c>
      <c r="D6" s="112" t="s">
        <v>1092</v>
      </c>
      <c r="E6" s="332" t="str">
        <f>Total!E3248</f>
        <v>Edificació</v>
      </c>
      <c r="F6" s="96" t="str">
        <f>Total!F3248</f>
        <v>Direccions d'Execució</v>
      </c>
      <c r="G6" s="112" t="str">
        <f>Total!G3248</f>
        <v>CSS. JVX-18318</v>
      </c>
      <c r="H6" s="112" t="str">
        <f>Total!H3248</f>
        <v>Assistència tècnica de coordinació de seguretat i salut de les obres de RAM de modernització d'ascensors i resolució de barreres arquitectòniques en els accessos i per a la descàrrega de mercaderies al Palau de Justícia de Barcelona.</v>
      </c>
      <c r="I6" s="157">
        <f>Total!I3248</f>
        <v>7250</v>
      </c>
    </row>
    <row r="7" spans="1:9" x14ac:dyDescent="0.2">
      <c r="A7" s="8">
        <v>6</v>
      </c>
      <c r="B7" s="101">
        <f>Total!B3249</f>
        <v>44760</v>
      </c>
      <c r="C7" s="101">
        <f>Total!C3249</f>
        <v>44781</v>
      </c>
      <c r="D7" s="112" t="s">
        <v>1092</v>
      </c>
      <c r="E7" s="332" t="str">
        <f>Total!E3249</f>
        <v>Edificació</v>
      </c>
      <c r="F7" s="96" t="str">
        <f>Total!F3249</f>
        <v>Direccions d'Execució</v>
      </c>
      <c r="G7" s="112" t="str">
        <f>Total!G3249</f>
        <v>DE. JVX-18318</v>
      </c>
      <c r="H7" s="112" t="str">
        <f>Total!H3249</f>
        <v>Contracte de serveis per a la direcció d'execució de les obres de RAM de modernització d'ascensors i resolució de barreres arquitectòniques en els accessos i per a la descàrrega de mercaderies al Palau de Justícia de Barcelona.</v>
      </c>
      <c r="I7" s="157">
        <f>Total!I3249</f>
        <v>29000</v>
      </c>
    </row>
    <row r="8" spans="1:9" x14ac:dyDescent="0.2">
      <c r="A8" s="8">
        <v>7</v>
      </c>
      <c r="B8" s="101">
        <f>Total!B3250</f>
        <v>44762</v>
      </c>
      <c r="C8" s="101">
        <f>Total!C3250</f>
        <v>44804</v>
      </c>
      <c r="D8" s="112" t="s">
        <v>1092</v>
      </c>
      <c r="E8" s="332" t="str">
        <f>Total!E3250</f>
        <v>Edificació</v>
      </c>
      <c r="F8" s="96" t="str">
        <f>Total!F3250</f>
        <v>Projectes i Direccions d'Obra</v>
      </c>
      <c r="G8" s="112" t="str">
        <f>Total!G3250</f>
        <v>PE+DO CCT-22258</v>
      </c>
      <c r="H8" s="112" t="str">
        <f>Total!H3250</f>
        <v>Serveis per a l'assistència tècnica per a la redacció del projecte bàsic i executiu i la posterior direcció de les obres de rehabilitació, millora de l'eficiència energètica i instal.lació de plaques fotovoltaiques a la Comissaria de El Vendrell.</v>
      </c>
      <c r="I8" s="157">
        <f>Total!I3250</f>
        <v>106671.9</v>
      </c>
    </row>
    <row r="9" spans="1:9" x14ac:dyDescent="0.2">
      <c r="A9" s="8">
        <v>8</v>
      </c>
      <c r="B9" s="101">
        <f>Total!B3251</f>
        <v>44762</v>
      </c>
      <c r="C9" s="101">
        <f>Total!C3251</f>
        <v>44802</v>
      </c>
      <c r="D9" s="112" t="s">
        <v>1092</v>
      </c>
      <c r="E9" s="332" t="str">
        <f>Total!E3251</f>
        <v>Edificació</v>
      </c>
      <c r="F9" s="96" t="str">
        <f>Total!F3251</f>
        <v>Projectes i Direccions d'Obra</v>
      </c>
      <c r="G9" s="112" t="str">
        <f>Total!G3251</f>
        <v>PE+DO. CCB-22257</v>
      </c>
      <c r="H9" s="112" t="str">
        <f>Total!H3251</f>
        <v>Serveis per a l'assistència tècnica per a la redacció del projecte bàsic i executiu i la posterior direcció de les obres de rehabilitació, millora de l'eficiència energètica i instal·lació de plaques fotovoltaiques a la Comissaria de Vilafranca del Penedè</v>
      </c>
      <c r="I9" s="157">
        <f>Total!I3251</f>
        <v>92747.81</v>
      </c>
    </row>
    <row r="10" spans="1:9" x14ac:dyDescent="0.2">
      <c r="A10" s="8">
        <v>9</v>
      </c>
      <c r="B10" s="101">
        <f>Total!B3252</f>
        <v>44762</v>
      </c>
      <c r="C10" s="101">
        <f>Total!C3252</f>
        <v>44802</v>
      </c>
      <c r="D10" s="112" t="s">
        <v>1092</v>
      </c>
      <c r="E10" s="332" t="str">
        <f>Total!E3252</f>
        <v>Edificació</v>
      </c>
      <c r="F10" s="96" t="str">
        <f>Total!F3252</f>
        <v>Projectes i Direccions d'Obra</v>
      </c>
      <c r="G10" s="112" t="str">
        <f>Total!G3252</f>
        <v>PE+DO. CGG-22255</v>
      </c>
      <c r="H10" s="112" t="str">
        <f>Total!H3252</f>
        <v>Serveis per a l'assistència tècnica per a la redacció del projecte bàsic i executiu i la posterior direcció de les obres de rehabilitació, millora de l'eficiència energètica i instal·lació de plaques fotovoltaiques a l'edifici de la Comissaria de Girona.</v>
      </c>
      <c r="I10" s="157">
        <f>Total!I3252</f>
        <v>102274.8</v>
      </c>
    </row>
    <row r="11" spans="1:9" x14ac:dyDescent="0.2">
      <c r="A11" s="8">
        <v>10</v>
      </c>
      <c r="B11" s="101">
        <f>Total!B3253</f>
        <v>44762</v>
      </c>
      <c r="C11" s="101">
        <f>Total!C3253</f>
        <v>44804</v>
      </c>
      <c r="D11" s="112" t="s">
        <v>1092</v>
      </c>
      <c r="E11" s="332" t="str">
        <f>Total!E3253</f>
        <v>Edificació</v>
      </c>
      <c r="F11" s="96" t="str">
        <f>Total!F3253</f>
        <v>Direccions d'Execució</v>
      </c>
      <c r="G11" s="112" t="str">
        <f>Total!G3253</f>
        <v>DE. JVX-17271.1</v>
      </c>
      <c r="H11" s="112" t="str">
        <f>Total!H3253</f>
        <v>Serveis per a la direcció d'execució de les obres d'adequació del projecte d'obra RAM de substitució de refredadores en coberta a l'edifici del Palau de Justícia de Barcelona. Fase 0. Clau JVX-17271.1</v>
      </c>
      <c r="I11" s="157">
        <f>Total!I3253</f>
        <v>15000</v>
      </c>
    </row>
    <row r="12" spans="1:9" x14ac:dyDescent="0.2">
      <c r="A12" s="8">
        <v>11</v>
      </c>
      <c r="B12" s="101">
        <f>Total!B3254</f>
        <v>44762</v>
      </c>
      <c r="C12" s="101">
        <f>Total!C3254</f>
        <v>44802</v>
      </c>
      <c r="D12" s="112" t="s">
        <v>1092</v>
      </c>
      <c r="E12" s="332" t="str">
        <f>Total!E3254</f>
        <v>Edificació</v>
      </c>
      <c r="F12" s="96" t="str">
        <f>Total!F3254</f>
        <v>Projectes i Direccions d'Obra</v>
      </c>
      <c r="G12" s="112" t="str">
        <f>Total!G3254</f>
        <v>PE+DO. PCB-22256</v>
      </c>
      <c r="H12" s="112" t="str">
        <f>Total!H3254</f>
        <v>Serveis per a A.T. per a la Red. del projecte bàsic i executiu i la posterior direcció de les obres de rehabilitació, millora de l'eficiència energètica i instal·lació de plaques fotovoltaiques a l'edifici seu Regional de Bombers a Sant Boi de Llobregat.</v>
      </c>
      <c r="I12" s="157">
        <f>Total!I3254</f>
        <v>48904.4</v>
      </c>
    </row>
    <row r="13" spans="1:9" x14ac:dyDescent="0.2">
      <c r="A13" s="8">
        <v>12</v>
      </c>
      <c r="B13" s="101">
        <f>Total!B3255</f>
        <v>44762</v>
      </c>
      <c r="C13" s="101">
        <f>Total!C3255</f>
        <v>44802</v>
      </c>
      <c r="D13" s="112" t="s">
        <v>1092</v>
      </c>
      <c r="E13" s="332" t="str">
        <f>Total!E3255</f>
        <v>Edificació</v>
      </c>
      <c r="F13" s="96" t="str">
        <f>Total!F3255</f>
        <v>Projectes i Direccions d'Obra</v>
      </c>
      <c r="G13" s="112" t="str">
        <f>Total!G3255</f>
        <v>PE+DO CGL-22260</v>
      </c>
      <c r="H13" s="112" t="str">
        <f>Total!H3255</f>
        <v>Serveis per a l'assistència tècnica per a la redacció del projecte bàsic i executiu i la posterior direcció de les obr es de rehabilitació, millora de l'eficiència energètica i instal.lació de plaques fotovoltaiques a l'edifici de la Comissaria de Lleida.</v>
      </c>
      <c r="I13" s="157">
        <f>Total!I3255</f>
        <v>105939.06</v>
      </c>
    </row>
    <row r="14" spans="1:9" x14ac:dyDescent="0.2">
      <c r="A14" s="8">
        <v>13</v>
      </c>
      <c r="B14" s="101">
        <f>Total!B3256</f>
        <v>44762</v>
      </c>
      <c r="C14" s="101">
        <f>Total!C3256</f>
        <v>44802</v>
      </c>
      <c r="D14" s="112" t="s">
        <v>1092</v>
      </c>
      <c r="E14" s="332" t="str">
        <f>Total!E3256</f>
        <v>Edificació</v>
      </c>
      <c r="F14" s="96" t="str">
        <f>Total!F3256</f>
        <v>Projectes i Direccions d'Obra</v>
      </c>
      <c r="G14" s="112" t="str">
        <f>Total!G3256</f>
        <v>PE+DO. CCL-22259</v>
      </c>
      <c r="H14" s="112" t="str">
        <f>Total!H3256</f>
        <v>Serveis per a l'assistència tècnica per a la redacció del projecte bàsic i executiu i la posterior direcció de les obres de rehabilitació, millora de l'eficiència energètica i instal·lació de plaques fotovoltaiques a la Comissaria de La Seu d'Urgell.</v>
      </c>
      <c r="I14" s="157">
        <f>Total!I3256</f>
        <v>46713.96</v>
      </c>
    </row>
    <row r="15" spans="1:9" x14ac:dyDescent="0.2">
      <c r="A15" s="8">
        <v>14</v>
      </c>
      <c r="B15" s="101">
        <f>Total!B3257</f>
        <v>44762</v>
      </c>
      <c r="C15" s="101">
        <f>Total!C3257</f>
        <v>44802</v>
      </c>
      <c r="D15" s="112" t="s">
        <v>1092</v>
      </c>
      <c r="E15" s="332" t="str">
        <f>Total!E3257</f>
        <v>Edificació</v>
      </c>
      <c r="F15" s="96" t="str">
        <f>Total!F3257</f>
        <v>Projectes i Direccions d'Obra</v>
      </c>
      <c r="G15" s="112" t="str">
        <f>Total!G3257</f>
        <v>PE+DO. PCB-22253</v>
      </c>
      <c r="H15" s="112" t="str">
        <f>Total!H3257</f>
        <v>Serveis per a A.T. per a la redacció del projecte bàsic i executiu i la posterior direcció de les obres de rehabilitació, millora de l'eficiència energètica i instal·lació de plaques fotovoltaiques a l'edifici Central de Bombers a Cerdanyola del Vallès.</v>
      </c>
      <c r="I15" s="157">
        <f>Total!I3257</f>
        <v>94946.35</v>
      </c>
    </row>
    <row r="16" spans="1:9" x14ac:dyDescent="0.2">
      <c r="A16" s="8">
        <v>15</v>
      </c>
      <c r="B16" s="101">
        <f>Total!B3258</f>
        <v>44762</v>
      </c>
      <c r="C16" s="101">
        <f>Total!C3258</f>
        <v>44811</v>
      </c>
      <c r="D16" s="112" t="s">
        <v>1092</v>
      </c>
      <c r="E16" s="332" t="str">
        <f>Total!E3258</f>
        <v>Edificació</v>
      </c>
      <c r="F16" s="96" t="str">
        <f>Total!F3258</f>
        <v>Direccions d'Execució</v>
      </c>
      <c r="G16" s="112" t="str">
        <f>Total!G3258</f>
        <v>DE. CCG-19261.</v>
      </c>
      <c r="H16" s="112" t="str">
        <f>Total!H3258</f>
        <v>Contracte de serveis per a l'assistència tècnica de direcció d'execució de les obres RAM de renovació de càmeres i millores en els sistemes de videovigilància en RP Metropolitana Sud, Camp de Tarragona i Terres de l'Ebre. Clau: CCG-19261</v>
      </c>
      <c r="I16" s="157">
        <f>Total!I3258</f>
        <v>29274.62</v>
      </c>
    </row>
    <row r="17" spans="1:9" x14ac:dyDescent="0.2">
      <c r="A17" s="8">
        <v>16</v>
      </c>
      <c r="B17" s="101">
        <f>Total!B3259</f>
        <v>44762</v>
      </c>
      <c r="C17" s="101">
        <f>Total!C3259</f>
        <v>44804</v>
      </c>
      <c r="D17" s="112" t="s">
        <v>1092</v>
      </c>
      <c r="E17" s="332" t="str">
        <f>Total!E3259</f>
        <v>Edificació</v>
      </c>
      <c r="F17" s="96" t="str">
        <f>Total!F3259</f>
        <v>Direccions d'Execució</v>
      </c>
      <c r="G17" s="112" t="str">
        <f>Total!G3259</f>
        <v>CSS. JVX-17271.1</v>
      </c>
      <c r="H17" s="112" t="str">
        <f>Total!H3259</f>
        <v>Contracte de serveis per a l'assistència tècnica de coordinació de seguretat i salut de les obres d'adequació del projecte d'obra RAM de substitució de refredadores en coberta a l'edifici del Palau de Justícia de Barcelona. Fase 0. Clau: JVX-17271.1</v>
      </c>
      <c r="I17" s="157">
        <f>Total!I3259</f>
        <v>3750</v>
      </c>
    </row>
    <row r="18" spans="1:9" x14ac:dyDescent="0.2">
      <c r="A18" s="8">
        <v>17</v>
      </c>
      <c r="B18" s="101">
        <f>Total!B3260</f>
        <v>44762</v>
      </c>
      <c r="C18" s="101">
        <f>Total!C3260</f>
        <v>44804</v>
      </c>
      <c r="D18" s="112" t="s">
        <v>1092</v>
      </c>
      <c r="E18" s="332" t="str">
        <f>Total!E3260</f>
        <v>Edificació</v>
      </c>
      <c r="F18" s="96" t="str">
        <f>Total!F3260</f>
        <v>Control de Qualitat</v>
      </c>
      <c r="G18" s="112" t="str">
        <f>Total!G3260</f>
        <v>CQ. JVX-17271.1</v>
      </c>
      <c r="H18" s="112" t="str">
        <f>Total!H3260</f>
        <v>Contracte de serveis per a l'assistència tècnica de control de qualitat de les obres d'adequació del projecte d'obra RAM de substitució de refredadores en coberta a l'edifici del Palau de Justícia de Barcelona. Fase 0. Clau JVX-17271.1</v>
      </c>
      <c r="I18" s="157">
        <f>Total!I3260</f>
        <v>6271</v>
      </c>
    </row>
    <row r="19" spans="1:9" x14ac:dyDescent="0.2">
      <c r="A19" s="8">
        <v>18</v>
      </c>
      <c r="B19" s="101">
        <f>Total!B3261</f>
        <v>44762</v>
      </c>
      <c r="C19" s="101">
        <f>Total!C3261</f>
        <v>44802</v>
      </c>
      <c r="D19" s="112" t="s">
        <v>1092</v>
      </c>
      <c r="E19" s="332" t="str">
        <f>Total!E3261</f>
        <v>Edificació</v>
      </c>
      <c r="F19" s="96" t="str">
        <f>Total!F3261</f>
        <v>Projectes i Direccions d'Obra</v>
      </c>
      <c r="G19" s="112" t="str">
        <f>Total!G3261</f>
        <v>PE+DO. CCB-22254</v>
      </c>
      <c r="H19" s="112" t="str">
        <f>Total!H3261</f>
        <v>Serveis per a l'assistència tècnica per a la redacció del projecte bàsic i executiu i la posterior direcció de les obres de rehabilitació, millora de l'eficiència energètica i instal·lació de plaques fotovoltaiques a l'edifici Comissaria de Manresa.</v>
      </c>
      <c r="I19" s="157">
        <f>Total!I3261</f>
        <v>83958.53</v>
      </c>
    </row>
    <row r="20" spans="1:9" x14ac:dyDescent="0.2">
      <c r="A20" s="8">
        <v>19</v>
      </c>
      <c r="B20" s="101">
        <f>Total!B3262</f>
        <v>44763</v>
      </c>
      <c r="C20" s="101">
        <f>Total!C3262</f>
        <v>44802</v>
      </c>
      <c r="D20" s="112" t="s">
        <v>1092</v>
      </c>
      <c r="E20" s="332" t="str">
        <f>Total!E3262</f>
        <v>Edificació</v>
      </c>
      <c r="F20" s="96" t="str">
        <f>Total!F3262</f>
        <v>Projectes i Direccions d'Obra</v>
      </c>
      <c r="G20" s="112" t="str">
        <f>Total!G3262</f>
        <v>PE+DO. PNV-20238</v>
      </c>
      <c r="H20" s="112" t="str">
        <f>Total!H3262</f>
        <v>Concurs de projectes per a la redacció del projecte bàsic i executiu i la posterior direcció de les obres de la Nova construcció Escola 1L El Bosc de Rubí.</v>
      </c>
      <c r="I20" s="157">
        <f>Total!I3262</f>
        <v>444326.92</v>
      </c>
    </row>
    <row r="21" spans="1:9" x14ac:dyDescent="0.2">
      <c r="A21" s="8">
        <v>20</v>
      </c>
      <c r="B21" s="101">
        <f>Total!B3263</f>
        <v>44767</v>
      </c>
      <c r="C21" s="101">
        <f>Total!C3263</f>
        <v>44823</v>
      </c>
      <c r="D21" s="112" t="s">
        <v>1092</v>
      </c>
      <c r="E21" s="332" t="str">
        <f>Total!E3263</f>
        <v>Edificació</v>
      </c>
      <c r="F21" s="96" t="str">
        <f>Total!F3263</f>
        <v>Projectes i Direccions d'Obra</v>
      </c>
      <c r="G21" s="112" t="str">
        <f>Total!G3263</f>
        <v>PE+DO. IAC-19242</v>
      </c>
      <c r="H21" s="112" t="str">
        <f>Total!H3263</f>
        <v>Concurs de projectes per a la redacció del projecte bàsic i executiu i la posterior direcció de les obres d'ampliació i rehabilitació per a l'Institut 3/2 amb gimnàs La Riera a Badalona.</v>
      </c>
      <c r="I21" s="157">
        <f>Total!I3263</f>
        <v>709406.69</v>
      </c>
    </row>
    <row r="22" spans="1:9" x14ac:dyDescent="0.2">
      <c r="A22" s="8">
        <v>21</v>
      </c>
      <c r="B22" s="101">
        <f>Total!B3264</f>
        <v>44767</v>
      </c>
      <c r="C22" s="101">
        <f>Total!C3264</f>
        <v>44802</v>
      </c>
      <c r="D22" s="112" t="s">
        <v>1092</v>
      </c>
      <c r="E22" s="332" t="str">
        <f>Total!E3264</f>
        <v>Obra Civil</v>
      </c>
      <c r="F22" s="96" t="str">
        <f>Total!F3264</f>
        <v>Projectes</v>
      </c>
      <c r="G22" s="112" t="str">
        <f>Total!G3264</f>
        <v>PC.TM-02609.6R-C3</v>
      </c>
      <c r="H22" s="112" t="str">
        <f>Total!H3264</f>
        <v>Contracte de serveis per a l'assistència tècnica per a la redacció del projecte constructiu d'instal·lacions de telecomunicació i energia de la Línia 9 de Metro de Barcelona, Tram III i resta d'estacions.</v>
      </c>
      <c r="I22" s="157">
        <f>Total!I3264</f>
        <v>768751</v>
      </c>
    </row>
    <row r="23" spans="1:9" x14ac:dyDescent="0.2">
      <c r="A23" s="8">
        <v>22</v>
      </c>
      <c r="B23" s="101">
        <f>Total!B3265</f>
        <v>44769</v>
      </c>
      <c r="C23" s="101">
        <f>Total!C3265</f>
        <v>44811</v>
      </c>
      <c r="D23" s="112" t="s">
        <v>1092</v>
      </c>
      <c r="E23" s="332" t="str">
        <f>Total!E3265</f>
        <v>Edificació</v>
      </c>
      <c r="F23" s="96" t="str">
        <f>Total!F3265</f>
        <v>Projectes i Direccions d'Obra</v>
      </c>
      <c r="G23" s="112" t="str">
        <f>Total!G3265</f>
        <v>PE+DO. CAP-22236</v>
      </c>
      <c r="H23" s="112" t="str">
        <f>Total!H3265</f>
        <v>Contracte de serveis per a l'assistència tècnica per a la redacció del projecte bàsic i executiu i la posterior direcció de les obres de rehabilitació i millora de l'eficiència energètica de l'edifici CAP Plana Lledó de Mollet del Vallès.</v>
      </c>
      <c r="I23" s="157">
        <f>Total!I3265</f>
        <v>213846.95</v>
      </c>
    </row>
    <row r="24" spans="1:9" x14ac:dyDescent="0.2">
      <c r="A24" s="8">
        <v>23</v>
      </c>
      <c r="B24" s="101">
        <f>Total!B3266</f>
        <v>44769</v>
      </c>
      <c r="C24" s="101">
        <f>Total!C3266</f>
        <v>44811</v>
      </c>
      <c r="D24" s="112" t="s">
        <v>1092</v>
      </c>
      <c r="E24" s="332" t="str">
        <f>Total!E3266</f>
        <v>Edificació</v>
      </c>
      <c r="F24" s="96" t="str">
        <f>Total!F3266</f>
        <v>Projectes i Direccions d'Obra</v>
      </c>
      <c r="G24" s="112" t="str">
        <f>Total!G3266</f>
        <v>PE+DO. CAP-22239</v>
      </c>
      <c r="H24" s="112" t="str">
        <f>Total!H3266</f>
        <v>Contracte de serveis per a l'assistència tècnica per a la redacció del projecte bàsic i executiu i la posterior direcció de les obres de rehabilitació i millora de l'eficiència energètica de l'edifici CAP Deltebre.</v>
      </c>
      <c r="I24" s="157">
        <f>Total!I3266</f>
        <v>154966.32</v>
      </c>
    </row>
    <row r="25" spans="1:9" x14ac:dyDescent="0.2">
      <c r="A25" s="8">
        <v>24</v>
      </c>
      <c r="B25" s="101">
        <f>Total!B3267</f>
        <v>44769</v>
      </c>
      <c r="C25" s="101">
        <f>Total!C3267</f>
        <v>44809</v>
      </c>
      <c r="D25" s="112" t="s">
        <v>1092</v>
      </c>
      <c r="E25" s="332" t="str">
        <f>Total!E3267</f>
        <v>Edificació</v>
      </c>
      <c r="F25" s="96" t="str">
        <f>Total!F3267</f>
        <v>Projectes i Direccions d'Obra</v>
      </c>
      <c r="G25" s="112" t="str">
        <f>Total!G3267</f>
        <v>PE+DO. JVX-22263</v>
      </c>
      <c r="H25" s="112" t="str">
        <f>Total!H3267</f>
        <v>Contracte de serveis per a l'assistència tècnica per a la redacció del projecte bàsic i executiu i la posterior direcció de les obres de rehabilitació i millora de l'eficiència energètica al Centre Educatiu Can Llupià de Barcelona.</v>
      </c>
      <c r="I25" s="157">
        <f>Total!I3267</f>
        <v>333705.96000000002</v>
      </c>
    </row>
    <row r="26" spans="1:9" x14ac:dyDescent="0.2">
      <c r="A26" s="8">
        <v>25</v>
      </c>
      <c r="B26" s="101">
        <f>Total!B3268</f>
        <v>44769</v>
      </c>
      <c r="C26" s="101">
        <f>Total!C3268</f>
        <v>44809</v>
      </c>
      <c r="D26" s="112" t="s">
        <v>1092</v>
      </c>
      <c r="E26" s="332" t="str">
        <f>Total!E3268</f>
        <v>Edificació</v>
      </c>
      <c r="F26" s="96" t="str">
        <f>Total!F3268</f>
        <v>Projectes i Direccions d'Obra</v>
      </c>
      <c r="G26" s="112" t="str">
        <f>Total!G3268</f>
        <v>PE+DO. BSE-22321</v>
      </c>
      <c r="H26" s="112" t="str">
        <f>Total!H3268</f>
        <v>Contracte de serveis per a la redacció del projecte bàsic i executiu i la posterior direcció de les obres de rehabilitació i millora de l'eficiència energètica del Centre Cívic de Sant Adrià de Besòs - La Mina.</v>
      </c>
      <c r="I26" s="157">
        <f>Total!I3268</f>
        <v>385663.06</v>
      </c>
    </row>
    <row r="27" spans="1:9" x14ac:dyDescent="0.2">
      <c r="A27" s="8">
        <v>26</v>
      </c>
      <c r="B27" s="101">
        <f>Total!B3269</f>
        <v>44769</v>
      </c>
      <c r="C27" s="101">
        <f>Total!C3269</f>
        <v>44809</v>
      </c>
      <c r="D27" s="112" t="s">
        <v>1092</v>
      </c>
      <c r="E27" s="332" t="str">
        <f>Total!E3269</f>
        <v>Edificació</v>
      </c>
      <c r="F27" s="96" t="str">
        <f>Total!F3269</f>
        <v>Projectes i Direccions d'Obra</v>
      </c>
      <c r="G27" s="112" t="str">
        <f>Total!G3269</f>
        <v>PE+DO. CAP-22231</v>
      </c>
      <c r="H27" s="112" t="str">
        <f>Total!H3269</f>
        <v>Assistència tècnica per a la redacció del projecte bàsic i executiu i la posterior direcció de les obres de rehabilitació i millora de l'eficiència energètica de l'edifici CAP Chafarinas de Barcelona, finançades amb el programa PIREP.</v>
      </c>
      <c r="I27" s="157">
        <f>Total!I3269</f>
        <v>411669.05</v>
      </c>
    </row>
    <row r="28" spans="1:9" x14ac:dyDescent="0.2">
      <c r="A28" s="8">
        <v>27</v>
      </c>
      <c r="B28" s="101">
        <f>Total!B3270</f>
        <v>44769</v>
      </c>
      <c r="C28" s="101">
        <f>Total!C3270</f>
        <v>44809</v>
      </c>
      <c r="D28" s="112" t="s">
        <v>1092</v>
      </c>
      <c r="E28" s="332" t="str">
        <f>Total!E3270</f>
        <v>Edificació</v>
      </c>
      <c r="F28" s="96" t="str">
        <f>Total!F3270</f>
        <v>Projectes i Direccions d'Obra</v>
      </c>
      <c r="G28" s="112" t="str">
        <f>Total!G3270</f>
        <v>PE+DO. BSE-22323</v>
      </c>
      <c r="H28" s="112" t="str">
        <f>Total!H3270</f>
        <v>Redacció del projecte bàsic i executiu i la posterior direcció de les obres de rehabilitació, millora de l'eficiència energètica i instal·lació de plaques fotovoltaiques en el Centre Cívic i Casal per la gent Gran de Sant Adrià de Besòs.</v>
      </c>
      <c r="I28" s="157">
        <f>Total!I3270</f>
        <v>34602.269999999997</v>
      </c>
    </row>
    <row r="29" spans="1:9" x14ac:dyDescent="0.2">
      <c r="A29" s="8">
        <v>28</v>
      </c>
      <c r="B29" s="101">
        <f>Total!B3271</f>
        <v>44769</v>
      </c>
      <c r="C29" s="101">
        <f>Total!C3271</f>
        <v>44809</v>
      </c>
      <c r="D29" s="112" t="s">
        <v>1092</v>
      </c>
      <c r="E29" s="332" t="str">
        <f>Total!E3271</f>
        <v>Edificació</v>
      </c>
      <c r="F29" s="96" t="str">
        <f>Total!F3271</f>
        <v>Projectes i Direccions d'Obra</v>
      </c>
      <c r="G29" s="112" t="str">
        <f>Total!G3271</f>
        <v>PE+DO. BSE-22322</v>
      </c>
      <c r="H29" s="112" t="str">
        <f>Total!H3271</f>
        <v>Contracte de serveis per a l'assistència tècnica per a la redacció del projecte bàsic i executiu i la posterior direcció de les obres de rehabilitació i millora de l'eficiència energètica del Centre Cívic del Prat de Llobregat - Delta.</v>
      </c>
      <c r="I29" s="157">
        <f>Total!I3271</f>
        <v>665667.22</v>
      </c>
    </row>
    <row r="30" spans="1:9" x14ac:dyDescent="0.2">
      <c r="A30" s="8">
        <v>29</v>
      </c>
      <c r="B30" s="101">
        <f>Total!B3272</f>
        <v>44770</v>
      </c>
      <c r="C30" s="101">
        <f>Total!C3272</f>
        <v>44811</v>
      </c>
      <c r="D30" s="112" t="s">
        <v>1092</v>
      </c>
      <c r="E30" s="332" t="str">
        <f>Total!E3272</f>
        <v>Edificació</v>
      </c>
      <c r="F30" s="96" t="str">
        <f>Total!F3272</f>
        <v>Projectes i Direccions d'Obra</v>
      </c>
      <c r="G30" s="112" t="str">
        <f>Total!G3272</f>
        <v>PE+DO CAP-22241</v>
      </c>
      <c r="H30" s="112" t="str">
        <f>Total!H3272</f>
        <v>Contracte de serveis per a l'assistència tècnica per a la redacció del projecte bàsic i executiu i la posterior direcció de les obres de rehabilitació i millora de l'eficiència energètica de l'edifici CAP Llibertat de Reus.</v>
      </c>
      <c r="I30" s="157">
        <f>Total!I3272</f>
        <v>157579.47</v>
      </c>
    </row>
    <row r="31" spans="1:9" x14ac:dyDescent="0.2">
      <c r="A31" s="8">
        <v>30</v>
      </c>
      <c r="B31" s="101">
        <f>Total!B3273</f>
        <v>44770</v>
      </c>
      <c r="C31" s="101">
        <f>Total!C3273</f>
        <v>44811</v>
      </c>
      <c r="D31" s="112" t="s">
        <v>1092</v>
      </c>
      <c r="E31" s="332" t="str">
        <f>Total!E3273</f>
        <v>Edificació</v>
      </c>
      <c r="F31" s="96" t="str">
        <f>Total!F3273</f>
        <v>Projectes i Direccions d'Obra</v>
      </c>
      <c r="G31" s="112" t="str">
        <f>Total!G3273</f>
        <v>PE+DO. CAP-22234</v>
      </c>
      <c r="H31" s="112" t="str">
        <f>Total!H3273</f>
        <v>Contracte de serveis per a l'assistència tècnica per a la redacció del projecte bàsic i executiu i la posterior direcció de les obres de rehabilitació i millora de l'eficiència energètica de l'edifici CAP Roses.</v>
      </c>
      <c r="I31" s="157">
        <f>Total!I3273</f>
        <v>161220.92000000001</v>
      </c>
    </row>
    <row r="32" spans="1:9" x14ac:dyDescent="0.2">
      <c r="A32" s="8">
        <v>31</v>
      </c>
      <c r="B32" s="101">
        <f>Total!B3274</f>
        <v>44770</v>
      </c>
      <c r="C32" s="101">
        <f>Total!C3274</f>
        <v>44811</v>
      </c>
      <c r="D32" s="112" t="s">
        <v>1092</v>
      </c>
      <c r="E32" s="332" t="str">
        <f>Total!E3274</f>
        <v>Edificació</v>
      </c>
      <c r="F32" s="96" t="str">
        <f>Total!F3274</f>
        <v>Projectes i Direccions d'Obra</v>
      </c>
      <c r="G32" s="112" t="str">
        <f>Total!G3274</f>
        <v>PE+DO. CAP-22235</v>
      </c>
      <c r="H32" s="112" t="str">
        <f>Total!H3274</f>
        <v>Contracte de serveis per a l'assistència tècnica per a la redacció del projecte bàsic i executiu i la posterior direcció de les obres de rehabilitació i millora de l'eficiència energètica de l'edifici CAP Can Gibert del Pla de Girona.</v>
      </c>
      <c r="I32" s="157">
        <f>Total!I3274</f>
        <v>161911.44</v>
      </c>
    </row>
    <row r="33" spans="1:9" x14ac:dyDescent="0.2">
      <c r="A33" s="8">
        <v>32</v>
      </c>
      <c r="B33" s="101">
        <f>Total!B3275</f>
        <v>44770</v>
      </c>
      <c r="C33" s="101">
        <f>Total!C3275</f>
        <v>44811</v>
      </c>
      <c r="D33" s="112" t="s">
        <v>1092</v>
      </c>
      <c r="E33" s="332" t="str">
        <f>Total!E3275</f>
        <v>Edificació</v>
      </c>
      <c r="F33" s="96" t="str">
        <f>Total!F3275</f>
        <v>Projectes i Direccions d'Obra</v>
      </c>
      <c r="G33" s="112" t="str">
        <f>Total!G3275</f>
        <v>PE+DO. IMT-22325</v>
      </c>
      <c r="H33" s="112" t="str">
        <f>Total!H3275</f>
        <v>Contracte de serveis per a l'assistència tècnica per a la redacció del projecte bàsic i executiu i la posterior direcció de les obres de rehabilitació i millora de l'eficiència energètica a l'Institut Antoni de Martí i Franquès de Tarragona.</v>
      </c>
      <c r="I33" s="157">
        <f>Total!I3275</f>
        <v>79642.06</v>
      </c>
    </row>
    <row r="34" spans="1:9" x14ac:dyDescent="0.2">
      <c r="A34" s="8">
        <v>33</v>
      </c>
      <c r="B34" s="101">
        <f>Total!B3276</f>
        <v>44770</v>
      </c>
      <c r="C34" s="101">
        <f>Total!C3276</f>
        <v>44811</v>
      </c>
      <c r="D34" s="112" t="s">
        <v>1092</v>
      </c>
      <c r="E34" s="332" t="str">
        <f>Total!E3276</f>
        <v>Edificació</v>
      </c>
      <c r="F34" s="96" t="str">
        <f>Total!F3276</f>
        <v>Projectes i Direccions d'Obra</v>
      </c>
      <c r="G34" s="112" t="str">
        <f>Total!G3276</f>
        <v>PE+DO CAP-22242</v>
      </c>
      <c r="H34" s="112" t="str">
        <f>Total!H3276</f>
        <v>Contracte de serveis per a l'assistència tècnica per a la redacció del projecte bàsic i executiu i la posterior direcció de les obres de rehabilitació i millora de l'eficiència energètica de l'edifici CAP Terrassa Sud (Can Jofresa) de Terrassa.</v>
      </c>
      <c r="I34" s="157">
        <f>Total!I3276</f>
        <v>141761.82999999999</v>
      </c>
    </row>
    <row r="35" spans="1:9" x14ac:dyDescent="0.2">
      <c r="A35" s="8">
        <v>34</v>
      </c>
      <c r="B35" s="101">
        <f>Total!B3277</f>
        <v>44771</v>
      </c>
      <c r="C35" s="101">
        <f>Total!C3277</f>
        <v>44811</v>
      </c>
      <c r="D35" s="112" t="s">
        <v>1092</v>
      </c>
      <c r="E35" s="332" t="str">
        <f>Total!E3277</f>
        <v>Edificació</v>
      </c>
      <c r="F35" s="96" t="str">
        <f>Total!F3277</f>
        <v>Projectes i Direccions d'Obra</v>
      </c>
      <c r="G35" s="112" t="str">
        <f>Total!G3277</f>
        <v>PE+DO. JVX-22264</v>
      </c>
      <c r="H35" s="112" t="str">
        <f>Total!H3277</f>
        <v>Serveis per a A.T. per a la redacció del projecte bàsic i executiu i la posterior direcció de les obres de rehabilitació, millora de l'eficiència energètica i instal.lació de plaques fotovoltaiques al Centre Penitenciari Brians 1 a Sant Esteve Sesrovires</v>
      </c>
      <c r="I35" s="157">
        <f>Total!I3277</f>
        <v>1362486.28</v>
      </c>
    </row>
    <row r="36" spans="1:9" x14ac:dyDescent="0.2">
      <c r="A36" s="8">
        <v>35</v>
      </c>
      <c r="B36" s="101">
        <f>Total!B3278</f>
        <v>44771</v>
      </c>
      <c r="C36" s="101">
        <f>Total!C3278</f>
        <v>44811</v>
      </c>
      <c r="D36" s="112" t="s">
        <v>1092</v>
      </c>
      <c r="E36" s="332" t="str">
        <f>Total!E3278</f>
        <v>Edificació</v>
      </c>
      <c r="F36" s="96" t="str">
        <f>Total!F3278</f>
        <v>Projectes i Direccions d'Obra</v>
      </c>
      <c r="G36" s="112" t="str">
        <f>Total!G3278</f>
        <v>PE+DO. JVX-22262</v>
      </c>
      <c r="H36" s="112" t="str">
        <f>Total!H3278</f>
        <v>Serveis per a l'assistència tècnica per a la redacció del projecte bàsic i executiu i la posterior direcció de les obres de rehabilitació i millora de l'eficiència energètica al Centre Educatiu l'Alzina a Palau Solità i Plegamans.</v>
      </c>
      <c r="I36" s="157">
        <f>Total!I3278</f>
        <v>341593.54</v>
      </c>
    </row>
    <row r="37" spans="1:9" x14ac:dyDescent="0.2">
      <c r="A37" s="8">
        <v>36</v>
      </c>
      <c r="B37" s="101">
        <f>Total!B3279</f>
        <v>44771</v>
      </c>
      <c r="C37" s="101">
        <f>Total!C3279</f>
        <v>44811</v>
      </c>
      <c r="D37" s="112" t="s">
        <v>1092</v>
      </c>
      <c r="E37" s="332" t="str">
        <f>Total!E3279</f>
        <v>Edificació</v>
      </c>
      <c r="F37" s="96" t="str">
        <f>Total!F3279</f>
        <v>Projectes i Direccions d'Obra</v>
      </c>
      <c r="G37" s="112" t="str">
        <f>Total!G3279</f>
        <v>PE+DO. CAP-22324</v>
      </c>
      <c r="H37" s="112" t="str">
        <f>Total!H3279</f>
        <v>Serveis per a l'assistència tècnica per a la redacció del projecte bàsic i executiu i la posterior direcció de les obres de rehabilitació i millora de l'eficiència energètica de l'edifici CAP Mollerussa.</v>
      </c>
      <c r="I37" s="157">
        <f>Total!I3279</f>
        <v>355817.61</v>
      </c>
    </row>
    <row r="38" spans="1:9" x14ac:dyDescent="0.2">
      <c r="A38" s="8">
        <v>37</v>
      </c>
      <c r="B38" s="101">
        <f>Total!B3280</f>
        <v>44771</v>
      </c>
      <c r="C38" s="101">
        <f>Total!C3280</f>
        <v>44811</v>
      </c>
      <c r="D38" s="112" t="s">
        <v>1092</v>
      </c>
      <c r="E38" s="332" t="str">
        <f>Total!E3280</f>
        <v>Edificació</v>
      </c>
      <c r="F38" s="96" t="str">
        <f>Total!F3280</f>
        <v>Projectes i Direccions d'Obra</v>
      </c>
      <c r="G38" s="112" t="str">
        <f>Total!G3280</f>
        <v>PE+DO APC-22271</v>
      </c>
      <c r="H38" s="112" t="str">
        <f>Total!H3280</f>
        <v>Serveis per a A.T. per a la redacció del projecte bàsic i executiu i la posterior direcció de les ob res de rehabilitació, millora de l'eficiència energètica i instal·lació de plaques fotovoltaiques a l'edifici CRBMC a St. Cugat de Vallès.</v>
      </c>
      <c r="I38" s="157">
        <f>Total!I3280</f>
        <v>141901.45000000001</v>
      </c>
    </row>
    <row r="39" spans="1:9" x14ac:dyDescent="0.2">
      <c r="A39" s="8">
        <v>38</v>
      </c>
      <c r="B39" s="101">
        <f>Total!B3281</f>
        <v>44771</v>
      </c>
      <c r="C39" s="101">
        <f>Total!C3281</f>
        <v>44811</v>
      </c>
      <c r="D39" s="112" t="s">
        <v>1092</v>
      </c>
      <c r="E39" s="332" t="str">
        <f>Total!E3281</f>
        <v>Edificació</v>
      </c>
      <c r="F39" s="96" t="str">
        <f>Total!F3281</f>
        <v>Projectes i Direccions d'Obra</v>
      </c>
      <c r="G39" s="112" t="str">
        <f>Total!G3281</f>
        <v>PE+DO APC-22270</v>
      </c>
      <c r="H39" s="112" t="str">
        <f>Total!H3281</f>
        <v>Serveis per a A.T. per a la redacció del projecte bàsic i executiu i la posterior direcció de les obr es de rehabilitació, millora de l'eficiència energètica i instal·lació de plaques fotovoltaiques al Dipòsit de Patrimoni Cultural a Cervera.</v>
      </c>
      <c r="I39" s="157">
        <f>Total!I3281</f>
        <v>68850.92</v>
      </c>
    </row>
    <row r="40" spans="1:9" x14ac:dyDescent="0.2">
      <c r="A40" s="8">
        <v>39</v>
      </c>
      <c r="B40" s="101">
        <f>Total!B3282</f>
        <v>44771</v>
      </c>
      <c r="C40" s="101">
        <f>Total!C3282</f>
        <v>44811</v>
      </c>
      <c r="D40" s="112" t="s">
        <v>1092</v>
      </c>
      <c r="E40" s="332" t="str">
        <f>Total!E3282</f>
        <v>Edificació</v>
      </c>
      <c r="F40" s="96" t="str">
        <f>Total!F3282</f>
        <v>Projectes i Direccions d'Obra</v>
      </c>
      <c r="G40" s="112" t="str">
        <f>Total!G3282</f>
        <v>PE+DO URV-22277</v>
      </c>
      <c r="H40" s="112" t="str">
        <f>Total!H3282</f>
        <v>Serveis per a A.T. per a la redacció del projecte bàsic i executiu i la posterior direcció de les obr es de rehabilitació, millora de l'eficiència energètica i instal·lació de plaques fotovoltaiques del Campus Catalunya (Edifici A1-D1-CRAI) de la URV.</v>
      </c>
      <c r="I40" s="157">
        <f>Total!I3282</f>
        <v>177839.2</v>
      </c>
    </row>
    <row r="41" spans="1:9" x14ac:dyDescent="0.2">
      <c r="A41" s="8">
        <v>40</v>
      </c>
      <c r="B41" s="101">
        <f>Total!B3283</f>
        <v>44771</v>
      </c>
      <c r="C41" s="101">
        <f>Total!C3283</f>
        <v>44811</v>
      </c>
      <c r="D41" s="112" t="s">
        <v>1092</v>
      </c>
      <c r="E41" s="332" t="str">
        <f>Total!E3283</f>
        <v>Edificació</v>
      </c>
      <c r="F41" s="96" t="str">
        <f>Total!F3283</f>
        <v>Projectes i Direccions d'Obra</v>
      </c>
      <c r="G41" s="112" t="str">
        <f>Total!G3283</f>
        <v>PE+DO UDL-22279</v>
      </c>
      <c r="H41" s="112" t="str">
        <f>Total!H3283</f>
        <v>Serveis per A.T. per a la redacció del projecte bàsic i executiu i la posterior direcció de les obr es de rehabilitació, millora de l'eficiència energètica i instal·lació de plaques fotovoltaiques a l'edifici del Rectorat de la Univ ersitat de Lleida.</v>
      </c>
      <c r="I41" s="157">
        <f>Total!I3283</f>
        <v>196243.4</v>
      </c>
    </row>
    <row r="42" spans="1:9" x14ac:dyDescent="0.2">
      <c r="A42" s="8">
        <v>41</v>
      </c>
      <c r="B42" s="101">
        <f>Total!B3284</f>
        <v>44771</v>
      </c>
      <c r="C42" s="101">
        <f>Total!C3284</f>
        <v>44811</v>
      </c>
      <c r="D42" s="112" t="s">
        <v>1092</v>
      </c>
      <c r="E42" s="332" t="str">
        <f>Total!E3284</f>
        <v>Edificació</v>
      </c>
      <c r="F42" s="96" t="str">
        <f>Total!F3284</f>
        <v>Projectes i Direccions d'Obra</v>
      </c>
      <c r="G42" s="112" t="str">
        <f>Total!G3284</f>
        <v>PE+DO. IME-22267</v>
      </c>
      <c r="H42" s="112" t="str">
        <f>Total!H3284</f>
        <v>Serveis per a l'assistència tècnica per a la redacció del projecte bàsic i executiu i la posterior direcció de les obres de rehabilitació i millora de l'eficiència energètica a l'Institut Dertosa de Tortosa.</v>
      </c>
      <c r="I42" s="157">
        <f>Total!I3284</f>
        <v>298228.71999999997</v>
      </c>
    </row>
    <row r="43" spans="1:9" x14ac:dyDescent="0.2">
      <c r="A43" s="8">
        <v>42</v>
      </c>
      <c r="B43" s="101">
        <f>Total!B3285</f>
        <v>44771</v>
      </c>
      <c r="C43" s="101">
        <f>Total!C3285</f>
        <v>44811</v>
      </c>
      <c r="D43" s="112" t="s">
        <v>1092</v>
      </c>
      <c r="E43" s="332" t="str">
        <f>Total!E3285</f>
        <v>Edificació</v>
      </c>
      <c r="F43" s="96" t="str">
        <f>Total!F3285</f>
        <v>Projectes i Direccions d'Obra</v>
      </c>
      <c r="G43" s="112" t="str">
        <f>Total!G3285</f>
        <v>PE+DO. CAP-22233</v>
      </c>
      <c r="H43" s="112" t="str">
        <f>Total!H3285</f>
        <v>Serveis per a l'assistència tècnica per a la redacció del projecte bàsic i executiu i la posterior direcció de les obres de rehabilitació i millora de l'eficiència energètica de l'edifici CAP Sant Quirze del Vallès.</v>
      </c>
      <c r="I43" s="157">
        <f>Total!I3285</f>
        <v>183965.55</v>
      </c>
    </row>
    <row r="44" spans="1:9" x14ac:dyDescent="0.2">
      <c r="A44" s="8">
        <v>43</v>
      </c>
      <c r="B44" s="101">
        <f>Total!B3286</f>
        <v>44771</v>
      </c>
      <c r="C44" s="101">
        <f>Total!C3286</f>
        <v>44811</v>
      </c>
      <c r="D44" s="112" t="s">
        <v>1092</v>
      </c>
      <c r="E44" s="332" t="str">
        <f>Total!E3286</f>
        <v>Edificació</v>
      </c>
      <c r="F44" s="96" t="str">
        <f>Total!F3286</f>
        <v>Projectes i Direccions d'Obra</v>
      </c>
      <c r="G44" s="112" t="str">
        <f>Total!G3286</f>
        <v>PE+DO. CAP-22232</v>
      </c>
      <c r="H44" s="112" t="str">
        <f>Total!H3286</f>
        <v>Contracte de serveis per a l'assistència tècnica per a la redacció del projecte bàsic i executiu i la posterior direcció de les obres de rehabilitació i millora de l'eficiència energètica de l'edifici CAP Vendrell.</v>
      </c>
      <c r="I44" s="157">
        <f>Total!I3286</f>
        <v>237675.49</v>
      </c>
    </row>
    <row r="45" spans="1:9" x14ac:dyDescent="0.2">
      <c r="A45" s="8">
        <v>44</v>
      </c>
      <c r="B45" s="101">
        <f>Total!B3287</f>
        <v>44771</v>
      </c>
      <c r="C45" s="101">
        <f>Total!C3287</f>
        <v>44811</v>
      </c>
      <c r="D45" s="112" t="s">
        <v>1092</v>
      </c>
      <c r="E45" s="332" t="str">
        <f>Total!E3287</f>
        <v>Edificació</v>
      </c>
      <c r="F45" s="96" t="str">
        <f>Total!F3287</f>
        <v>Projectes i Direccions d'Obra</v>
      </c>
      <c r="G45" s="112" t="str">
        <f>Total!G3287</f>
        <v>PE+DO. IMG-22266</v>
      </c>
      <c r="H45" s="112" t="str">
        <f>Total!H3287</f>
        <v>Contracte de serveis per a l'assistència tècnica per a la redacció del projecte bàsic i executiu i la posterior direcció de les obres de rehabilitació i millora de l'eficiència energètica a l'Institut Alexandre Deulofeu de Figueres.</v>
      </c>
      <c r="I45" s="157">
        <f>Total!I3287</f>
        <v>321024.38</v>
      </c>
    </row>
    <row r="46" spans="1:9" x14ac:dyDescent="0.2">
      <c r="I46" s="126">
        <f>SUM(I2:I45)</f>
        <v>10246158.610000001</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H32"/>
  <sheetViews>
    <sheetView workbookViewId="0">
      <selection activeCell="F46" sqref="F46"/>
    </sheetView>
  </sheetViews>
  <sheetFormatPr baseColWidth="10" defaultColWidth="11.42578125" defaultRowHeight="12.75" x14ac:dyDescent="0.2"/>
  <cols>
    <col min="1" max="1" width="7" style="10" customWidth="1"/>
    <col min="2" max="2" width="12.42578125" style="10" bestFit="1" customWidth="1"/>
    <col min="3" max="3" width="7.7109375" style="5" bestFit="1" customWidth="1"/>
    <col min="4" max="4" width="10.140625" style="5" bestFit="1" customWidth="1"/>
    <col min="5" max="5" width="19.42578125" style="5" bestFit="1" customWidth="1"/>
    <col min="6" max="6" width="24.7109375" style="5" customWidth="1"/>
    <col min="7" max="7" width="73.42578125" style="35" customWidth="1"/>
    <col min="8" max="8" width="20" style="7" bestFit="1" customWidth="1"/>
  </cols>
  <sheetData>
    <row r="1" spans="1:8" x14ac:dyDescent="0.2">
      <c r="B1" s="37" t="s">
        <v>57</v>
      </c>
      <c r="C1" s="2" t="s">
        <v>58</v>
      </c>
      <c r="D1" s="3" t="s">
        <v>59</v>
      </c>
      <c r="E1" s="3" t="s">
        <v>60</v>
      </c>
      <c r="F1" s="3" t="s">
        <v>61</v>
      </c>
      <c r="G1" s="38" t="s">
        <v>62</v>
      </c>
      <c r="H1" s="39" t="s">
        <v>63</v>
      </c>
    </row>
    <row r="2" spans="1:8" x14ac:dyDescent="0.2">
      <c r="A2" s="8">
        <v>1</v>
      </c>
      <c r="B2" s="47">
        <f>Total!B183</f>
        <v>40275</v>
      </c>
      <c r="C2" s="48" t="str">
        <f>Total!D183</f>
        <v>REGSA</v>
      </c>
      <c r="D2" s="48"/>
      <c r="E2" s="48" t="str">
        <f>Total!F183</f>
        <v>Projectes</v>
      </c>
      <c r="F2" s="48" t="str">
        <f>Total!G183</f>
        <v>PC. TR-10020</v>
      </c>
      <c r="G2" s="48" t="str">
        <f>Total!H183</f>
        <v>Contracte de serveis per a l'assistència tècnica per a la redacció del projecte de condicionament i millora de la xarxa de distribució del reg de la Comunitat de regants de la Presa de Colomers. TM de Colomers, Jafre, Verges, La Tallada d'Empordà, Ullà, Torroella de Montgrí, Bellcaire d'Empordà i Albons (Baix Empordà), l'Escala i Viladamat (Alt Empordà). Clau: TR-10020</v>
      </c>
      <c r="H2" s="49">
        <f>Total!I183</f>
        <v>319000</v>
      </c>
    </row>
    <row r="3" spans="1:8" x14ac:dyDescent="0.2">
      <c r="A3" s="8">
        <f>A2+1</f>
        <v>2</v>
      </c>
      <c r="B3" s="9">
        <f>Total!B184</f>
        <v>40275</v>
      </c>
      <c r="C3" s="34" t="str">
        <f>Total!D184</f>
        <v>GISA</v>
      </c>
      <c r="D3" s="34" t="str">
        <f>Total!E184</f>
        <v>Edificació</v>
      </c>
      <c r="E3" s="34" t="str">
        <f>Total!F184</f>
        <v>Projectes i Direccions d'Obra</v>
      </c>
      <c r="F3" s="34" t="str">
        <f>Total!G184</f>
        <v>PR+DO. HHB-02672-C4</v>
      </c>
      <c r="G3" s="34" t="str">
        <f>Total!H184</f>
        <v>Contracte de serveis per a l'assistència tècnica per a la redacció del projecte complementari núm. 4 i posterior direcció d'obra de remodelació del bloc quirúrgic, àrea de crítics i nucli de comunicacions verticals de l'Àrea General de l'Hospital Vall d'Hebron de Barcelona. Clau: HHB-02672-C4</v>
      </c>
      <c r="H3" s="6">
        <f>Total!I184</f>
        <v>292153.84999999998</v>
      </c>
    </row>
    <row r="4" spans="1:8" x14ac:dyDescent="0.2">
      <c r="A4" s="8">
        <f t="shared" ref="A4:A12" si="0">A3+1</f>
        <v>3</v>
      </c>
      <c r="B4" s="9">
        <f>Total!B185</f>
        <v>40277</v>
      </c>
      <c r="C4" s="34" t="str">
        <f>Total!D185</f>
        <v>GISA</v>
      </c>
      <c r="D4" s="34" t="str">
        <f>Total!E185</f>
        <v>Edificació</v>
      </c>
      <c r="E4" s="34" t="str">
        <f>Total!F185</f>
        <v>Control de Qualitat</v>
      </c>
      <c r="F4" s="34" t="str">
        <f>Total!G185</f>
        <v>CQ. SNE-09316</v>
      </c>
      <c r="G4" s="34" t="str">
        <f>Total!H185</f>
        <v>Contracte de serveis per a l'assistència tècnica del control de qualitat de les obres de nova construcció IE de Sant Carles de la Ràpita, Sant Carles de la Ràpita, IE 1 línia. Clau: SNE-09316</v>
      </c>
      <c r="H4" s="6">
        <f>Total!I185</f>
        <v>43357.16</v>
      </c>
    </row>
    <row r="5" spans="1:8" x14ac:dyDescent="0.2">
      <c r="A5" s="8">
        <f t="shared" si="0"/>
        <v>4</v>
      </c>
      <c r="B5" s="9">
        <f>Total!B186</f>
        <v>40277</v>
      </c>
      <c r="C5" s="34" t="str">
        <f>Total!D186</f>
        <v>GISA</v>
      </c>
      <c r="D5" s="34" t="str">
        <f>Total!E186</f>
        <v>Edificació</v>
      </c>
      <c r="E5" s="34" t="str">
        <f>Total!F186</f>
        <v>Control de Qualitat</v>
      </c>
      <c r="F5" s="34" t="str">
        <f>Total!G186</f>
        <v>CQ. SNH-09315</v>
      </c>
      <c r="G5" s="34" t="str">
        <f>Total!H186</f>
        <v>Contracte de serveis per a l'assistència tècnica del control de qualitat de les obres de nova construcció IE Marta Mata. Torelló IE 2 línies Infantil i Primària (1a fase). Clau: SNH-09315</v>
      </c>
      <c r="H5" s="6">
        <f>Total!I186</f>
        <v>45809.34</v>
      </c>
    </row>
    <row r="6" spans="1:8" x14ac:dyDescent="0.2">
      <c r="A6" s="8">
        <f t="shared" si="0"/>
        <v>5</v>
      </c>
      <c r="B6" s="9">
        <f>Total!B187</f>
        <v>40277</v>
      </c>
      <c r="C6" s="34" t="str">
        <f>Total!D187</f>
        <v>GISA</v>
      </c>
      <c r="D6" s="34" t="str">
        <f>Total!E187</f>
        <v>Edificació</v>
      </c>
      <c r="E6" s="34" t="str">
        <f>Total!F187</f>
        <v>Control de Qualitat</v>
      </c>
      <c r="F6" s="34" t="str">
        <f>Total!G187</f>
        <v>CQ. PNV-09302</v>
      </c>
      <c r="G6" s="34" t="str">
        <f>Total!H187</f>
        <v>Contracte de serveis per a l'assistència tècnica del control de qualitat de les obres de nova construcció CEIP Jaume I, Terrassa CEIP 3 línies. Clau: PNV-09302</v>
      </c>
      <c r="H6" s="6">
        <f>Total!I187</f>
        <v>48485.440000000002</v>
      </c>
    </row>
    <row r="7" spans="1:8" x14ac:dyDescent="0.2">
      <c r="A7" s="8">
        <f t="shared" si="0"/>
        <v>6</v>
      </c>
      <c r="B7" s="9">
        <f>Total!B188</f>
        <v>40277</v>
      </c>
      <c r="C7" s="34" t="str">
        <f>Total!D188</f>
        <v>GISA</v>
      </c>
      <c r="D7" s="34" t="str">
        <f>Total!E188</f>
        <v>Obra Civil</v>
      </c>
      <c r="E7" s="34" t="str">
        <f>Total!F188</f>
        <v>Projectes</v>
      </c>
      <c r="F7" s="34" t="str">
        <f>Total!G188</f>
        <v>PC. TM-00509.4B-BIS.1</v>
      </c>
      <c r="G7" s="34" t="str">
        <f>Total!H188</f>
        <v>Contracte de serveis per a l'assistència tècnica per a la redacció del projecte constructiu 'Línia 9 de Metro de Barcelona. Tram 3r. Zona Universitària-Sagrera Meridiana. Estacions Prat de la Riba, Sarrià i Mandri. Estructures interiors i urbanitzacions'. Clau: TM-00509.4B-BIS.1</v>
      </c>
      <c r="H7" s="6">
        <f>Total!I188</f>
        <v>219827.59</v>
      </c>
    </row>
    <row r="8" spans="1:8" x14ac:dyDescent="0.2">
      <c r="A8" s="8">
        <f t="shared" si="0"/>
        <v>7</v>
      </c>
      <c r="B8" s="9">
        <f>Total!B189</f>
        <v>40277</v>
      </c>
      <c r="C8" s="34" t="str">
        <f>Total!D189</f>
        <v>GISA</v>
      </c>
      <c r="D8" s="34" t="str">
        <f>Total!E189</f>
        <v>Obra Civil</v>
      </c>
      <c r="E8" s="34" t="str">
        <f>Total!F189</f>
        <v>Projectes</v>
      </c>
      <c r="F8" s="34" t="str">
        <f>Total!G189</f>
        <v>PC. TM-00509.4B-BIS.2</v>
      </c>
      <c r="G8" s="34" t="str">
        <f>Total!H189</f>
        <v>Contracte de serveis per a l'assistència tècnica per a la redacció del projecte constructiu 'Línia 9 de Metro de Barcelona. Tram 3r. Zona Universitària-Sagrera Meridiana. Estació Prat de la Riba. Recinte del pou, vestíbul i galeries de connexió'. Clau: TM-00509.4B-BIS.2</v>
      </c>
      <c r="H8" s="6">
        <f>Total!I189</f>
        <v>362068.96</v>
      </c>
    </row>
    <row r="9" spans="1:8" x14ac:dyDescent="0.2">
      <c r="A9" s="8">
        <f t="shared" si="0"/>
        <v>8</v>
      </c>
      <c r="B9" s="9">
        <f>Total!B190</f>
        <v>40277</v>
      </c>
      <c r="C9" s="34" t="str">
        <f>Total!D190</f>
        <v>GISA</v>
      </c>
      <c r="D9" s="34" t="str">
        <f>Total!E190</f>
        <v>Obra Civil</v>
      </c>
      <c r="E9" s="34" t="str">
        <f>Total!F190</f>
        <v>Projectes</v>
      </c>
      <c r="F9" s="34" t="str">
        <f>Total!G190</f>
        <v>PC. TM-00509.4C-BIS.1</v>
      </c>
      <c r="G9" s="34" t="str">
        <f>Total!H190</f>
        <v>Contracte de serveis per a l'assistència tècnica per a la redacció del projecte constructiu 'Línia 9 de Metro de Barcelona. Tram 3r. Zona Universitària-Sagrera Meridiana. Estacions Putxet, Lesseps i Muntanya. Estructures interiors i urbanitzacions'. Clau: TM-00509.4C-BIS.1</v>
      </c>
      <c r="H9" s="6">
        <f>Total!I190</f>
        <v>271551.71999999997</v>
      </c>
    </row>
    <row r="10" spans="1:8" x14ac:dyDescent="0.2">
      <c r="A10" s="8">
        <f t="shared" si="0"/>
        <v>9</v>
      </c>
      <c r="B10" s="9">
        <f>Total!B191</f>
        <v>40277</v>
      </c>
      <c r="C10" s="34" t="str">
        <f>Total!D191</f>
        <v>GISA</v>
      </c>
      <c r="D10" s="34" t="str">
        <f>Total!E191</f>
        <v>Obra Civil</v>
      </c>
      <c r="E10" s="34" t="str">
        <f>Total!F191</f>
        <v>Projectes</v>
      </c>
      <c r="F10" s="34" t="str">
        <f>Total!G191</f>
        <v>PC. TM-00509.4C-BIS.2</v>
      </c>
      <c r="G10" s="34" t="str">
        <f>Total!H191</f>
        <v>Contracte de serveis per a l'assistència tècnica per a la redacció del projecte constructiu 'Línia 9 de Metro de Barcelona. Tram 3r. Zona Universitària-Sagrera Meridiana. Estació de Muntanya. Recinte del pou, vestíbul i galeries de connexió'. Clau: TM-00509.4C-BIS.2</v>
      </c>
      <c r="H10" s="6">
        <f>Total!I191</f>
        <v>344827.59</v>
      </c>
    </row>
    <row r="11" spans="1:8" x14ac:dyDescent="0.2">
      <c r="A11" s="8">
        <f t="shared" si="0"/>
        <v>10</v>
      </c>
      <c r="B11" s="9">
        <f>Total!B192</f>
        <v>40277</v>
      </c>
      <c r="C11" s="34" t="str">
        <f>Total!D192</f>
        <v>GISA</v>
      </c>
      <c r="D11" s="34" t="str">
        <f>Total!E192</f>
        <v>Edificació</v>
      </c>
      <c r="E11" s="34" t="str">
        <f>Total!F192</f>
        <v>Control de Qualitat</v>
      </c>
      <c r="F11" s="34" t="str">
        <f>Total!G192</f>
        <v>CQ. IAG-08383+PAG-06466</v>
      </c>
      <c r="G11" s="34" t="str">
        <f>Total!H192</f>
        <v>Contracte de serveis per a l'assistència tècnica per al control de qualitat de les obres d'adequació institut (substitució cobertes- reparació façana-fusteria-accés i nova construcció escala exterior) a l'Institut Abat Oliba de Ripoll (Ripollès). Clau:IAG-08383 i d'ampliació i reforma Escola 1 línia a l'escola Rocalba de Sant Feliu de Pallerols (La Garrotxa). Clau:PAG-06466</v>
      </c>
      <c r="H11" s="6">
        <f>Total!I192</f>
        <v>68610.42</v>
      </c>
    </row>
    <row r="12" spans="1:8" x14ac:dyDescent="0.2">
      <c r="A12" s="8">
        <f t="shared" si="0"/>
        <v>11</v>
      </c>
      <c r="B12" s="47">
        <f>Total!B193</f>
        <v>40277</v>
      </c>
      <c r="C12" s="48" t="str">
        <f>Total!D193</f>
        <v>GISA</v>
      </c>
      <c r="D12" s="48" t="str">
        <f>Total!E193</f>
        <v>Obra Civil</v>
      </c>
      <c r="E12" s="48" t="str">
        <f>Total!F193</f>
        <v>Projectes</v>
      </c>
      <c r="F12" s="48" t="str">
        <f>Total!G193</f>
        <v>PC. VE-05079</v>
      </c>
      <c r="G12" s="48" t="str">
        <f>Total!H193</f>
        <v>Contracte de serveis per a l'assistència tècnica per a la redacció del projecte constructiu de millora general. Variant desdoblada de Tortosa. Carretera C-12. PK 12+440 al PK 23+650. Eix de l'Ebre. Tram: Tortosa-Aldover. Clau: VE-05079</v>
      </c>
      <c r="H12" s="49">
        <f>Total!I193</f>
        <v>1415517.24</v>
      </c>
    </row>
    <row r="13" spans="1:8" x14ac:dyDescent="0.2">
      <c r="A13" s="8">
        <f t="shared" ref="A13:A21" si="1">A12+1</f>
        <v>12</v>
      </c>
      <c r="B13" s="9">
        <f>Total!B194</f>
        <v>40281</v>
      </c>
      <c r="C13" s="34" t="str">
        <f>Total!D194</f>
        <v>GISA</v>
      </c>
      <c r="D13" s="34" t="str">
        <f>Total!E194</f>
        <v>Edificació</v>
      </c>
      <c r="E13" s="34" t="str">
        <f>Total!F194</f>
        <v>Direccions d'Execució</v>
      </c>
      <c r="F13" s="34" t="str">
        <f>Total!G194</f>
        <v>CSS. SNH-09315+7</v>
      </c>
      <c r="G13" s="34" t="str">
        <f>Total!H194</f>
        <v>Contracte de serveis per a l'assistència tècnica de coordinació de seguretat i salut de les obres 'nova construcció IE Marta Mata. Torelló, IE 2 Línies infantil i primaria (1a Fase)' Clau:SNH-09315; 'nova construcció CEIP Can Manent, Cardedeu CEIP 2 línies' Clau: PNC-09220; 'nova construcció Escola Riera Alta de Santa Coloma de Gramanet, 1a fase infantil, Escola 1 línia' Clau: PNB-10005; 'Ampliació del CEIP Pau Casals de Rubí' clau: PNV-07285; 'Ampliació de l'Institut Miquel Martí i Pol de Cornellà' Clau: IAA-09290; 'Ampliació a l'Escola Castell Ciuró de Molins de Rei (6 aules+específiques),' Clau:PAA-08360; 'Ampliació de l'escola Lola Anglada de Badalona (1 línia)' Clau: PAC-09349 i 'Ampliació Escola Aqua Alba a Gualba, escola 1 línia sense gimnàs,' Clau: PAM-09291</v>
      </c>
      <c r="H13" s="6">
        <f>Total!I194</f>
        <v>68544</v>
      </c>
    </row>
    <row r="14" spans="1:8" x14ac:dyDescent="0.2">
      <c r="A14" s="8">
        <f t="shared" si="1"/>
        <v>13</v>
      </c>
      <c r="B14" s="9">
        <f>Total!B195</f>
        <v>40281</v>
      </c>
      <c r="C14" s="34" t="str">
        <f>Total!D195</f>
        <v>GISA</v>
      </c>
      <c r="D14" s="34" t="str">
        <f>Total!E195</f>
        <v>Edificació</v>
      </c>
      <c r="E14" s="34" t="str">
        <f>Total!F195</f>
        <v>Direccions d'Execució</v>
      </c>
      <c r="F14" s="34" t="str">
        <f>Total!G195</f>
        <v>CSS. SNL-09314+3</v>
      </c>
      <c r="G14" s="34" t="str">
        <f>Total!H195</f>
        <v>Contracte de serveis per a l'assistència tècnica de coordinació de seguretat i salut de les obres 'Nova construcció IE La Mitjana, Lleida, IE 2 Línies.' Clau: SNL-09314; 'Nova construcció IE de Sant Carles a Sant Carles de la Ràpita, Sant Carles de la Ràpita, IE 1 Línia' Clau: SNE-09316; 'Nova costrucció La Bobila, Cambrils CEIP 2 Línies' Clau: PNT-09219 i 'nova construcció IES Els Pallaressos, Els Pallaressos IES 3/0 (Ampliable)' Clau: INT-09226</v>
      </c>
      <c r="H14" s="6">
        <f>Total!I195</f>
        <v>54600</v>
      </c>
    </row>
    <row r="15" spans="1:8" x14ac:dyDescent="0.2">
      <c r="A15" s="8">
        <f t="shared" si="1"/>
        <v>14</v>
      </c>
      <c r="B15" s="9">
        <f>Total!B196</f>
        <v>40281</v>
      </c>
      <c r="C15" s="34" t="str">
        <f>Total!D196</f>
        <v>GISA</v>
      </c>
      <c r="D15" s="34" t="str">
        <f>Total!E196</f>
        <v>Edificació</v>
      </c>
      <c r="E15" s="34" t="str">
        <f>Total!F196</f>
        <v>Direccions d'Execució</v>
      </c>
      <c r="F15" s="34" t="str">
        <f>Total!G196</f>
        <v>CSS. PNG-09231+4</v>
      </c>
      <c r="G15" s="34" t="str">
        <f>Total!H196</f>
        <v>Contracte de serveis per a l'assistència tècnica de Coordinació de Seguretat i Salut de les obres 'Nova construcció CEIP El Morrot, Olot CEIP 1 Línia' Clau:PNG-09231; 'Ampliació Institut CAP Norfeu a Roses (Alt Empordà)' Clau: IAG-06264; 'Ampliació 3/2 línies (2a fase) a l'Institut Puig Cargol de Calonge (Baix Empordà)' Clau: IAG-07463 i 'Ampliació institut 3/3 línies artístic a l'Institut Santiago Sobrequés i Vidal de Girona' Clau: IAG-06421 i 'Nova construcció de l'Escola Pericot a Girona, Escola 2 línies sense gimnàs, vestidors i pistes' Clau: PNG-09207</v>
      </c>
      <c r="H15" s="6">
        <f>Total!I196</f>
        <v>72744</v>
      </c>
    </row>
    <row r="16" spans="1:8" x14ac:dyDescent="0.2">
      <c r="A16" s="8">
        <f t="shared" si="1"/>
        <v>15</v>
      </c>
      <c r="B16" s="9">
        <f>Total!B197</f>
        <v>40281</v>
      </c>
      <c r="C16" s="34" t="str">
        <f>Total!D197</f>
        <v>GISA</v>
      </c>
      <c r="D16" s="34" t="str">
        <f>Total!E197</f>
        <v>Edificació</v>
      </c>
      <c r="E16" s="34" t="str">
        <f>Total!F197</f>
        <v>Direccions d'Execució</v>
      </c>
      <c r="F16" s="34" t="str">
        <f>Total!G197</f>
        <v>CSS. PNV-09302+4</v>
      </c>
      <c r="G16" s="34" t="str">
        <f>Total!H197</f>
        <v>Contracte de serveis per a l'assistència tècnica de coordinació de seguretat i salut de les obres 'Nova construcció CEIP Jaume I, Terrassa CEIP 3 Línies'. Clau:PNV-09302; 'Nova construcció CEIP Fluvià, Barcelona CEIP 2 Línies'. Clau:PNB-09217; 'Nova construcció CEIP Josep Guinovart, Castelldefels CEIP 2 Línies' Clau: PNA-09221; 'Nova construcció CEIP Els Alocs, Vilassar de Mar CEIP 1 Línia' Clau:PNM-09306' i 'Nova construcció CEIP Vapor Cortés, Terrassa CEIP 2 Línies' Clau:PNV-09301</v>
      </c>
      <c r="H16" s="6">
        <f>Total!I197</f>
        <v>54600</v>
      </c>
    </row>
    <row r="17" spans="1:8" x14ac:dyDescent="0.2">
      <c r="A17" s="8">
        <f t="shared" si="1"/>
        <v>16</v>
      </c>
      <c r="B17" s="9">
        <f>Total!B198</f>
        <v>40282</v>
      </c>
      <c r="C17" s="34" t="str">
        <f>Total!D198</f>
        <v>GISA</v>
      </c>
      <c r="D17" s="34" t="str">
        <f>Total!E198</f>
        <v>Edificació</v>
      </c>
      <c r="E17" s="34" t="str">
        <f>Total!F198</f>
        <v>Projectes i Direccions d'Obra</v>
      </c>
      <c r="F17" s="34" t="str">
        <f>Total!G198</f>
        <v>PE+DO CSG-10006 2v</v>
      </c>
      <c r="G17" s="34" t="str">
        <f>Total!H198</f>
        <v xml:space="preserve">Contracte de serveis per a l'assistència tècnica per a la redacció del projecte bàsic i d'execució, la certificació d'eficiència energètica del projecte, l'estudi de seguretat i salut, l'estudi geotècnic, el pla de gestió de residus, el projecte d'activitats per a llicència ambiental i posterior Direcció d'Obra i certificació d'eficiència energètica de final d'obra corresponent a la Nova Constr ucció de la Comissaria de la PG-ME corresponent al nou Edifici Regional de Salt. Clau:CSG-10006(2v) </v>
      </c>
      <c r="H17" s="6">
        <f>Total!I198</f>
        <v>880012.86</v>
      </c>
    </row>
    <row r="18" spans="1:8" x14ac:dyDescent="0.2">
      <c r="A18" s="8">
        <f t="shared" si="1"/>
        <v>17</v>
      </c>
      <c r="B18" s="9">
        <f>Total!B199</f>
        <v>40282</v>
      </c>
      <c r="C18" s="34" t="str">
        <f>Total!D199</f>
        <v>GISA</v>
      </c>
      <c r="D18" s="34" t="str">
        <f>Total!E199</f>
        <v>Edificació</v>
      </c>
      <c r="E18" s="34" t="str">
        <f>Total!F199</f>
        <v>Direccions d'Obra</v>
      </c>
      <c r="F18" s="34" t="str">
        <f>Total!G199</f>
        <v>DO JJL-06378</v>
      </c>
      <c r="G18" s="34" t="str">
        <f>Total!H199</f>
        <v>Contracte de serveis per la direcció de les obres 'd'ampliació de l'edifici Judicial del Canyeret de Lleida.Clau:JJL-06378</v>
      </c>
      <c r="H18" s="6">
        <f>Total!I199</f>
        <v>171187.93</v>
      </c>
    </row>
    <row r="19" spans="1:8" x14ac:dyDescent="0.2">
      <c r="A19" s="8">
        <f t="shared" si="1"/>
        <v>18</v>
      </c>
      <c r="B19" s="9">
        <f>Total!B200</f>
        <v>40282</v>
      </c>
      <c r="C19" s="34" t="str">
        <f>Total!D200</f>
        <v>GISA</v>
      </c>
      <c r="D19" s="34" t="str">
        <f>Total!E200</f>
        <v>Edificació</v>
      </c>
      <c r="E19" s="34" t="str">
        <f>Total!F200</f>
        <v>Direccions d'Execució</v>
      </c>
      <c r="F19" s="34" t="str">
        <f>Total!G200</f>
        <v>DE. PNV-07285 + IAG-07463</v>
      </c>
      <c r="G19" s="34" t="str">
        <f>Total!H200</f>
        <v>Contracte de serveis per a la direcció d'execució conjunta de les obres de nova construcció del CEIP Pau Casals de Rubí, clau: PNV-07285 i de l'ampliació institut 3/2 línies (2a fase) a l'Institut Puig Cargol de Calonge (Baix Empordà), clau: IAG-07463</v>
      </c>
      <c r="H19" s="6">
        <f>Total!I200</f>
        <v>190000</v>
      </c>
    </row>
    <row r="20" spans="1:8" x14ac:dyDescent="0.2">
      <c r="A20" s="8">
        <f t="shared" si="1"/>
        <v>19</v>
      </c>
      <c r="B20" s="9">
        <f>Total!B201</f>
        <v>40282</v>
      </c>
      <c r="C20" s="34" t="str">
        <f>Total!D201</f>
        <v>GISA</v>
      </c>
      <c r="D20" s="34" t="str">
        <f>Total!E201</f>
        <v>Edificació</v>
      </c>
      <c r="E20" s="34" t="str">
        <f>Total!F201</f>
        <v>Direccions d'Execució</v>
      </c>
      <c r="F20" s="34" t="str">
        <f>Total!G201</f>
        <v>DE. BSV-09203+1</v>
      </c>
      <c r="G20" s="34" t="str">
        <f>Total!H201</f>
        <v>Contracte de serveis per a la direcció d'execució de les obres d'Enderroc i nova construcció del Casal de Gent Gran i Oficina d'Acció Ciutadana d'Igualada. Clau : BSV-09203 i Execució de les obres de nova construcció del Casal de Gent Gran d'Alcanar. Clau : BSV-09379</v>
      </c>
      <c r="H20" s="6">
        <f>Total!I201</f>
        <v>131702.39999999999</v>
      </c>
    </row>
    <row r="21" spans="1:8" x14ac:dyDescent="0.2">
      <c r="A21" s="8">
        <f t="shared" si="1"/>
        <v>20</v>
      </c>
      <c r="B21" s="9">
        <f>Total!B202</f>
        <v>40282</v>
      </c>
      <c r="C21" s="34" t="str">
        <f>Total!D202</f>
        <v>GISA</v>
      </c>
      <c r="D21" s="34" t="str">
        <f>Total!E202</f>
        <v>Edificació</v>
      </c>
      <c r="E21" s="34" t="str">
        <f>Total!F202</f>
        <v>Direccions d'Execució</v>
      </c>
      <c r="F21" s="34" t="str">
        <f>Total!G202</f>
        <v>DE. PGB-05514.A + 1</v>
      </c>
      <c r="G21" s="34" t="str">
        <f>Total!H202</f>
        <v>Contracte de serveis per a la direcció d'execució conjunta de les obres de Reforma del Parc de Bombers de Guardiola de Berguedà. Clau : PGB-05514.A i per les obres d'adequació funcional de la Comissaria de la Policia de la Generalitat-Mossos d'Esquadra del barri d'Horta-Guinardó de Barcelona. Clau:CBB-09267</v>
      </c>
      <c r="H21" s="6">
        <f>Total!I202</f>
        <v>97000</v>
      </c>
    </row>
    <row r="22" spans="1:8" x14ac:dyDescent="0.2">
      <c r="A22" s="8">
        <f t="shared" ref="A22:A28" si="2">A21+1</f>
        <v>21</v>
      </c>
      <c r="B22" s="9">
        <f>Total!B203</f>
        <v>40294</v>
      </c>
      <c r="C22" s="34" t="str">
        <f>Total!D203</f>
        <v>GISA</v>
      </c>
      <c r="D22" s="34" t="str">
        <f>Total!E203</f>
        <v>Edificació</v>
      </c>
      <c r="E22" s="34" t="str">
        <f>Total!F203</f>
        <v>Direccions d'Execució</v>
      </c>
      <c r="F22" s="34" t="str">
        <f>Total!G203</f>
        <v>DE. PAC-07364+PAC-09350</v>
      </c>
      <c r="G22" s="34" t="str">
        <f>Total!H203</f>
        <v>Contracte de serveis per a la direcció d'execució conjunta de les obres de 'reforma i ampliació escola a 2 línies a l'Escola Mare de Deu de Montserrat de Premià de Mar (Maresme)'. Clau: PAC-07364 i 'Escola Baldiri i Reixac de Badalona' Clau: PAC-09350</v>
      </c>
      <c r="H22" s="6">
        <f>Total!I203</f>
        <v>190000</v>
      </c>
    </row>
    <row r="23" spans="1:8" x14ac:dyDescent="0.2">
      <c r="A23" s="8">
        <f t="shared" si="2"/>
        <v>22</v>
      </c>
      <c r="B23" s="9">
        <f>Total!B204</f>
        <v>40294</v>
      </c>
      <c r="C23" s="34" t="str">
        <f>Total!D204</f>
        <v>GISA</v>
      </c>
      <c r="D23" s="34" t="str">
        <f>Total!E204</f>
        <v>Edificació</v>
      </c>
      <c r="E23" s="34" t="str">
        <f>Total!F204</f>
        <v>Direccions d'Execució</v>
      </c>
      <c r="F23" s="34" t="str">
        <f>Total!G204</f>
        <v>DE. PAL-07303+PAL-06472</v>
      </c>
      <c r="G23" s="34" t="str">
        <f>Total!H204</f>
        <v>Contracte de serveis per a la direcció d'execució conjunta de les obres de 'reforma i ampliació Escola ( 6 aules, aules específiques, despatx, gimnàs i menjador) a l'Escola Àngel Serafí i Casanovas de Sort (Pallars Sobirà)'. Clau: PAL-07303 i 'Ampliació de l'Escola Mossèn Ton Clavé - ZER Vent Seré a Vila-Sana'. Clau:PAL-06472</v>
      </c>
      <c r="H23" s="6">
        <f>Total!I204</f>
        <v>190000</v>
      </c>
    </row>
    <row r="24" spans="1:8" x14ac:dyDescent="0.2">
      <c r="A24" s="8">
        <f t="shared" si="2"/>
        <v>23</v>
      </c>
      <c r="B24" s="9">
        <f>Total!B205</f>
        <v>40294</v>
      </c>
      <c r="C24" s="34" t="str">
        <f>Total!D205</f>
        <v>GISA</v>
      </c>
      <c r="D24" s="34" t="str">
        <f>Total!E205</f>
        <v>Edificació</v>
      </c>
      <c r="E24" s="34" t="str">
        <f>Total!F205</f>
        <v>Control de Qualitat</v>
      </c>
      <c r="F24" s="34" t="str">
        <f>Total!G205</f>
        <v>CQ. PAL-07303</v>
      </c>
      <c r="G24" s="34" t="str">
        <f>Total!H205</f>
        <v>Contracte de serveis per a l'assistència tècnica per al control de qualitat de les obres de reforma i ampliació escola (6 aules, aules específiques, despatx, gimnàs i menjador) a l'Escola Àngel Serafí i Casanovas a Sort (Pallars Sobirà). Clau: PAL-07303</v>
      </c>
      <c r="H24" s="6">
        <f>Total!I205</f>
        <v>64970.09</v>
      </c>
    </row>
    <row r="25" spans="1:8" x14ac:dyDescent="0.2">
      <c r="A25" s="8">
        <f t="shared" si="2"/>
        <v>24</v>
      </c>
      <c r="B25" s="9">
        <f>Total!B206</f>
        <v>40294</v>
      </c>
      <c r="C25" s="34" t="str">
        <f>Total!D206</f>
        <v>GISA</v>
      </c>
      <c r="D25" s="34" t="str">
        <f>Total!E206</f>
        <v>Edificació</v>
      </c>
      <c r="E25" s="34" t="str">
        <f>Total!F206</f>
        <v>Control de Qualitat</v>
      </c>
      <c r="F25" s="34" t="str">
        <f>Total!G206</f>
        <v>CQ. IAG-07463+PAC-07364</v>
      </c>
      <c r="G25" s="34" t="str">
        <f>Total!H206</f>
        <v>Contracte de serveis per a l'assistència tècnica del control de qualitat conjunt de les obres 'ampliació institut 3/2 línies (2a fase) a l'Institut Puig Cargol de Calonge (Baix Empordà). Clau:IAG-07463 i 'Reforma i ampliació escola a 2 línies a l'Escola Mare de Deu de Montserrat de Premià de Mar(Maresme). Clau: PAC-07364</v>
      </c>
      <c r="H25" s="6">
        <f>Total!I206</f>
        <v>103482.63</v>
      </c>
    </row>
    <row r="26" spans="1:8" x14ac:dyDescent="0.2">
      <c r="A26" s="8">
        <f t="shared" si="2"/>
        <v>25</v>
      </c>
      <c r="B26" s="9">
        <f>Total!B207</f>
        <v>40294</v>
      </c>
      <c r="C26" s="34" t="str">
        <f>Total!D207</f>
        <v>GISA</v>
      </c>
      <c r="D26" s="34" t="str">
        <f>Total!E207</f>
        <v>Edificació</v>
      </c>
      <c r="E26" s="34" t="str">
        <f>Total!F207</f>
        <v>Control de Qualitat</v>
      </c>
      <c r="F26" s="34" t="str">
        <f>Total!G207</f>
        <v>CQ.BSV-09203 + 1</v>
      </c>
      <c r="G26" s="34" t="str">
        <f>Total!H207</f>
        <v>Contracte de serveis per l'assistència tècnica de control de qualitat conjunt de les obres de 'Enderroc i nova construcció del Casal de Gent Gran i Oficina d'Acció Ciutadana d'Igualada ' Clau:BSV-09203 i ' Nova Construcció del Casal de Gent Gran d'Alcanar'. Clau : BSV-09379</v>
      </c>
      <c r="H26" s="6">
        <f>Total!I207</f>
        <v>64954.86</v>
      </c>
    </row>
    <row r="27" spans="1:8" x14ac:dyDescent="0.2">
      <c r="A27" s="8">
        <f t="shared" si="2"/>
        <v>26</v>
      </c>
      <c r="B27" s="9">
        <f>Total!B208</f>
        <v>40295</v>
      </c>
      <c r="C27" s="34" t="str">
        <f>Total!D208</f>
        <v>GISA</v>
      </c>
      <c r="D27" s="34" t="str">
        <f>Total!E208</f>
        <v>Edificació</v>
      </c>
      <c r="E27" s="34" t="str">
        <f>Total!F208</f>
        <v>Direccions d'Execució</v>
      </c>
      <c r="F27" s="34" t="str">
        <f>Total!G208</f>
        <v>CSS. BSV-09203+3</v>
      </c>
      <c r="G27" s="34" t="str">
        <f>Total!H208</f>
        <v>Contracte de serveis per a l'assistència tècnica de coordinació de seguretat i salut conjunta de les obres 'Enderroc i nova construcció del Casal de Gent Gran i Oficina d'Acció Ciutadana d'Igualada'. Clau:BSV-09203; 'Nova construcció del Casal de Gent Gran d'Alcanar'. Clau: BSV-09379; 'Adequació funcional de la Comissaria de Policia de la Generalitat-Mossos d'Esquadra del barri d'Horta-Guinardo de Barcelona'. Clau:CBB-09267 i ' Reforma del Parc de Bombers de Guardiola de Berguedà' Clau: PGB-05514.A</v>
      </c>
      <c r="H27" s="6">
        <f>Total!I208</f>
        <v>91656</v>
      </c>
    </row>
    <row r="28" spans="1:8" x14ac:dyDescent="0.2">
      <c r="A28" s="8">
        <f t="shared" si="2"/>
        <v>27</v>
      </c>
      <c r="B28" s="9">
        <f>Total!B209</f>
        <v>40295</v>
      </c>
      <c r="C28" s="34" t="str">
        <f>Total!D209</f>
        <v>GISA</v>
      </c>
      <c r="D28" s="34" t="str">
        <f>Total!E209</f>
        <v>Obra Civil</v>
      </c>
      <c r="E28" s="34" t="str">
        <f>Total!F209</f>
        <v>Control de Qualitat</v>
      </c>
      <c r="F28" s="34" t="str">
        <f>Total!G209</f>
        <v>CQ.TM-00509.35.2</v>
      </c>
      <c r="G28" s="34" t="str">
        <f>Total!H209</f>
        <v>Contracte de serveis per a l'assistència tècnica de control de qualitat de les obres del projecte constructiu de superestructura (via i catenària) del tram Prat Eixample Nord-Bifurcació Gornal de l'L9 del Metro de Barcelona. Clau: TM-00509.35.2</v>
      </c>
      <c r="H28" s="6">
        <f>Total!I209</f>
        <v>150233.73000000001</v>
      </c>
    </row>
    <row r="29" spans="1:8" x14ac:dyDescent="0.2">
      <c r="A29" s="8">
        <f>A28+1</f>
        <v>28</v>
      </c>
      <c r="B29" s="43">
        <f>Total!B210</f>
        <v>40296</v>
      </c>
      <c r="C29" s="46" t="str">
        <f>Total!D210</f>
        <v>GISA</v>
      </c>
      <c r="D29" s="46" t="str">
        <f>Total!E210</f>
        <v>Obra Civil</v>
      </c>
      <c r="E29" s="46" t="str">
        <f>Total!F210</f>
        <v>Direccions d'Obra</v>
      </c>
      <c r="F29" s="46" t="str">
        <f>Total!G210</f>
        <v>DO.TM-00509.4E</v>
      </c>
      <c r="G29" s="46" t="str">
        <f>Total!H210</f>
        <v>Contracte de serveis per a la direcció de les obres del projecte constructiu de l'L9 de Metro de Barcelona. Tram 3r. Zona Universitària - Sagrera Meridiana. Complements d'estructura interior, via i catenària del túnel 3. Tram: Zona Universitària - Sagrera Meridiana. Clau: TM-00509.4E</v>
      </c>
      <c r="H29" s="44">
        <f>Total!I210</f>
        <v>1988888.89</v>
      </c>
    </row>
    <row r="30" spans="1:8" x14ac:dyDescent="0.2">
      <c r="A30" s="8">
        <f>A29+1</f>
        <v>29</v>
      </c>
      <c r="B30" s="9">
        <f>Total!B211</f>
        <v>40296</v>
      </c>
      <c r="C30" s="34" t="str">
        <f>Total!D211</f>
        <v>REGSA</v>
      </c>
      <c r="D30" s="34"/>
      <c r="E30" s="34" t="str">
        <f>Total!F211</f>
        <v>Projectes</v>
      </c>
      <c r="F30" s="34" t="str">
        <f>Total!G211</f>
        <v>PC. XA-10032</v>
      </c>
      <c r="G30" s="34" t="str">
        <f>Total!H211</f>
        <v>Contracte de serveis per a l'assistència tècnica per a la redacció del projecte de condicionament i millora de diversos camins de la comarca del Pla d'Urgell. Clau: XA-10032</v>
      </c>
      <c r="H30" s="6">
        <f>Total!I211</f>
        <v>130000</v>
      </c>
    </row>
    <row r="31" spans="1:8" ht="13.5" thickBot="1" x14ac:dyDescent="0.25">
      <c r="A31" s="8">
        <f>A30+1</f>
        <v>30</v>
      </c>
      <c r="B31" s="9">
        <f>Total!B212</f>
        <v>40297</v>
      </c>
      <c r="C31" s="34" t="str">
        <f>Total!D212</f>
        <v>GISA</v>
      </c>
      <c r="D31" s="34" t="str">
        <f>Total!E212</f>
        <v>Obra Civil</v>
      </c>
      <c r="E31" s="34" t="str">
        <f>Total!F212</f>
        <v>Projectes</v>
      </c>
      <c r="F31" s="34" t="str">
        <f>Total!G212</f>
        <v>PC. TM-02609.22.1/TM-02609.22.2</v>
      </c>
      <c r="G31" s="34" t="str">
        <f>Total!H212</f>
        <v>Contracte de serveis per a l'assistència tècnica per a la redacció conjunta dels projectes: 'Projecte constructiu d'alimentació provisional de la Línia 9 de Metro de Barcelona des de la xarxa d'ENDESA. Tram 1 des de S.E. Aeroport. Clau: TM-02609.22.1' i 'Projecte constructiu d'alimentació provisional de la Línia 9 de Metro de Barcelona des de la xarxa d'ENDESA. Tram II des de S.E. Motors. Clau: TM-02609.22.2'</v>
      </c>
      <c r="H31" s="6">
        <f>Total!I212</f>
        <v>198275.86</v>
      </c>
    </row>
    <row r="32" spans="1:8" ht="13.5" thickBot="1" x14ac:dyDescent="0.25">
      <c r="H32" s="33">
        <f>SUM(H2:H31)-H29</f>
        <v>6335173.6700000009</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H63"/>
  <sheetViews>
    <sheetView workbookViewId="0">
      <pane ySplit="1" topLeftCell="A27" activePane="bottomLeft" state="frozen"/>
      <selection pane="bottomLeft" activeCell="G31" sqref="G31"/>
    </sheetView>
  </sheetViews>
  <sheetFormatPr baseColWidth="10" defaultColWidth="11.42578125" defaultRowHeight="12.75" x14ac:dyDescent="0.2"/>
  <cols>
    <col min="1" max="1" width="7" style="10" customWidth="1"/>
    <col min="2" max="2" width="12.42578125" style="10" bestFit="1" customWidth="1"/>
    <col min="3" max="3" width="7.7109375" style="5" bestFit="1" customWidth="1"/>
    <col min="4" max="4" width="10.140625" style="5" bestFit="1" customWidth="1"/>
    <col min="5" max="5" width="19.42578125" style="5" bestFit="1" customWidth="1"/>
    <col min="6" max="6" width="24.7109375" style="5" customWidth="1"/>
    <col min="7" max="7" width="73.42578125" style="35" customWidth="1"/>
    <col min="8" max="8" width="20" style="7" bestFit="1" customWidth="1"/>
  </cols>
  <sheetData>
    <row r="1" spans="1:8" x14ac:dyDescent="0.2">
      <c r="B1" s="37" t="s">
        <v>57</v>
      </c>
      <c r="C1" s="2" t="s">
        <v>58</v>
      </c>
      <c r="D1" s="3" t="s">
        <v>59</v>
      </c>
      <c r="E1" s="3" t="s">
        <v>60</v>
      </c>
      <c r="F1" s="3" t="s">
        <v>61</v>
      </c>
      <c r="G1" s="38" t="s">
        <v>62</v>
      </c>
      <c r="H1" s="39" t="s">
        <v>63</v>
      </c>
    </row>
    <row r="2" spans="1:8" x14ac:dyDescent="0.2">
      <c r="A2" s="8">
        <v>1</v>
      </c>
      <c r="B2" s="9">
        <f>Total!B122</f>
        <v>40238</v>
      </c>
      <c r="C2" s="34" t="str">
        <f>Total!D122</f>
        <v>GISA</v>
      </c>
      <c r="D2" s="34" t="str">
        <f>Total!E122</f>
        <v>Obra Civil</v>
      </c>
      <c r="E2" s="34" t="str">
        <f>Total!F122</f>
        <v>Projectes</v>
      </c>
      <c r="F2" s="34" t="str">
        <f>Total!G122</f>
        <v>EV. EG-TX-10004</v>
      </c>
      <c r="G2" s="34" t="str">
        <f>Total!H122</f>
        <v>Contracte de serveis per a l'assistència tècnica per a la redacció de l'estudi geològic, geotècnic i hidrogeològic del nou sistema tramviari entre Bellaterra i Montcada i Reixac. Clau: EG-TX-10004</v>
      </c>
      <c r="H2" s="6">
        <f>Total!I122</f>
        <v>48000</v>
      </c>
    </row>
    <row r="3" spans="1:8" x14ac:dyDescent="0.2">
      <c r="A3" s="8">
        <f t="shared" ref="A3:A8" si="0">A2+1</f>
        <v>2</v>
      </c>
      <c r="B3" s="9">
        <f>Total!B123</f>
        <v>40238</v>
      </c>
      <c r="C3" s="34" t="str">
        <f>Total!D123</f>
        <v>GISA</v>
      </c>
      <c r="D3" s="34" t="str">
        <f>Total!E123</f>
        <v>Obra Civil</v>
      </c>
      <c r="E3" s="34" t="str">
        <f>Total!F123</f>
        <v>Projectes</v>
      </c>
      <c r="F3" s="34" t="str">
        <f>Total!G123</f>
        <v>PC. MB-09074</v>
      </c>
      <c r="G3" s="34" t="str">
        <f>Total!H123</f>
        <v>Contracte de serveis per a l'assistència tècnica per a la redacció del projecte constructiu de millora local. Rotonda a la carretera BP-5002. PK 3+200. Tram: Can Magarola (Alella). Clau: MB-09074</v>
      </c>
      <c r="H3" s="6">
        <f>Total!I123</f>
        <v>55258.62</v>
      </c>
    </row>
    <row r="4" spans="1:8" x14ac:dyDescent="0.2">
      <c r="A4" s="8">
        <f t="shared" si="0"/>
        <v>3</v>
      </c>
      <c r="B4" s="9">
        <f>Total!B124</f>
        <v>40238</v>
      </c>
      <c r="C4" s="34" t="str">
        <f>Total!D124</f>
        <v>GISA</v>
      </c>
      <c r="D4" s="34" t="str">
        <f>Total!E124</f>
        <v>Obra Civil</v>
      </c>
      <c r="E4" s="34" t="str">
        <f>Total!F124</f>
        <v>Control de Qualitat</v>
      </c>
      <c r="F4" s="34" t="str">
        <f>Total!G124</f>
        <v>CQP. EI-TX-10003</v>
      </c>
      <c r="G4" s="34" t="str">
        <f>Total!H124</f>
        <v>Contracte de serveis per a l'assistència tècnica per al control de qualitat de l'estudi informatiu del nou túnel ferroviari d'Horta. Clau: EI-TX-10003</v>
      </c>
      <c r="H4" s="6">
        <f>Total!I124</f>
        <v>158400</v>
      </c>
    </row>
    <row r="5" spans="1:8" x14ac:dyDescent="0.2">
      <c r="A5" s="8">
        <f t="shared" si="0"/>
        <v>4</v>
      </c>
      <c r="B5" s="9">
        <f>Total!B125</f>
        <v>40238</v>
      </c>
      <c r="C5" s="34" t="str">
        <f>Total!D125</f>
        <v>GISA</v>
      </c>
      <c r="D5" s="34" t="str">
        <f>Total!E125</f>
        <v>Edificació</v>
      </c>
      <c r="E5" s="34" t="str">
        <f>Total!F125</f>
        <v>Projectes</v>
      </c>
      <c r="F5" s="34" t="str">
        <f>Total!G125</f>
        <v>PC. JNP-05539.4</v>
      </c>
      <c r="G5" s="34" t="str">
        <f>Total!H125</f>
        <v>Contracte de serveis per a l'assistència tècnica per a la redacció del projecte constructiu i l'estudi geotècnic d'instal.lacions de subministrament d'aigua al Centre Penitenciari els Plans, a Tàrrega. Clau: JNP-05539.4</v>
      </c>
      <c r="H5" s="6">
        <f>Total!I125</f>
        <v>155172.41</v>
      </c>
    </row>
    <row r="6" spans="1:8" x14ac:dyDescent="0.2">
      <c r="A6" s="8">
        <f t="shared" si="0"/>
        <v>5</v>
      </c>
      <c r="B6" s="9">
        <f>Total!B126</f>
        <v>40239</v>
      </c>
      <c r="C6" s="34" t="str">
        <f>Total!D126</f>
        <v>GISA</v>
      </c>
      <c r="D6" s="34" t="str">
        <f>Total!E126</f>
        <v>Obra Civil</v>
      </c>
      <c r="E6" s="34" t="str">
        <f>Total!F126</f>
        <v>Direccions d'Obra</v>
      </c>
      <c r="F6" s="34" t="str">
        <f>Total!G126</f>
        <v>CSS. TM-02609.1+1</v>
      </c>
      <c r="G6" s="34" t="str">
        <f>Total!H126</f>
        <v>Contracte de serveis per a l'assistència tècnica de Coordinació de Seguretat i Salut conjunta de les obres: 'Projecte de l'ATC, seny alització i PCC de la línia 9 de metro de Barcelona. Clau: TM-02609.1' i 'Projecte constructiu del sistema de tancament d'andanes de la línia 9 de Metro de Barcelona. Clau: TM-02609.2'</v>
      </c>
      <c r="H6" s="6">
        <f>Total!I126</f>
        <v>320760</v>
      </c>
    </row>
    <row r="7" spans="1:8" x14ac:dyDescent="0.2">
      <c r="A7" s="8">
        <f t="shared" si="0"/>
        <v>6</v>
      </c>
      <c r="B7" s="9">
        <f>Total!B127</f>
        <v>40239</v>
      </c>
      <c r="C7" s="34" t="str">
        <f>Total!D127</f>
        <v>GISA</v>
      </c>
      <c r="D7" s="34" t="str">
        <f>Total!E127</f>
        <v>Obra Civil</v>
      </c>
      <c r="E7" s="34" t="str">
        <f>Total!F127</f>
        <v>Direccions d'Obra</v>
      </c>
      <c r="F7" s="34" t="str">
        <f>Total!G127</f>
        <v>ATAM. XT-08086</v>
      </c>
      <c r="G7" s="34" t="str">
        <f>Total!H127</f>
        <v>Contracte de serveis per l'assistència tècnica ambiental de les obres de millora general. Condicionament de la carretera de TV-3148 de Vila-seca a la Pineda (Raval de la Mar) Tram: Vila-seca. Clau: XT-08086</v>
      </c>
      <c r="H7" s="6">
        <f>Total!I127</f>
        <v>231000</v>
      </c>
    </row>
    <row r="8" spans="1:8" x14ac:dyDescent="0.2">
      <c r="A8" s="8">
        <f t="shared" si="0"/>
        <v>7</v>
      </c>
      <c r="B8" s="9">
        <f>Total!B128</f>
        <v>40239</v>
      </c>
      <c r="C8" s="34" t="str">
        <f>Total!D128</f>
        <v>GISA</v>
      </c>
      <c r="D8" s="34" t="str">
        <f>Total!E128</f>
        <v>Obra Civil</v>
      </c>
      <c r="E8" s="34" t="str">
        <f>Total!F128</f>
        <v>Direccions d'Obra</v>
      </c>
      <c r="F8" s="34" t="str">
        <f>Total!G128</f>
        <v>DB. XT-08086</v>
      </c>
      <c r="G8" s="34" t="str">
        <f>Total!H128</f>
        <v>Contracte de serveis per a la direcció de les obres de millora general. Condicionament de la carretera de TV-3148 de Vila-seca a la Pineda (Raval de la Mar) Tram: Vila-seca. Clau: XT-08086</v>
      </c>
      <c r="H8" s="6">
        <f>Total!I128</f>
        <v>941666.67</v>
      </c>
    </row>
    <row r="9" spans="1:8" x14ac:dyDescent="0.2">
      <c r="A9" s="8">
        <f t="shared" ref="A9:A16" si="1">A8+1</f>
        <v>8</v>
      </c>
      <c r="B9" s="9">
        <f>Total!B129</f>
        <v>40240</v>
      </c>
      <c r="C9" s="34" t="str">
        <f>Total!D129</f>
        <v>GISA</v>
      </c>
      <c r="D9" s="34" t="str">
        <f>Total!E129</f>
        <v>Edificació</v>
      </c>
      <c r="E9" s="34" t="str">
        <f>Total!F129</f>
        <v>Direccions d'Execució</v>
      </c>
      <c r="F9" s="34" t="str">
        <f>Total!G129</f>
        <v>DE. IAC-07366 + PNC-07355</v>
      </c>
      <c r="G9" s="34" t="str">
        <f>Total!H129</f>
        <v>Contracte de serveis per a la direcció d'execució conjunta de les obres d'adequació Institut a 2/2 línies a l'Institut Joan Miró de l'Hospitalet de Llobregat (Barcelonès. Clau:IAC-07366 i de les obres de l'Escola l'Estany - ZER el Moianès de l'Estany. Clau: PNC-07355</v>
      </c>
      <c r="H9" s="6">
        <f>Total!I129</f>
        <v>190000</v>
      </c>
    </row>
    <row r="10" spans="1:8" x14ac:dyDescent="0.2">
      <c r="A10" s="8">
        <f t="shared" si="1"/>
        <v>9</v>
      </c>
      <c r="B10" s="9">
        <f>Total!B130</f>
        <v>40240</v>
      </c>
      <c r="C10" s="34" t="str">
        <f>Total!D130</f>
        <v>GISA</v>
      </c>
      <c r="D10" s="34" t="str">
        <f>Total!E130</f>
        <v>Edificació</v>
      </c>
      <c r="E10" s="34" t="str">
        <f>Total!F130</f>
        <v>Direccions d'Execució</v>
      </c>
      <c r="F10" s="34" t="str">
        <f>Total!G130</f>
        <v>DE. PAA-06263</v>
      </c>
      <c r="G10" s="34" t="str">
        <f>Total!H130</f>
        <v>Contracte de serveis per a la direcció d'execució de les obres reforma i ampliació Escola a 3 línies a l'Escola Francesc Platón i Sartí d'Abrera, Baix Llobregat. Clau:PAA -06263</v>
      </c>
      <c r="H10" s="6">
        <f>Total!I130</f>
        <v>160066.67000000001</v>
      </c>
    </row>
    <row r="11" spans="1:8" x14ac:dyDescent="0.2">
      <c r="A11" s="8">
        <f t="shared" si="1"/>
        <v>10</v>
      </c>
      <c r="B11" s="9">
        <f>Total!B131</f>
        <v>40240</v>
      </c>
      <c r="C11" s="34" t="str">
        <f>Total!D131</f>
        <v>GISA</v>
      </c>
      <c r="D11" s="34" t="str">
        <f>Total!E131</f>
        <v>Edificació</v>
      </c>
      <c r="E11" s="34" t="str">
        <f>Total!F131</f>
        <v>Direccions d'Execució</v>
      </c>
      <c r="F11" s="34" t="str">
        <f>Total!G131</f>
        <v>DE. PAA-06483</v>
      </c>
      <c r="G11" s="34" t="str">
        <f>Total!H131</f>
        <v>Contracte de serveis per a la direcció d'execució de les obres d'ampliació Escola 3 línies a l'Escola Àngel Guimerà de Sant Andreu de la Barca, Baix Llobregat. Clau:PAA-06483</v>
      </c>
      <c r="H11" s="6">
        <f>Total!I131</f>
        <v>156888.89000000001</v>
      </c>
    </row>
    <row r="12" spans="1:8" x14ac:dyDescent="0.2">
      <c r="A12" s="8">
        <f t="shared" si="1"/>
        <v>11</v>
      </c>
      <c r="B12" s="9">
        <f>Total!B132</f>
        <v>40240</v>
      </c>
      <c r="C12" s="34" t="str">
        <f>Total!D132</f>
        <v>GISA</v>
      </c>
      <c r="D12" s="34" t="str">
        <f>Total!E132</f>
        <v>Edificació</v>
      </c>
      <c r="E12" s="34" t="str">
        <f>Total!F132</f>
        <v>Direccions d'Execució</v>
      </c>
      <c r="F12" s="34" t="str">
        <f>Total!G132</f>
        <v>DE. IAA-06488</v>
      </c>
      <c r="G12" s="34" t="str">
        <f>Total!H132</f>
        <v>Contracte de serveis per a la direcció d'execució de les obres d'ampliació Institut 3/2 línies + cicles formatius a l'Institut de Sales de Viladecans (Baix Llobregat), clau:IAA-06488</v>
      </c>
      <c r="H12" s="6">
        <f>Total!I132</f>
        <v>128622.22</v>
      </c>
    </row>
    <row r="13" spans="1:8" x14ac:dyDescent="0.2">
      <c r="A13" s="8">
        <f t="shared" si="1"/>
        <v>12</v>
      </c>
      <c r="B13" s="9">
        <f>Total!B133</f>
        <v>40240</v>
      </c>
      <c r="C13" s="34" t="str">
        <f>Total!D133</f>
        <v>GISA</v>
      </c>
      <c r="D13" s="34" t="str">
        <f>Total!E133</f>
        <v>Edificació</v>
      </c>
      <c r="E13" s="34" t="str">
        <f>Total!F133</f>
        <v>Direccions d'Execució</v>
      </c>
      <c r="F13" s="34" t="str">
        <f>Total!G133</f>
        <v>DE. PAA-08355</v>
      </c>
      <c r="G13" s="34" t="str">
        <f>Total!H133</f>
        <v>Contracte de serveis per a la direcció d'execució de les obres d'ampliació i reforma Escola 2 línies a l'Escola El Solell de La Palma de Cervelló (Baix Llobregat).Clau:PAA-08355</v>
      </c>
      <c r="H13" s="6">
        <f>Total!I133</f>
        <v>118622.22</v>
      </c>
    </row>
    <row r="14" spans="1:8" x14ac:dyDescent="0.2">
      <c r="A14" s="8">
        <f t="shared" si="1"/>
        <v>13</v>
      </c>
      <c r="B14" s="9">
        <f>Total!B134</f>
        <v>40240</v>
      </c>
      <c r="C14" s="34" t="str">
        <f>Total!D134</f>
        <v>GISA</v>
      </c>
      <c r="D14" s="34" t="str">
        <f>Total!E134</f>
        <v>Edificació</v>
      </c>
      <c r="E14" s="34" t="str">
        <f>Total!F134</f>
        <v>Direccions d'Obra</v>
      </c>
      <c r="F14" s="34" t="str">
        <f>Total!G134</f>
        <v>DO. PAA-08355</v>
      </c>
      <c r="G14" s="34" t="str">
        <f>Total!H134</f>
        <v>Contracte de serveis per la direcció d'obra de les obres d'ampliació i reforma Escola 2 línies a l'Escola El Solell de La Palma de Cervelló (Baix Llobregat). Clau:PAA-08355</v>
      </c>
      <c r="H14" s="6">
        <f>Total!I134</f>
        <v>86000</v>
      </c>
    </row>
    <row r="15" spans="1:8" x14ac:dyDescent="0.2">
      <c r="A15" s="8">
        <f t="shared" si="1"/>
        <v>14</v>
      </c>
      <c r="B15" s="9">
        <f>Total!B135</f>
        <v>40240</v>
      </c>
      <c r="C15" s="34" t="str">
        <f>Total!D135</f>
        <v>GISA</v>
      </c>
      <c r="D15" s="34" t="str">
        <f>Total!E135</f>
        <v>Edificació</v>
      </c>
      <c r="E15" s="34" t="str">
        <f>Total!F135</f>
        <v>Projectes i Direccions d'Obra</v>
      </c>
      <c r="F15" s="34" t="str">
        <f>Total!G135</f>
        <v>PE+DO PNL-09358 2v</v>
      </c>
      <c r="G15" s="34" t="str">
        <f>Total!H135</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l'Escola les Pallargues-ZER la Segarra, dels Plans de Sió. Clau: PNL-09358(2v)</v>
      </c>
      <c r="H15" s="6">
        <f>Total!I135</f>
        <v>87285.71</v>
      </c>
    </row>
    <row r="16" spans="1:8" x14ac:dyDescent="0.2">
      <c r="A16" s="8">
        <f t="shared" si="1"/>
        <v>15</v>
      </c>
      <c r="B16" s="9">
        <f>Total!B136</f>
        <v>40240</v>
      </c>
      <c r="C16" s="34" t="str">
        <f>Total!D136</f>
        <v>GISA</v>
      </c>
      <c r="D16" s="34" t="str">
        <f>Total!E136</f>
        <v>Edificació</v>
      </c>
      <c r="E16" s="34" t="str">
        <f>Total!F136</f>
        <v>Projectes i Direccions d'Obra</v>
      </c>
      <c r="F16" s="34" t="str">
        <f>Total!G136</f>
        <v>PE+DO PAG-10011 1v</v>
      </c>
      <c r="G16" s="34" t="str">
        <f>Total!H136</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l'Ampliació de l'Escola de Vall-llobrega. Clau:PAG-10011(1v)</v>
      </c>
      <c r="H16" s="6">
        <f>Total!I136</f>
        <v>149401.47</v>
      </c>
    </row>
    <row r="17" spans="1:8" x14ac:dyDescent="0.2">
      <c r="A17" s="8">
        <f>A16+1</f>
        <v>16</v>
      </c>
      <c r="B17" s="9">
        <f>Total!B137</f>
        <v>40241</v>
      </c>
      <c r="C17" s="34" t="str">
        <f>Total!D137</f>
        <v>GISA</v>
      </c>
      <c r="D17" s="34" t="str">
        <f>Total!E137</f>
        <v>Edificació</v>
      </c>
      <c r="E17" s="34" t="str">
        <f>Total!F137</f>
        <v>Direccions d'Execució</v>
      </c>
      <c r="F17" s="34" t="str">
        <f>Total!G137</f>
        <v>DE. IAG-08383 + PAG-06466</v>
      </c>
      <c r="G17" s="34" t="str">
        <f>Total!H137</f>
        <v>Contracte de serveis per a la direcció d'execució conjunta de les obres de l'institut Abat Oliba de Ripoll. Clau: IAG-08383 i d'ampliació i reforma Escola 2 línies a l'Escola Rocalba de Sant Feliu de Pallerols (La Garrotxa). Clau:PAG-06466</v>
      </c>
      <c r="H17" s="6">
        <f>Total!I137</f>
        <v>190000</v>
      </c>
    </row>
    <row r="18" spans="1:8" x14ac:dyDescent="0.2">
      <c r="A18" s="8">
        <f>A17+1</f>
        <v>17</v>
      </c>
      <c r="B18" s="9">
        <f>Total!B138</f>
        <v>40242</v>
      </c>
      <c r="C18" s="34" t="str">
        <f>Total!D138</f>
        <v>GISA</v>
      </c>
      <c r="D18" s="34" t="str">
        <f>Total!E138</f>
        <v>Obra Civil</v>
      </c>
      <c r="E18" s="34" t="str">
        <f>Total!F138</f>
        <v>Direccions d'Obra</v>
      </c>
      <c r="F18" s="34" t="str">
        <f>Total!G138</f>
        <v>CSS. XT-08086</v>
      </c>
      <c r="G18" s="34" t="str">
        <f>Total!H138</f>
        <v>Contracte de serveis per a l'assistència tècnica de coordinació de seguretat i salut de les obres de millora general. Condicionament de la carretera de TV-3148 de Vila-seca a la Pineda (Raval de la Mar) Tram: Vila-seca. Clau: XT-08086</v>
      </c>
      <c r="H18" s="6">
        <f>Total!I138</f>
        <v>77400</v>
      </c>
    </row>
    <row r="19" spans="1:8" x14ac:dyDescent="0.2">
      <c r="A19" s="8">
        <f>A18+1</f>
        <v>18</v>
      </c>
      <c r="B19" s="9">
        <f>Total!B139</f>
        <v>40242</v>
      </c>
      <c r="C19" s="34" t="str">
        <f>Total!D139</f>
        <v>GISA</v>
      </c>
      <c r="D19" s="34" t="str">
        <f>Total!E139</f>
        <v>Edificació</v>
      </c>
      <c r="E19" s="34" t="str">
        <f>Total!F139</f>
        <v>Projectes i Direccions d'Obra</v>
      </c>
      <c r="F19" s="34" t="str">
        <f>Total!G139</f>
        <v>PE+DO INM-10010 2v</v>
      </c>
      <c r="G19" s="34" t="str">
        <f>Total!H139</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l'Institut Escola El Calderí, de Caldes de Montbui. Clau:INM-10010 (2v)</v>
      </c>
      <c r="H19" s="6">
        <f>Total!I139</f>
        <v>550607.14</v>
      </c>
    </row>
    <row r="20" spans="1:8" x14ac:dyDescent="0.2">
      <c r="A20" s="8">
        <f>A19+1</f>
        <v>19</v>
      </c>
      <c r="B20" s="9">
        <f>Total!B140</f>
        <v>40242</v>
      </c>
      <c r="C20" s="34" t="str">
        <f>Total!D140</f>
        <v>GISA</v>
      </c>
      <c r="D20" s="34" t="str">
        <f>Total!E140</f>
        <v>Edificació</v>
      </c>
      <c r="E20" s="34" t="str">
        <f>Total!F140</f>
        <v>Projectes i Direccions d'Obra</v>
      </c>
      <c r="F20" s="34" t="str">
        <f>Total!G140</f>
        <v>PE+DO PAG-09405 1v</v>
      </c>
      <c r="G20" s="34" t="str">
        <f>Total!H140</f>
        <v>Contracte de serveis per a l'assistència tècnica per a la redacció del projecte bàsic i d'execució, la certificació d'eficiència energètica del projecte, l'estudi de seguretat i salut, l'estudi geotècnic, l'aixecament de plànols, l'estudi de patologies, el projecte d'activitats per a llicència ambiental i posterior Direcció d'Obra i certificació d'eficiència energètica de final d'obra corresponent a l'Ampliació de l'Escola Pedralta, de Santa Cristina d'Aro. Clau: PAG-09405(1v)</v>
      </c>
      <c r="H20" s="6">
        <f>Total!I140</f>
        <v>259179.8</v>
      </c>
    </row>
    <row r="21" spans="1:8" x14ac:dyDescent="0.2">
      <c r="A21" s="8">
        <f t="shared" ref="A21:A26" si="2">A20+1</f>
        <v>20</v>
      </c>
      <c r="B21" s="9">
        <f>Total!B141</f>
        <v>40245</v>
      </c>
      <c r="C21" s="34" t="str">
        <f>Total!D141</f>
        <v>GISA</v>
      </c>
      <c r="D21" s="34" t="str">
        <f>Total!E141</f>
        <v>Edificació</v>
      </c>
      <c r="E21" s="34" t="str">
        <f>Total!F141</f>
        <v>Direccions d'Execució</v>
      </c>
      <c r="F21" s="34" t="str">
        <f>Total!G141</f>
        <v>DE. PAG-06474 + PAG-06290</v>
      </c>
      <c r="G21" s="34" t="str">
        <f>Total!H141</f>
        <v>Contracte de serveis per a la direcció d'execució de les obres d'ampliació i reforma Escola Salvador Espriu de Vidreres (La Selva). Clau: PAG-06474 i de l'Escola Verdaguer de Sils (La Selva). Clau:PAG-06290</v>
      </c>
      <c r="H21" s="6">
        <f>Total!I141</f>
        <v>190000</v>
      </c>
    </row>
    <row r="22" spans="1:8" x14ac:dyDescent="0.2">
      <c r="A22" s="8">
        <f t="shared" si="2"/>
        <v>21</v>
      </c>
      <c r="B22" s="47">
        <f>Total!B142</f>
        <v>40245</v>
      </c>
      <c r="C22" s="48" t="str">
        <f>Total!D142</f>
        <v>REGSA</v>
      </c>
      <c r="D22" s="48"/>
      <c r="E22" s="48" t="str">
        <f>Total!F142</f>
        <v>Projectes</v>
      </c>
      <c r="F22" s="48" t="str">
        <f>Total!G142</f>
        <v>PC. MR-05919.6</v>
      </c>
      <c r="G22" s="48" t="str">
        <f>Total!H142</f>
        <v>Contracte de serveis per a l'assistència tècnica per a la redacció del projecte del Regadiu Xerta-Sénia. Xarxa primària i xarxa de reg del sector 6. Clau: MR-05919.6</v>
      </c>
      <c r="H22" s="49">
        <f>Total!I142</f>
        <v>490000</v>
      </c>
    </row>
    <row r="23" spans="1:8" x14ac:dyDescent="0.2">
      <c r="A23" s="8">
        <f t="shared" si="2"/>
        <v>22</v>
      </c>
      <c r="B23" s="9">
        <f>Total!B143</f>
        <v>40246</v>
      </c>
      <c r="C23" s="34" t="str">
        <f>Total!D143</f>
        <v>GISA</v>
      </c>
      <c r="D23" s="34" t="str">
        <f>Total!E143</f>
        <v>Edificació</v>
      </c>
      <c r="E23" s="34" t="str">
        <f>Total!F143</f>
        <v>Direccions d'Execució</v>
      </c>
      <c r="F23" s="34" t="str">
        <f>Total!G143</f>
        <v>CSS. PAG-06474+3</v>
      </c>
      <c r="G23" s="34" t="str">
        <f>Total!H143</f>
        <v>Contracte de Serveis per a l'assistència tècnica de cordinació de seguretat i salut de les obres 'ampliació i reforma Escola a 2 línies a l'Escola Salvador Espriu de Vidreres (La Selva). ' Clau:PAG-06474; 'd'ampliació i reforma Escola 2 línies a l'Escola Verdaguer de Sils (La Selva). Clau: PAG-06290; adequació institut Abat Oliva de Ripoll (Ripollès).' Clau: IAG-08383 i 'ampliació i reforma Escola 2 línies a l'Escola Rocalba a St. Feliu de Pallerols (La Garrotxa).' Clau: PAG-06466</v>
      </c>
      <c r="H23" s="6">
        <f>Total!I143</f>
        <v>80400</v>
      </c>
    </row>
    <row r="24" spans="1:8" x14ac:dyDescent="0.2">
      <c r="A24" s="8">
        <f t="shared" si="2"/>
        <v>23</v>
      </c>
      <c r="B24" s="9">
        <f>Total!B144</f>
        <v>40246</v>
      </c>
      <c r="C24" s="34" t="str">
        <f>Total!D144</f>
        <v>GISA</v>
      </c>
      <c r="D24" s="34" t="str">
        <f>Total!E144</f>
        <v>Edificació</v>
      </c>
      <c r="E24" s="34" t="str">
        <f>Total!F144</f>
        <v>Direccions d'Execució</v>
      </c>
      <c r="F24" s="34" t="str">
        <f>Total!G144</f>
        <v>CSS. IAT-07460+2</v>
      </c>
      <c r="G24" s="34" t="str">
        <f>Total!H144</f>
        <v>Contracte de Serveis per a l'Assistència Tècnica de Coordinació de Seguretat i Salut de les obres 'Ampliació i reforma institut a 4/2 línies, a l'Institut Ramon Barbat i Miracle, de Vila-seca (Tarragonès)'. Clau:IAT-07460; 'Ampliació Escola 3 línies a l'Escola Àngel Guimerà de Sant Andreu de la Barca (Baix Llobregat).' Clau: PAA-06483 i 'Reforma i ampliació Escola a 3 línies a l'Escola Francesc Platón i Sartí d'Abrera'. Clau:PAA-06263</v>
      </c>
      <c r="H24" s="6">
        <f>Total!I144</f>
        <v>85560</v>
      </c>
    </row>
    <row r="25" spans="1:8" x14ac:dyDescent="0.2">
      <c r="A25" s="8">
        <f t="shared" si="2"/>
        <v>24</v>
      </c>
      <c r="B25" s="9">
        <f>Total!B145</f>
        <v>40246</v>
      </c>
      <c r="C25" s="34" t="str">
        <f>Total!D145</f>
        <v>GISA</v>
      </c>
      <c r="D25" s="34" t="str">
        <f>Total!E145</f>
        <v>Edificació</v>
      </c>
      <c r="E25" s="34" t="str">
        <f>Total!F145</f>
        <v>Direccions d'Execució</v>
      </c>
      <c r="F25" s="34" t="str">
        <f>Total!G145</f>
        <v>CSS. PAV-07328+2</v>
      </c>
      <c r="G25" s="34" t="str">
        <f>Total!H145</f>
        <v>Contracte de Serveis per a l'assistència tècnica de coordinació de seguretat i Salut de les obres 'd'ampliació escola a 2 línies a l'Escola Catalunya a Sant Cugat del Vallès Vallès Occidental'. Clau:PAV-07328; 'Nova construcció Escola 7 unitats a l'Escola Els Castanyers, a Viladrau (Osona).' Clau: PNH-09309 i 'Nova construcció Escola 2 línies a l'Escola La Torreta de la Roca del Vallès (Vallès Oriental).' Clau: PNM-09206</v>
      </c>
      <c r="H25" s="6">
        <f>Total!I145</f>
        <v>65250</v>
      </c>
    </row>
    <row r="26" spans="1:8" x14ac:dyDescent="0.2">
      <c r="A26" s="8">
        <f t="shared" si="2"/>
        <v>25</v>
      </c>
      <c r="B26" s="9">
        <f>Total!B146</f>
        <v>40246</v>
      </c>
      <c r="C26" s="34" t="str">
        <f>Total!D146</f>
        <v>GISA</v>
      </c>
      <c r="D26" s="34" t="str">
        <f>Total!E146</f>
        <v>Edificació</v>
      </c>
      <c r="E26" s="34" t="str">
        <f>Total!F146</f>
        <v>Direccions d'Execució</v>
      </c>
      <c r="F26" s="34" t="str">
        <f>Total!G146</f>
        <v>DE. JJL-06378</v>
      </c>
      <c r="G26" s="34" t="str">
        <f>Total!H146</f>
        <v>Contracte de serveis per a la direcció d'execució de les obres d'Ampliació de l'Edifici Judicial del Canyeret de Lleida. Clau:JJL-06378</v>
      </c>
      <c r="H26" s="6">
        <f>Total!I146</f>
        <v>172142.22</v>
      </c>
    </row>
    <row r="27" spans="1:8" x14ac:dyDescent="0.2">
      <c r="A27" s="8">
        <f>A26+1</f>
        <v>26</v>
      </c>
      <c r="B27" s="9">
        <f>Total!B147</f>
        <v>40248</v>
      </c>
      <c r="C27" s="34" t="str">
        <f>Total!D147</f>
        <v>GISA</v>
      </c>
      <c r="D27" s="34" t="str">
        <f>Total!E147</f>
        <v>Edificació</v>
      </c>
      <c r="E27" s="34" t="str">
        <f>Total!F147</f>
        <v>Direccions d'Obra</v>
      </c>
      <c r="F27" s="34" t="str">
        <f>Total!G147</f>
        <v>DO. PAC-08310</v>
      </c>
      <c r="G27" s="34" t="str">
        <f>Total!H147</f>
        <v>Contracte de serveis per a la direcció d'obra de l'ampliació CEIP 2 línies al CEIP Ametllers de Sant Joan de Vilatorrada (Bages). Clau: PAC-08310</v>
      </c>
      <c r="H27" s="6">
        <f>Total!I147</f>
        <v>87481.82</v>
      </c>
    </row>
    <row r="28" spans="1:8" x14ac:dyDescent="0.2">
      <c r="A28" s="8">
        <f>A27+1</f>
        <v>27</v>
      </c>
      <c r="B28" s="9">
        <f>Total!B148</f>
        <v>40249</v>
      </c>
      <c r="C28" s="34" t="str">
        <f>Total!D148</f>
        <v>GISA</v>
      </c>
      <c r="D28" s="34" t="str">
        <f>Total!E148</f>
        <v>Edificació</v>
      </c>
      <c r="E28" s="34" t="str">
        <f>Total!F148</f>
        <v>Direccions d'Execució</v>
      </c>
      <c r="F28" s="34" t="str">
        <f>Total!G148</f>
        <v>DE. IAG-06264 + IAG-06421</v>
      </c>
      <c r="G28" s="34" t="str">
        <f>Total!H148</f>
        <v>Contracte de serveis per a la direcció d'execució conjunta de les obres d'ampliació Institut Cap Norfeu de Roses (Alt Empordà). Clau:IAG-06264 i de l'institut 3/3 línies+2 línies artístic a l'Institut Santiago Sobrequés i Vidal a Girona. Clau: IAG-06421</v>
      </c>
      <c r="H28" s="6">
        <f>Total!I148</f>
        <v>190000</v>
      </c>
    </row>
    <row r="29" spans="1:8" x14ac:dyDescent="0.2">
      <c r="A29" s="8">
        <f t="shared" ref="A29:A39" si="3">A28+1</f>
        <v>28</v>
      </c>
      <c r="B29" s="9">
        <f>Total!B149</f>
        <v>40252</v>
      </c>
      <c r="C29" s="34" t="str">
        <f>Total!D149</f>
        <v>GISA</v>
      </c>
      <c r="D29" s="34" t="str">
        <f>Total!E149</f>
        <v>Edificació</v>
      </c>
      <c r="E29" s="34" t="str">
        <f>Total!F149</f>
        <v>Control de Qualitat</v>
      </c>
      <c r="F29" s="34" t="str">
        <f>Total!G149</f>
        <v>CQ.PAL-07331 + 3</v>
      </c>
      <c r="G29" s="34" t="str">
        <f>Total!H149</f>
        <v>Contracte de serveis per a l'assistència tècnica conjunta de control de qualitat de les obres: 'Ampliació i reforma Escola a 2 línies a l'Escola Pompeu Fabra de Mollerussa (El Pla d'Urgell). Clau: PAL-07331'; 'Reforma i ampliació Escola 4 unitats a l'Escola el Vilot - ZER Ponent de Lleida (Sucs) (Segrià). Clau: PAL-02477'; 'Adequació Institut a 2/2 línies a l'Institut Joan Miró de l'Hospitalet de Llobregat (Barcelonès). Clau: IAC-07366' i 'Ampliació escola a 2 línies a l'Escola Catalunya de Sant Cugat del Vallès (Vallès Occidental). Clau: PAV-07328'</v>
      </c>
      <c r="H29" s="6">
        <f>Total!I149</f>
        <v>137196.44</v>
      </c>
    </row>
    <row r="30" spans="1:8" x14ac:dyDescent="0.2">
      <c r="A30" s="8">
        <f t="shared" si="3"/>
        <v>29</v>
      </c>
      <c r="B30" s="9">
        <f>Total!B150</f>
        <v>40252</v>
      </c>
      <c r="C30" s="34" t="str">
        <f>Total!D150</f>
        <v>GISA</v>
      </c>
      <c r="D30" s="34" t="str">
        <f>Total!E150</f>
        <v>Edificació</v>
      </c>
      <c r="E30" s="34" t="str">
        <f>Total!F150</f>
        <v>Control de Qualitat</v>
      </c>
      <c r="F30" s="34" t="str">
        <f>Total!G150</f>
        <v>CQ. PAA-08355</v>
      </c>
      <c r="G30" s="34" t="str">
        <f>Total!H150</f>
        <v>Contracte de serveis per a l'assistència tècnica de control de qualitat de les obres d'ampliació i reforma Escola 2 línies a l'Escola El Solell de La Palma de Cervelló (Baix Llobregat). Clau: PAA-08355</v>
      </c>
      <c r="H30" s="6">
        <f>Total!I150</f>
        <v>57193.27</v>
      </c>
    </row>
    <row r="31" spans="1:8" x14ac:dyDescent="0.2">
      <c r="A31" s="8">
        <f t="shared" si="3"/>
        <v>30</v>
      </c>
      <c r="B31" s="9">
        <f>Total!B151</f>
        <v>40252</v>
      </c>
      <c r="C31" s="34" t="str">
        <f>Total!D151</f>
        <v>GISA</v>
      </c>
      <c r="D31" s="34" t="str">
        <f>Total!E151</f>
        <v>Edificació</v>
      </c>
      <c r="E31" s="34" t="str">
        <f>Total!F151</f>
        <v>Direccions d'Execució</v>
      </c>
      <c r="F31" s="34" t="str">
        <f>Total!G151</f>
        <v>CSS. PAA-08355+2</v>
      </c>
      <c r="G31" s="34" t="str">
        <f>Total!H151</f>
        <v>Contracte de serveis per a l'assistència tècnica de coordinació de seguretat i salut conjunta de les obres 'd'ampliació i reforma Escola 2 línies a l'Escola El Solell de La Palma de Cervelló (Baix Llobregat)'. Clau:PAA-08355; 'Ampliació Institut 3/2 línies+cicles formatius a l'Institut de Sales de Viladecans (Baix Llobregat)'. Clau:IAA-06488 i 'reforma i ampliació Escola a 2 línies a l'Escola Els Quatre Vents de Sant Jaume dels Domenys (Baix Penedès)'. Clau: PAT-06464</v>
      </c>
      <c r="H31" s="6">
        <f>Total!I151</f>
        <v>61568.01</v>
      </c>
    </row>
    <row r="32" spans="1:8" x14ac:dyDescent="0.2">
      <c r="A32" s="8">
        <f t="shared" si="3"/>
        <v>31</v>
      </c>
      <c r="B32" s="9">
        <f>Total!B152</f>
        <v>40252</v>
      </c>
      <c r="C32" s="34" t="str">
        <f>Total!D152</f>
        <v>GISA</v>
      </c>
      <c r="D32" s="34" t="str">
        <f>Total!E152</f>
        <v>Edificació</v>
      </c>
      <c r="E32" s="34" t="str">
        <f>Total!F152</f>
        <v>Direccions d'Execució</v>
      </c>
      <c r="F32" s="34" t="str">
        <f>Total!G152</f>
        <v>CSS. JJL-06378</v>
      </c>
      <c r="G32" s="34" t="str">
        <f>Total!H152</f>
        <v>Contracte de serveis per a l'assistència tècnica de coordinació de seguretat i salut de les obres 'Ampliació de l'Edifici Judicial del Canyeret de Lleida' Clau:JJL-06378</v>
      </c>
      <c r="H32" s="6">
        <f>Total!I152</f>
        <v>60000</v>
      </c>
    </row>
    <row r="33" spans="1:8" x14ac:dyDescent="0.2">
      <c r="A33" s="8">
        <f t="shared" si="3"/>
        <v>32</v>
      </c>
      <c r="B33" s="9">
        <f>Total!B153</f>
        <v>40252</v>
      </c>
      <c r="C33" s="34" t="str">
        <f>Total!D153</f>
        <v>GISA</v>
      </c>
      <c r="D33" s="34" t="str">
        <f>Total!E153</f>
        <v>Obra Civil</v>
      </c>
      <c r="E33" s="34" t="str">
        <f>Total!F153</f>
        <v>Control de Qualitat</v>
      </c>
      <c r="F33" s="34" t="str">
        <f>Total!G153</f>
        <v>CQ. XT-08086</v>
      </c>
      <c r="G33" s="34" t="str">
        <f>Total!H153</f>
        <v>Contracte de serveis per a l'assistència tècnica de control de qualitat de les obres de millora general. Condicionament de la carretera de TV-3148 de Vila-seca a la Pineda (Raval de la Mar) Tram: Vila-seca. Clau: XT-08086</v>
      </c>
      <c r="H33" s="6">
        <f>Total!I153</f>
        <v>453509.86</v>
      </c>
    </row>
    <row r="34" spans="1:8" x14ac:dyDescent="0.2">
      <c r="A34" s="8">
        <f t="shared" si="3"/>
        <v>33</v>
      </c>
      <c r="B34" s="9">
        <f>Total!B154</f>
        <v>40252</v>
      </c>
      <c r="C34" s="34" t="str">
        <f>Total!D154</f>
        <v>GISA</v>
      </c>
      <c r="D34" s="34" t="str">
        <f>Total!E154</f>
        <v>Edificació</v>
      </c>
      <c r="E34" s="34" t="str">
        <f>Total!F154</f>
        <v>Control de Qualitat</v>
      </c>
      <c r="F34" s="34" t="str">
        <f>Total!G154</f>
        <v>CQ. PNM-09306 + PNV-09301</v>
      </c>
      <c r="G34" s="34" t="str">
        <f>Total!H154</f>
        <v>Contracte de serveis per a l'assistència tècnica conjunta de control de qualitat de les obres: 'Nova construcció CEIP Els Alocs. Vilassar de Mar, CEIP 1 línia. Clau: PNM-09306' i 'Nova construcció CEIP Vapor Cortés, Terrassa, CEIP 2 línies. Clau: PNV-09301'</v>
      </c>
      <c r="H34" s="6">
        <f>Total!I154</f>
        <v>68179.91</v>
      </c>
    </row>
    <row r="35" spans="1:8" x14ac:dyDescent="0.2">
      <c r="A35" s="8">
        <f t="shared" si="3"/>
        <v>34</v>
      </c>
      <c r="B35" s="9">
        <f>Total!B155</f>
        <v>40252</v>
      </c>
      <c r="C35" s="34" t="str">
        <f>Total!D155</f>
        <v>GISA</v>
      </c>
      <c r="D35" s="34" t="str">
        <f>Total!E155</f>
        <v>Edificació</v>
      </c>
      <c r="E35" s="34" t="str">
        <f>Total!F155</f>
        <v>Control de Qualitat</v>
      </c>
      <c r="F35" s="34" t="str">
        <f>Total!G155</f>
        <v>CQ. PNG-09231 + PNC-09220</v>
      </c>
      <c r="G35" s="34" t="str">
        <f>Total!H155</f>
        <v>Contracte de serveis per a l'assistència tècnica conjunta de control de qualitat de les obres: 'Nova construcció CEIP El Morrot, Olot, CEIP 1 línia. Clau: PNG-09231' i 'Nova construcció CEIP Can Manent, Cardedeu, CEIP 2 línies. Clau: PNC-09220'</v>
      </c>
      <c r="H35" s="6">
        <f>Total!I155</f>
        <v>68790.94</v>
      </c>
    </row>
    <row r="36" spans="1:8" x14ac:dyDescent="0.2">
      <c r="A36" s="8">
        <f t="shared" si="3"/>
        <v>35</v>
      </c>
      <c r="B36" s="9">
        <f>Total!B156</f>
        <v>40252</v>
      </c>
      <c r="C36" s="34" t="str">
        <f>Total!D156</f>
        <v>GISA</v>
      </c>
      <c r="D36" s="34" t="str">
        <f>Total!E156</f>
        <v>Edificació</v>
      </c>
      <c r="E36" s="34" t="str">
        <f>Total!F156</f>
        <v>Control de Qualitat</v>
      </c>
      <c r="F36" s="34" t="str">
        <f>Total!G156</f>
        <v>CQ. PNA-09221 + PNB-09217</v>
      </c>
      <c r="G36" s="34" t="str">
        <f>Total!H156</f>
        <v>Contracte de serveis per a l'assistència tècnica conjunta de control de qualitat de les obres: 'Nova construcció CEIP Josep Guinovar, Castelldefels, CEIP 2 Línies. Clau: PNA-09221' i 'Nova construcció CEIP Fluvià, Barcelona CEIP 2 línies. Clau: PNB-09217'</v>
      </c>
      <c r="H36" s="6">
        <f>Total!I156</f>
        <v>79749.8</v>
      </c>
    </row>
    <row r="37" spans="1:8" x14ac:dyDescent="0.2">
      <c r="A37" s="8">
        <f t="shared" si="3"/>
        <v>36</v>
      </c>
      <c r="B37" s="9">
        <f>Total!B157</f>
        <v>40252</v>
      </c>
      <c r="C37" s="34" t="str">
        <f>Total!D157</f>
        <v>GISA</v>
      </c>
      <c r="D37" s="34" t="str">
        <f>Total!E157</f>
        <v>Edificació</v>
      </c>
      <c r="E37" s="34" t="str">
        <f>Total!F157</f>
        <v>Control de Qualitat</v>
      </c>
      <c r="F37" s="34" t="str">
        <f>Total!G157</f>
        <v>CQ. PNT-09219 + INT-09226</v>
      </c>
      <c r="G37" s="34" t="str">
        <f>Total!H157</f>
        <v>Contracte de serveis per a l'assistència tècnica conjunta de control de qualitat de les obres: 'Nova construcció del CEIP La Bòbila de Cambrils, CEIP 2 línies. Clau: PNT-09219' i 'Nova construcció IES Els Pallaressos, Els Pallaressos, IES 3/0 (ampliable). Clau: INT-09226'</v>
      </c>
      <c r="H37" s="6">
        <f>Total!I157</f>
        <v>76961.19</v>
      </c>
    </row>
    <row r="38" spans="1:8" x14ac:dyDescent="0.2">
      <c r="A38" s="8">
        <f t="shared" si="3"/>
        <v>37</v>
      </c>
      <c r="B38" s="9">
        <f>Total!B158</f>
        <v>40252</v>
      </c>
      <c r="C38" s="34" t="str">
        <f>Total!D158</f>
        <v>GISA</v>
      </c>
      <c r="D38" s="34" t="str">
        <f>Total!E158</f>
        <v>Edificació</v>
      </c>
      <c r="E38" s="34" t="str">
        <f>Total!F158</f>
        <v>Control de Qualitat</v>
      </c>
      <c r="F38" s="34" t="str">
        <f>Total!G158</f>
        <v>CQ. SNL-09314</v>
      </c>
      <c r="G38" s="34" t="str">
        <f>Total!H158</f>
        <v>Contracte de serveis per a l'assistència tècnica de control de qualitat de les obres de nova construcció IE La Mitjana, Lleida, IE 2 línies. Clau: SNL-09314</v>
      </c>
      <c r="H38" s="6">
        <f>Total!I158</f>
        <v>59580.89</v>
      </c>
    </row>
    <row r="39" spans="1:8" x14ac:dyDescent="0.2">
      <c r="A39" s="8">
        <f t="shared" si="3"/>
        <v>38</v>
      </c>
      <c r="B39" s="9">
        <f>Total!B159</f>
        <v>40252</v>
      </c>
      <c r="C39" s="34" t="str">
        <f>Total!D159</f>
        <v>GISA</v>
      </c>
      <c r="D39" s="34" t="str">
        <f>Total!E159</f>
        <v>Obra Civil</v>
      </c>
      <c r="E39" s="34" t="str">
        <f>Total!F159</f>
        <v>Projectes</v>
      </c>
      <c r="F39" s="34" t="str">
        <f>Total!G159</f>
        <v>PC. AT-05067</v>
      </c>
      <c r="G39" s="34" t="str">
        <f>Total!H159</f>
        <v>Contracte de serveis per a l'assistència tècnica per a la redacció del projecte constructiu de millora general. Condicionament. Eixamplament i millora de revolts de la carretera C-242. PK 34+000 al 59+300. Tram: Ulldemolins-Alforja. Clau: AT-05067</v>
      </c>
      <c r="H39" s="6">
        <f>Total!I159</f>
        <v>898275.86</v>
      </c>
    </row>
    <row r="40" spans="1:8" x14ac:dyDescent="0.2">
      <c r="A40" s="8">
        <f t="shared" ref="A40:A48" si="4">A39+1</f>
        <v>39</v>
      </c>
      <c r="B40" s="9">
        <f>Total!B160</f>
        <v>40253</v>
      </c>
      <c r="C40" s="34" t="str">
        <f>Total!D160</f>
        <v>GISA</v>
      </c>
      <c r="D40" s="34" t="str">
        <f>Total!E160</f>
        <v>Edificació</v>
      </c>
      <c r="E40" s="34" t="str">
        <f>Total!F160</f>
        <v>Direccions d'Execució</v>
      </c>
      <c r="F40" s="34" t="str">
        <f>Total!G160</f>
        <v>DE. SNE-09316</v>
      </c>
      <c r="G40" s="34" t="str">
        <f>Total!H160</f>
        <v>Contracte de serveis per a la direcció d'execució de les obres de nova construcció IE de Sant Carles de la Ràpita, Sant Carles de la Ràpita. Clau:SNE-09316</v>
      </c>
      <c r="H40" s="6">
        <f>Total!I160</f>
        <v>142000</v>
      </c>
    </row>
    <row r="41" spans="1:8" x14ac:dyDescent="0.2">
      <c r="A41" s="8">
        <f t="shared" si="4"/>
        <v>40</v>
      </c>
      <c r="B41" s="9">
        <f>Total!B161</f>
        <v>40253</v>
      </c>
      <c r="C41" s="34" t="str">
        <f>Total!D161</f>
        <v>GISA</v>
      </c>
      <c r="D41" s="34" t="str">
        <f>Total!E161</f>
        <v>Edificació</v>
      </c>
      <c r="E41" s="34" t="str">
        <f>Total!F161</f>
        <v>Direccions d'Execució</v>
      </c>
      <c r="F41" s="34" t="str">
        <f>Total!G161</f>
        <v>DE. PNV-09302</v>
      </c>
      <c r="G41" s="34" t="str">
        <f>Total!H161</f>
        <v>Contracte de serveis per a la direcció d'execució de les obres nova construcció del CEIP Jaume I, Terrassa CEIP 3 línies. Clau: PNV-09302</v>
      </c>
      <c r="H41" s="6">
        <f>Total!I161</f>
        <v>158666.67000000001</v>
      </c>
    </row>
    <row r="42" spans="1:8" x14ac:dyDescent="0.2">
      <c r="A42" s="8">
        <f t="shared" si="4"/>
        <v>41</v>
      </c>
      <c r="B42" s="9">
        <f>Total!B162</f>
        <v>40253</v>
      </c>
      <c r="C42" s="34" t="str">
        <f>Total!D162</f>
        <v>GISA</v>
      </c>
      <c r="D42" s="34" t="str">
        <f>Total!E162</f>
        <v>Edificació</v>
      </c>
      <c r="E42" s="34" t="str">
        <f>Total!F162</f>
        <v>Direccions d'Execució</v>
      </c>
      <c r="F42" s="34" t="str">
        <f>Total!G162</f>
        <v>DE. SNL-09314</v>
      </c>
      <c r="G42" s="34" t="str">
        <f>Total!H162</f>
        <v>Contracte de serveis per a la direcció d'execució de les obres nova construcció IE La Mitjana, Lleida, IE 2 línies. Clau: SNL-09314</v>
      </c>
      <c r="H42" s="6">
        <f>Total!I162</f>
        <v>158666.67000000001</v>
      </c>
    </row>
    <row r="43" spans="1:8" x14ac:dyDescent="0.2">
      <c r="A43" s="8">
        <f t="shared" si="4"/>
        <v>42</v>
      </c>
      <c r="B43" s="9">
        <f>Total!B163</f>
        <v>40253</v>
      </c>
      <c r="C43" s="34" t="str">
        <f>Total!D163</f>
        <v>GISA</v>
      </c>
      <c r="D43" s="34" t="str">
        <f>Total!E163</f>
        <v>Edificació</v>
      </c>
      <c r="E43" s="34" t="str">
        <f>Total!F163</f>
        <v>Direccions d'Execució</v>
      </c>
      <c r="F43" s="34" t="str">
        <f>Total!G163</f>
        <v>DE. SNH-09315</v>
      </c>
      <c r="G43" s="34" t="str">
        <f>Total!H163</f>
        <v>Contracte de serveis per a la direcció d'execució de les obres nova construcció IE Marta Mata. Torelló IE 2 línies Infantil i Primària (1a fase). Clau: SNH-09315</v>
      </c>
      <c r="H43" s="6">
        <f>Total!I163</f>
        <v>142000</v>
      </c>
    </row>
    <row r="44" spans="1:8" x14ac:dyDescent="0.2">
      <c r="A44" s="8">
        <f t="shared" si="4"/>
        <v>43</v>
      </c>
      <c r="B44" s="9">
        <f>Total!B164</f>
        <v>40253</v>
      </c>
      <c r="C44" s="34" t="str">
        <f>Total!D164</f>
        <v>GISA</v>
      </c>
      <c r="D44" s="34" t="str">
        <f>Total!E164</f>
        <v>Edificació</v>
      </c>
      <c r="E44" s="34" t="str">
        <f>Total!F164</f>
        <v>Direccions d'Execució</v>
      </c>
      <c r="F44" s="34" t="str">
        <f>Total!G164</f>
        <v>DE. PNT-09219 + INT-09226</v>
      </c>
      <c r="G44" s="34" t="str">
        <f>Total!H164</f>
        <v>Contracte de serveis per a la direcció d'execució conjunta de les obres:'Nova construcció CEIP La Bòbila, Cambrils. CEIP 2 Línies, clau: PNT-09219', i 'Nova construcció IES Els Pallaressos, Els Pallaressos IES 3/0 (Ampliable). Clau: INT-09226'</v>
      </c>
      <c r="H44" s="6">
        <f>Total!I164</f>
        <v>191000</v>
      </c>
    </row>
    <row r="45" spans="1:8" x14ac:dyDescent="0.2">
      <c r="A45" s="8">
        <f t="shared" si="4"/>
        <v>44</v>
      </c>
      <c r="B45" s="9">
        <f>Total!B165</f>
        <v>40253</v>
      </c>
      <c r="C45" s="34" t="str">
        <f>Total!D165</f>
        <v>GISA</v>
      </c>
      <c r="D45" s="34" t="str">
        <f>Total!E165</f>
        <v>Edificació</v>
      </c>
      <c r="E45" s="34" t="str">
        <f>Total!F165</f>
        <v>Direccions d'Execució</v>
      </c>
      <c r="F45" s="34" t="str">
        <f>Total!G165</f>
        <v>DE. PNB-09217 + PNA-09221</v>
      </c>
      <c r="G45" s="34" t="str">
        <f>Total!H165</f>
        <v>Contracte de serveis per a la direcció d'execució conjunta de les obres:'Nova construcció CEIP Fluvià, Barcelona. CEIP 2 Línies.Clau: PNB-09217', i 'Nova construcció CEIP Josep Guinovart, Castelldefels. CEIP 2 Línies. Clau: PNA-09221'</v>
      </c>
      <c r="H45" s="6">
        <f>Total!I165</f>
        <v>192000</v>
      </c>
    </row>
    <row r="46" spans="1:8" x14ac:dyDescent="0.2">
      <c r="A46" s="8">
        <f t="shared" si="4"/>
        <v>45</v>
      </c>
      <c r="B46" s="9">
        <f>Total!B166</f>
        <v>40253</v>
      </c>
      <c r="C46" s="34" t="str">
        <f>Total!D166</f>
        <v>GISA</v>
      </c>
      <c r="D46" s="34" t="str">
        <f>Total!E166</f>
        <v>Edificació</v>
      </c>
      <c r="E46" s="34" t="str">
        <f>Total!F166</f>
        <v>Direccions d'Execució</v>
      </c>
      <c r="F46" s="34" t="str">
        <f>Total!G166</f>
        <v>DE. PNM-09306 + PNV-09301</v>
      </c>
      <c r="G46" s="34" t="str">
        <f>Total!H166</f>
        <v>Contracte de serveis per a la direccio d'execució conjunta de les obres:'Nova construcció CEIP Els Alocs. Vilassar de Mar. CEIP 1 Línia. Clau: PNM-09306', i 'Nova construcció CEIP Vapor Cortés,Terrassa. CEIP 2 Línies. Clau: PNV-09301'</v>
      </c>
      <c r="H46" s="6">
        <f>Total!I166</f>
        <v>191000</v>
      </c>
    </row>
    <row r="47" spans="1:8" x14ac:dyDescent="0.2">
      <c r="A47" s="8">
        <f t="shared" si="4"/>
        <v>46</v>
      </c>
      <c r="B47" s="9">
        <f>Total!B167</f>
        <v>40253</v>
      </c>
      <c r="C47" s="34" t="str">
        <f>Total!D167</f>
        <v>GISA</v>
      </c>
      <c r="D47" s="34" t="str">
        <f>Total!E167</f>
        <v>Edificació</v>
      </c>
      <c r="E47" s="34" t="str">
        <f>Total!F167</f>
        <v>Direccions d'Execució</v>
      </c>
      <c r="F47" s="34" t="str">
        <f>Total!G167</f>
        <v>DE. PNG-09231 + PNC-09220</v>
      </c>
      <c r="G47" s="34" t="str">
        <f>Total!H167</f>
        <v>Contracte de serveis per a la direcció d'execució conjunta de les obres:'Nova construcció CEIP El Morrot, Olot. CEIP 1 Línia. Clau: PNG-09231', i 'Nova construcció CEIP Can Manent, Cardedeu.CEIP 2 Línies. Clau: PNC-09220'</v>
      </c>
      <c r="H47" s="6">
        <f>Total!I167</f>
        <v>192000</v>
      </c>
    </row>
    <row r="48" spans="1:8" x14ac:dyDescent="0.2">
      <c r="A48" s="8">
        <f t="shared" si="4"/>
        <v>47</v>
      </c>
      <c r="B48" s="9">
        <f>Total!B168</f>
        <v>40253</v>
      </c>
      <c r="C48" s="34" t="str">
        <f>Total!D168</f>
        <v>GISA</v>
      </c>
      <c r="D48" s="34" t="str">
        <f>Total!E168</f>
        <v>Obra Civil</v>
      </c>
      <c r="E48" s="34" t="str">
        <f>Total!F168</f>
        <v>Direccions d'Obra</v>
      </c>
      <c r="F48" s="34" t="str">
        <f>Total!G168</f>
        <v>DO. DB-05070.1+4</v>
      </c>
      <c r="G48" s="34" t="str">
        <f>Total!H168</f>
        <v>Contracte de serveis per a la direcció conjunta de les obres: 'Millora local. Millora de nus. Rotonda a la carretera B-124, PK 5+280. Tram: Castellar del Vallès. Clau: DB-05070.1'; 'Millora local. Millora de nus. Ordenació d'accessos a la carretera C-63 (intersecció Aiguaviva Parc i Lloret Residencial). PK 4+720, PK 4+890 i PK 5+070. Lloret de Mar-Vidreres. Clau: MG-05042'; 'Millora travessera urbana. Millora de la travessera urbana de Sallent del PK 40+980 al 42+600 de la carretera C-1411z. Tram: Sallent. Clau: RB-03135-A1'; 'Millora local. Millora de nus. Rotonda a la intersecció de les carreteres C-251, PK 5+890, i la BV-5105, PK 5+292. Tram: Cardedeu. Clau: VB-00031.1-A1' i 'Millora general. Condicionament. Eixample i Millora de revolts. Carretera BV-1225. PK 3+940 al 5+420. Tram: Manresa - El Pont de Vilomara i Rocafort. Clau: XB-06030'</v>
      </c>
      <c r="H48" s="6">
        <f>Total!I168</f>
        <v>267451.93</v>
      </c>
    </row>
    <row r="49" spans="1:8" x14ac:dyDescent="0.2">
      <c r="A49" s="8">
        <f t="shared" ref="A49:A55" si="5">A48+1</f>
        <v>48</v>
      </c>
      <c r="B49" s="9">
        <f>Total!B169</f>
        <v>40254</v>
      </c>
      <c r="C49" s="34" t="str">
        <f>Total!D169</f>
        <v>GISA</v>
      </c>
      <c r="D49" s="34" t="str">
        <f>Total!E169</f>
        <v>Obra Civil</v>
      </c>
      <c r="E49" s="34" t="str">
        <f>Total!F169</f>
        <v>Projectes</v>
      </c>
      <c r="F49" s="34" t="str">
        <f>Total!G169</f>
        <v>EI-AG-03020.3</v>
      </c>
      <c r="G49" s="34" t="str">
        <f>Total!H169</f>
        <v>Contracte de serveis per a l'assistència tècnica per a la redacció de l'estudi informatiu de la millora general. Condicionament. Corredor Brugent-Ter. Carretera N-141e, PK 106+200 al 112+000. Tram: Bescanó-Salt. Clau: EI-AG-03020.3</v>
      </c>
      <c r="H49" s="6">
        <f>Total!I169</f>
        <v>142241.38</v>
      </c>
    </row>
    <row r="50" spans="1:8" x14ac:dyDescent="0.2">
      <c r="A50" s="8">
        <f t="shared" si="5"/>
        <v>49</v>
      </c>
      <c r="B50" s="9">
        <f>Total!B170</f>
        <v>40256</v>
      </c>
      <c r="C50" s="34" t="str">
        <f>Total!D170</f>
        <v>GISA</v>
      </c>
      <c r="D50" s="34" t="str">
        <f>Total!E170</f>
        <v>Obra Civil</v>
      </c>
      <c r="E50" s="34" t="str">
        <f>Total!F170</f>
        <v>Projectes</v>
      </c>
      <c r="F50" s="34" t="str">
        <f>Total!G170</f>
        <v>SA. SSAA 2010-1</v>
      </c>
      <c r="G50" s="34" t="str">
        <f>Total!H170</f>
        <v>Contracte de serveis per a l'assistència tècnica per a l'assessorament a la Gerència de Projectes de Carreteres en la gestió de reposició de serveis afectats. Clau: SSAA 2010-1</v>
      </c>
      <c r="H50" s="6">
        <f>Total!I170</f>
        <v>90720</v>
      </c>
    </row>
    <row r="51" spans="1:8" x14ac:dyDescent="0.2">
      <c r="A51" s="8">
        <f t="shared" si="5"/>
        <v>50</v>
      </c>
      <c r="B51" s="9">
        <f>Total!B171</f>
        <v>40256</v>
      </c>
      <c r="C51" s="34" t="str">
        <f>Total!D171</f>
        <v>GISA</v>
      </c>
      <c r="D51" s="34" t="str">
        <f>Total!E171</f>
        <v>Obra Civil</v>
      </c>
      <c r="E51" s="34" t="str">
        <f>Total!F171</f>
        <v>Projectes</v>
      </c>
      <c r="F51" s="34" t="str">
        <f>Total!G171</f>
        <v>PM.TM-00509.4E-M1</v>
      </c>
      <c r="G51" s="34" t="str">
        <f>Total!H171</f>
        <v>Contracte de serveis per a l'assistència tècnica per a la redacció del projecte modificat núm. 1 'Línia 9 de Metro de Barcelona. Tram 3r. Zona Universitària-Sagrera Meridiana. Complements d'estructura interior, via i catenària del túnel 3 del tram Zona Universitària - Sagrera Meridiana'. Clau: TM-00509.4E-M1</v>
      </c>
      <c r="H51" s="6">
        <f>Total!I171</f>
        <v>120689.65</v>
      </c>
    </row>
    <row r="52" spans="1:8" x14ac:dyDescent="0.2">
      <c r="A52" s="8">
        <f t="shared" si="5"/>
        <v>51</v>
      </c>
      <c r="B52" s="9">
        <f>Total!B172</f>
        <v>40255</v>
      </c>
      <c r="C52" s="34" t="str">
        <f>Total!D172</f>
        <v>GISA</v>
      </c>
      <c r="D52" s="34" t="str">
        <f>Total!E172</f>
        <v>Edificació</v>
      </c>
      <c r="E52" s="34" t="str">
        <f>Total!F172</f>
        <v>Direccions d'Execució</v>
      </c>
      <c r="F52" s="34" t="str">
        <f>Total!G172</f>
        <v>CSS. PAL-02477+3</v>
      </c>
      <c r="G52" s="34" t="str">
        <f>Total!H172</f>
        <v>Contracte de serveis per a l'assistència tècnica de coordinació de seguretat i salut conjunta de les obres 'Reforma i ampliació Escola El Vilot -ZER Ponent a Lleida' Clau: PAL-02477; 'Escola Pompeu Fabra de Mollerussa' Clau: PAL-07331; 'Institut Joan Miró de l'Hospitalet de Llobregat (Barcelonès)'. Clau:IAC-07366 i 'Escola l'Estany -ZER El Moainès a l'Estany' Clau: PNC-07355</v>
      </c>
      <c r="H52" s="6">
        <f>Total!I172</f>
        <v>76500</v>
      </c>
    </row>
    <row r="53" spans="1:8" x14ac:dyDescent="0.2">
      <c r="A53" s="8">
        <f t="shared" si="5"/>
        <v>52</v>
      </c>
      <c r="B53" s="9">
        <f>Total!B173</f>
        <v>40259</v>
      </c>
      <c r="C53" s="34" t="str">
        <f>Total!D173</f>
        <v>GISA</v>
      </c>
      <c r="D53" s="34" t="str">
        <f>Total!E173</f>
        <v>Edificació</v>
      </c>
      <c r="E53" s="34" t="str">
        <f>Total!F173</f>
        <v>Control de Qualitat</v>
      </c>
      <c r="F53" s="34" t="str">
        <f>Total!G173</f>
        <v>CQ. IAA-06488</v>
      </c>
      <c r="G53" s="34" t="str">
        <f>Total!H173</f>
        <v>Contracte de serveis per a l'assistència tècnica del control de qualitat de les obres d'ampliació de l'IES de Sales, de Viladecans (Baix Llobregat). Clau:IAA-06488</v>
      </c>
      <c r="H53" s="6">
        <f>Total!I173</f>
        <v>57885</v>
      </c>
    </row>
    <row r="54" spans="1:8" x14ac:dyDescent="0.2">
      <c r="A54" s="8">
        <f t="shared" si="5"/>
        <v>53</v>
      </c>
      <c r="B54" s="9">
        <f>Total!B174</f>
        <v>40259</v>
      </c>
      <c r="C54" s="34" t="str">
        <f>Total!D174</f>
        <v>GISA</v>
      </c>
      <c r="D54" s="34" t="str">
        <f>Total!E174</f>
        <v>Edificació</v>
      </c>
      <c r="E54" s="34" t="str">
        <f>Total!F174</f>
        <v>Control de Qualitat</v>
      </c>
      <c r="F54" s="34" t="str">
        <f>Total!G174</f>
        <v>CQ. IAG-06264 + IAG-06421</v>
      </c>
      <c r="G54" s="34" t="str">
        <f>Total!H174</f>
        <v>Contracte de serveis per al control de qualitat conjunt de les obres d'ampliació de 'l'Institut Cap Norfeu de Roses. Clau: IAG-06264' i de 'l'Institut Santiago Sobrequés i Vidal de Girona. Clau: IAG-06421</v>
      </c>
      <c r="H54" s="6">
        <f>Total!I174</f>
        <v>69396.62</v>
      </c>
    </row>
    <row r="55" spans="1:8" x14ac:dyDescent="0.2">
      <c r="A55" s="8">
        <f t="shared" si="5"/>
        <v>54</v>
      </c>
      <c r="B55" s="9">
        <f>Total!B175</f>
        <v>40259</v>
      </c>
      <c r="C55" s="34" t="str">
        <f>Total!D175</f>
        <v>GISA</v>
      </c>
      <c r="D55" s="34" t="str">
        <f>Total!E175</f>
        <v>Edificació</v>
      </c>
      <c r="E55" s="34" t="str">
        <f>Total!F175</f>
        <v>Control de Qualitat</v>
      </c>
      <c r="F55" s="34" t="str">
        <f>Total!G175</f>
        <v>CQ. PAG-06474+1</v>
      </c>
      <c r="G55" s="34" t="str">
        <f>Total!H175</f>
        <v>Contracte de serveis per a l'assistència tècnica per al control de qualitat conjunt de les obres de d'ampliació i reforma 'Escola a 2 línies a l'Escola Salvador Espriu de Vidreres (La Selva). Clau PAG-06474'i 'Escola 2 línies a l'Escola Verdaguer de Sils (La Selva), clau: PAG-06290'</v>
      </c>
      <c r="H55" s="6">
        <f>Total!I175</f>
        <v>60879.13</v>
      </c>
    </row>
    <row r="56" spans="1:8" x14ac:dyDescent="0.2">
      <c r="A56" s="8">
        <f t="shared" ref="A56:A61" si="6">A55+1</f>
        <v>55</v>
      </c>
      <c r="B56" s="9">
        <f>Total!B176</f>
        <v>40261</v>
      </c>
      <c r="C56" s="34" t="str">
        <f>Total!D176</f>
        <v>REGSA</v>
      </c>
      <c r="D56" s="34"/>
      <c r="E56" s="34" t="str">
        <f>Total!F176</f>
        <v>Projectes</v>
      </c>
      <c r="F56" s="34" t="str">
        <f>Total!G176</f>
        <v>PC. TR-09413</v>
      </c>
      <c r="G56" s="34" t="str">
        <f>Total!H176</f>
        <v>Contracte de serveis per a l'assistència tècnica per a la redacció del projecte de condicionament i millora de la xarxa de reg de la Comunitat de Regants de la Séquia Vinyals. Xarxa de distribució. TM de Celrà, Bordils, Juià, Sant Joan de Mollet i Flaçà (Gironès). Clau: TR-09413</v>
      </c>
      <c r="H56" s="6">
        <f>Total!I176</f>
        <v>137000</v>
      </c>
    </row>
    <row r="57" spans="1:8" x14ac:dyDescent="0.2">
      <c r="A57" s="8">
        <f t="shared" si="6"/>
        <v>56</v>
      </c>
      <c r="B57" s="9">
        <f>Total!B177</f>
        <v>40262</v>
      </c>
      <c r="C57" s="34" t="str">
        <f>Total!D177</f>
        <v>GISA</v>
      </c>
      <c r="D57" s="34" t="str">
        <f>Total!E177</f>
        <v>Edificació</v>
      </c>
      <c r="E57" s="34" t="str">
        <f>Total!F177</f>
        <v>Control de Qualitat</v>
      </c>
      <c r="F57" s="34" t="str">
        <f>Total!G177</f>
        <v>CQ. JJL-06378</v>
      </c>
      <c r="G57" s="34" t="str">
        <f>Total!H177</f>
        <v>Contracte de serveis per a l'assistència tècnica per el control de qualitat de les obres d'ampliació de l'Edifici Judicial del Canyeret de Lleida. Clau:JJL-06378</v>
      </c>
      <c r="H57" s="6">
        <f>Total!I177</f>
        <v>84194.87</v>
      </c>
    </row>
    <row r="58" spans="1:8" x14ac:dyDescent="0.2">
      <c r="A58" s="8">
        <f t="shared" si="6"/>
        <v>57</v>
      </c>
      <c r="B58" s="9">
        <f>Total!B178</f>
        <v>40262</v>
      </c>
      <c r="C58" s="34" t="str">
        <f>Total!D178</f>
        <v>GISA</v>
      </c>
      <c r="D58" s="34" t="str">
        <f>Total!E178</f>
        <v>Edificació</v>
      </c>
      <c r="E58" s="34" t="str">
        <f>Total!F178</f>
        <v>Direccions d'Execució</v>
      </c>
      <c r="F58" s="34" t="str">
        <f>Total!G178</f>
        <v>DE. PAT-06464</v>
      </c>
      <c r="G58" s="34" t="str">
        <f>Total!H178</f>
        <v>Contracte de serveis per a la direcció d'execució de les obres de reforma i ampliació Escola a 2 línies a l'Escola Els Quatre Vents, de Sant Jaume dels Domenys. Clau: PAT-06464</v>
      </c>
      <c r="H58" s="6">
        <f>Total!I178</f>
        <v>97111.11</v>
      </c>
    </row>
    <row r="59" spans="1:8" x14ac:dyDescent="0.2">
      <c r="A59" s="8">
        <f t="shared" si="6"/>
        <v>58</v>
      </c>
      <c r="B59" s="9">
        <f>Total!B179</f>
        <v>40262</v>
      </c>
      <c r="C59" s="34" t="str">
        <f>Total!D179</f>
        <v>GISA</v>
      </c>
      <c r="D59" s="34" t="str">
        <f>Total!E179</f>
        <v>Edificació</v>
      </c>
      <c r="E59" s="34" t="str">
        <f>Total!F179</f>
        <v>Control de Qualitat</v>
      </c>
      <c r="F59" s="34" t="str">
        <f>Total!G179</f>
        <v>CQ. PAA-06483</v>
      </c>
      <c r="G59" s="34" t="str">
        <f>Total!H179</f>
        <v>Contracte de serveis per a l'assistència tècnica del control de qualitat de les obres d'ampliació Escola Àngel Guimerà, de Sant Andreu de la Barca (Baix Llobregat). Clau: PAA-06483</v>
      </c>
      <c r="H59" s="6">
        <f>Total!I179</f>
        <v>49515.61</v>
      </c>
    </row>
    <row r="60" spans="1:8" x14ac:dyDescent="0.2">
      <c r="A60" s="8">
        <f t="shared" si="6"/>
        <v>59</v>
      </c>
      <c r="B60" s="9">
        <f>Total!B180</f>
        <v>40262</v>
      </c>
      <c r="C60" s="34" t="str">
        <f>Total!D180</f>
        <v>GISA</v>
      </c>
      <c r="D60" s="34" t="str">
        <f>Total!E180</f>
        <v>Edificació</v>
      </c>
      <c r="E60" s="34" t="str">
        <f>Total!F180</f>
        <v>Control de Qualitat</v>
      </c>
      <c r="F60" s="34" t="str">
        <f>Total!G180</f>
        <v>CQ. PAA-06263</v>
      </c>
      <c r="G60" s="34" t="str">
        <f>Total!H180</f>
        <v>Contracte de serveis per a l'assistència tècnica del control de qualitat de les obres de reforma i ampliació Escola a 3 línies a l'Escola Francesc Platón i Sartí, d'Abrera (Baix Llobregat). Clau: PAA-06263</v>
      </c>
      <c r="H60" s="6">
        <f>Total!I180</f>
        <v>79447.38</v>
      </c>
    </row>
    <row r="61" spans="1:8" x14ac:dyDescent="0.2">
      <c r="A61" s="8">
        <f t="shared" si="6"/>
        <v>60</v>
      </c>
      <c r="B61" s="9">
        <f>Total!B181</f>
        <v>40267</v>
      </c>
      <c r="C61" s="34" t="str">
        <f>Total!D181</f>
        <v>REGSA</v>
      </c>
      <c r="D61" s="34"/>
      <c r="E61" s="34" t="str">
        <f>Total!F181</f>
        <v>Projectes</v>
      </c>
      <c r="F61" s="34" t="str">
        <f>Total!G181</f>
        <v>EC.E1-TR-10020</v>
      </c>
      <c r="G61" s="34" t="str">
        <f>Total!H181</f>
        <v>Contracte de serveis per a l'assistència tècnica per a la realització de la cartografia del projecte de condicionament i millora de la xarxa de distribució del reg de la Comunitat de Regants de la Presa de Colomers. TM de Colomers, Jafre, Verges, La Tallada d'Empordà, Ullà, Torroella de Montgrí, Bellcaire d'Empordà i Albons (Baix Empordà), l'Escala i Viladamat (Alt Empordà). Clau: E1-TR-10020</v>
      </c>
      <c r="H61" s="6">
        <f>Total!I181</f>
        <v>132000</v>
      </c>
    </row>
    <row r="62" spans="1:8" ht="13.5" thickBot="1" x14ac:dyDescent="0.25">
      <c r="A62" s="8">
        <f>A61+1</f>
        <v>61</v>
      </c>
      <c r="B62" s="9">
        <f>Total!B182</f>
        <v>40268</v>
      </c>
      <c r="C62" s="34" t="str">
        <f>Total!D182</f>
        <v>GISA</v>
      </c>
      <c r="D62" s="34" t="str">
        <f>Total!E182</f>
        <v>Edificació</v>
      </c>
      <c r="E62" s="34" t="str">
        <f>Total!F182</f>
        <v>Projectes i Direccions d'Obra</v>
      </c>
      <c r="F62" s="34" t="str">
        <f>Total!G182</f>
        <v>PE+DO CAP-10002 2v</v>
      </c>
      <c r="G62" s="34" t="str">
        <f>Total!H182</f>
        <v>Contracte de serveis per a l'assistència tècnica per a la redacció del projecte bàsic i d'execució, l'estudi de seguretat i salut, la certificació d'eficiència energètica del projecte, el projecte d'enderrocs, l'estudi geotècnic, el projecte d'activitats per a la llicència ambiental i posterior Direcció d'Obra i certificació d'eficiència energètica de final d'obra corresponent a la Nova Const rucció del CAP Molí Nou, de Sant Boi de Llobregat. Clau:CAP-10002 (2v)</v>
      </c>
      <c r="H62" s="6">
        <f>Total!I182</f>
        <v>309166.26</v>
      </c>
    </row>
    <row r="63" spans="1:8" ht="13.5" thickBot="1" x14ac:dyDescent="0.25">
      <c r="H63" s="33">
        <f>SUM(H2:H62)</f>
        <v>10587704.310000001</v>
      </c>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H36"/>
  <sheetViews>
    <sheetView workbookViewId="0">
      <pane ySplit="1" topLeftCell="A7" activePane="bottomLeft" state="frozen"/>
      <selection pane="bottomLeft" activeCell="H36" sqref="H36"/>
    </sheetView>
  </sheetViews>
  <sheetFormatPr baseColWidth="10" defaultColWidth="11.42578125" defaultRowHeight="12.75" x14ac:dyDescent="0.2"/>
  <cols>
    <col min="1" max="1" width="7" style="10" customWidth="1"/>
    <col min="2" max="2" width="12.42578125" style="10" bestFit="1" customWidth="1"/>
    <col min="3" max="3" width="7.7109375" style="5" bestFit="1" customWidth="1"/>
    <col min="4" max="4" width="10.140625" style="5" bestFit="1" customWidth="1"/>
    <col min="5" max="5" width="19.42578125" style="5" bestFit="1" customWidth="1"/>
    <col min="6" max="6" width="24.7109375" style="5" customWidth="1"/>
    <col min="7" max="7" width="74.42578125" style="35" customWidth="1"/>
    <col min="8" max="8" width="20" style="7" bestFit="1" customWidth="1"/>
  </cols>
  <sheetData>
    <row r="1" spans="1:8" x14ac:dyDescent="0.2">
      <c r="B1" s="37" t="s">
        <v>57</v>
      </c>
      <c r="C1" s="2" t="s">
        <v>58</v>
      </c>
      <c r="D1" s="3" t="s">
        <v>59</v>
      </c>
      <c r="E1" s="3" t="s">
        <v>60</v>
      </c>
      <c r="F1" s="3" t="s">
        <v>61</v>
      </c>
      <c r="G1" s="38" t="s">
        <v>62</v>
      </c>
      <c r="H1" s="39" t="s">
        <v>63</v>
      </c>
    </row>
    <row r="2" spans="1:8" x14ac:dyDescent="0.2">
      <c r="A2" s="8">
        <v>1</v>
      </c>
      <c r="B2" s="9">
        <f>Total!B88</f>
        <v>40210</v>
      </c>
      <c r="C2" s="34" t="str">
        <f>Total!D88</f>
        <v>GISA</v>
      </c>
      <c r="D2" s="34" t="str">
        <f>Total!E88</f>
        <v>Edificació</v>
      </c>
      <c r="E2" s="34" t="str">
        <f>Total!F88</f>
        <v>Control de Qualitat</v>
      </c>
      <c r="F2" s="34" t="str">
        <f>Total!G88</f>
        <v>CQ. IAT-07460</v>
      </c>
      <c r="G2" s="36" t="str">
        <f>Total!H88</f>
        <v>Contracte de serveis per a l'assistència tècnica del control de qualitat de les obres d'ampliació i reforma Institut a 4/2 línies, a l'Institut Ramon Barbat i Miracle a Vila-Seca,Tarragonès. Clau:IAT-07460</v>
      </c>
      <c r="H2" s="6">
        <f>Total!I88</f>
        <v>54398.04</v>
      </c>
    </row>
    <row r="3" spans="1:8" x14ac:dyDescent="0.2">
      <c r="A3" s="8">
        <f t="shared" ref="A3:A9" si="0">A2+1</f>
        <v>2</v>
      </c>
      <c r="B3" s="9">
        <f>Total!B89</f>
        <v>40210</v>
      </c>
      <c r="C3" s="34" t="str">
        <f>Total!D89</f>
        <v>GISA</v>
      </c>
      <c r="D3" s="34" t="str">
        <f>Total!E89</f>
        <v>Edificació</v>
      </c>
      <c r="E3" s="34" t="str">
        <f>Total!F89</f>
        <v>Control de Qualitat</v>
      </c>
      <c r="F3" s="34" t="str">
        <f>Total!G89</f>
        <v>CQ. PNH-09309</v>
      </c>
      <c r="G3" s="36" t="str">
        <f>Total!H89</f>
        <v>Contracte de serveis per a l'assistència tècnica del control de qualitat de les obres de nova construcció escola 7 unitats a l'Escola Els Castanyers de Viladrau (Osona). Clau PNH-09309</v>
      </c>
      <c r="H3" s="15">
        <f>Total!I89</f>
        <v>74955.399999999994</v>
      </c>
    </row>
    <row r="4" spans="1:8" x14ac:dyDescent="0.2">
      <c r="A4" s="8">
        <f t="shared" si="0"/>
        <v>3</v>
      </c>
      <c r="B4" s="9">
        <f>Total!B90</f>
        <v>40212</v>
      </c>
      <c r="C4" s="34" t="str">
        <f>Total!D90</f>
        <v>REGSA</v>
      </c>
      <c r="D4" s="36"/>
      <c r="E4" s="34" t="str">
        <f>Total!F90</f>
        <v>Projectes</v>
      </c>
      <c r="F4" s="34" t="str">
        <f>Total!G90</f>
        <v>PC. ER-06908.1</v>
      </c>
      <c r="G4" s="36" t="str">
        <f>Total!H90</f>
        <v>Contracte de serveis per a l'assistència tècnica per a la redacció del projecte constructiu del regadiu de la Terra Alta. Bombament, impulsió i bassa de regulació 4. Clau: ER-06908.1</v>
      </c>
      <c r="H4" s="15">
        <f>Total!I90</f>
        <v>115517.24</v>
      </c>
    </row>
    <row r="5" spans="1:8" x14ac:dyDescent="0.2">
      <c r="A5" s="8">
        <f t="shared" si="0"/>
        <v>4</v>
      </c>
      <c r="B5" s="9">
        <f>Total!B91</f>
        <v>40213</v>
      </c>
      <c r="C5" s="34" t="str">
        <f>Total!D91</f>
        <v>REGSA</v>
      </c>
      <c r="D5" s="36"/>
      <c r="E5" s="34" t="str">
        <f>Total!F91</f>
        <v>Projectes</v>
      </c>
      <c r="F5" s="34" t="str">
        <f>Total!G91</f>
        <v>PC. VX-10000</v>
      </c>
      <c r="G5" s="36" t="str">
        <f>Total!H91</f>
        <v>Contracte de serveis per a l'assistència tècnica per a la redacció del projecte constructiu de modernització i ampliació del reg de la Comunitat de Regants d'Aramunt. TM de Conca de Dalt (Pallars Jussà). Clau: VX-10000</v>
      </c>
      <c r="H5" s="15">
        <f>Total!I91</f>
        <v>110000</v>
      </c>
    </row>
    <row r="6" spans="1:8" x14ac:dyDescent="0.2">
      <c r="A6" s="8">
        <f t="shared" si="0"/>
        <v>5</v>
      </c>
      <c r="B6" s="47">
        <f>Total!B92</f>
        <v>40214</v>
      </c>
      <c r="C6" s="48" t="str">
        <f>Total!D92</f>
        <v>REGSA</v>
      </c>
      <c r="D6" s="53"/>
      <c r="E6" s="48" t="str">
        <f>Total!F92</f>
        <v>Projectes</v>
      </c>
      <c r="F6" s="48" t="str">
        <f>Total!G92</f>
        <v>PC. TR-09414</v>
      </c>
      <c r="G6" s="54" t="str">
        <f>Total!H92</f>
        <v>Contracte de serveis per a l'assistència tècnica per a la redacció del projecte de condicionament i millora de la xarxa de distribució del reg del Molí de Pals. TM de Torroella de Montgrí, Pals, Gualta, Fontanilles, Palau-Sator, Ullastret i Serra de Daró (Baix Empordà). Clau: TR-09414</v>
      </c>
      <c r="H6" s="52">
        <f>Total!I92</f>
        <v>267241.38</v>
      </c>
    </row>
    <row r="7" spans="1:8" x14ac:dyDescent="0.2">
      <c r="A7" s="8">
        <f t="shared" si="0"/>
        <v>6</v>
      </c>
      <c r="B7" s="9">
        <f>Total!B93</f>
        <v>40217</v>
      </c>
      <c r="C7" s="34" t="str">
        <f>Total!D93</f>
        <v>GISA</v>
      </c>
      <c r="D7" s="36" t="str">
        <f>Total!E93</f>
        <v>Obra Civil</v>
      </c>
      <c r="E7" s="34" t="str">
        <f>Total!F93</f>
        <v>Projectes</v>
      </c>
      <c r="F7" s="34" t="str">
        <f>Total!G93</f>
        <v>EI-TX-07263 (AMPL)</v>
      </c>
      <c r="G7" s="40" t="str">
        <f>Total!H93</f>
        <v>Contracte de serveis per a l'assistència tècnica per a la redacció de l'ampliació de l'estudi informatiu d'implantació d'un sistema tramviari al camp de Tarragona. Clau: EI-TX-07263</v>
      </c>
      <c r="H7" s="15">
        <f>Total!I93</f>
        <v>190000</v>
      </c>
    </row>
    <row r="8" spans="1:8" x14ac:dyDescent="0.2">
      <c r="A8" s="8">
        <f t="shared" si="0"/>
        <v>7</v>
      </c>
      <c r="B8" s="9">
        <f>Total!B94</f>
        <v>40217</v>
      </c>
      <c r="C8" s="34" t="str">
        <f>Total!D94</f>
        <v>GISA</v>
      </c>
      <c r="D8" s="36" t="str">
        <f>Total!E94</f>
        <v>Obra Civil</v>
      </c>
      <c r="E8" s="34" t="str">
        <f>Total!F94</f>
        <v>Projectes</v>
      </c>
      <c r="F8" s="34" t="str">
        <f>Total!G94</f>
        <v>EI-TX-10004</v>
      </c>
      <c r="G8" s="40" t="str">
        <f>Total!H94</f>
        <v>Contracte de serveis per a l'assistència tècnica per a la redacció de l'estudi informatiu del nou sistema tramviari entre Bellaterra i Montcada i Reixac. Clau: EI-TX-10004</v>
      </c>
      <c r="H8" s="15">
        <f>Total!I94</f>
        <v>191580</v>
      </c>
    </row>
    <row r="9" spans="1:8" x14ac:dyDescent="0.2">
      <c r="A9" s="8">
        <f t="shared" si="0"/>
        <v>8</v>
      </c>
      <c r="B9" s="9">
        <f>Total!B95</f>
        <v>40217</v>
      </c>
      <c r="C9" s="34" t="str">
        <f>Total!D95</f>
        <v>GISA</v>
      </c>
      <c r="D9" s="36" t="str">
        <f>Total!E95</f>
        <v>Obra Civil</v>
      </c>
      <c r="E9" s="34" t="str">
        <f>Total!F95</f>
        <v>Projectes</v>
      </c>
      <c r="F9" s="34" t="str">
        <f>Total!G95</f>
        <v>IA-TX-10004</v>
      </c>
      <c r="G9" s="40" t="str">
        <f>Total!H95</f>
        <v>Contracte de serveis per a l'assistència tècnica per a la redacció de l'estudi d'impacte ambiental del nou sistema tramviari entre Bellaterra i Montcada i Reixac. Clau: IA-TX-10004</v>
      </c>
      <c r="H9" s="15">
        <f>Total!I95</f>
        <v>60000</v>
      </c>
    </row>
    <row r="10" spans="1:8" x14ac:dyDescent="0.2">
      <c r="A10" s="8">
        <f t="shared" ref="A10:A15" si="1">A9+1</f>
        <v>9</v>
      </c>
      <c r="B10" s="9">
        <f>Total!B96</f>
        <v>40218</v>
      </c>
      <c r="C10" s="34" t="str">
        <f>Total!D96</f>
        <v>GISA</v>
      </c>
      <c r="D10" s="36" t="str">
        <f>Total!E96</f>
        <v>Obra Civil</v>
      </c>
      <c r="E10" s="34" t="str">
        <f>Total!F96</f>
        <v>Projectes</v>
      </c>
      <c r="F10" s="34" t="str">
        <f>Total!G96</f>
        <v>EI-VB-01055</v>
      </c>
      <c r="G10" s="40" t="str">
        <f>Total!H96</f>
        <v>Contracte de serveis per a l'assistència tècnica per a la redacció de l'estudi informatiu de millora general. Variant de Sagàs. Carretera C-154, del PK 38+800 al 41+200. Tram: Santa Maria de Merlès-Sagàs. Clau: EI-VB-01055</v>
      </c>
      <c r="H10" s="15">
        <f>Total!I96</f>
        <v>51810.34</v>
      </c>
    </row>
    <row r="11" spans="1:8" x14ac:dyDescent="0.2">
      <c r="A11" s="8">
        <f t="shared" si="1"/>
        <v>10</v>
      </c>
      <c r="B11" s="9">
        <f>Total!B97</f>
        <v>40218</v>
      </c>
      <c r="C11" s="34" t="str">
        <f>Total!D97</f>
        <v>GISA</v>
      </c>
      <c r="D11" s="36" t="str">
        <f>Total!E97</f>
        <v>Obra Civil</v>
      </c>
      <c r="E11" s="34" t="str">
        <f>Total!F97</f>
        <v>Projectes</v>
      </c>
      <c r="F11" s="34" t="str">
        <f>Total!G97</f>
        <v>PC. XB-09115</v>
      </c>
      <c r="G11" s="40" t="str">
        <f>Total!H97</f>
        <v>Contracte de serveis per a l'assistència tècnica per a la redacció del projecte constructiu de millora local. Millora de traçat. Carretera BP-4654, del PK 0+000 al 8+120, i carretera BP-4653, del PK 6+300 al 17+390. Tram: Sant Quirze de Besora-Olost. Clau: XB-09115</v>
      </c>
      <c r="H11" s="15">
        <f>Total!I97</f>
        <v>78362.070000000007</v>
      </c>
    </row>
    <row r="12" spans="1:8" x14ac:dyDescent="0.2">
      <c r="A12" s="8">
        <f t="shared" si="1"/>
        <v>11</v>
      </c>
      <c r="B12" s="9">
        <f>Total!B98</f>
        <v>40218</v>
      </c>
      <c r="C12" s="34" t="str">
        <f>Total!D98</f>
        <v>GISA</v>
      </c>
      <c r="D12" s="36" t="str">
        <f>Total!E98</f>
        <v>Edificació</v>
      </c>
      <c r="E12" s="34" t="str">
        <f>Total!F98</f>
        <v>Direccions d'Execució</v>
      </c>
      <c r="F12" s="34" t="str">
        <f>Total!G98</f>
        <v>DE. PAL-02477+1</v>
      </c>
      <c r="G12" s="40" t="str">
        <f>Total!H98</f>
        <v>Contracte de serveis per a la direcció d'execució de les obres de l'escola El Vilot - ZER Ponent de Lleida. Clau: PAL-02477 i d'ampliació i reforma escola a 2 línies a l'escola Pompeu Fabra de Mollerusa, El Pla d'Urgell. Clau:PAL-07331</v>
      </c>
      <c r="H12" s="15">
        <f>Total!I98</f>
        <v>190000</v>
      </c>
    </row>
    <row r="13" spans="1:8" x14ac:dyDescent="0.2">
      <c r="A13" s="8">
        <f t="shared" si="1"/>
        <v>12</v>
      </c>
      <c r="B13" s="9">
        <f>Total!B99</f>
        <v>40219</v>
      </c>
      <c r="C13" s="34" t="str">
        <f>Total!D99</f>
        <v>REGSA</v>
      </c>
      <c r="D13" s="36"/>
      <c r="E13" s="34" t="str">
        <f>Total!F99</f>
        <v>Projectes</v>
      </c>
      <c r="F13" s="34" t="str">
        <f>Total!G99</f>
        <v>EC.E1-TR-09414</v>
      </c>
      <c r="G13" s="40" t="str">
        <f>Total!H99</f>
        <v>Contracte de serveis per a l'assistència tècnica per a la realització de la cartografia del projecte de condicionament i millora de la xarxa de distribució del reg del Molí de Pals. TM de Torroella de Montgrí, Pals, Gualta, Fontanilles, Palau-Sator, Ullastret i Serra de Daró (Baix Empordà). Clau: E1-TR-09414</v>
      </c>
      <c r="H13" s="15">
        <f>Total!I99</f>
        <v>100000</v>
      </c>
    </row>
    <row r="14" spans="1:8" x14ac:dyDescent="0.2">
      <c r="A14" s="8">
        <f t="shared" si="1"/>
        <v>13</v>
      </c>
      <c r="B14" s="9">
        <f>Total!B100</f>
        <v>40219</v>
      </c>
      <c r="C14" s="34" t="str">
        <f>Total!D100</f>
        <v>REGSA</v>
      </c>
      <c r="D14" s="36"/>
      <c r="E14" s="34" t="str">
        <f>Total!F100</f>
        <v>Projectes</v>
      </c>
      <c r="F14" s="34" t="str">
        <f>Total!G100</f>
        <v>EC.E1-MR-05919.6</v>
      </c>
      <c r="G14" s="40" t="str">
        <f>Total!H100</f>
        <v>Contracte de serveis per a l'assistència tècnica per a la realització de la cartografia del projecte de regadiu Xerta-Sénia. Xarxa primària i xarxa de reg del sector 6. Clau: E1-MR-05919.6</v>
      </c>
      <c r="H14" s="15">
        <f>Total!I100</f>
        <v>126724.14</v>
      </c>
    </row>
    <row r="15" spans="1:8" x14ac:dyDescent="0.2">
      <c r="A15" s="8">
        <f t="shared" si="1"/>
        <v>14</v>
      </c>
      <c r="B15" s="47">
        <f>Total!B101</f>
        <v>40213</v>
      </c>
      <c r="C15" s="48" t="str">
        <f>Total!D101</f>
        <v>GISA</v>
      </c>
      <c r="D15" s="53" t="str">
        <f>Total!E101</f>
        <v>Obra Civil</v>
      </c>
      <c r="E15" s="48" t="str">
        <f>Total!F101</f>
        <v>Direccions d'Obra</v>
      </c>
      <c r="F15" s="48" t="str">
        <f>Total!G101</f>
        <v>DO. TM-00509.4B+2</v>
      </c>
      <c r="G15" s="54" t="str">
        <f>Total!H101</f>
        <v>Contracte de serveis per a la direcció conjunta de les obres de: 'Projecte constructiu de la L9 del Metro de Barcelona. Tram 3r. Zona Universitària-Sagrera Meridiana. Estacions Prat de la Riba, Sarrià, Mandri i pous de ventilació. Clau: TM-00509.4B'; 'Projecte constructiu de la L9 del Metro de Barcelona. Tram 3r. Zona Universitària-Sagrera Meridiana. Estacions Putxet, Lesseps, Muntanya i pous de ventilació. Clau: TM-00509.4C' i 'Projecte constructiu de la L9 del Metro de Barcelona. Tram 3r. Zona Universitària-Sagrera Meridiana. Estacions Sanllehy, Guinardó, Maragall i pous de ventilació. Clau: TM-00509.4D'</v>
      </c>
      <c r="H15" s="52">
        <f>Total!I101</f>
        <v>3441800.01</v>
      </c>
    </row>
    <row r="16" spans="1:8" x14ac:dyDescent="0.2">
      <c r="A16" s="8">
        <f t="shared" ref="A16:A35" si="2">A15+1</f>
        <v>15</v>
      </c>
      <c r="B16" s="9">
        <f>Total!B102</f>
        <v>40224</v>
      </c>
      <c r="C16" s="34" t="str">
        <f>Total!D102</f>
        <v>GISA</v>
      </c>
      <c r="D16" s="36" t="str">
        <f>Total!E102</f>
        <v>Obra Civil</v>
      </c>
      <c r="E16" s="34" t="str">
        <f>Total!F102</f>
        <v>Projectes</v>
      </c>
      <c r="F16" s="34" t="str">
        <f>Total!G102</f>
        <v>EI. PC. TF-09408</v>
      </c>
      <c r="G16" s="40" t="str">
        <f>Total!H102</f>
        <v>Contracte de serveis per a la licitació conjunta per a l'assistència tècnica per a la redacció de l'estudi informatiu i el projecte constructiu del perllongament del soterrament de la línia d'FGC a Sabadell des de la Rambla Ibèria fins al passeig de Can Feu. Claus: EI-TF-09408 i TF-09408</v>
      </c>
      <c r="H16" s="15">
        <f>Total!I102</f>
        <v>478393.97</v>
      </c>
    </row>
    <row r="17" spans="1:8" x14ac:dyDescent="0.2">
      <c r="A17" s="8">
        <f t="shared" si="2"/>
        <v>16</v>
      </c>
      <c r="B17" s="9">
        <f>Total!B103</f>
        <v>40224</v>
      </c>
      <c r="C17" s="34" t="str">
        <f>Total!D103</f>
        <v>GISA</v>
      </c>
      <c r="D17" s="36" t="str">
        <f>Total!E103</f>
        <v>Obra Civil</v>
      </c>
      <c r="E17" s="34" t="str">
        <f>Total!F103</f>
        <v>Projectes</v>
      </c>
      <c r="F17" s="34" t="str">
        <f>Total!G103</f>
        <v>EV. EI-TX-10003</v>
      </c>
      <c r="G17" s="40" t="str">
        <f>Total!H103</f>
        <v>Contracte de serveis per a l'assistència tècnica per a la redacció de l'estudi informatiu del nou túnel ferroviari d'Horta. Clau: EI-TX-10003</v>
      </c>
      <c r="H17" s="15">
        <f>Total!I103</f>
        <v>911800</v>
      </c>
    </row>
    <row r="18" spans="1:8" x14ac:dyDescent="0.2">
      <c r="A18" s="8">
        <f t="shared" si="2"/>
        <v>17</v>
      </c>
      <c r="B18" s="9">
        <f>Total!B104</f>
        <v>40224</v>
      </c>
      <c r="C18" s="34" t="str">
        <f>Total!D104</f>
        <v>GISA</v>
      </c>
      <c r="D18" s="36" t="str">
        <f>Total!E104</f>
        <v>Obra Civil</v>
      </c>
      <c r="E18" s="34" t="str">
        <f>Total!F104</f>
        <v>Projectes</v>
      </c>
      <c r="F18" s="34" t="str">
        <f>Total!G104</f>
        <v>IA-TX-10003</v>
      </c>
      <c r="G18" s="40" t="str">
        <f>Total!H104</f>
        <v>Contracte de serveis per a l'assistència tècnica per a la redacció de l'estudi d'impacte ambiental del nou túnel ferroviari d'Horta. Clau: IA-TX-10003</v>
      </c>
      <c r="H18" s="15">
        <f>Total!I104</f>
        <v>150000</v>
      </c>
    </row>
    <row r="19" spans="1:8" x14ac:dyDescent="0.2">
      <c r="A19" s="8">
        <f t="shared" si="2"/>
        <v>18</v>
      </c>
      <c r="B19" s="9">
        <f>Total!B105</f>
        <v>40226</v>
      </c>
      <c r="C19" s="34" t="str">
        <f>Total!D105</f>
        <v>GISA</v>
      </c>
      <c r="D19" s="36" t="str">
        <f>Total!E105</f>
        <v>Obra Civil</v>
      </c>
      <c r="E19" s="34" t="str">
        <f>Total!F105</f>
        <v>Direccions d'Obra</v>
      </c>
      <c r="F19" s="34" t="str">
        <f>Total!G105</f>
        <v>DO TM-99456.1-C6</v>
      </c>
      <c r="G19" s="40" t="str">
        <f>Total!H105</f>
        <v>Contracte de serveis per a la direcció de les obres del projecte complementari núm. 6 del perllongament de la línia 2 dels FMB. Tram: Pep Ventura-Badalona Centre. Urbanització de l'Illa Fradera. Fase 1 del projecte d'urbanització de l'Illa Central de Badalona. Clau: TM-99456.1-C6</v>
      </c>
      <c r="H19" s="15">
        <f>Total!I105</f>
        <v>189000</v>
      </c>
    </row>
    <row r="20" spans="1:8" x14ac:dyDescent="0.2">
      <c r="A20" s="8">
        <f t="shared" si="2"/>
        <v>19</v>
      </c>
      <c r="B20" s="9">
        <f>Total!B106</f>
        <v>40226</v>
      </c>
      <c r="C20" s="34" t="str">
        <f>Total!D106</f>
        <v>GISA</v>
      </c>
      <c r="D20" s="36" t="str">
        <f>Total!E106</f>
        <v>Obra Civil</v>
      </c>
      <c r="E20" s="34" t="str">
        <f>Total!F106</f>
        <v>Control de Qualitat</v>
      </c>
      <c r="F20" s="34" t="str">
        <f>Total!G106</f>
        <v>CQ TF-03474.3A</v>
      </c>
      <c r="G20" s="40" t="str">
        <f>Total!H106</f>
        <v>Contracte de serveis per a l'assistència tècnica de control de qualitat de les obres del perllongament dels FGC a Terrassa. Arquitectura i instal.lacions. Clau: TF-03474.3A</v>
      </c>
      <c r="H20" s="15">
        <f>Total!I106</f>
        <v>567660.46</v>
      </c>
    </row>
    <row r="21" spans="1:8" x14ac:dyDescent="0.2">
      <c r="A21" s="8">
        <f t="shared" si="2"/>
        <v>20</v>
      </c>
      <c r="B21" s="9">
        <f>Total!B107</f>
        <v>40226</v>
      </c>
      <c r="C21" s="34" t="str">
        <f>Total!D107</f>
        <v>GISA</v>
      </c>
      <c r="D21" s="36" t="str">
        <f>Total!E107</f>
        <v>Obra Civil</v>
      </c>
      <c r="E21" s="34" t="str">
        <f>Total!F107</f>
        <v>Control de Qualitat</v>
      </c>
      <c r="F21" s="34" t="str">
        <f>Total!G107</f>
        <v>CQ TM-99456.1-C6</v>
      </c>
      <c r="G21" s="40" t="str">
        <f>Total!H107</f>
        <v>Contracte de serveis per a l'assistència tècnica per al control de qualitat de les obres del projecte complementari núm. 6 del perll ongament de la línia 2 dels FMB. Tram: Pep Ventura-Badalona Centre. Urbanització de l'Illa Fradera. Fase 1 del projecte d'urbanització de l'Illa Central de Badalona. Clau: TM-99456.1-C6</v>
      </c>
      <c r="H21" s="15">
        <f>Total!I107</f>
        <v>51601.67</v>
      </c>
    </row>
    <row r="22" spans="1:8" x14ac:dyDescent="0.2">
      <c r="A22" s="8">
        <f t="shared" si="2"/>
        <v>21</v>
      </c>
      <c r="B22" s="47">
        <f>Total!B108</f>
        <v>40226</v>
      </c>
      <c r="C22" s="48" t="str">
        <f>Total!D108</f>
        <v>GISA</v>
      </c>
      <c r="D22" s="53" t="str">
        <f>Total!E108</f>
        <v>Obra Civil</v>
      </c>
      <c r="E22" s="48" t="str">
        <f>Total!F108</f>
        <v>Direccions d'Obra</v>
      </c>
      <c r="F22" s="48" t="str">
        <f>Total!G108</f>
        <v>DO TF-03474.3A</v>
      </c>
      <c r="G22" s="54" t="str">
        <f>Total!H108</f>
        <v>Contracte de serveis per a la direcció de les obres del perllongament dels FGC a Terrassa. Arquitectura i instal.lacions. Clau: TF-03474.3A</v>
      </c>
      <c r="H22" s="52">
        <f>Total!I108</f>
        <v>2195955.56</v>
      </c>
    </row>
    <row r="23" spans="1:8" x14ac:dyDescent="0.2">
      <c r="A23" s="8">
        <f t="shared" si="2"/>
        <v>22</v>
      </c>
      <c r="B23" s="9">
        <f>Total!B109</f>
        <v>40227</v>
      </c>
      <c r="C23" s="34" t="str">
        <f>Total!D109</f>
        <v>GISA</v>
      </c>
      <c r="D23" s="36" t="str">
        <f>Total!E109</f>
        <v>Edificació</v>
      </c>
      <c r="E23" s="34" t="str">
        <f>Total!F109</f>
        <v>Projectes i Direccions d'Obra</v>
      </c>
      <c r="F23" s="34" t="str">
        <f>Total!G109</f>
        <v>PE+DO BSD-09361 2v</v>
      </c>
      <c r="G23" s="40" t="str">
        <f>Total!H109</f>
        <v>Contracte de serveis per a l'assistència tècnica per a la redacció del projecte bàsic i d'execució, la certificació d'eficiència energètica del projecte, l'estudi de seguretat i salut, el Pla Especial de Millora Urbana, l'estudi geotècnic, el projecte d'activitats per a llicència ambiental, el pla de gestió de residus i posterior Direcció d'Obra i certificació d'eficiència energètica de final d'obra corresponent a la Nova Construcció de la Residència per a persones amb discapacitat física (Eduard Maristany), a Badalona. Clau: BSD-09361(2v)</v>
      </c>
      <c r="H23" s="15">
        <f>Total!I109</f>
        <v>556985.23</v>
      </c>
    </row>
    <row r="24" spans="1:8" x14ac:dyDescent="0.2">
      <c r="A24" s="8">
        <f t="shared" si="2"/>
        <v>23</v>
      </c>
      <c r="B24" s="9">
        <f>Total!B110</f>
        <v>40231</v>
      </c>
      <c r="C24" s="34" t="str">
        <f>Total!D110</f>
        <v>GISA</v>
      </c>
      <c r="D24" s="36" t="str">
        <f>Total!E110</f>
        <v>Obra Civil</v>
      </c>
      <c r="E24" s="34" t="str">
        <f>Total!F110</f>
        <v>Projectes</v>
      </c>
      <c r="F24" s="34" t="str">
        <f>Total!G110</f>
        <v>PC. TF-05518.1A</v>
      </c>
      <c r="G24" s="40" t="str">
        <f>Total!H110</f>
        <v>Contracte de serveis per a l'assistència tècnica per a la redacció del projecte constructiu d'actualització a l'adaptació a la normativa i millora de l'accessibilitat i remodelació de l'estació de Sarrià dels FGC. Remodelació del vestíbul, vies, andanes i accessos a Via Augusta. Clau: TF-05518.1A</v>
      </c>
      <c r="H24" s="15">
        <f>Total!I110</f>
        <v>205000</v>
      </c>
    </row>
    <row r="25" spans="1:8" x14ac:dyDescent="0.2">
      <c r="A25" s="8">
        <f t="shared" si="2"/>
        <v>24</v>
      </c>
      <c r="B25" s="9">
        <f>Total!B111</f>
        <v>40231</v>
      </c>
      <c r="C25" s="34" t="str">
        <f>Total!D111</f>
        <v>GISA</v>
      </c>
      <c r="D25" s="36" t="str">
        <f>Total!E111</f>
        <v>Obra Civil</v>
      </c>
      <c r="E25" s="34" t="str">
        <f>Total!F111</f>
        <v>Projectes</v>
      </c>
      <c r="F25" s="34" t="str">
        <f>Total!G111</f>
        <v>PC. AT-09082</v>
      </c>
      <c r="G25" s="40" t="str">
        <f>Total!H111</f>
        <v>Contracte de serveis per a l'assistència tècnica per a la redacció del projecte constructiu de millora general. Condicionament de la carretera T-214, del PK 2+300 al 4+970. Tram: Torredembarra-La Riera de Gaià. Clau: AT-09082</v>
      </c>
      <c r="H25" s="15">
        <f>Total!I111</f>
        <v>74827.59</v>
      </c>
    </row>
    <row r="26" spans="1:8" x14ac:dyDescent="0.2">
      <c r="A26" s="8">
        <f t="shared" si="2"/>
        <v>25</v>
      </c>
      <c r="B26" s="9">
        <f>Total!B112</f>
        <v>40233</v>
      </c>
      <c r="C26" s="34" t="str">
        <f>Total!D112</f>
        <v>GISA</v>
      </c>
      <c r="D26" s="36" t="str">
        <f>Total!E112</f>
        <v>Edificació</v>
      </c>
      <c r="E26" s="34" t="str">
        <f>Total!F112</f>
        <v>Direccions d'Execució</v>
      </c>
      <c r="F26" s="34" t="str">
        <f>Total!G112</f>
        <v>DE. PNG-09207</v>
      </c>
      <c r="G26" s="40" t="str">
        <f>Total!H112</f>
        <v>Contracte de serveis per a la direcció d'execució de les obres de nova construcció de l' Escola Pericot a Girona, Escola 2 línies sense gimnàs, vestidors i pistes. Clau: PNG-09207</v>
      </c>
      <c r="H26" s="15">
        <f>Total!I112</f>
        <v>110000</v>
      </c>
    </row>
    <row r="27" spans="1:8" x14ac:dyDescent="0.2">
      <c r="A27" s="8">
        <f t="shared" si="2"/>
        <v>26</v>
      </c>
      <c r="B27" s="9">
        <f>Total!B113</f>
        <v>40233</v>
      </c>
      <c r="C27" s="34" t="str">
        <f>Total!D113</f>
        <v>GISA</v>
      </c>
      <c r="D27" s="36" t="str">
        <f>Total!E113</f>
        <v>Edificació</v>
      </c>
      <c r="E27" s="34" t="str">
        <f>Total!F113</f>
        <v>Direccions d'Execució</v>
      </c>
      <c r="F27" s="34" t="str">
        <f>Total!G113</f>
        <v>DE. PNM-09206</v>
      </c>
      <c r="G27" s="40" t="str">
        <f>Total!H113</f>
        <v>Contracte de serveis per a la direcció d'execució de les obres de nova construcció Escola 2 línies a l'Escola la Torreta de La Roca del Vallès (Vallès Oriental). Clau: PNM-09206</v>
      </c>
      <c r="H27" s="15">
        <f>Total!I113</f>
        <v>137755.56</v>
      </c>
    </row>
    <row r="28" spans="1:8" x14ac:dyDescent="0.2">
      <c r="A28" s="8">
        <f t="shared" si="2"/>
        <v>27</v>
      </c>
      <c r="B28" s="9">
        <f>Total!B114</f>
        <v>40233</v>
      </c>
      <c r="C28" s="34" t="str">
        <f>Total!D114</f>
        <v>GISA</v>
      </c>
      <c r="D28" s="36" t="str">
        <f>Total!E114</f>
        <v>Edificació</v>
      </c>
      <c r="E28" s="34" t="str">
        <f>Total!F114</f>
        <v>Direccions d'Execució</v>
      </c>
      <c r="F28" s="34" t="str">
        <f>Total!G114</f>
        <v>DE. PAC-09349</v>
      </c>
      <c r="G28" s="40" t="str">
        <f>Total!H114</f>
        <v>Contracte de serveis per a la direcció d'execució de les obres d'ampliació de l'Escola Lola Anglada de Badalona (1 línia), Clau: PAC -09349</v>
      </c>
      <c r="H28" s="15">
        <f>Total!I114</f>
        <v>110000</v>
      </c>
    </row>
    <row r="29" spans="1:8" x14ac:dyDescent="0.2">
      <c r="A29" s="8">
        <f t="shared" si="2"/>
        <v>28</v>
      </c>
      <c r="B29" s="9">
        <f>Total!B115</f>
        <v>40233</v>
      </c>
      <c r="C29" s="34" t="str">
        <f>Total!D115</f>
        <v>GISA</v>
      </c>
      <c r="D29" s="36" t="str">
        <f>Total!E115</f>
        <v>Edificació</v>
      </c>
      <c r="E29" s="34" t="str">
        <f>Total!F115</f>
        <v>Direccions d'Execució</v>
      </c>
      <c r="F29" s="34" t="str">
        <f>Total!G115</f>
        <v>DE. IAA-09290+PAA-08360</v>
      </c>
      <c r="G29" s="40" t="str">
        <f>Total!H115</f>
        <v>Contracte de serveis per a la direcció d'execució de les obres d'obres d'ampliació de l'Institut Miquel Martí i Pol de Cornellà de Llobregat (8 aules + especifiques), clau: IAA-09290 i de les obres d'ampliació de l'Escola Castell Ciuró de Molins de Rei (6 aules + específiques), clau: PAA-08360</v>
      </c>
      <c r="H29" s="15">
        <f>Total!I115</f>
        <v>150000</v>
      </c>
    </row>
    <row r="30" spans="1:8" x14ac:dyDescent="0.2">
      <c r="A30" s="42">
        <f t="shared" si="2"/>
        <v>29</v>
      </c>
      <c r="B30" s="43">
        <f>Total!B116</f>
        <v>40233</v>
      </c>
      <c r="C30" s="46" t="str">
        <f>Total!D116</f>
        <v>GISA</v>
      </c>
      <c r="D30" s="57" t="str">
        <f>Total!E116</f>
        <v>Edificació</v>
      </c>
      <c r="E30" s="46" t="str">
        <f>Total!F116</f>
        <v>Direccions d'Execució</v>
      </c>
      <c r="F30" s="46" t="str">
        <f>Total!G116</f>
        <v>DE. PNE-09348 + PAM-09291</v>
      </c>
      <c r="G30" s="58" t="str">
        <f>Total!H116</f>
        <v>Contracte de serveis per a la direcció d'execució de les obres d'enderroc i nova construcció de l'Escola Alfara de Carles - ZER Mont caro d'Alfara de Carles. 3 Unitats. Clau: PNE-09348 i d'ampliació Escola Aqua Alba a Gualba, escola 1 línia sense gimnàs, clau: PAM-09291</v>
      </c>
      <c r="H30" s="45">
        <f>Total!I116</f>
        <v>150000</v>
      </c>
    </row>
    <row r="31" spans="1:8" x14ac:dyDescent="0.2">
      <c r="A31" s="8">
        <f t="shared" si="2"/>
        <v>30</v>
      </c>
      <c r="B31" s="9">
        <f>Total!B117</f>
        <v>40234</v>
      </c>
      <c r="C31" s="34" t="str">
        <f>Total!D117</f>
        <v>GISA</v>
      </c>
      <c r="D31" s="36" t="str">
        <f>Total!E117</f>
        <v>Edificació</v>
      </c>
      <c r="E31" s="34" t="str">
        <f>Total!F117</f>
        <v>Direccions d'Obra</v>
      </c>
      <c r="F31" s="34" t="str">
        <f>Total!G117</f>
        <v>DO. PNM-09206</v>
      </c>
      <c r="G31" s="40" t="str">
        <f>Total!H117</f>
        <v>Contracte de serveis per a la direcció de les obres de nova construcció Escola 2 línies a l'Escola La Torreta de La Roca del Vallès, Vallès Oriental. Clau PNM-09206</v>
      </c>
      <c r="H31" s="15">
        <f>Total!I117</f>
        <v>121481.1</v>
      </c>
    </row>
    <row r="32" spans="1:8" x14ac:dyDescent="0.2">
      <c r="A32" s="8">
        <f t="shared" si="2"/>
        <v>31</v>
      </c>
      <c r="B32" s="9">
        <f>Total!B118</f>
        <v>40234</v>
      </c>
      <c r="C32" s="34" t="str">
        <f>Total!D118</f>
        <v>GISA</v>
      </c>
      <c r="D32" s="36" t="str">
        <f>Total!E118</f>
        <v>Edificació</v>
      </c>
      <c r="E32" s="34" t="str">
        <f>Total!F118</f>
        <v>Control de Qualitat</v>
      </c>
      <c r="F32" s="34" t="str">
        <f>Total!G118</f>
        <v>CQ. PNM-09206</v>
      </c>
      <c r="G32" s="40" t="str">
        <f>Total!H118</f>
        <v>Contracte de serveis per a l'assistència tècnica del control de qualitat de les obres de nova construcció Escola 2 línies a l'Escola la Torreta de La Roca del Vallès (Vallès Oriental). Clau: PNM-09206</v>
      </c>
      <c r="H32" s="15">
        <f>Total!I118</f>
        <v>47908.52</v>
      </c>
    </row>
    <row r="33" spans="1:8" x14ac:dyDescent="0.2">
      <c r="A33" s="8">
        <f t="shared" si="2"/>
        <v>32</v>
      </c>
      <c r="B33" s="9">
        <f>Total!B119</f>
        <v>40234</v>
      </c>
      <c r="C33" s="34" t="str">
        <f>Total!D119</f>
        <v>GISA</v>
      </c>
      <c r="D33" s="36" t="str">
        <f>Total!E119</f>
        <v>Edificació</v>
      </c>
      <c r="E33" s="34" t="str">
        <f>Total!F119</f>
        <v>Control de Qualitat</v>
      </c>
      <c r="F33" s="34" t="str">
        <f>Total!G119</f>
        <v>CQ. PNA-04329</v>
      </c>
      <c r="G33" s="40" t="str">
        <f>Total!H119</f>
        <v>Contracte de serveis per a l'assistència tècnica del control de qualitat de les obres de Nova construcció del CEIP Antoni Gaudí de Sant Boi de Llobregat (Baix Llobregat). Clau: PNA-04329</v>
      </c>
      <c r="H33" s="15">
        <f>Total!I119</f>
        <v>66870.63</v>
      </c>
    </row>
    <row r="34" spans="1:8" x14ac:dyDescent="0.2">
      <c r="A34" s="8">
        <f t="shared" si="2"/>
        <v>33</v>
      </c>
      <c r="B34" s="9">
        <f>Total!B120</f>
        <v>40234</v>
      </c>
      <c r="C34" s="34" t="str">
        <f>Total!D120</f>
        <v>GISA</v>
      </c>
      <c r="D34" s="36" t="str">
        <f>Total!E120</f>
        <v>Edificació</v>
      </c>
      <c r="E34" s="34" t="str">
        <f>Total!F120</f>
        <v>Control de Qualitat</v>
      </c>
      <c r="F34" s="34" t="str">
        <f>Total!G120</f>
        <v>CQ. PAC-09349 + 5</v>
      </c>
      <c r="G34" s="40" t="str">
        <f>Total!H120</f>
        <v>Contracte de serveis per a l'assistència tècnica del control de qualitat de les obres d'ampliació de l'Escola Lola Anglada de Badalona, clau: PAC-09349, ampliació i adequació de l'Institut Miquel Martí i Pol de Cornellà de Llobregat, clau: IAA-09290, ampliació de l'Escola Castell Ciuró de Molins de Rei(6 aules+especifiques), clau: PAA-08360, substitució de l'Escola Alfara de Carles - ZER Montcaro d'Alfara de Carles, clau: PNE-09348, ampliació de l'Escola Aqua Alba de Gualba, Escola 1 línia sense gimnàs.clau:PAM-09291 i de Nova construcció de l'Escola Pericot de Girona, Escola 2 línies sense gimnàs, vestidors i pistes. clau: PNG-09207</v>
      </c>
      <c r="H34" s="15">
        <f>Total!I120</f>
        <v>146757.07</v>
      </c>
    </row>
    <row r="35" spans="1:8" ht="13.5" thickBot="1" x14ac:dyDescent="0.25">
      <c r="A35" s="8">
        <f t="shared" si="2"/>
        <v>34</v>
      </c>
      <c r="B35" s="9">
        <f>Total!B121</f>
        <v>40235</v>
      </c>
      <c r="C35" s="34" t="str">
        <f>Total!D121</f>
        <v>GISA</v>
      </c>
      <c r="D35" s="36" t="str">
        <f>Total!E121</f>
        <v>Obra Civil</v>
      </c>
      <c r="E35" s="34" t="str">
        <f>Total!F121</f>
        <v>Projectes</v>
      </c>
      <c r="F35" s="34" t="str">
        <f>Total!G121</f>
        <v>EV. EG-TX-10003</v>
      </c>
      <c r="G35" s="40" t="str">
        <f>Total!H121</f>
        <v>Contracte de serveis per a l'assistència tècnica per a la redacció de l'estudi geològic, geotècnic i hidrogeològic del nou túnel ferroviari d'Horta. Clau: EG-TX-10003</v>
      </c>
      <c r="H35" s="15">
        <f>Total!I121</f>
        <v>190000</v>
      </c>
    </row>
    <row r="36" spans="1:8" ht="13.5" thickBot="1" x14ac:dyDescent="0.25">
      <c r="H36" s="33">
        <f>SUM(H2:H35)-H30</f>
        <v>11514385.98</v>
      </c>
    </row>
  </sheetData>
  <phoneticPr fontId="2" type="noConversion"/>
  <pageMargins left="0.75" right="0.75" top="1" bottom="1" header="0" footer="0"/>
  <pageSetup paperSize="9" orientation="portrait"/>
  <headerFooter alignWithMargins="0"/>
  <extLst>
    <ext xmlns:mx="http://schemas.microsoft.com/office/mac/excel/2008/main" uri="{64002731-A6B0-56B0-2670-7721B7C09600}">
      <mx:PLV Mode="0" OnePage="0" WScale="0"/>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H56"/>
  <sheetViews>
    <sheetView topLeftCell="A7" workbookViewId="0">
      <selection activeCell="H33" sqref="H33"/>
    </sheetView>
  </sheetViews>
  <sheetFormatPr baseColWidth="10" defaultColWidth="11.42578125" defaultRowHeight="12.75" x14ac:dyDescent="0.2"/>
  <cols>
    <col min="1" max="1" width="7" style="10" customWidth="1"/>
    <col min="2" max="2" width="12.42578125" bestFit="1" customWidth="1"/>
    <col min="3" max="3" width="7.7109375" bestFit="1" customWidth="1"/>
    <col min="4" max="4" width="10.140625" bestFit="1" customWidth="1"/>
    <col min="5" max="5" width="19.42578125" bestFit="1" customWidth="1"/>
    <col min="6" max="6" width="24.7109375" customWidth="1"/>
    <col min="7" max="7" width="73.85546875" customWidth="1"/>
    <col min="8" max="8" width="20" bestFit="1" customWidth="1"/>
  </cols>
  <sheetData>
    <row r="1" spans="1:8" x14ac:dyDescent="0.2">
      <c r="B1" s="29" t="s">
        <v>57</v>
      </c>
      <c r="C1" s="29" t="s">
        <v>58</v>
      </c>
      <c r="D1" s="30" t="s">
        <v>59</v>
      </c>
      <c r="E1" s="30" t="s">
        <v>60</v>
      </c>
      <c r="F1" s="30" t="s">
        <v>61</v>
      </c>
      <c r="G1" s="30" t="s">
        <v>62</v>
      </c>
      <c r="H1" s="30" t="s">
        <v>63</v>
      </c>
    </row>
    <row r="2" spans="1:8" x14ac:dyDescent="0.2">
      <c r="A2" s="8">
        <v>1</v>
      </c>
      <c r="B2" s="9">
        <f>Total!B57</f>
        <v>40189</v>
      </c>
      <c r="C2" s="34" t="str">
        <f>Total!D57</f>
        <v>GISA</v>
      </c>
      <c r="D2" s="34" t="str">
        <f>Total!E57</f>
        <v>Obra Civil</v>
      </c>
      <c r="E2" s="34" t="str">
        <f>Total!F57</f>
        <v>Control de Qualitat</v>
      </c>
      <c r="F2" s="34" t="str">
        <f>Total!G57</f>
        <v>CQ AL-05020.1</v>
      </c>
      <c r="G2" s="34" t="str">
        <f>Total!H57</f>
        <v>Contracte de serveis per a l'assistència tècnica de control de qualitat de les obres de millora general. Condicionament de la carretera C-28 del PK 33+520 al 37+510. Execució de vorals. Tram: Salardú - Baquèira (TM de Naut Aran). Clau: AL-05020.1</v>
      </c>
      <c r="H2" s="6">
        <f>Total!I57</f>
        <v>79692.710000000006</v>
      </c>
    </row>
    <row r="3" spans="1:8" x14ac:dyDescent="0.2">
      <c r="A3" s="8">
        <f t="shared" ref="A3:A8" si="0">A2+1</f>
        <v>2</v>
      </c>
      <c r="B3" s="9">
        <f>Total!B58</f>
        <v>40189</v>
      </c>
      <c r="C3" s="34" t="str">
        <f>Total!D58</f>
        <v>GISA</v>
      </c>
      <c r="D3" s="34" t="str">
        <f>Total!E58</f>
        <v>Obra Civil</v>
      </c>
      <c r="E3" s="34" t="str">
        <f>Total!F58</f>
        <v>Control de Qualitat</v>
      </c>
      <c r="F3" s="34" t="str">
        <f>Total!G58</f>
        <v>CQ AL-02109.2-A1</v>
      </c>
      <c r="G3" s="34" t="str">
        <f>Total!H58</f>
        <v>Contracte de serveis per a l'assistència tècnica de control de qualitat de les obres de millora general. Condicionament i reforçament de la carretera L-201 del PK 8+750 al 18+815. Tram: Maldà - Arbeca. Clau: AL-02109.2-A1</v>
      </c>
      <c r="H3" s="6">
        <f>Total!I58</f>
        <v>189077.79</v>
      </c>
    </row>
    <row r="4" spans="1:8" x14ac:dyDescent="0.2">
      <c r="A4" s="8">
        <f t="shared" si="0"/>
        <v>3</v>
      </c>
      <c r="B4" s="9">
        <f>Total!B59</f>
        <v>40189</v>
      </c>
      <c r="C4" s="34" t="str">
        <f>Total!D59</f>
        <v>GISA</v>
      </c>
      <c r="D4" s="34" t="str">
        <f>Total!E59</f>
        <v>Obra Civil</v>
      </c>
      <c r="E4" s="34" t="str">
        <f>Total!F59</f>
        <v>Direccions d'Obra</v>
      </c>
      <c r="F4" s="34" t="str">
        <f>Total!G59</f>
        <v>DB AL-05020.1</v>
      </c>
      <c r="G4" s="34" t="str">
        <f>Total!H59</f>
        <v>Contracte de serveis per a la direcció de les obres de millora general. Condicionament de la carretera C-28 del PK 33+520 al 37+510. Execució de vorals. Tram: Salardú - Baquèira (TM de Naut Aran). Clau: AL-05020.1</v>
      </c>
      <c r="H4" s="6">
        <f>Total!I59</f>
        <v>158255.56</v>
      </c>
    </row>
    <row r="5" spans="1:8" x14ac:dyDescent="0.2">
      <c r="A5" s="8">
        <f t="shared" si="0"/>
        <v>4</v>
      </c>
      <c r="B5" s="9">
        <f>Total!B60</f>
        <v>40189</v>
      </c>
      <c r="C5" s="34" t="str">
        <f>Total!D60</f>
        <v>GISA</v>
      </c>
      <c r="D5" s="34" t="str">
        <f>Total!E60</f>
        <v>Obra Civil</v>
      </c>
      <c r="E5" s="34" t="str">
        <f>Total!F60</f>
        <v>Direccions d'Obra</v>
      </c>
      <c r="F5" s="34" t="str">
        <f>Total!G60</f>
        <v>ATAM. AL-05020.1</v>
      </c>
      <c r="G5" s="34" t="str">
        <f>Total!H60</f>
        <v>Contracte de serveis per a l'assistència tècnica ambiental de les obres de millora general. Condicionament de la carretera C-28 del PK 33+520 al 37+510. Execució de vorals. Tram: Salardú - Baquèira (TM de Naut Aran). Clau: AL-05020.1</v>
      </c>
      <c r="H5" s="6">
        <f>Total!I60</f>
        <v>66696</v>
      </c>
    </row>
    <row r="6" spans="1:8" x14ac:dyDescent="0.2">
      <c r="A6" s="8">
        <f t="shared" si="0"/>
        <v>5</v>
      </c>
      <c r="B6" s="9">
        <f>Total!B61</f>
        <v>40189</v>
      </c>
      <c r="C6" s="34" t="str">
        <f>Total!D61</f>
        <v>GISA</v>
      </c>
      <c r="D6" s="34" t="str">
        <f>Total!E61</f>
        <v>Obra Civil</v>
      </c>
      <c r="E6" s="34" t="str">
        <f>Total!F61</f>
        <v>Direccions d'Obra</v>
      </c>
      <c r="F6" s="34" t="str">
        <f>Total!G61</f>
        <v>DB AL-02109.2-A1</v>
      </c>
      <c r="G6" s="34" t="str">
        <f>Total!H61</f>
        <v>Contracte de serveis per a la direcció de les obres de millora general. Condicionament i reforçament de la carretera L-201 del PK 8+750 al 18+815. Tram: Maldà - Arbeca. Clau: AL-02109.2-A1</v>
      </c>
      <c r="H6" s="6">
        <f>Total!I61</f>
        <v>178840</v>
      </c>
    </row>
    <row r="7" spans="1:8" x14ac:dyDescent="0.2">
      <c r="A7" s="8">
        <f t="shared" si="0"/>
        <v>6</v>
      </c>
      <c r="B7" s="9">
        <f>Total!B62</f>
        <v>40189</v>
      </c>
      <c r="C7" s="34" t="str">
        <f>Total!D62</f>
        <v>GISA</v>
      </c>
      <c r="D7" s="34" t="str">
        <f>Total!E62</f>
        <v>Obra Civil</v>
      </c>
      <c r="E7" s="34" t="str">
        <f>Total!F62</f>
        <v>Direccions d'Obra</v>
      </c>
      <c r="F7" s="34" t="str">
        <f>Total!G62</f>
        <v>ATAM. AL-02109.2-A1</v>
      </c>
      <c r="G7" s="34" t="str">
        <f>Total!H62</f>
        <v>Contracte de serveis per a l'assistència tècnica ambiental de les obres de millora general. Condicionament i reforçament de la carretera L-201 del PK 8+750 al 18+815. Tram: Maldà - Arbeca. Clau: AL-02109.2-A1</v>
      </c>
      <c r="H7" s="6">
        <f>Total!I62</f>
        <v>76368</v>
      </c>
    </row>
    <row r="8" spans="1:8" x14ac:dyDescent="0.2">
      <c r="A8" s="8">
        <f t="shared" si="0"/>
        <v>7</v>
      </c>
      <c r="B8" s="9">
        <f>Total!B63</f>
        <v>40190</v>
      </c>
      <c r="C8" s="34" t="str">
        <f>Total!D63</f>
        <v>GISA</v>
      </c>
      <c r="D8" s="34" t="str">
        <f>Total!E63</f>
        <v>Edificació</v>
      </c>
      <c r="E8" s="34" t="str">
        <f>Total!F63</f>
        <v>Control de Qualitat</v>
      </c>
      <c r="F8" s="34" t="str">
        <f>Total!G63</f>
        <v>CQ. JJB-05334</v>
      </c>
      <c r="G8" s="34" t="str">
        <f>Total!H63</f>
        <v>Contracte de serveis per a l'assistència tècnica de control de qualitat de les obres de Construcció d'un edifici judicial a Balaguer. Clau:JJB-05334</v>
      </c>
      <c r="H8" s="6">
        <f>Total!I63</f>
        <v>61022.65</v>
      </c>
    </row>
    <row r="9" spans="1:8" x14ac:dyDescent="0.2">
      <c r="A9" s="8">
        <f t="shared" ref="A9:A17" si="1">A8+1</f>
        <v>8</v>
      </c>
      <c r="B9" s="9">
        <f>Total!B64</f>
        <v>40190</v>
      </c>
      <c r="C9" s="34" t="str">
        <f>Total!D64</f>
        <v>GISA</v>
      </c>
      <c r="D9" s="34" t="str">
        <f>Total!E64</f>
        <v>Edificació</v>
      </c>
      <c r="E9" s="34" t="str">
        <f>Total!F64</f>
        <v>Control de Qualitat</v>
      </c>
      <c r="F9" s="34" t="str">
        <f>Total!G64</f>
        <v>CQ. PNG-07462</v>
      </c>
      <c r="G9" s="34" t="str">
        <f>Total!H64</f>
        <v>Contracte de serveis per a l'assistència tècnica del control de qualitat de les obres de nova construcció Escola 2 línies a l'Escola Pi Verd de Palafrugell(Baix Empordà). Clau:PNG-07462</v>
      </c>
      <c r="H9" s="6">
        <f>Total!I64</f>
        <v>37922.449999999997</v>
      </c>
    </row>
    <row r="10" spans="1:8" x14ac:dyDescent="0.2">
      <c r="A10" s="8">
        <f t="shared" si="1"/>
        <v>9</v>
      </c>
      <c r="B10" s="47">
        <f>Total!B65</f>
        <v>40191</v>
      </c>
      <c r="C10" s="48" t="str">
        <f>Total!D65</f>
        <v>GISA</v>
      </c>
      <c r="D10" s="48" t="str">
        <f>Total!E65</f>
        <v>Edificació</v>
      </c>
      <c r="E10" s="48" t="str">
        <f>Total!F65</f>
        <v>Projectes</v>
      </c>
      <c r="F10" s="48" t="str">
        <f>Total!G65</f>
        <v>EV. HLL-09347</v>
      </c>
      <c r="G10" s="48" t="str">
        <f>Total!H65</f>
        <v>Concurs de projectes per al desenvolupament arquitectònic de l'Ampliació de l'Hospital Arnau de Vilanova: Ordenació del conjunt for mat pel Nou Edifici Assistencial Ambulatori amb 2a fase de l'Aparcament i el Nou edifici Residencial i de Convencions. Clau: HLL- 09347.</v>
      </c>
      <c r="H10" s="49">
        <f>Total!I65</f>
        <v>2895711.66</v>
      </c>
    </row>
    <row r="11" spans="1:8" x14ac:dyDescent="0.2">
      <c r="A11" s="8">
        <f t="shared" si="1"/>
        <v>10</v>
      </c>
      <c r="B11" s="9">
        <f>Total!B66</f>
        <v>40192</v>
      </c>
      <c r="C11" s="34" t="str">
        <f>Total!D66</f>
        <v>GISA</v>
      </c>
      <c r="D11" s="34" t="str">
        <f>Total!E66</f>
        <v>Edificació</v>
      </c>
      <c r="E11" s="34" t="str">
        <f>Total!F66</f>
        <v>Direccions d'Execució</v>
      </c>
      <c r="F11" s="34" t="str">
        <f>Total!G66</f>
        <v>DE. JJB-05334</v>
      </c>
      <c r="G11" s="34" t="str">
        <f>Total!H66</f>
        <v>Contracte de serveis per a la direcció d'execució de les obres de construcció d'un edifici judicial a Balaguer. Clau:JJB-05334</v>
      </c>
      <c r="H11" s="6">
        <f>Total!I66</f>
        <v>196375.56</v>
      </c>
    </row>
    <row r="12" spans="1:8" x14ac:dyDescent="0.2">
      <c r="A12" s="8">
        <f t="shared" si="1"/>
        <v>11</v>
      </c>
      <c r="B12" s="9">
        <f>Total!B67</f>
        <v>40192</v>
      </c>
      <c r="C12" s="34" t="str">
        <f>Total!D67</f>
        <v>GISA</v>
      </c>
      <c r="D12" s="34" t="str">
        <f>Total!E67</f>
        <v>Obra Civil</v>
      </c>
      <c r="E12" s="34" t="str">
        <f>Total!F67</f>
        <v>Control de Qualitat</v>
      </c>
      <c r="F12" s="34" t="str">
        <f>Total!G67</f>
        <v>CQ VL-02138</v>
      </c>
      <c r="G12" s="34" t="str">
        <f>Total!H67</f>
        <v>Contracte de serveis per a l'assistència tècnica de control de qualitat de les obres de millora general. Variant d'Artesa de Segre. Carreteres C-26 i C-14 del PK 48+000 de la C-26 al PK 106+000 de la C-14. Tram: Foradada-Artesa de Segre. Clau: VL-02138</v>
      </c>
      <c r="H12" s="6">
        <f>Total!I67</f>
        <v>403991.8</v>
      </c>
    </row>
    <row r="13" spans="1:8" x14ac:dyDescent="0.2">
      <c r="A13" s="8">
        <f t="shared" si="1"/>
        <v>12</v>
      </c>
      <c r="B13" s="9">
        <f>Total!B68</f>
        <v>40196</v>
      </c>
      <c r="C13" s="34" t="str">
        <f>Total!D68</f>
        <v>GISA</v>
      </c>
      <c r="D13" s="34" t="str">
        <f>Total!E68</f>
        <v>Obra Civil</v>
      </c>
      <c r="E13" s="34" t="str">
        <f>Total!F68</f>
        <v>Direccions d'Obra</v>
      </c>
      <c r="F13" s="34" t="str">
        <f>Total!G68</f>
        <v>CSS. TM-00509.35.1</v>
      </c>
      <c r="G13" s="34" t="str">
        <f>Total!H68</f>
        <v>Contracte de serveis per a l'assistència tècnica de Coordinació de Seguretat i Salut de les obres del projecte constructiu de supere structura (via i catenària) del tram Nova Terminal Sud (aeroport) - Prat Eixample Nord de l'L9 de Metro de Barcelona. Clau: TM-00509.35.1</v>
      </c>
      <c r="H13" s="6">
        <f>Total!I68</f>
        <v>76800</v>
      </c>
    </row>
    <row r="14" spans="1:8" x14ac:dyDescent="0.2">
      <c r="A14" s="8">
        <f t="shared" si="1"/>
        <v>13</v>
      </c>
      <c r="B14" s="9">
        <f>Total!B69</f>
        <v>40196</v>
      </c>
      <c r="C14" s="34" t="str">
        <f>Total!D69</f>
        <v>GISA</v>
      </c>
      <c r="D14" s="34" t="str">
        <f>Total!E69</f>
        <v>Obra Civil</v>
      </c>
      <c r="E14" s="34" t="str">
        <f>Total!F69</f>
        <v>Direccions d'Obra</v>
      </c>
      <c r="F14" s="34" t="str">
        <f>Total!G69</f>
        <v>CSS. AL-05020.1+2</v>
      </c>
      <c r="G14" s="34" t="str">
        <f>Total!H69</f>
        <v>Contracte de serveis per a l'assistència tècnica de Coordinació de Seguretat i Salut de les obres: 'Millora general. Condicionament de la carretera C-28 del PK 33+520 al 37+510. Execució de vorals. Tram: Salardú-Baqueira. Clau: AL-05020.1'; 'Millora local. Rotonda a la carretera C-31b. PK 8+600. Tram: Tarragona'. Clau: MT-06021' i 'Millora local. Millora de nus. Rotonda a la intersecció de les carreteres C-251, PK 5+890, i la BV-5105, PK 5+292. Tram: Cardedeu. Clau: VB-00031.1-A1'</v>
      </c>
      <c r="H14" s="6">
        <f>Total!I69</f>
        <v>63750</v>
      </c>
    </row>
    <row r="15" spans="1:8" x14ac:dyDescent="0.2">
      <c r="A15" s="8">
        <f t="shared" si="1"/>
        <v>14</v>
      </c>
      <c r="B15" s="9">
        <f>Total!B70</f>
        <v>40196</v>
      </c>
      <c r="C15" s="34" t="str">
        <f>Total!D70</f>
        <v>GISA</v>
      </c>
      <c r="D15" s="34" t="str">
        <f>Total!E70</f>
        <v>Obra Civil</v>
      </c>
      <c r="E15" s="34" t="str">
        <f>Total!F70</f>
        <v>Projectes</v>
      </c>
      <c r="F15" s="34" t="str">
        <f>Total!G70</f>
        <v>PC. RE-09079</v>
      </c>
      <c r="G15" s="34" t="str">
        <f>Total!H70</f>
        <v>Contracte de serveis per a l'assistència tècnica per a la redacció del projecte constructiu de ferm. Reforçament del ferm i obres co mplementàries. Carreteres T-334, del PK 0+000 al 13+048, TV-3301, del PK 0+000 al 0+685, i travessera de Bot. Tram: Horta de Sant Joan-Bot. Clau: RE-09079</v>
      </c>
      <c r="H15" s="6">
        <f>Total!I70</f>
        <v>67758.62</v>
      </c>
    </row>
    <row r="16" spans="1:8" x14ac:dyDescent="0.2">
      <c r="A16" s="8">
        <f t="shared" si="1"/>
        <v>15</v>
      </c>
      <c r="B16" s="9">
        <f>Total!B71</f>
        <v>40196</v>
      </c>
      <c r="C16" s="34" t="str">
        <f>Total!D71</f>
        <v>GISA</v>
      </c>
      <c r="D16" s="34" t="str">
        <f>Total!E71</f>
        <v>Obra Civil</v>
      </c>
      <c r="E16" s="34" t="str">
        <f>Total!F71</f>
        <v>Projectes</v>
      </c>
      <c r="F16" s="34" t="str">
        <f>Total!G71</f>
        <v>PC. XL-06129</v>
      </c>
      <c r="G16" s="34" t="str">
        <f>Total!H71</f>
        <v>Contracte de serveis per a l'assistència tècnica per a la redacció del projecte constructiu de ferm. Eixampla i pavimentació del camí d'accés a l'Estació Hivernal de Virós-Vallferrera del PK 0+000 al 6+250. Tram: Bordes de Virós-Refugi de Gall Fer (Alins). Clau: XL-06129</v>
      </c>
      <c r="H16" s="6">
        <f>Total!I71</f>
        <v>64224.14</v>
      </c>
    </row>
    <row r="17" spans="1:8" x14ac:dyDescent="0.2">
      <c r="A17" s="8">
        <f t="shared" si="1"/>
        <v>16</v>
      </c>
      <c r="B17" s="9">
        <f>Total!B72</f>
        <v>40196</v>
      </c>
      <c r="C17" s="34" t="str">
        <f>Total!D72</f>
        <v>GISA</v>
      </c>
      <c r="D17" s="34" t="str">
        <f>Total!E72</f>
        <v>Obra Civil</v>
      </c>
      <c r="E17" s="34" t="str">
        <f>Total!F72</f>
        <v>Projectes</v>
      </c>
      <c r="F17" s="34" t="str">
        <f>Total!G72</f>
        <v>EI-TF-09396</v>
      </c>
      <c r="G17" s="34" t="str">
        <f>Total!H72</f>
        <v>Contracte de serveis per a l'assistència tècnica per a la redacció de l'estudi informatiu de la nova estació d'FGC a Rubí. Clau: EI-TF-09396</v>
      </c>
      <c r="H17" s="6">
        <f>Total!I72</f>
        <v>157250</v>
      </c>
    </row>
    <row r="18" spans="1:8" x14ac:dyDescent="0.2">
      <c r="A18" s="8">
        <f t="shared" ref="A18:A26" si="2">A17+1</f>
        <v>17</v>
      </c>
      <c r="B18" s="9">
        <f>Total!B73</f>
        <v>40197</v>
      </c>
      <c r="C18" s="34" t="str">
        <f>Total!D73</f>
        <v>GISA</v>
      </c>
      <c r="D18" s="34" t="str">
        <f>Total!E73</f>
        <v>Edificació</v>
      </c>
      <c r="E18" s="34" t="str">
        <f>Total!F73</f>
        <v>Direccions d'Execució</v>
      </c>
      <c r="F18" s="34" t="str">
        <f>Total!G73</f>
        <v>CSS. JJB-05334</v>
      </c>
      <c r="G18" s="34" t="str">
        <f>Total!H73</f>
        <v>Contracte de serveis per a l'assistència tècnica de coordinació de seguretat i salut de les obres 'Nou Edifici Judicial a Balaguer'.Clau: JJB-05334</v>
      </c>
      <c r="H18" s="6">
        <f>Total!I73</f>
        <v>65250</v>
      </c>
    </row>
    <row r="19" spans="1:8" x14ac:dyDescent="0.2">
      <c r="A19" s="8">
        <f t="shared" si="2"/>
        <v>18</v>
      </c>
      <c r="B19" s="9">
        <f>Total!B74</f>
        <v>40197</v>
      </c>
      <c r="C19" s="34" t="str">
        <f>Total!D74</f>
        <v>GISA</v>
      </c>
      <c r="D19" s="34" t="str">
        <f>Total!E74</f>
        <v>Obra Civil</v>
      </c>
      <c r="E19" s="34" t="str">
        <f>Total!F74</f>
        <v>Projectes</v>
      </c>
      <c r="F19" s="34" t="str">
        <f>Total!G74</f>
        <v>PC. ML-09099</v>
      </c>
      <c r="G19" s="34" t="str">
        <f>Total!H74</f>
        <v>Contracte de serveis per a l'assistència tècnica per a la redacció del projecte constructiu de millora local. Elements de seguretat viària. Barreres antiallaus i/o viseres a la carretera C-28 del PK 38+000 al 41+000. Tram: Baquèira-Tonyon (Naut Aran). Clau: ML-09099</v>
      </c>
      <c r="H19" s="6">
        <f>Total!I74</f>
        <v>67758.62</v>
      </c>
    </row>
    <row r="20" spans="1:8" x14ac:dyDescent="0.2">
      <c r="A20" s="8">
        <f t="shared" si="2"/>
        <v>19</v>
      </c>
      <c r="B20" s="9">
        <f>Total!B75</f>
        <v>40198</v>
      </c>
      <c r="C20" s="34" t="str">
        <f>Total!D75</f>
        <v>GISA</v>
      </c>
      <c r="D20" s="34" t="str">
        <f>Total!E75</f>
        <v>Obra Civil</v>
      </c>
      <c r="E20" s="34" t="str">
        <f>Total!F75</f>
        <v>Control de Qualitat</v>
      </c>
      <c r="F20" s="34" t="str">
        <f>Total!G75</f>
        <v>CQ.TM-00509.4B</v>
      </c>
      <c r="G20" s="34" t="str">
        <f>Total!H75</f>
        <v>Contracte de serveis per a l'assistència tècnica de control de qualitat de les obres del projecte constructiu de la línia 9 de Metro de Barcelona. Tram 3r. Zona Universitària-Sagrera Meridiana. Infraestructura i Estacions: Prat de la Riba, Sarrià, Mandri i pous de ventilació. Clau: TM-00509.4B</v>
      </c>
      <c r="H20" s="6">
        <f>Total!I75</f>
        <v>152792.28</v>
      </c>
    </row>
    <row r="21" spans="1:8" x14ac:dyDescent="0.2">
      <c r="A21" s="8">
        <f t="shared" si="2"/>
        <v>20</v>
      </c>
      <c r="B21" s="9">
        <f>Total!B76</f>
        <v>40199</v>
      </c>
      <c r="C21" s="34" t="str">
        <f>Total!D76</f>
        <v>GISA</v>
      </c>
      <c r="D21" s="34" t="str">
        <f>Total!E76</f>
        <v>Obra Civil</v>
      </c>
      <c r="E21" s="34" t="str">
        <f>Total!F76</f>
        <v>Projectes</v>
      </c>
      <c r="F21" s="34" t="str">
        <f>Total!G76</f>
        <v>PC. TM-06509.2</v>
      </c>
      <c r="G21" s="34" t="str">
        <f>Total!H76</f>
        <v>Contracte de serveis per a l'assistència tècnica per a la redacció del projecte constructiu de millora de l'evacuació de la L1 dels FMB. Estacions: Can Serra, Florida, Trinitat Vella, Baró de Viver, Santa Coloma i Fondo. Clau: TM-06509.2</v>
      </c>
      <c r="H21" s="6">
        <f>Total!I76</f>
        <v>204741.38</v>
      </c>
    </row>
    <row r="22" spans="1:8" x14ac:dyDescent="0.2">
      <c r="A22" s="8">
        <f t="shared" si="2"/>
        <v>21</v>
      </c>
      <c r="B22" s="9">
        <f>Total!B77</f>
        <v>40200</v>
      </c>
      <c r="C22" s="34" t="str">
        <f>Total!D77</f>
        <v>GISA</v>
      </c>
      <c r="D22" s="34" t="str">
        <f>Total!E77</f>
        <v>Obra Civil</v>
      </c>
      <c r="E22" s="34" t="str">
        <f>Total!F77</f>
        <v>Projectes</v>
      </c>
      <c r="F22" s="34" t="str">
        <f>Total!G77</f>
        <v>PC. MB-08076 (AMPL)</v>
      </c>
      <c r="G22" s="34" t="str">
        <f>Total!H77</f>
        <v>Contracte de serveis per a l'assistència tècnica per a l'ampliació de la redacció del projecte constructiu de millora local. Millora de nus. Reordenació d'accessos i millores puntuals a la carretera C-55, PK 36+200 i del PK 37+900 al 40+700. Tram: Sant Joan de Vilatorrada-Callús. Clau: MB-08076</v>
      </c>
      <c r="H22" s="6">
        <f>Total!I77</f>
        <v>188275.86</v>
      </c>
    </row>
    <row r="23" spans="1:8" x14ac:dyDescent="0.2">
      <c r="A23" s="42">
        <f t="shared" si="2"/>
        <v>22</v>
      </c>
      <c r="B23" s="43">
        <f>Total!B78</f>
        <v>40205</v>
      </c>
      <c r="C23" s="46" t="str">
        <f>Total!D78</f>
        <v>GISA</v>
      </c>
      <c r="D23" s="46" t="str">
        <f>Total!E78</f>
        <v>Obra Civil</v>
      </c>
      <c r="E23" s="46" t="str">
        <f>Total!F78</f>
        <v>Projectes</v>
      </c>
      <c r="F23" s="46" t="str">
        <f>Total!G78</f>
        <v>PC.TM-00509.4B-BIS.1</v>
      </c>
      <c r="G23" s="46" t="str">
        <f>Total!H78</f>
        <v>Contracte de serveis per a l'assistència tècnica per a la redacció del projecte constructiu 'Línia 9 de Metro de Barcelona. Tram 3r. Zona Universitària-Sagrera Meridiana. Estacions Prat de la Riba, Sarrià i Mandri. Estructures interiors i urbanitzacions'. Clau: TM-00509.4B-BIS.1</v>
      </c>
      <c r="H23" s="44">
        <f>Total!I78</f>
        <v>219827.59</v>
      </c>
    </row>
    <row r="24" spans="1:8" x14ac:dyDescent="0.2">
      <c r="A24" s="42">
        <f t="shared" si="2"/>
        <v>23</v>
      </c>
      <c r="B24" s="43">
        <f>Total!B79</f>
        <v>40205</v>
      </c>
      <c r="C24" s="46" t="str">
        <f>Total!D79</f>
        <v>GISA</v>
      </c>
      <c r="D24" s="46" t="str">
        <f>Total!E79</f>
        <v>Obra Civil</v>
      </c>
      <c r="E24" s="46" t="str">
        <f>Total!F79</f>
        <v>Projectes</v>
      </c>
      <c r="F24" s="46" t="str">
        <f>Total!G79</f>
        <v>PC.TM-00509.4B-BIS.2</v>
      </c>
      <c r="G24" s="46" t="str">
        <f>Total!H79</f>
        <v>Contracte de serveis per a l'assistència tècnica per a la redacció del projecte constructiu 'Línia 9 de Metro de Barcelona. Tram 3r. Zona Universitària-Sagrera Meridiana. Estació Prat de la Riba. Recinte del pou, vestíbul i galeries de connexió'. Clau: TM-00509.4B-BIS.2</v>
      </c>
      <c r="H24" s="44">
        <f>Total!I79</f>
        <v>362068.96</v>
      </c>
    </row>
    <row r="25" spans="1:8" x14ac:dyDescent="0.2">
      <c r="A25" s="42">
        <f t="shared" si="2"/>
        <v>24</v>
      </c>
      <c r="B25" s="43">
        <f>Total!B80</f>
        <v>40205</v>
      </c>
      <c r="C25" s="46" t="str">
        <f>Total!D80</f>
        <v>GISA</v>
      </c>
      <c r="D25" s="46" t="str">
        <f>Total!E80</f>
        <v>Obra Civil</v>
      </c>
      <c r="E25" s="46" t="str">
        <f>Total!F80</f>
        <v>Projectes</v>
      </c>
      <c r="F25" s="46" t="str">
        <f>Total!G80</f>
        <v>PC.TM-00509.4C-BIS.1</v>
      </c>
      <c r="G25" s="46" t="str">
        <f>Total!H80</f>
        <v>Contracte de serveis per a l'assistència tècnica per a la redacció del projecte constructiu 'Línia 9 de Metro de Barcelona. Tram 3r. Zona Universitària-Sagrera Meridiana. Estacions Putxet, Lesseps i Muntanya. Estructures interiors i urbanitzacions'. Clau: TM-00509.4C-BIS.1</v>
      </c>
      <c r="H25" s="44">
        <f>Total!I80</f>
        <v>271551.71999999997</v>
      </c>
    </row>
    <row r="26" spans="1:8" x14ac:dyDescent="0.2">
      <c r="A26" s="42">
        <f t="shared" si="2"/>
        <v>25</v>
      </c>
      <c r="B26" s="43">
        <f>Total!B81</f>
        <v>40205</v>
      </c>
      <c r="C26" s="46" t="str">
        <f>Total!D81</f>
        <v>GISA</v>
      </c>
      <c r="D26" s="46" t="str">
        <f>Total!E81</f>
        <v>Obra Civil</v>
      </c>
      <c r="E26" s="46" t="str">
        <f>Total!F81</f>
        <v>Projectes</v>
      </c>
      <c r="F26" s="46" t="str">
        <f>Total!G81</f>
        <v>PC.TM-00509.4C-BIS.2</v>
      </c>
      <c r="G26" s="46" t="str">
        <f>Total!H81</f>
        <v>Contracte de serveis per a l'assistència tècnica per a la redacció del projecte constructiu 'Línia 9 de Metro de Barcelona. Tram 3r. Zona Universitària-Sagrera Meridiana. Estació de Muntanya. Recinte del pou, vestíbul i galeries de connexió'. Clau: TM-00509.4C-BIS.2</v>
      </c>
      <c r="H26" s="44">
        <f>Total!I81</f>
        <v>344827.59</v>
      </c>
    </row>
    <row r="27" spans="1:8" x14ac:dyDescent="0.2">
      <c r="A27" s="8">
        <f t="shared" ref="A27:A32" si="3">A26+1</f>
        <v>26</v>
      </c>
      <c r="B27" s="47">
        <f>Total!B82</f>
        <v>40205</v>
      </c>
      <c r="C27" s="48" t="str">
        <f>Total!D82</f>
        <v>GISA</v>
      </c>
      <c r="D27" s="48" t="str">
        <f>Total!E82</f>
        <v>Obra Civil</v>
      </c>
      <c r="E27" s="48" t="str">
        <f>Total!F82</f>
        <v>Direccions d'Obra</v>
      </c>
      <c r="F27" s="48" t="str">
        <f>Total!G82</f>
        <v>DO. TM-02609.1+1</v>
      </c>
      <c r="G27" s="48" t="str">
        <f>Total!H82</f>
        <v>Contracte de serveis per a la direcció conjunta de les obres: 'Projecte de l'ATC, senyalització i PCC de la línia 9 de metro de Barcelona. Clau: TM-02609.1' i 'Projecte constructiu del sistema de tancament d'andanes de la línia 9 de Metro de Barcelona. Clau: TM-02609.2'</v>
      </c>
      <c r="H27" s="49">
        <f>Total!I82</f>
        <v>5450453.7400000002</v>
      </c>
    </row>
    <row r="28" spans="1:8" x14ac:dyDescent="0.2">
      <c r="A28" s="8">
        <f t="shared" si="3"/>
        <v>27</v>
      </c>
      <c r="B28" s="9">
        <f>Total!B83</f>
        <v>40207</v>
      </c>
      <c r="C28" s="34" t="str">
        <f>Total!D83</f>
        <v>GISA</v>
      </c>
      <c r="D28" s="34" t="str">
        <f>Total!E83</f>
        <v>Edificació</v>
      </c>
      <c r="E28" s="34" t="str">
        <f>Total!F83</f>
        <v>Projectes</v>
      </c>
      <c r="F28" s="34" t="str">
        <f>Total!G83</f>
        <v>EG.EG07</v>
      </c>
      <c r="G28" s="34" t="str">
        <f>Total!H83</f>
        <v>Contracte de serveis per a l'assistència técnica per a la realització dels informes preliminars dels emplaçaments dels projectes d'edificació. Clau: EG07</v>
      </c>
      <c r="H28" s="6">
        <f>Total!I83</f>
        <v>192000</v>
      </c>
    </row>
    <row r="29" spans="1:8" x14ac:dyDescent="0.2">
      <c r="A29" s="8">
        <f t="shared" si="3"/>
        <v>28</v>
      </c>
      <c r="B29" s="9">
        <f>Total!B84</f>
        <v>40207</v>
      </c>
      <c r="C29" s="34" t="str">
        <f>Total!D84</f>
        <v>GISA</v>
      </c>
      <c r="D29" s="34" t="str">
        <f>Total!E84</f>
        <v>Edificació</v>
      </c>
      <c r="E29" s="34" t="str">
        <f>Total!F84</f>
        <v>Direccions d'Execució</v>
      </c>
      <c r="F29" s="34" t="str">
        <f>Total!G84</f>
        <v>DE. PAV-07328</v>
      </c>
      <c r="G29" s="34" t="str">
        <f>Total!H84</f>
        <v>Contracte de serveis per a la direcció d'execució de les obres d'ampliació escola a 2 línies a l'Escola Catalunya de Sant Cugat del Vallès (Vallès Occidental). Clau: PAV-07328</v>
      </c>
      <c r="H29" s="6">
        <f>Total!I84</f>
        <v>90000</v>
      </c>
    </row>
    <row r="30" spans="1:8" x14ac:dyDescent="0.2">
      <c r="A30" s="8">
        <f t="shared" si="3"/>
        <v>29</v>
      </c>
      <c r="B30" s="9">
        <f>Total!B85</f>
        <v>40207</v>
      </c>
      <c r="C30" s="34" t="str">
        <f>Total!D85</f>
        <v>GISA</v>
      </c>
      <c r="D30" s="34" t="str">
        <f>Total!E85</f>
        <v>Edificació</v>
      </c>
      <c r="E30" s="34" t="str">
        <f>Total!F85</f>
        <v>Direccions d'Execució</v>
      </c>
      <c r="F30" s="34" t="str">
        <f>Total!G85</f>
        <v>DE. IAT-07460</v>
      </c>
      <c r="G30" s="34" t="str">
        <f>Total!H85</f>
        <v>Contracte de serveis per a la direcció d'execució de les obres d'ampliació i reforma Institut a 4/2 línies, a l'Institut Ramon Barbat i Miracle a Vila-Seca (Tarragonès). Clau: IAT-07460</v>
      </c>
      <c r="H30" s="6">
        <f>Total!I85</f>
        <v>142683.34</v>
      </c>
    </row>
    <row r="31" spans="1:8" x14ac:dyDescent="0.2">
      <c r="A31" s="8">
        <f t="shared" si="3"/>
        <v>30</v>
      </c>
      <c r="B31" s="9">
        <f>Total!B86</f>
        <v>40207</v>
      </c>
      <c r="C31" s="34" t="str">
        <f>Total!D86</f>
        <v>GISA</v>
      </c>
      <c r="D31" s="34" t="str">
        <f>Total!E86</f>
        <v>Edificació</v>
      </c>
      <c r="E31" s="34" t="str">
        <f>Total!F86</f>
        <v>Direccions d'Execució</v>
      </c>
      <c r="F31" s="34" t="str">
        <f>Total!G86</f>
        <v>DE. PNH-09309</v>
      </c>
      <c r="G31" s="34" t="str">
        <f>Total!H86</f>
        <v>Contracte de serveis per a la direcció d'execució de les obres de nova construcció Escola 7 unitats a l'Escola Els Castanyers de Viladrau (Osona). Clau PNH-09309</v>
      </c>
      <c r="H31" s="6">
        <f>Total!I86</f>
        <v>117100</v>
      </c>
    </row>
    <row r="32" spans="1:8" ht="13.5" thickBot="1" x14ac:dyDescent="0.25">
      <c r="A32" s="8">
        <f t="shared" si="3"/>
        <v>31</v>
      </c>
      <c r="B32" s="9">
        <f>Total!B87</f>
        <v>40207</v>
      </c>
      <c r="C32" s="34" t="str">
        <f>Total!D87</f>
        <v>REGSA</v>
      </c>
      <c r="D32" s="34"/>
      <c r="E32" s="34" t="str">
        <f>Total!F87</f>
        <v>Projectes</v>
      </c>
      <c r="F32" s="34" t="str">
        <f>Total!G87</f>
        <v>EC.E1-ER-06908</v>
      </c>
      <c r="G32" s="34" t="str">
        <f>Total!H87</f>
        <v>Contracte de serveis per a l'assistència tècnica per a la realització de la cartografia del projecte de regadiu de la Terra Alta. Àmbit de la bassa de regulació 4. Clau: E1-ER-06908</v>
      </c>
      <c r="H32" s="6">
        <f>Total!I87</f>
        <v>109482.76</v>
      </c>
    </row>
    <row r="33" spans="2:8" ht="13.5" thickBot="1" x14ac:dyDescent="0.25">
      <c r="B33" s="10"/>
      <c r="H33" s="32">
        <f>SUM(H2:H32)-SUM(H23:H26)</f>
        <v>11554274.92</v>
      </c>
    </row>
    <row r="34" spans="2:8" x14ac:dyDescent="0.2">
      <c r="B34" s="10"/>
      <c r="H34" s="1"/>
    </row>
    <row r="35" spans="2:8" x14ac:dyDescent="0.2">
      <c r="B35" s="10"/>
      <c r="H35" s="1"/>
    </row>
    <row r="36" spans="2:8" x14ac:dyDescent="0.2">
      <c r="B36" s="10"/>
      <c r="H36" s="1"/>
    </row>
    <row r="37" spans="2:8" x14ac:dyDescent="0.2">
      <c r="B37" s="10"/>
      <c r="H37" s="1"/>
    </row>
    <row r="38" spans="2:8" x14ac:dyDescent="0.2">
      <c r="B38" s="10"/>
      <c r="H38" s="1"/>
    </row>
    <row r="39" spans="2:8" x14ac:dyDescent="0.2">
      <c r="B39" s="10"/>
      <c r="H39" s="1"/>
    </row>
    <row r="40" spans="2:8" x14ac:dyDescent="0.2">
      <c r="B40" s="10"/>
      <c r="H40" s="1"/>
    </row>
    <row r="41" spans="2:8" x14ac:dyDescent="0.2">
      <c r="B41" s="10"/>
      <c r="H41" s="1"/>
    </row>
    <row r="42" spans="2:8" x14ac:dyDescent="0.2">
      <c r="B42" s="10"/>
      <c r="H42" s="1"/>
    </row>
    <row r="43" spans="2:8" x14ac:dyDescent="0.2">
      <c r="B43" s="10"/>
      <c r="H43" s="1"/>
    </row>
    <row r="44" spans="2:8" x14ac:dyDescent="0.2">
      <c r="B44" s="10"/>
      <c r="H44" s="1"/>
    </row>
    <row r="45" spans="2:8" x14ac:dyDescent="0.2">
      <c r="B45" s="10"/>
    </row>
    <row r="46" spans="2:8" x14ac:dyDescent="0.2">
      <c r="B46" s="10"/>
    </row>
    <row r="47" spans="2:8" x14ac:dyDescent="0.2">
      <c r="B47" s="10"/>
    </row>
    <row r="48" spans="2:8" x14ac:dyDescent="0.2">
      <c r="B48" s="10"/>
    </row>
    <row r="49" spans="2:2" x14ac:dyDescent="0.2">
      <c r="B49" s="10"/>
    </row>
    <row r="50" spans="2:2" x14ac:dyDescent="0.2">
      <c r="B50" s="10"/>
    </row>
    <row r="51" spans="2:2" x14ac:dyDescent="0.2">
      <c r="B51" s="10"/>
    </row>
    <row r="52" spans="2:2" x14ac:dyDescent="0.2">
      <c r="B52" s="10"/>
    </row>
    <row r="53" spans="2:2" x14ac:dyDescent="0.2">
      <c r="B53" s="10"/>
    </row>
    <row r="54" spans="2:2" x14ac:dyDescent="0.2">
      <c r="B54" s="10"/>
    </row>
    <row r="55" spans="2:2" x14ac:dyDescent="0.2">
      <c r="B55" s="10"/>
    </row>
    <row r="56" spans="2:2" x14ac:dyDescent="0.2">
      <c r="B56" s="10"/>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H71"/>
  <sheetViews>
    <sheetView workbookViewId="0">
      <selection activeCell="G17" sqref="G17"/>
    </sheetView>
  </sheetViews>
  <sheetFormatPr baseColWidth="10" defaultColWidth="11.42578125" defaultRowHeight="12.75" x14ac:dyDescent="0.2"/>
  <cols>
    <col min="1" max="1" width="7" style="10" customWidth="1"/>
    <col min="2" max="2" width="12.42578125" bestFit="1" customWidth="1"/>
    <col min="3" max="3" width="7.7109375" bestFit="1" customWidth="1"/>
    <col min="4" max="4" width="9" bestFit="1" customWidth="1"/>
    <col min="5" max="5" width="19.42578125" bestFit="1" customWidth="1"/>
    <col min="6" max="6" width="24.7109375" customWidth="1"/>
    <col min="7" max="7" width="75.7109375" customWidth="1"/>
    <col min="8" max="8" width="20" bestFit="1" customWidth="1"/>
  </cols>
  <sheetData>
    <row r="1" spans="1:8" x14ac:dyDescent="0.2">
      <c r="B1" s="29" t="s">
        <v>57</v>
      </c>
      <c r="C1" s="29" t="s">
        <v>58</v>
      </c>
      <c r="D1" s="30" t="s">
        <v>59</v>
      </c>
      <c r="E1" s="30" t="s">
        <v>60</v>
      </c>
      <c r="F1" s="30" t="s">
        <v>61</v>
      </c>
      <c r="G1" s="30" t="s">
        <v>62</v>
      </c>
      <c r="H1" s="30" t="s">
        <v>63</v>
      </c>
    </row>
    <row r="2" spans="1:8" x14ac:dyDescent="0.2">
      <c r="A2" s="8">
        <v>1</v>
      </c>
      <c r="B2" s="9">
        <f>Total!B36</f>
        <v>40156</v>
      </c>
      <c r="C2" s="31" t="str">
        <f>Total!D36</f>
        <v>GISA</v>
      </c>
      <c r="D2" s="31" t="str">
        <f>Total!E36</f>
        <v>Obra Civil</v>
      </c>
      <c r="E2" s="31" t="str">
        <f>Total!F36</f>
        <v>Direccions d'Obra</v>
      </c>
      <c r="F2" s="31" t="str">
        <f>Total!G36</f>
        <v>IP. TM-00509.4F.4</v>
      </c>
      <c r="G2" s="31" t="str">
        <f>Total!H36</f>
        <v>Contracte de serveis per a l'assistència tècnica per a les inpeccions prèvies d'edificis de les obres de l'L9 del Metro de Barcelona. Tram 3r. Subtram: Sanllehy-Lesseps. Clau: TM-00509.4F.4</v>
      </c>
      <c r="H2" s="16">
        <f>Total!I36</f>
        <v>692500</v>
      </c>
    </row>
    <row r="3" spans="1:8" x14ac:dyDescent="0.2">
      <c r="A3" s="8">
        <f>A2+1</f>
        <v>2</v>
      </c>
      <c r="B3" s="9">
        <f>Total!B37</f>
        <v>40156</v>
      </c>
      <c r="C3" s="31" t="str">
        <f>Total!D37</f>
        <v>GISA</v>
      </c>
      <c r="D3" s="31" t="str">
        <f>Total!E37</f>
        <v>Obra Civil</v>
      </c>
      <c r="E3" s="31" t="str">
        <f>Total!F37</f>
        <v>Direccions d'Obra</v>
      </c>
      <c r="F3" s="31" t="str">
        <f>Total!G37</f>
        <v>IP. TM-00509.4F.5</v>
      </c>
      <c r="G3" s="31" t="str">
        <f>Total!H37</f>
        <v>Contracte de serveis per a l'assistència tècnica per a les inspeccions prèvies d'edificis de les obres de l'L9 del Metro de Barcelona. Tram 3r. Subtram: Lesseps-Mandri. Clau: TM-00509.4F.5</v>
      </c>
      <c r="H3" s="16">
        <f>Total!I37</f>
        <v>658155</v>
      </c>
    </row>
    <row r="4" spans="1:8" x14ac:dyDescent="0.2">
      <c r="A4" s="8">
        <f>A3+1</f>
        <v>3</v>
      </c>
      <c r="B4" s="9">
        <f>Total!B38</f>
        <v>40156</v>
      </c>
      <c r="C4" s="31" t="str">
        <f>Total!D38</f>
        <v>GISA</v>
      </c>
      <c r="D4" s="31" t="str">
        <f>Total!E38</f>
        <v>Obra Civil</v>
      </c>
      <c r="E4" s="31" t="str">
        <f>Total!F38</f>
        <v>Control de Qualitat</v>
      </c>
      <c r="F4" s="31" t="str">
        <f>Total!G38</f>
        <v>CQ.TM-00509.35.1</v>
      </c>
      <c r="G4" s="31" t="str">
        <f>Total!H38</f>
        <v>Contracte de serveis per a l'assistència tècnica de control de qualitat de les obres del projecte constructiu de superestructura (via i catenària) del tram Nova Terminal Sud (aeroport) Prat Eixample Nord de l'L9 de Metro de Barcelona. Clau: TM-00509.35.1</v>
      </c>
      <c r="H4" s="17">
        <f>Total!I38</f>
        <v>218568.55</v>
      </c>
    </row>
    <row r="5" spans="1:8" x14ac:dyDescent="0.2">
      <c r="A5" s="8">
        <f>A4+1</f>
        <v>4</v>
      </c>
      <c r="B5" s="9">
        <f>Total!B39</f>
        <v>40164</v>
      </c>
      <c r="C5" s="31" t="str">
        <f>Total!D39</f>
        <v>GISA</v>
      </c>
      <c r="D5" s="31" t="str">
        <f>Total!E39</f>
        <v>Edificació</v>
      </c>
      <c r="E5" s="31" t="str">
        <f>Total!F39</f>
        <v>Projectes</v>
      </c>
      <c r="F5" s="31" t="str">
        <f>Total!G39</f>
        <v>PE. JNP-05539.1.A</v>
      </c>
      <c r="G5" s="31" t="str">
        <f>Total!H39</f>
        <v>Contracte de serveis per a l'assistència tècnica per a l'actualització i adaptació a la nova normativa del projecte de Nova Construcció del Centre Penitenciari de Tàrrega, inclou l'ajustament al programa funcional, l'adaptació de la documentació tècnica i gràfica del projecte executiu al compliment del Codi Tècnic d'Edificació i altra normativa vigent, del pla de conservació i manteniment i de la certificació energètica del projecte. Clau JNP-05539.1.A</v>
      </c>
      <c r="H5" s="17">
        <f>Total!I39</f>
        <v>204741.38</v>
      </c>
    </row>
    <row r="6" spans="1:8" x14ac:dyDescent="0.2">
      <c r="A6" s="8">
        <f t="shared" ref="A6:A12" si="0">A5+1</f>
        <v>5</v>
      </c>
      <c r="B6" s="9">
        <f>Total!B40</f>
        <v>40169</v>
      </c>
      <c r="C6" s="31" t="str">
        <f>Total!D40</f>
        <v>GISA</v>
      </c>
      <c r="D6" s="31" t="str">
        <f>Total!E40</f>
        <v>Obra Civil</v>
      </c>
      <c r="E6" s="31" t="str">
        <f>Total!F40</f>
        <v>Projectes</v>
      </c>
      <c r="F6" s="31" t="str">
        <f>Total!G40</f>
        <v>PV.A-TM-00509.30A.1+2</v>
      </c>
      <c r="G6" s="31" t="str">
        <f>Total!H40</f>
        <v>Contracte de serveis per a l'assistència tècnica per a la redacció dels Avantprojectes de construcció: 'Condicionament i instal.lacions de l'estació de Zona Universitària de la Línia 9 de Metro de Barcelona. Clau: A-TM-00509.30A.1'; 'Condicionament i instal.lacions de l'estació de Campus Nord de la Línia 9 de Metro de Barcelona. Clau: A-TM-00509.30A.2' i 'Condicionament i instal.lacions de l'estació de Campus Sud de la Línia 9 de Metro de Barcelona. Clau: A-TM-00509.30B'</v>
      </c>
      <c r="H6" s="17">
        <f>Total!I40</f>
        <v>258620.7</v>
      </c>
    </row>
    <row r="7" spans="1:8" x14ac:dyDescent="0.2">
      <c r="A7" s="8">
        <f t="shared" si="0"/>
        <v>6</v>
      </c>
      <c r="B7" s="9">
        <f>Total!B41</f>
        <v>40169</v>
      </c>
      <c r="C7" s="31" t="str">
        <f>Total!D41</f>
        <v>GISA</v>
      </c>
      <c r="D7" s="31" t="str">
        <f>Total!E41</f>
        <v>Obra Civil</v>
      </c>
      <c r="E7" s="31" t="str">
        <f>Total!F41</f>
        <v>Projectes</v>
      </c>
      <c r="F7" s="31" t="str">
        <f>Total!G41</f>
        <v>PV. A-TM-00509.30A.3+2</v>
      </c>
      <c r="G7" s="31" t="str">
        <f>Total!H41</f>
        <v>Contracte de serveis per a l'assistència tècnica per a la redacció dels Avantprojectes de construcció: 'Condicionament i instal.lacions de l'estació de Mandri de la Línia 9 de Metro de Barcelona. Clau: A-TM-00509.30A.3'; 'Condicionament i instal.lacions de l'estació de Putxet de la Línia 9 de Metro de Barcelona. Clau: A-TM-00509.31A.1' i 'Condicionament i instal.lacions de l'estació de Muntanya de la Línia 9 de metro de Barcelona. Clau: A-TM-00509.31A.2'</v>
      </c>
      <c r="H7" s="17">
        <f>Total!I41</f>
        <v>258620.7</v>
      </c>
    </row>
    <row r="8" spans="1:8" x14ac:dyDescent="0.2">
      <c r="A8" s="8">
        <f t="shared" si="0"/>
        <v>7</v>
      </c>
      <c r="B8" s="9">
        <f>Total!B42</f>
        <v>40169</v>
      </c>
      <c r="C8" s="31" t="str">
        <f>Total!D42</f>
        <v>GISA</v>
      </c>
      <c r="D8" s="31" t="str">
        <f>Total!E42</f>
        <v>Obra Civil</v>
      </c>
      <c r="E8" s="31" t="str">
        <f>Total!F42</f>
        <v>Projectes</v>
      </c>
      <c r="F8" s="31" t="str">
        <f>Total!G42</f>
        <v>PV.A-TM-00509.30A.4+2</v>
      </c>
      <c r="G8" s="31" t="str">
        <f>Total!H42</f>
        <v>Contracte de serveis per a l'assistència tècnica per a la redacció dels avantprojectes: 'Condicionament i instal.lacions de l'estació de Manuel Girona de la Línia 9 de Metro de Barcelona. Clau: A-TM-00509.30A.4'; 'Condicionament i instal.lacions de l'estació de Prat de la Riba de la Línia 9 de Metro de Barcelona. Clau: A-TM-00509.30A.5' i 'Condicionament i instal.lacions de l'estació de Sarrià de la Línia 9 de Metro de Barcelona. Clau: A-TM-00509.30A.6'</v>
      </c>
      <c r="H8" s="17">
        <f>Total!I42</f>
        <v>271551.73</v>
      </c>
    </row>
    <row r="9" spans="1:8" x14ac:dyDescent="0.2">
      <c r="A9" s="8">
        <f t="shared" si="0"/>
        <v>8</v>
      </c>
      <c r="B9" s="9">
        <f>Total!B43</f>
        <v>40169</v>
      </c>
      <c r="C9" s="31" t="str">
        <f>Total!D43</f>
        <v>GISA</v>
      </c>
      <c r="D9" s="31" t="str">
        <f>Total!E43</f>
        <v>Obra Civil</v>
      </c>
      <c r="E9" s="31" t="str">
        <f>Total!F43</f>
        <v>Projectes</v>
      </c>
      <c r="F9" s="31" t="str">
        <f>Total!G43</f>
        <v>PV.A-TM-00509.31C.1+2</v>
      </c>
      <c r="G9" s="31" t="str">
        <f>Total!H43</f>
        <v>Contracte de serveis per a l'assistència tècnica per a la redacció dels avantprojectes de construcció: 'Condicionament i instal.lacions de l'estació de Sanllehy de la Línia 9 de Metro de Barcelona. Clau: A-TM-00509.31C.1'; 'Condicionament i instal.lacions de l'estació de Guinardó de la Línia 9 de Metro de Barcelona. Clau: A-TM-00509.31C.2' i 'Condicionament i instal.lacions de l'estació de Maragall de la Línia 9 de Metro de Barcelona. Clau: A-TM-00509.31C.3'</v>
      </c>
      <c r="H9" s="17">
        <f>Total!I43</f>
        <v>258620.7</v>
      </c>
    </row>
    <row r="10" spans="1:8" x14ac:dyDescent="0.2">
      <c r="A10" s="8">
        <f t="shared" si="0"/>
        <v>9</v>
      </c>
      <c r="B10" s="9">
        <f>Total!B44</f>
        <v>40169</v>
      </c>
      <c r="C10" s="31" t="str">
        <f>Total!D44</f>
        <v>GISA</v>
      </c>
      <c r="D10" s="31" t="str">
        <f>Total!E44</f>
        <v>Obra Civil</v>
      </c>
      <c r="E10" s="31" t="str">
        <f>Total!F44</f>
        <v>Projectes</v>
      </c>
      <c r="F10" s="31" t="str">
        <f>Total!G44</f>
        <v>PC. MB-09087</v>
      </c>
      <c r="G10" s="31" t="str">
        <f>Total!H44</f>
        <v>Contracte de serveis per a l'assistència tècnica per a la redacció del projecte constructiu de la millora local. Ponts i estructures. Nou viaducte sobre el riu Ter entre Orís i Borgonyà, de la carretera C-17, PK 76+500, a la carretera BV-5226, PK 0+300. Tram: Orís-Sant Vincenç de Torelló. Clau: MB-09087</v>
      </c>
      <c r="H10" s="17">
        <f>Total!I44</f>
        <v>86034.48</v>
      </c>
    </row>
    <row r="11" spans="1:8" x14ac:dyDescent="0.2">
      <c r="A11" s="8">
        <f t="shared" si="0"/>
        <v>10</v>
      </c>
      <c r="B11" s="47">
        <f>Total!B45</f>
        <v>40169</v>
      </c>
      <c r="C11" s="55" t="str">
        <f>Total!D45</f>
        <v>GISA</v>
      </c>
      <c r="D11" s="55" t="str">
        <f>Total!E45</f>
        <v>Obra Civil</v>
      </c>
      <c r="E11" s="55" t="str">
        <f>Total!F45</f>
        <v>Direccions d'Obra</v>
      </c>
      <c r="F11" s="55" t="str">
        <f>Total!G45</f>
        <v>DO. TM-00509.35.1+1</v>
      </c>
      <c r="G11" s="55" t="str">
        <f>Total!H45</f>
        <v>Contracte de serveis per a la Direcció conjunta de les obres de: 'Projecte constructiu de superstructura (via i catenària) del tram Nova Terminal Sud (aeroport) Prat Eixample Nord, de l'L9 de Metro de Barcelona. Clau: TM-00509.35.1' i 'Projecte constructiu de sup erestructura (via i catenària) del tram Prat Eixample Nord-Bifurcació Gornal, de l'L9 de Metro de Barcelona. Clau: TM-00509.35.2</v>
      </c>
      <c r="H11" s="50">
        <f>Total!I45</f>
        <v>1458888.88</v>
      </c>
    </row>
    <row r="12" spans="1:8" x14ac:dyDescent="0.2">
      <c r="A12" s="8">
        <f t="shared" si="0"/>
        <v>11</v>
      </c>
      <c r="B12" s="9">
        <f>Total!B46</f>
        <v>40169</v>
      </c>
      <c r="C12" s="31" t="str">
        <f>Total!D46</f>
        <v>GISA</v>
      </c>
      <c r="D12" s="31" t="str">
        <f>Total!E46</f>
        <v>Obra Civil</v>
      </c>
      <c r="E12" s="31" t="str">
        <f>Total!F46</f>
        <v>Control de Qualitat</v>
      </c>
      <c r="F12" s="31" t="str">
        <f>Total!G46</f>
        <v>CQ VL-04012</v>
      </c>
      <c r="G12" s="31" t="str">
        <f>Total!H46</f>
        <v>Contracte de serveis per a l'assistència tècnica de control de qualitat de les obres de millora general. Variant de Santa Susanna. Carretera C-55 del PK 70+700 al 71+800. Tram: Riner. Clau: VL-04012</v>
      </c>
      <c r="H12" s="17">
        <f>Total!I46</f>
        <v>114867.86</v>
      </c>
    </row>
    <row r="13" spans="1:8" x14ac:dyDescent="0.2">
      <c r="A13" s="8">
        <f t="shared" ref="A13:A22" si="1">A12+1</f>
        <v>12</v>
      </c>
      <c r="B13" s="9">
        <f>Total!B47</f>
        <v>40170</v>
      </c>
      <c r="C13" s="31" t="str">
        <f>Total!D47</f>
        <v>GISA</v>
      </c>
      <c r="D13" s="31" t="str">
        <f>Total!E47</f>
        <v>Obra Civil</v>
      </c>
      <c r="E13" s="31" t="str">
        <f>Total!F47</f>
        <v>Projectes</v>
      </c>
      <c r="F13" s="31" t="str">
        <f>Total!G47</f>
        <v>PV.A-TM-00509.31B</v>
      </c>
      <c r="G13" s="31" t="str">
        <f>Total!H47</f>
        <v>Contracte de serveis per a l'assistència tècnica per a la redacció de l'avantprojecte de condicionament i instal.lacions de l'estació de Lesseps de la Línia 9 de Metro de Barcelona. Clau: A-TM-00509.31B</v>
      </c>
      <c r="H13" s="17">
        <f>Total!I47</f>
        <v>86206.9</v>
      </c>
    </row>
    <row r="14" spans="1:8" x14ac:dyDescent="0.2">
      <c r="A14" s="8">
        <f t="shared" si="1"/>
        <v>13</v>
      </c>
      <c r="B14" s="9">
        <f>Total!B48</f>
        <v>40170</v>
      </c>
      <c r="C14" s="31" t="str">
        <f>Total!D48</f>
        <v>GISA</v>
      </c>
      <c r="D14" s="31" t="str">
        <f>Total!E48</f>
        <v>Obra Civil</v>
      </c>
      <c r="E14" s="31" t="str">
        <f>Total!F48</f>
        <v>Projectes</v>
      </c>
      <c r="F14" s="31" t="str">
        <f>Total!G48</f>
        <v>PC. AC-05090</v>
      </c>
      <c r="G14" s="31" t="str">
        <f>Total!H48</f>
        <v>Contracte de serveis per a l'assistència tècnica per a la redacció del projecte contructiu de millora general. Condicionament. Eixamplament i millora de revolts de la carretera C-242. PK 0+000 al 34+000. Tram: intersecció amb la C-12 (Torrebesses)-Ulldemolins. Clau: AC-05090</v>
      </c>
      <c r="H14" s="17">
        <f>Total!I48</f>
        <v>534310.34</v>
      </c>
    </row>
    <row r="15" spans="1:8" x14ac:dyDescent="0.2">
      <c r="A15" s="8">
        <f t="shared" si="1"/>
        <v>14</v>
      </c>
      <c r="B15" s="9">
        <f>Total!B49</f>
        <v>40170</v>
      </c>
      <c r="C15" s="31" t="str">
        <f>Total!D49</f>
        <v>GISA</v>
      </c>
      <c r="D15" s="31" t="str">
        <f>Total!E49</f>
        <v>Obra Civil</v>
      </c>
      <c r="E15" s="31" t="str">
        <f>Total!F49</f>
        <v>Projectes</v>
      </c>
      <c r="F15" s="31" t="str">
        <f>Total!G49</f>
        <v>PC. AT-04186</v>
      </c>
      <c r="G15" s="31" t="str">
        <f>Total!H49</f>
        <v>Contracte de serveis per a l'assistència tècnica per a la redacció del projecte constructiu de millora general. Condicionament de la carretera T-701 d'Albarca a Prades. PK 0+000 al 7+820. Tram: Cornudella de Montsant-Prades. Clau: AT-04186</v>
      </c>
      <c r="H15" s="17">
        <f>Total!I49</f>
        <v>245431.03</v>
      </c>
    </row>
    <row r="16" spans="1:8" x14ac:dyDescent="0.2">
      <c r="A16" s="8">
        <f t="shared" si="1"/>
        <v>15</v>
      </c>
      <c r="B16" s="9">
        <f>Total!B50</f>
        <v>40170</v>
      </c>
      <c r="C16" s="31" t="str">
        <f>Total!D50</f>
        <v>GISA</v>
      </c>
      <c r="D16" s="31" t="str">
        <f>Total!E50</f>
        <v>Obra Civil</v>
      </c>
      <c r="E16" s="31" t="str">
        <f>Total!F50</f>
        <v>Projectes</v>
      </c>
      <c r="F16" s="31" t="str">
        <f>Total!G50</f>
        <v>PC. MB-05113</v>
      </c>
      <c r="G16" s="31" t="str">
        <f>Total!H50</f>
        <v>Contracte de serveis per a l'assistència tècnica per a la redacció del projecte constructiu de millora local. Mesures correctores. Modificació de la rasant de la calçada direcció Barcelona i integració a l'entorn de proteccions acústiques i de fums. Autopista C-58, del PK 5+500 al 6+500. Tram: Ripollet. Clau: MB-05113</v>
      </c>
      <c r="H16" s="17">
        <f>Total!I50</f>
        <v>336551.72</v>
      </c>
    </row>
    <row r="17" spans="1:8" x14ac:dyDescent="0.2">
      <c r="A17" s="8">
        <f t="shared" si="1"/>
        <v>16</v>
      </c>
      <c r="B17" s="9">
        <f>Total!B51</f>
        <v>40170</v>
      </c>
      <c r="C17" s="31" t="str">
        <f>Total!D51</f>
        <v>GISA</v>
      </c>
      <c r="D17" s="31" t="str">
        <f>Total!E51</f>
        <v>Edificació</v>
      </c>
      <c r="E17" s="31" t="str">
        <f>Total!F51</f>
        <v>Control de Qualitat</v>
      </c>
      <c r="F17" s="31" t="str">
        <f>Total!G51</f>
        <v>CQ. PAC-08310</v>
      </c>
      <c r="G17" s="31" t="str">
        <f>Total!H51</f>
        <v>Contracte de serveis per a l'assistència tècnica del control de qualitat de les obres d'ampliació CEIP 2 línies al CEIP Ametllers de Sant Joan de Vilatorrada (Bages). Clau: PAC-08310</v>
      </c>
      <c r="H17" s="17">
        <f>Total!I51</f>
        <v>43941.96</v>
      </c>
    </row>
    <row r="18" spans="1:8" x14ac:dyDescent="0.2">
      <c r="A18" s="8">
        <f t="shared" si="1"/>
        <v>17</v>
      </c>
      <c r="B18" s="9">
        <f>Total!B52</f>
        <v>40171</v>
      </c>
      <c r="C18" s="31" t="str">
        <f>Total!D52</f>
        <v>GISA</v>
      </c>
      <c r="D18" s="31" t="str">
        <f>Total!E52</f>
        <v>Edificació</v>
      </c>
      <c r="E18" s="31" t="str">
        <f>Total!F52</f>
        <v>Projectes i Direccions d'Obra</v>
      </c>
      <c r="F18" s="31" t="str">
        <f>Total!G52</f>
        <v>PE+DO PNL-09362 2v</v>
      </c>
      <c r="G18" s="31" t="str">
        <f>Total!H52</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 Nova Construcció de l'Escola El Roser-ZER Plaurcén, del Poal. Clau: PNL-09362 (2v)</v>
      </c>
      <c r="H18" s="17">
        <f>Total!I52</f>
        <v>143517.24</v>
      </c>
    </row>
    <row r="19" spans="1:8" x14ac:dyDescent="0.2">
      <c r="A19" s="8">
        <f t="shared" si="1"/>
        <v>18</v>
      </c>
      <c r="B19" s="9">
        <f>Total!B53</f>
        <v>40171</v>
      </c>
      <c r="C19" s="31" t="str">
        <f>Total!D53</f>
        <v>GISA</v>
      </c>
      <c r="D19" s="31" t="str">
        <f>Total!E53</f>
        <v>Edificació</v>
      </c>
      <c r="E19" s="31" t="str">
        <f>Total!F53</f>
        <v>Projectes i Direccions d'Obra</v>
      </c>
      <c r="F19" s="31" t="str">
        <f>Total!G53</f>
        <v>PE+DO PAC-09344 1v</v>
      </c>
      <c r="G19" s="31" t="str">
        <f>Total!H53</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l'ampliació de l'Escola el Morsell, d'Olivella. Clau: PAC-09344 (1v)</v>
      </c>
      <c r="H19" s="17">
        <f>Total!I53</f>
        <v>189157.63</v>
      </c>
    </row>
    <row r="20" spans="1:8" x14ac:dyDescent="0.2">
      <c r="A20" s="8">
        <f t="shared" si="1"/>
        <v>19</v>
      </c>
      <c r="B20" s="9">
        <f>Total!B54</f>
        <v>40171</v>
      </c>
      <c r="C20" s="31" t="str">
        <f>Total!D54</f>
        <v>GISA</v>
      </c>
      <c r="D20" s="31" t="str">
        <f>Total!E54</f>
        <v>Edificació</v>
      </c>
      <c r="E20" s="31" t="str">
        <f>Total!F54</f>
        <v>Projectes i Direccions d'Obra</v>
      </c>
      <c r="F20" s="31" t="str">
        <f>Total!G54</f>
        <v>PE+DO PAE-09345 1v</v>
      </c>
      <c r="G20" s="31" t="str">
        <f>Total!H54</f>
        <v>Contracte de serveis per a l'assistència tècnica per a la redacció del projecte bàsic i d'execució, la certificació d'eficiència energètica del projecte, l'estudi de seguretat i salut, l'estudi geotècnic, el projecte d'activitats per a llicència ambiental i posterior Direcció d'Obra i certificació d'eficiència energètica de final d'obra corresponent a l'ampliació de l'Escola Cinta Curto, de Tortosa. Clau: PAE-09345 (1v)</v>
      </c>
      <c r="H20" s="17">
        <f>Total!I54</f>
        <v>184874.39</v>
      </c>
    </row>
    <row r="21" spans="1:8" x14ac:dyDescent="0.2">
      <c r="A21" s="8">
        <f t="shared" si="1"/>
        <v>20</v>
      </c>
      <c r="B21" s="9">
        <f>Total!B55</f>
        <v>40177</v>
      </c>
      <c r="C21" s="31" t="str">
        <f>Total!D55</f>
        <v>GISA</v>
      </c>
      <c r="D21" s="31" t="str">
        <f>Total!E55</f>
        <v>Edificació</v>
      </c>
      <c r="E21" s="31" t="str">
        <f>Total!F55</f>
        <v>Projectes i Direccions d'Obra</v>
      </c>
      <c r="F21" s="31" t="str">
        <f>Total!G55</f>
        <v>PE+DO PAG-08377 1v</v>
      </c>
      <c r="G21" s="31" t="str">
        <f>Total!H55</f>
        <v>Contracte de serveis per a l'assistència tècnica per a la redacció del projecte bàsic i d'execució, la certificació d'eficiència energètica del projecte, l'estudi de seguretat i salut, l'estudi geotècnic, l'aixecament de plànols, l'estudi de patologies, el projecte d'activitats per a llicència ambiental i posterior Direcció d'Obra i certificació d'eficiència energètica de final d'obra corresponent a l'ampliació de l'Escola Portitxol de Torroella de Montgrí. Clau: PAG-08377 (1v)</v>
      </c>
      <c r="H21" s="17">
        <f>Total!I55</f>
        <v>376050.49</v>
      </c>
    </row>
    <row r="22" spans="1:8" ht="13.5" thickBot="1" x14ac:dyDescent="0.25">
      <c r="A22" s="8">
        <f t="shared" si="1"/>
        <v>21</v>
      </c>
      <c r="B22" s="9">
        <f>Total!B56</f>
        <v>40177</v>
      </c>
      <c r="C22" s="31" t="str">
        <f>Total!D56</f>
        <v>GISA</v>
      </c>
      <c r="D22" s="31" t="str">
        <f>Total!E56</f>
        <v>Edificació</v>
      </c>
      <c r="E22" s="31" t="str">
        <f>Total!F56</f>
        <v>Projectes i Direccions d'Obra</v>
      </c>
      <c r="F22" s="31" t="str">
        <f>Total!G56</f>
        <v>PE+DO CAP-09398 2v</v>
      </c>
      <c r="G22" s="31" t="str">
        <f>Total!H56</f>
        <v>Contracte de serveis per a l'assistència tècnica per a la redacció del projecte bàsic i d'execució, l'estudi de seguretat i salut, la certificació d'eficiència energètica del projecte, l'estudi geotècnic, el projecte d'activitats per a llicència ambiental i posterior Direcció d'Obra i certificació d'eficiència energètica de final d'obra corresponent al Nou CAP Can Roca, de Terrassa. Clau: CAP-09398 (2v)</v>
      </c>
      <c r="H22" s="17">
        <f>Total!I56</f>
        <v>338254.93</v>
      </c>
    </row>
    <row r="23" spans="1:8" ht="13.5" thickBot="1" x14ac:dyDescent="0.25">
      <c r="B23" s="10"/>
      <c r="H23" s="32">
        <f>SUM(H2:H22)</f>
        <v>6959466.6100000003</v>
      </c>
    </row>
    <row r="24" spans="1:8" x14ac:dyDescent="0.2">
      <c r="B24" s="10"/>
      <c r="H24" s="1"/>
    </row>
    <row r="25" spans="1:8" x14ac:dyDescent="0.2">
      <c r="B25" s="10"/>
      <c r="H25" s="1"/>
    </row>
    <row r="26" spans="1:8" x14ac:dyDescent="0.2">
      <c r="B26" s="10"/>
      <c r="H26" s="1"/>
    </row>
    <row r="27" spans="1:8" x14ac:dyDescent="0.2">
      <c r="B27" s="10"/>
      <c r="H27" s="1"/>
    </row>
    <row r="28" spans="1:8" x14ac:dyDescent="0.2">
      <c r="B28" s="10"/>
      <c r="H28" s="1"/>
    </row>
    <row r="29" spans="1:8" x14ac:dyDescent="0.2">
      <c r="B29" s="10"/>
      <c r="H29" s="1"/>
    </row>
    <row r="30" spans="1:8" x14ac:dyDescent="0.2">
      <c r="B30" s="10"/>
      <c r="H30" s="1"/>
    </row>
    <row r="31" spans="1:8" x14ac:dyDescent="0.2">
      <c r="B31" s="10"/>
      <c r="H31" s="1"/>
    </row>
    <row r="32" spans="1:8" x14ac:dyDescent="0.2">
      <c r="B32" s="10"/>
      <c r="H32" s="1"/>
    </row>
    <row r="33" spans="2:8" x14ac:dyDescent="0.2">
      <c r="B33" s="10"/>
      <c r="H33" s="1"/>
    </row>
    <row r="34" spans="2:8" x14ac:dyDescent="0.2">
      <c r="B34" s="10"/>
      <c r="H34" s="1"/>
    </row>
    <row r="35" spans="2:8" x14ac:dyDescent="0.2">
      <c r="B35" s="10"/>
      <c r="H35" s="1"/>
    </row>
    <row r="36" spans="2:8" x14ac:dyDescent="0.2">
      <c r="B36" s="10"/>
      <c r="H36" s="1"/>
    </row>
    <row r="37" spans="2:8" x14ac:dyDescent="0.2">
      <c r="B37" s="10"/>
      <c r="H37" s="1"/>
    </row>
    <row r="38" spans="2:8" x14ac:dyDescent="0.2">
      <c r="B38" s="10"/>
      <c r="H38" s="1"/>
    </row>
    <row r="39" spans="2:8" x14ac:dyDescent="0.2">
      <c r="B39" s="10"/>
      <c r="H39" s="1"/>
    </row>
    <row r="40" spans="2:8" x14ac:dyDescent="0.2">
      <c r="B40" s="10"/>
      <c r="H40" s="1"/>
    </row>
    <row r="41" spans="2:8" x14ac:dyDescent="0.2">
      <c r="B41" s="10"/>
      <c r="H41" s="1"/>
    </row>
    <row r="42" spans="2:8" x14ac:dyDescent="0.2">
      <c r="B42" s="10"/>
      <c r="H42" s="1"/>
    </row>
    <row r="43" spans="2:8" x14ac:dyDescent="0.2">
      <c r="B43" s="10"/>
      <c r="H43" s="1"/>
    </row>
    <row r="44" spans="2:8" x14ac:dyDescent="0.2">
      <c r="B44" s="10"/>
      <c r="H44" s="1"/>
    </row>
    <row r="45" spans="2:8" x14ac:dyDescent="0.2">
      <c r="B45" s="10"/>
      <c r="H45" s="1"/>
    </row>
    <row r="46" spans="2:8" x14ac:dyDescent="0.2">
      <c r="B46" s="10"/>
      <c r="H46" s="1"/>
    </row>
    <row r="47" spans="2:8" x14ac:dyDescent="0.2">
      <c r="B47" s="10"/>
      <c r="H47" s="1"/>
    </row>
    <row r="48" spans="2:8" x14ac:dyDescent="0.2">
      <c r="B48" s="10"/>
      <c r="H48" s="1"/>
    </row>
    <row r="49" spans="2:8" x14ac:dyDescent="0.2">
      <c r="B49" s="10"/>
      <c r="H49" s="1"/>
    </row>
    <row r="50" spans="2:8" x14ac:dyDescent="0.2">
      <c r="B50" s="10"/>
      <c r="H50" s="1"/>
    </row>
    <row r="51" spans="2:8" x14ac:dyDescent="0.2">
      <c r="B51" s="10"/>
      <c r="H51" s="1"/>
    </row>
    <row r="52" spans="2:8" x14ac:dyDescent="0.2">
      <c r="B52" s="10"/>
      <c r="H52" s="1"/>
    </row>
    <row r="53" spans="2:8" x14ac:dyDescent="0.2">
      <c r="B53" s="10"/>
      <c r="H53" s="1"/>
    </row>
    <row r="54" spans="2:8" x14ac:dyDescent="0.2">
      <c r="B54" s="10"/>
      <c r="H54" s="1"/>
    </row>
    <row r="55" spans="2:8" x14ac:dyDescent="0.2">
      <c r="B55" s="10"/>
      <c r="H55" s="1"/>
    </row>
    <row r="56" spans="2:8" x14ac:dyDescent="0.2">
      <c r="B56" s="10"/>
      <c r="H56" s="1"/>
    </row>
    <row r="57" spans="2:8" x14ac:dyDescent="0.2">
      <c r="B57" s="10"/>
      <c r="H57" s="1"/>
    </row>
    <row r="58" spans="2:8" x14ac:dyDescent="0.2">
      <c r="B58" s="10"/>
      <c r="H58" s="1"/>
    </row>
    <row r="59" spans="2:8" x14ac:dyDescent="0.2">
      <c r="B59" s="10"/>
      <c r="H59" s="1"/>
    </row>
    <row r="60" spans="2:8" x14ac:dyDescent="0.2">
      <c r="B60" s="10"/>
    </row>
    <row r="61" spans="2:8" x14ac:dyDescent="0.2">
      <c r="B61" s="10"/>
    </row>
    <row r="62" spans="2:8" x14ac:dyDescent="0.2">
      <c r="B62" s="10"/>
    </row>
    <row r="63" spans="2:8" x14ac:dyDescent="0.2">
      <c r="B63" s="10"/>
    </row>
    <row r="64" spans="2:8" x14ac:dyDescent="0.2">
      <c r="B64" s="10"/>
    </row>
    <row r="65" spans="2:2" x14ac:dyDescent="0.2">
      <c r="B65" s="10"/>
    </row>
    <row r="66" spans="2:2" x14ac:dyDescent="0.2">
      <c r="B66" s="10"/>
    </row>
    <row r="67" spans="2:2" x14ac:dyDescent="0.2">
      <c r="B67" s="10"/>
    </row>
    <row r="68" spans="2:2" x14ac:dyDescent="0.2">
      <c r="B68" s="10"/>
    </row>
    <row r="69" spans="2:2" x14ac:dyDescent="0.2">
      <c r="B69" s="10"/>
    </row>
    <row r="70" spans="2:2" x14ac:dyDescent="0.2">
      <c r="B70" s="10"/>
    </row>
    <row r="71" spans="2:2" x14ac:dyDescent="0.2">
      <c r="B71" s="10"/>
    </row>
  </sheetData>
  <phoneticPr fontId="2" type="noConversion"/>
  <pageMargins left="0.75" right="0.75" top="1" bottom="1" header="0" footer="0"/>
  <pageSetup paperSize="9" orientation="portrait"/>
  <headerFooter alignWithMargins="0"/>
  <extLst>
    <ext xmlns:mx="http://schemas.microsoft.com/office/mac/excel/2008/main" uri="{64002731-A6B0-56B0-2670-7721B7C09600}">
      <mx:PLV Mode="0" OnePage="0" WScale="0"/>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H855"/>
  <sheetViews>
    <sheetView topLeftCell="B1" workbookViewId="0">
      <selection activeCell="B36" sqref="B36"/>
    </sheetView>
  </sheetViews>
  <sheetFormatPr baseColWidth="10" defaultColWidth="11.42578125" defaultRowHeight="12.75" x14ac:dyDescent="0.2"/>
  <cols>
    <col min="1" max="1" width="7" customWidth="1"/>
    <col min="2" max="2" width="12.42578125" bestFit="1" customWidth="1"/>
    <col min="3" max="3" width="7.7109375" bestFit="1" customWidth="1"/>
    <col min="4" max="4" width="9" bestFit="1" customWidth="1"/>
    <col min="5" max="5" width="19.42578125" bestFit="1" customWidth="1"/>
    <col min="6" max="6" width="24.7109375" customWidth="1"/>
    <col min="7" max="7" width="75.7109375" customWidth="1"/>
    <col min="8" max="8" width="20" bestFit="1" customWidth="1"/>
  </cols>
  <sheetData>
    <row r="1" spans="1:8" x14ac:dyDescent="0.2">
      <c r="B1" s="2" t="s">
        <v>57</v>
      </c>
      <c r="C1" s="2" t="s">
        <v>58</v>
      </c>
      <c r="D1" s="3" t="s">
        <v>59</v>
      </c>
      <c r="E1" s="3" t="s">
        <v>60</v>
      </c>
      <c r="F1" s="3" t="s">
        <v>61</v>
      </c>
      <c r="G1" s="3" t="s">
        <v>62</v>
      </c>
      <c r="H1" s="3" t="s">
        <v>63</v>
      </c>
    </row>
    <row r="2" spans="1:8" x14ac:dyDescent="0.2">
      <c r="A2" s="8">
        <v>1</v>
      </c>
      <c r="B2" s="9">
        <v>40119</v>
      </c>
      <c r="C2" s="4" t="s">
        <v>66</v>
      </c>
      <c r="D2" s="4" t="s">
        <v>422</v>
      </c>
      <c r="E2" s="4" t="s">
        <v>701</v>
      </c>
      <c r="F2" s="4" t="s">
        <v>64</v>
      </c>
      <c r="G2" s="4" t="s">
        <v>65</v>
      </c>
      <c r="H2" s="6">
        <v>204116.2</v>
      </c>
    </row>
    <row r="3" spans="1:8" x14ac:dyDescent="0.2">
      <c r="A3" s="8">
        <f>A2+1</f>
        <v>2</v>
      </c>
      <c r="B3" s="9">
        <v>40121</v>
      </c>
      <c r="C3" s="4" t="s">
        <v>66</v>
      </c>
      <c r="D3" s="4" t="s">
        <v>422</v>
      </c>
      <c r="E3" s="4" t="s">
        <v>71</v>
      </c>
      <c r="F3" s="4" t="s">
        <v>423</v>
      </c>
      <c r="G3" s="4" t="s">
        <v>395</v>
      </c>
      <c r="H3" s="6">
        <v>61640.3</v>
      </c>
    </row>
    <row r="4" spans="1:8" x14ac:dyDescent="0.2">
      <c r="A4" s="8">
        <f t="shared" ref="A4:A35" si="0">A3+1</f>
        <v>3</v>
      </c>
      <c r="B4" s="9">
        <v>40121</v>
      </c>
      <c r="C4" s="4" t="s">
        <v>66</v>
      </c>
      <c r="D4" s="4" t="s">
        <v>422</v>
      </c>
      <c r="E4" s="4" t="s">
        <v>396</v>
      </c>
      <c r="F4" s="4" t="s">
        <v>397</v>
      </c>
      <c r="G4" s="4" t="s">
        <v>700</v>
      </c>
      <c r="H4" s="6">
        <v>62100</v>
      </c>
    </row>
    <row r="5" spans="1:8" x14ac:dyDescent="0.2">
      <c r="A5" s="8">
        <f t="shared" si="0"/>
        <v>4</v>
      </c>
      <c r="B5" s="9">
        <v>40121</v>
      </c>
      <c r="C5" s="4" t="s">
        <v>66</v>
      </c>
      <c r="D5" s="4" t="s">
        <v>422</v>
      </c>
      <c r="E5" s="4" t="s">
        <v>701</v>
      </c>
      <c r="F5" s="4" t="s">
        <v>702</v>
      </c>
      <c r="G5" s="4" t="s">
        <v>703</v>
      </c>
      <c r="H5" s="6">
        <v>173448.28</v>
      </c>
    </row>
    <row r="6" spans="1:8" x14ac:dyDescent="0.2">
      <c r="A6" s="8">
        <f t="shared" si="0"/>
        <v>5</v>
      </c>
      <c r="B6" s="9">
        <v>40121</v>
      </c>
      <c r="C6" s="4" t="s">
        <v>66</v>
      </c>
      <c r="D6" s="4" t="s">
        <v>422</v>
      </c>
      <c r="E6" s="4" t="s">
        <v>701</v>
      </c>
      <c r="F6" s="4" t="s">
        <v>704</v>
      </c>
      <c r="G6" s="4" t="s">
        <v>705</v>
      </c>
      <c r="H6" s="6">
        <v>53620.69</v>
      </c>
    </row>
    <row r="7" spans="1:8" x14ac:dyDescent="0.2">
      <c r="A7" s="8">
        <f t="shared" si="0"/>
        <v>6</v>
      </c>
      <c r="B7" s="9">
        <v>40121</v>
      </c>
      <c r="C7" s="4" t="s">
        <v>66</v>
      </c>
      <c r="D7" s="4" t="s">
        <v>422</v>
      </c>
      <c r="E7" s="4" t="s">
        <v>701</v>
      </c>
      <c r="F7" s="4" t="s">
        <v>706</v>
      </c>
      <c r="G7" s="4" t="s">
        <v>391</v>
      </c>
      <c r="H7" s="6">
        <v>205000</v>
      </c>
    </row>
    <row r="8" spans="1:8" x14ac:dyDescent="0.2">
      <c r="A8" s="8">
        <f t="shared" si="0"/>
        <v>7</v>
      </c>
      <c r="B8" s="9">
        <v>40123</v>
      </c>
      <c r="C8" s="4" t="s">
        <v>66</v>
      </c>
      <c r="D8" s="4" t="s">
        <v>392</v>
      </c>
      <c r="E8" s="4" t="s">
        <v>393</v>
      </c>
      <c r="F8" s="4" t="s">
        <v>394</v>
      </c>
      <c r="G8" s="4" t="s">
        <v>735</v>
      </c>
      <c r="H8" s="6">
        <v>54450</v>
      </c>
    </row>
    <row r="9" spans="1:8" x14ac:dyDescent="0.2">
      <c r="A9" s="8">
        <f t="shared" si="0"/>
        <v>8</v>
      </c>
      <c r="B9" s="9">
        <v>40123</v>
      </c>
      <c r="C9" s="4" t="s">
        <v>66</v>
      </c>
      <c r="D9" s="4" t="s">
        <v>392</v>
      </c>
      <c r="E9" s="4" t="s">
        <v>393</v>
      </c>
      <c r="F9" s="4" t="s">
        <v>736</v>
      </c>
      <c r="G9" s="4" t="s">
        <v>444</v>
      </c>
      <c r="H9" s="6">
        <v>119852</v>
      </c>
    </row>
    <row r="10" spans="1:8" x14ac:dyDescent="0.2">
      <c r="A10" s="8">
        <f t="shared" si="0"/>
        <v>9</v>
      </c>
      <c r="B10" s="9">
        <v>40123</v>
      </c>
      <c r="C10" s="4" t="s">
        <v>66</v>
      </c>
      <c r="D10" s="4" t="s">
        <v>392</v>
      </c>
      <c r="E10" s="4" t="s">
        <v>71</v>
      </c>
      <c r="F10" s="4" t="s">
        <v>445</v>
      </c>
      <c r="G10" s="4" t="s">
        <v>202</v>
      </c>
      <c r="H10" s="6">
        <v>131233.04</v>
      </c>
    </row>
    <row r="11" spans="1:8" x14ac:dyDescent="0.2">
      <c r="A11" s="8">
        <f t="shared" si="0"/>
        <v>10</v>
      </c>
      <c r="B11" s="9">
        <v>40123</v>
      </c>
      <c r="C11" s="4" t="s">
        <v>66</v>
      </c>
      <c r="D11" s="4" t="s">
        <v>392</v>
      </c>
      <c r="E11" s="4" t="s">
        <v>393</v>
      </c>
      <c r="F11" s="4" t="s">
        <v>203</v>
      </c>
      <c r="G11" s="4" t="s">
        <v>126</v>
      </c>
      <c r="H11" s="6">
        <v>94512</v>
      </c>
    </row>
    <row r="12" spans="1:8" x14ac:dyDescent="0.2">
      <c r="A12" s="8">
        <f t="shared" si="0"/>
        <v>11</v>
      </c>
      <c r="B12" s="9">
        <v>40123</v>
      </c>
      <c r="C12" s="4" t="s">
        <v>66</v>
      </c>
      <c r="D12" s="4" t="s">
        <v>392</v>
      </c>
      <c r="E12" s="4" t="s">
        <v>393</v>
      </c>
      <c r="F12" s="4" t="s">
        <v>127</v>
      </c>
      <c r="G12" s="4" t="s">
        <v>128</v>
      </c>
      <c r="H12" s="6">
        <v>144300</v>
      </c>
    </row>
    <row r="13" spans="1:8" x14ac:dyDescent="0.2">
      <c r="A13" s="8">
        <f t="shared" si="0"/>
        <v>12</v>
      </c>
      <c r="B13" s="9">
        <v>40123</v>
      </c>
      <c r="C13" s="4" t="s">
        <v>66</v>
      </c>
      <c r="D13" s="4" t="s">
        <v>392</v>
      </c>
      <c r="E13" s="4" t="s">
        <v>71</v>
      </c>
      <c r="F13" s="4" t="s">
        <v>129</v>
      </c>
      <c r="G13" s="4" t="s">
        <v>783</v>
      </c>
      <c r="H13" s="6">
        <v>111266.39</v>
      </c>
    </row>
    <row r="14" spans="1:8" x14ac:dyDescent="0.2">
      <c r="A14" s="8">
        <f t="shared" si="0"/>
        <v>13</v>
      </c>
      <c r="B14" s="9">
        <v>40123</v>
      </c>
      <c r="C14" s="4" t="s">
        <v>66</v>
      </c>
      <c r="D14" s="4" t="s">
        <v>392</v>
      </c>
      <c r="E14" s="4" t="s">
        <v>71</v>
      </c>
      <c r="F14" s="4" t="s">
        <v>784</v>
      </c>
      <c r="G14" s="4" t="s">
        <v>785</v>
      </c>
      <c r="H14" s="6">
        <v>156546.43</v>
      </c>
    </row>
    <row r="15" spans="1:8" x14ac:dyDescent="0.2">
      <c r="A15" s="8">
        <f t="shared" si="0"/>
        <v>14</v>
      </c>
      <c r="B15" s="9">
        <v>40123</v>
      </c>
      <c r="C15" s="4" t="s">
        <v>66</v>
      </c>
      <c r="D15" s="4" t="s">
        <v>392</v>
      </c>
      <c r="E15" s="4" t="s">
        <v>71</v>
      </c>
      <c r="F15" s="4" t="s">
        <v>786</v>
      </c>
      <c r="G15" s="4" t="s">
        <v>458</v>
      </c>
      <c r="H15" s="6">
        <v>188702.38</v>
      </c>
    </row>
    <row r="16" spans="1:8" x14ac:dyDescent="0.2">
      <c r="A16" s="8">
        <f t="shared" si="0"/>
        <v>15</v>
      </c>
      <c r="B16" s="9">
        <v>40123</v>
      </c>
      <c r="C16" s="4" t="s">
        <v>66</v>
      </c>
      <c r="D16" s="4" t="s">
        <v>392</v>
      </c>
      <c r="E16" s="4" t="s">
        <v>71</v>
      </c>
      <c r="F16" s="4" t="s">
        <v>459</v>
      </c>
      <c r="G16" s="4" t="s">
        <v>460</v>
      </c>
      <c r="H16" s="6">
        <v>82306.149999999994</v>
      </c>
    </row>
    <row r="17" spans="1:8" x14ac:dyDescent="0.2">
      <c r="A17" s="8">
        <f t="shared" si="0"/>
        <v>16</v>
      </c>
      <c r="B17" s="9">
        <v>40126</v>
      </c>
      <c r="C17" s="4" t="s">
        <v>66</v>
      </c>
      <c r="D17" s="4" t="s">
        <v>422</v>
      </c>
      <c r="E17" s="4" t="s">
        <v>71</v>
      </c>
      <c r="F17" s="4" t="s">
        <v>461</v>
      </c>
      <c r="G17" s="4" t="s">
        <v>645</v>
      </c>
      <c r="H17" s="6">
        <v>64821.4</v>
      </c>
    </row>
    <row r="18" spans="1:8" x14ac:dyDescent="0.2">
      <c r="A18" s="8">
        <f t="shared" si="0"/>
        <v>17</v>
      </c>
      <c r="B18" s="9">
        <v>40126</v>
      </c>
      <c r="C18" s="4" t="s">
        <v>66</v>
      </c>
      <c r="D18" s="4" t="s">
        <v>422</v>
      </c>
      <c r="E18" s="4" t="s">
        <v>396</v>
      </c>
      <c r="F18" s="4" t="s">
        <v>646</v>
      </c>
      <c r="G18" s="4" t="s">
        <v>70</v>
      </c>
      <c r="H18" s="6">
        <v>194500</v>
      </c>
    </row>
    <row r="19" spans="1:8" x14ac:dyDescent="0.2">
      <c r="A19" s="8">
        <f t="shared" si="0"/>
        <v>18</v>
      </c>
      <c r="B19" s="9">
        <v>40128</v>
      </c>
      <c r="C19" s="4" t="s">
        <v>66</v>
      </c>
      <c r="D19" s="4" t="s">
        <v>422</v>
      </c>
      <c r="E19" s="4" t="s">
        <v>701</v>
      </c>
      <c r="F19" s="4" t="s">
        <v>72</v>
      </c>
      <c r="G19" s="4" t="s">
        <v>670</v>
      </c>
      <c r="H19" s="16">
        <v>153275.85999999999</v>
      </c>
    </row>
    <row r="20" spans="1:8" x14ac:dyDescent="0.2">
      <c r="A20" s="8">
        <f t="shared" si="0"/>
        <v>19</v>
      </c>
      <c r="B20" s="9">
        <v>40130</v>
      </c>
      <c r="C20" s="4" t="s">
        <v>66</v>
      </c>
      <c r="D20" s="4" t="s">
        <v>422</v>
      </c>
      <c r="E20" s="4" t="s">
        <v>396</v>
      </c>
      <c r="F20" s="4" t="s">
        <v>716</v>
      </c>
      <c r="G20" s="4" t="s">
        <v>618</v>
      </c>
      <c r="H20" s="16">
        <v>345685</v>
      </c>
    </row>
    <row r="21" spans="1:8" x14ac:dyDescent="0.2">
      <c r="A21" s="8">
        <f t="shared" si="0"/>
        <v>20</v>
      </c>
      <c r="B21" s="47">
        <v>40130</v>
      </c>
      <c r="C21" s="51" t="s">
        <v>66</v>
      </c>
      <c r="D21" s="51" t="s">
        <v>422</v>
      </c>
      <c r="E21" s="51" t="s">
        <v>396</v>
      </c>
      <c r="F21" s="51" t="s">
        <v>619</v>
      </c>
      <c r="G21" s="51" t="s">
        <v>196</v>
      </c>
      <c r="H21" s="49">
        <v>1148585</v>
      </c>
    </row>
    <row r="22" spans="1:8" x14ac:dyDescent="0.2">
      <c r="A22" s="8">
        <f t="shared" si="0"/>
        <v>21</v>
      </c>
      <c r="B22" s="12">
        <v>40137</v>
      </c>
      <c r="C22" s="13" t="s">
        <v>66</v>
      </c>
      <c r="D22" s="13" t="s">
        <v>422</v>
      </c>
      <c r="E22" s="13" t="s">
        <v>396</v>
      </c>
      <c r="F22" s="13" t="s">
        <v>197</v>
      </c>
      <c r="G22" s="13" t="s">
        <v>198</v>
      </c>
      <c r="H22" s="11">
        <v>200000</v>
      </c>
    </row>
    <row r="23" spans="1:8" x14ac:dyDescent="0.2">
      <c r="A23" s="8">
        <f t="shared" si="0"/>
        <v>22</v>
      </c>
      <c r="B23" s="9">
        <v>40140</v>
      </c>
      <c r="C23" s="4" t="s">
        <v>66</v>
      </c>
      <c r="D23" s="4" t="s">
        <v>422</v>
      </c>
      <c r="E23" s="4" t="s">
        <v>701</v>
      </c>
      <c r="F23" s="4" t="s">
        <v>199</v>
      </c>
      <c r="G23" s="4" t="s">
        <v>200</v>
      </c>
      <c r="H23" s="16">
        <v>71293.100000000006</v>
      </c>
    </row>
    <row r="24" spans="1:8" x14ac:dyDescent="0.2">
      <c r="A24" s="14">
        <f t="shared" si="0"/>
        <v>23</v>
      </c>
      <c r="B24" s="12">
        <v>40140</v>
      </c>
      <c r="C24" s="13" t="s">
        <v>66</v>
      </c>
      <c r="D24" s="13" t="s">
        <v>422</v>
      </c>
      <c r="E24" s="13" t="s">
        <v>701</v>
      </c>
      <c r="F24" s="13" t="s">
        <v>201</v>
      </c>
      <c r="G24" s="13" t="s">
        <v>409</v>
      </c>
      <c r="H24" s="15">
        <v>86034.48</v>
      </c>
    </row>
    <row r="25" spans="1:8" x14ac:dyDescent="0.2">
      <c r="A25" s="8">
        <f t="shared" si="0"/>
        <v>24</v>
      </c>
      <c r="B25" s="9">
        <v>40141</v>
      </c>
      <c r="C25" s="4" t="s">
        <v>66</v>
      </c>
      <c r="D25" s="4" t="s">
        <v>392</v>
      </c>
      <c r="E25" s="4" t="s">
        <v>396</v>
      </c>
      <c r="F25" s="4" t="s">
        <v>410</v>
      </c>
      <c r="G25" s="4" t="s">
        <v>50</v>
      </c>
      <c r="H25" s="16">
        <v>90000</v>
      </c>
    </row>
    <row r="26" spans="1:8" x14ac:dyDescent="0.2">
      <c r="A26" s="8">
        <f t="shared" si="0"/>
        <v>25</v>
      </c>
      <c r="B26" s="9">
        <v>40141</v>
      </c>
      <c r="C26" s="4" t="s">
        <v>66</v>
      </c>
      <c r="D26" s="4" t="s">
        <v>392</v>
      </c>
      <c r="E26" s="4" t="s">
        <v>393</v>
      </c>
      <c r="F26" s="4" t="s">
        <v>51</v>
      </c>
      <c r="G26" s="4" t="s">
        <v>52</v>
      </c>
      <c r="H26" s="6">
        <v>115000</v>
      </c>
    </row>
    <row r="27" spans="1:8" x14ac:dyDescent="0.2">
      <c r="A27" s="8">
        <f t="shared" si="0"/>
        <v>26</v>
      </c>
      <c r="B27" s="12">
        <v>40141</v>
      </c>
      <c r="C27" s="13" t="s">
        <v>66</v>
      </c>
      <c r="D27" s="13" t="s">
        <v>392</v>
      </c>
      <c r="E27" s="13" t="s">
        <v>393</v>
      </c>
      <c r="F27" s="13" t="s">
        <v>53</v>
      </c>
      <c r="G27" s="13" t="s">
        <v>54</v>
      </c>
      <c r="H27" s="17">
        <v>205722.22</v>
      </c>
    </row>
    <row r="28" spans="1:8" x14ac:dyDescent="0.2">
      <c r="A28" s="8">
        <f t="shared" si="0"/>
        <v>27</v>
      </c>
      <c r="B28" s="9">
        <v>40142</v>
      </c>
      <c r="C28" s="4" t="s">
        <v>66</v>
      </c>
      <c r="D28" s="4" t="s">
        <v>422</v>
      </c>
      <c r="E28" s="4" t="s">
        <v>701</v>
      </c>
      <c r="F28" s="4" t="s">
        <v>55</v>
      </c>
      <c r="G28" s="4" t="s">
        <v>33</v>
      </c>
      <c r="H28" s="16">
        <v>25862.07</v>
      </c>
    </row>
    <row r="29" spans="1:8" x14ac:dyDescent="0.2">
      <c r="A29" s="8">
        <f t="shared" si="0"/>
        <v>28</v>
      </c>
      <c r="B29" s="9">
        <v>40142</v>
      </c>
      <c r="C29" s="4" t="s">
        <v>66</v>
      </c>
      <c r="D29" s="4" t="s">
        <v>422</v>
      </c>
      <c r="E29" s="4" t="s">
        <v>701</v>
      </c>
      <c r="F29" s="4" t="s">
        <v>812</v>
      </c>
      <c r="G29" s="4" t="s">
        <v>148</v>
      </c>
      <c r="H29" s="6">
        <v>25862.07</v>
      </c>
    </row>
    <row r="30" spans="1:8" x14ac:dyDescent="0.2">
      <c r="A30" s="8">
        <f t="shared" si="0"/>
        <v>29</v>
      </c>
      <c r="B30" s="9">
        <v>40142</v>
      </c>
      <c r="C30" s="4" t="s">
        <v>66</v>
      </c>
      <c r="D30" s="4" t="s">
        <v>422</v>
      </c>
      <c r="E30" s="4" t="s">
        <v>701</v>
      </c>
      <c r="F30" s="4" t="s">
        <v>149</v>
      </c>
      <c r="G30" s="4" t="s">
        <v>815</v>
      </c>
      <c r="H30" s="6">
        <v>55258.62</v>
      </c>
    </row>
    <row r="31" spans="1:8" x14ac:dyDescent="0.2">
      <c r="A31" s="8">
        <f t="shared" si="0"/>
        <v>30</v>
      </c>
      <c r="B31" s="9">
        <v>40142</v>
      </c>
      <c r="C31" s="4" t="s">
        <v>66</v>
      </c>
      <c r="D31" s="4" t="s">
        <v>392</v>
      </c>
      <c r="E31" s="4" t="s">
        <v>393</v>
      </c>
      <c r="F31" s="4" t="s">
        <v>816</v>
      </c>
      <c r="G31" s="4" t="s">
        <v>369</v>
      </c>
      <c r="H31" s="6">
        <v>46125</v>
      </c>
    </row>
    <row r="32" spans="1:8" x14ac:dyDescent="0.2">
      <c r="A32" s="8">
        <f t="shared" si="0"/>
        <v>31</v>
      </c>
      <c r="B32" s="9">
        <v>40142</v>
      </c>
      <c r="C32" s="4" t="s">
        <v>66</v>
      </c>
      <c r="D32" s="4" t="s">
        <v>392</v>
      </c>
      <c r="E32" s="4" t="s">
        <v>71</v>
      </c>
      <c r="F32" s="4" t="s">
        <v>370</v>
      </c>
      <c r="G32" s="4" t="s">
        <v>373</v>
      </c>
      <c r="H32" s="6">
        <v>73752.03</v>
      </c>
    </row>
    <row r="33" spans="1:8" x14ac:dyDescent="0.2">
      <c r="A33" s="8">
        <f t="shared" si="0"/>
        <v>32</v>
      </c>
      <c r="B33" s="9">
        <v>40142</v>
      </c>
      <c r="C33" s="4" t="s">
        <v>66</v>
      </c>
      <c r="D33" s="4" t="s">
        <v>392</v>
      </c>
      <c r="E33" s="4" t="s">
        <v>71</v>
      </c>
      <c r="F33" s="4" t="s">
        <v>769</v>
      </c>
      <c r="G33" s="4" t="s">
        <v>770</v>
      </c>
      <c r="H33" s="6">
        <v>197228.6</v>
      </c>
    </row>
    <row r="34" spans="1:8" x14ac:dyDescent="0.2">
      <c r="A34" s="8">
        <f t="shared" si="0"/>
        <v>33</v>
      </c>
      <c r="B34" s="9">
        <v>40142</v>
      </c>
      <c r="C34" s="4" t="s">
        <v>66</v>
      </c>
      <c r="D34" s="4" t="s">
        <v>392</v>
      </c>
      <c r="E34" s="4" t="s">
        <v>71</v>
      </c>
      <c r="F34" s="4" t="s">
        <v>771</v>
      </c>
      <c r="G34" s="4" t="s">
        <v>487</v>
      </c>
      <c r="H34" s="17">
        <v>151430.39000000001</v>
      </c>
    </row>
    <row r="35" spans="1:8" ht="13.5" thickBot="1" x14ac:dyDescent="0.25">
      <c r="A35" s="8">
        <f t="shared" si="0"/>
        <v>34</v>
      </c>
      <c r="B35" s="9">
        <v>40144</v>
      </c>
      <c r="C35" s="4" t="s">
        <v>66</v>
      </c>
      <c r="D35" s="4" t="s">
        <v>422</v>
      </c>
      <c r="E35" s="4" t="s">
        <v>701</v>
      </c>
      <c r="F35" s="4" t="s">
        <v>488</v>
      </c>
      <c r="G35" s="4" t="s">
        <v>7</v>
      </c>
      <c r="H35" s="18">
        <v>256188.79</v>
      </c>
    </row>
    <row r="36" spans="1:8" ht="13.5" thickBot="1" x14ac:dyDescent="0.25">
      <c r="B36" s="10"/>
      <c r="C36" s="5"/>
      <c r="D36" s="5"/>
      <c r="E36" s="5"/>
      <c r="F36" s="5"/>
      <c r="G36" s="5"/>
      <c r="H36" s="33">
        <f>SUM(H2:H35)</f>
        <v>5349718.4899999993</v>
      </c>
    </row>
    <row r="37" spans="1:8" x14ac:dyDescent="0.2">
      <c r="B37" s="10"/>
      <c r="C37" s="5"/>
      <c r="D37" s="5"/>
      <c r="E37" s="5"/>
      <c r="F37" s="5"/>
      <c r="G37" s="5"/>
      <c r="H37" s="7"/>
    </row>
    <row r="38" spans="1:8" x14ac:dyDescent="0.2">
      <c r="B38" s="10"/>
      <c r="C38" s="5"/>
      <c r="D38" s="5"/>
      <c r="E38" s="5"/>
      <c r="F38" s="5"/>
      <c r="G38" s="5"/>
      <c r="H38" s="7"/>
    </row>
    <row r="39" spans="1:8" x14ac:dyDescent="0.2">
      <c r="B39" s="10"/>
      <c r="C39" s="5"/>
      <c r="D39" s="5"/>
      <c r="E39" s="5"/>
      <c r="F39" s="5"/>
      <c r="G39" s="5"/>
      <c r="H39" s="7"/>
    </row>
    <row r="40" spans="1:8" x14ac:dyDescent="0.2">
      <c r="B40" s="10"/>
      <c r="C40" s="5"/>
      <c r="D40" s="5"/>
      <c r="E40" s="5"/>
      <c r="F40" s="5"/>
      <c r="G40" s="5"/>
      <c r="H40" s="7"/>
    </row>
    <row r="41" spans="1:8" x14ac:dyDescent="0.2">
      <c r="B41" s="10"/>
      <c r="C41" s="5"/>
      <c r="D41" s="5"/>
      <c r="E41" s="5"/>
      <c r="F41" s="5"/>
      <c r="G41" s="5"/>
      <c r="H41" s="7"/>
    </row>
    <row r="42" spans="1:8" x14ac:dyDescent="0.2">
      <c r="B42" s="10"/>
      <c r="C42" s="5"/>
      <c r="D42" s="5"/>
      <c r="E42" s="5"/>
      <c r="F42" s="5"/>
      <c r="G42" s="5"/>
      <c r="H42" s="7"/>
    </row>
    <row r="43" spans="1:8" x14ac:dyDescent="0.2">
      <c r="B43" s="10"/>
      <c r="C43" s="5"/>
      <c r="D43" s="5"/>
      <c r="E43" s="5"/>
      <c r="F43" s="5"/>
      <c r="G43" s="5"/>
      <c r="H43" s="7"/>
    </row>
    <row r="44" spans="1:8" x14ac:dyDescent="0.2">
      <c r="B44" s="10"/>
      <c r="C44" s="5"/>
      <c r="D44" s="5"/>
      <c r="E44" s="5"/>
      <c r="F44" s="5"/>
      <c r="G44" s="5"/>
      <c r="H44" s="7"/>
    </row>
    <row r="45" spans="1:8" x14ac:dyDescent="0.2">
      <c r="B45" s="10"/>
      <c r="C45" s="5"/>
      <c r="D45" s="5"/>
      <c r="E45" s="5"/>
      <c r="F45" s="5"/>
      <c r="G45" s="5"/>
      <c r="H45" s="7"/>
    </row>
    <row r="46" spans="1:8" x14ac:dyDescent="0.2">
      <c r="B46" s="10"/>
      <c r="C46" s="5"/>
      <c r="D46" s="5"/>
      <c r="E46" s="5"/>
      <c r="F46" s="5"/>
      <c r="G46" s="5"/>
      <c r="H46" s="7"/>
    </row>
    <row r="47" spans="1:8" x14ac:dyDescent="0.2">
      <c r="B47" s="10"/>
      <c r="C47" s="5"/>
      <c r="D47" s="5"/>
      <c r="E47" s="5"/>
      <c r="F47" s="5"/>
      <c r="G47" s="5"/>
      <c r="H47" s="7"/>
    </row>
    <row r="48" spans="1:8" x14ac:dyDescent="0.2">
      <c r="B48" s="10"/>
      <c r="C48" s="5"/>
      <c r="D48" s="5"/>
      <c r="E48" s="5"/>
      <c r="F48" s="5"/>
      <c r="G48" s="5"/>
      <c r="H48" s="7"/>
    </row>
    <row r="49" spans="2:8" x14ac:dyDescent="0.2">
      <c r="B49" s="10"/>
      <c r="C49" s="5"/>
      <c r="D49" s="5"/>
      <c r="E49" s="5"/>
      <c r="F49" s="5"/>
      <c r="G49" s="5"/>
      <c r="H49" s="7"/>
    </row>
    <row r="50" spans="2:8" x14ac:dyDescent="0.2">
      <c r="B50" s="10"/>
      <c r="C50" s="5"/>
      <c r="D50" s="5"/>
      <c r="E50" s="5"/>
      <c r="F50" s="5"/>
      <c r="G50" s="5"/>
      <c r="H50" s="7"/>
    </row>
    <row r="51" spans="2:8" x14ac:dyDescent="0.2">
      <c r="B51" s="10"/>
      <c r="C51" s="5"/>
      <c r="D51" s="5"/>
      <c r="E51" s="5"/>
      <c r="F51" s="5"/>
      <c r="G51" s="5"/>
      <c r="H51" s="7"/>
    </row>
    <row r="52" spans="2:8" x14ac:dyDescent="0.2">
      <c r="B52" s="10"/>
      <c r="C52" s="5"/>
      <c r="D52" s="5"/>
      <c r="E52" s="5"/>
      <c r="F52" s="5"/>
      <c r="G52" s="5"/>
      <c r="H52" s="7"/>
    </row>
    <row r="53" spans="2:8" x14ac:dyDescent="0.2">
      <c r="B53" s="10"/>
      <c r="C53" s="5"/>
      <c r="D53" s="5"/>
      <c r="E53" s="5"/>
      <c r="F53" s="5"/>
      <c r="G53" s="5"/>
      <c r="H53" s="7"/>
    </row>
    <row r="54" spans="2:8" x14ac:dyDescent="0.2">
      <c r="B54" s="10"/>
      <c r="C54" s="5"/>
      <c r="D54" s="5"/>
      <c r="E54" s="5"/>
      <c r="F54" s="5"/>
      <c r="G54" s="5"/>
      <c r="H54" s="7"/>
    </row>
    <row r="55" spans="2:8" x14ac:dyDescent="0.2">
      <c r="B55" s="10"/>
      <c r="C55" s="5"/>
      <c r="D55" s="5"/>
      <c r="E55" s="5"/>
      <c r="F55" s="5"/>
      <c r="G55" s="5"/>
      <c r="H55" s="7"/>
    </row>
    <row r="56" spans="2:8" x14ac:dyDescent="0.2">
      <c r="B56" s="10"/>
      <c r="C56" s="5"/>
      <c r="D56" s="5"/>
      <c r="E56" s="5"/>
      <c r="F56" s="5"/>
      <c r="G56" s="5"/>
      <c r="H56" s="7"/>
    </row>
    <row r="57" spans="2:8" x14ac:dyDescent="0.2">
      <c r="B57" s="10"/>
      <c r="C57" s="5"/>
      <c r="D57" s="5"/>
      <c r="E57" s="5"/>
      <c r="F57" s="5"/>
      <c r="G57" s="5"/>
      <c r="H57" s="7"/>
    </row>
    <row r="58" spans="2:8" x14ac:dyDescent="0.2">
      <c r="B58" s="10"/>
      <c r="C58" s="5"/>
      <c r="D58" s="5"/>
      <c r="E58" s="5"/>
      <c r="F58" s="5"/>
      <c r="G58" s="5"/>
      <c r="H58" s="7"/>
    </row>
    <row r="59" spans="2:8" x14ac:dyDescent="0.2">
      <c r="B59" s="10"/>
      <c r="C59" s="5"/>
      <c r="D59" s="5"/>
      <c r="E59" s="5"/>
      <c r="F59" s="5"/>
      <c r="G59" s="5"/>
      <c r="H59" s="7"/>
    </row>
    <row r="60" spans="2:8" x14ac:dyDescent="0.2">
      <c r="B60" s="10"/>
      <c r="C60" s="5"/>
      <c r="D60" s="5"/>
      <c r="E60" s="5"/>
      <c r="F60" s="5"/>
      <c r="G60" s="5"/>
      <c r="H60" s="7"/>
    </row>
    <row r="61" spans="2:8" x14ac:dyDescent="0.2">
      <c r="B61" s="10"/>
      <c r="C61" s="5"/>
      <c r="D61" s="5"/>
      <c r="E61" s="5"/>
      <c r="F61" s="5"/>
      <c r="G61" s="5"/>
      <c r="H61" s="7"/>
    </row>
    <row r="62" spans="2:8" x14ac:dyDescent="0.2">
      <c r="B62" s="10"/>
      <c r="C62" s="5"/>
      <c r="D62" s="5"/>
      <c r="E62" s="5"/>
      <c r="F62" s="5"/>
      <c r="G62" s="5"/>
      <c r="H62" s="7"/>
    </row>
    <row r="63" spans="2:8" x14ac:dyDescent="0.2">
      <c r="B63" s="10"/>
      <c r="C63" s="5"/>
      <c r="D63" s="5"/>
      <c r="E63" s="5"/>
      <c r="F63" s="5"/>
      <c r="G63" s="5"/>
      <c r="H63" s="7"/>
    </row>
    <row r="64" spans="2:8" x14ac:dyDescent="0.2">
      <c r="B64" s="10"/>
      <c r="C64" s="5"/>
      <c r="D64" s="5"/>
      <c r="E64" s="5"/>
      <c r="F64" s="5"/>
      <c r="G64" s="5"/>
      <c r="H64" s="7"/>
    </row>
    <row r="65" spans="2:8" x14ac:dyDescent="0.2">
      <c r="B65" s="10"/>
      <c r="C65" s="5"/>
      <c r="D65" s="5"/>
      <c r="E65" s="5"/>
      <c r="F65" s="5"/>
      <c r="G65" s="5"/>
      <c r="H65" s="7"/>
    </row>
    <row r="66" spans="2:8" x14ac:dyDescent="0.2">
      <c r="B66" s="10"/>
      <c r="C66" s="5"/>
      <c r="D66" s="5"/>
      <c r="E66" s="5"/>
      <c r="F66" s="5"/>
      <c r="G66" s="5"/>
      <c r="H66" s="7"/>
    </row>
    <row r="67" spans="2:8" x14ac:dyDescent="0.2">
      <c r="B67" s="10"/>
      <c r="C67" s="5"/>
      <c r="D67" s="5"/>
      <c r="E67" s="5"/>
      <c r="F67" s="5"/>
      <c r="G67" s="5"/>
      <c r="H67" s="7"/>
    </row>
    <row r="68" spans="2:8" x14ac:dyDescent="0.2">
      <c r="B68" s="10"/>
      <c r="C68" s="5"/>
      <c r="D68" s="5"/>
      <c r="E68" s="5"/>
      <c r="F68" s="5"/>
      <c r="G68" s="5"/>
      <c r="H68" s="7"/>
    </row>
    <row r="69" spans="2:8" x14ac:dyDescent="0.2">
      <c r="B69" s="10"/>
      <c r="C69" s="5"/>
      <c r="D69" s="5"/>
      <c r="E69" s="5"/>
      <c r="F69" s="5"/>
      <c r="G69" s="5"/>
      <c r="H69" s="7"/>
    </row>
    <row r="70" spans="2:8" x14ac:dyDescent="0.2">
      <c r="B70" s="10"/>
      <c r="C70" s="5"/>
      <c r="D70" s="5"/>
      <c r="E70" s="5"/>
      <c r="F70" s="5"/>
      <c r="G70" s="5"/>
      <c r="H70" s="7"/>
    </row>
    <row r="71" spans="2:8" x14ac:dyDescent="0.2">
      <c r="B71" s="10"/>
      <c r="C71" s="5"/>
      <c r="D71" s="5"/>
      <c r="E71" s="5"/>
      <c r="F71" s="5"/>
      <c r="G71" s="5"/>
      <c r="H71" s="7"/>
    </row>
    <row r="72" spans="2:8" x14ac:dyDescent="0.2">
      <c r="B72" s="10"/>
      <c r="C72" s="5"/>
      <c r="D72" s="5"/>
      <c r="E72" s="5"/>
      <c r="F72" s="5"/>
      <c r="G72" s="5"/>
      <c r="H72" s="7"/>
    </row>
    <row r="73" spans="2:8" x14ac:dyDescent="0.2">
      <c r="B73" s="5"/>
      <c r="C73" s="5"/>
      <c r="D73" s="5"/>
      <c r="E73" s="5"/>
      <c r="F73" s="5"/>
      <c r="G73" s="5"/>
      <c r="H73" s="7"/>
    </row>
    <row r="74" spans="2:8" x14ac:dyDescent="0.2">
      <c r="B74" s="5"/>
      <c r="C74" s="5"/>
      <c r="D74" s="5"/>
      <c r="E74" s="5"/>
      <c r="F74" s="5"/>
      <c r="G74" s="5"/>
      <c r="H74" s="7"/>
    </row>
    <row r="75" spans="2:8" x14ac:dyDescent="0.2">
      <c r="B75" s="5"/>
      <c r="C75" s="5"/>
      <c r="D75" s="5"/>
      <c r="E75" s="5"/>
      <c r="F75" s="5"/>
      <c r="G75" s="5"/>
      <c r="H75" s="7"/>
    </row>
    <row r="76" spans="2:8" x14ac:dyDescent="0.2">
      <c r="B76" s="5"/>
      <c r="C76" s="5"/>
      <c r="D76" s="5"/>
      <c r="E76" s="5"/>
      <c r="F76" s="5"/>
      <c r="G76" s="5"/>
      <c r="H76" s="7"/>
    </row>
    <row r="77" spans="2:8" x14ac:dyDescent="0.2">
      <c r="B77" s="5"/>
      <c r="C77" s="5"/>
      <c r="D77" s="5"/>
      <c r="E77" s="5"/>
      <c r="F77" s="5"/>
      <c r="G77" s="5"/>
      <c r="H77" s="7"/>
    </row>
    <row r="78" spans="2:8" x14ac:dyDescent="0.2">
      <c r="B78" s="5"/>
      <c r="C78" s="5"/>
      <c r="D78" s="5"/>
      <c r="E78" s="5"/>
      <c r="F78" s="5"/>
      <c r="G78" s="5"/>
      <c r="H78" s="7"/>
    </row>
    <row r="79" spans="2:8" x14ac:dyDescent="0.2">
      <c r="B79" s="5"/>
      <c r="C79" s="5"/>
      <c r="D79" s="5"/>
      <c r="E79" s="5"/>
      <c r="F79" s="5"/>
      <c r="G79" s="5"/>
      <c r="H79" s="7"/>
    </row>
    <row r="80" spans="2:8" x14ac:dyDescent="0.2">
      <c r="B80" s="5"/>
      <c r="C80" s="5"/>
      <c r="D80" s="5"/>
      <c r="E80" s="5"/>
      <c r="F80" s="5"/>
      <c r="G80" s="5"/>
      <c r="H80" s="7"/>
    </row>
    <row r="81" spans="2:8" x14ac:dyDescent="0.2">
      <c r="B81" s="5"/>
      <c r="C81" s="5"/>
      <c r="D81" s="5"/>
      <c r="E81" s="5"/>
      <c r="F81" s="5"/>
      <c r="G81" s="5"/>
      <c r="H81" s="7"/>
    </row>
    <row r="82" spans="2:8" x14ac:dyDescent="0.2">
      <c r="B82" s="5"/>
      <c r="C82" s="5"/>
      <c r="D82" s="5"/>
      <c r="E82" s="5"/>
      <c r="F82" s="5"/>
      <c r="G82" s="5"/>
      <c r="H82" s="7"/>
    </row>
    <row r="83" spans="2:8" x14ac:dyDescent="0.2">
      <c r="B83" s="5"/>
      <c r="C83" s="5"/>
      <c r="D83" s="5"/>
      <c r="E83" s="5"/>
      <c r="F83" s="5"/>
      <c r="G83" s="5"/>
      <c r="H83" s="7"/>
    </row>
    <row r="84" spans="2:8" x14ac:dyDescent="0.2">
      <c r="B84" s="5"/>
      <c r="C84" s="5"/>
      <c r="D84" s="5"/>
      <c r="E84" s="5"/>
      <c r="F84" s="5"/>
      <c r="G84" s="5"/>
      <c r="H84" s="7"/>
    </row>
    <row r="85" spans="2:8" x14ac:dyDescent="0.2">
      <c r="B85" s="5"/>
      <c r="C85" s="5"/>
      <c r="D85" s="5"/>
      <c r="E85" s="5"/>
      <c r="F85" s="5"/>
      <c r="G85" s="5"/>
      <c r="H85" s="7"/>
    </row>
    <row r="86" spans="2:8" x14ac:dyDescent="0.2">
      <c r="B86" s="5"/>
      <c r="C86" s="5"/>
      <c r="D86" s="5"/>
      <c r="E86" s="5"/>
      <c r="F86" s="5"/>
      <c r="G86" s="5"/>
      <c r="H86" s="7"/>
    </row>
    <row r="87" spans="2:8" x14ac:dyDescent="0.2">
      <c r="B87" s="5"/>
      <c r="C87" s="5"/>
      <c r="D87" s="5"/>
      <c r="E87" s="5"/>
      <c r="F87" s="5"/>
      <c r="G87" s="5"/>
      <c r="H87" s="7"/>
    </row>
    <row r="88" spans="2:8" x14ac:dyDescent="0.2">
      <c r="B88" s="5"/>
      <c r="C88" s="5"/>
      <c r="D88" s="5"/>
      <c r="E88" s="5"/>
      <c r="F88" s="5"/>
      <c r="G88" s="5"/>
      <c r="H88" s="7"/>
    </row>
    <row r="89" spans="2:8" x14ac:dyDescent="0.2">
      <c r="B89" s="5"/>
      <c r="C89" s="5"/>
      <c r="D89" s="5"/>
      <c r="E89" s="5"/>
      <c r="F89" s="5"/>
      <c r="G89" s="5"/>
      <c r="H89" s="7"/>
    </row>
    <row r="90" spans="2:8" x14ac:dyDescent="0.2">
      <c r="B90" s="5"/>
      <c r="C90" s="5"/>
      <c r="D90" s="5"/>
      <c r="E90" s="5"/>
      <c r="F90" s="5"/>
      <c r="G90" s="5"/>
      <c r="H90" s="7"/>
    </row>
    <row r="91" spans="2:8" x14ac:dyDescent="0.2">
      <c r="B91" s="5"/>
      <c r="C91" s="5"/>
      <c r="D91" s="5"/>
      <c r="E91" s="5"/>
      <c r="F91" s="5"/>
      <c r="G91" s="5"/>
      <c r="H91" s="7"/>
    </row>
    <row r="92" spans="2:8" x14ac:dyDescent="0.2">
      <c r="B92" s="5"/>
      <c r="C92" s="5"/>
      <c r="D92" s="5"/>
      <c r="E92" s="5"/>
      <c r="F92" s="5"/>
      <c r="G92" s="5"/>
      <c r="H92" s="7"/>
    </row>
    <row r="93" spans="2:8" x14ac:dyDescent="0.2">
      <c r="B93" s="5"/>
      <c r="C93" s="5"/>
      <c r="D93" s="5"/>
      <c r="E93" s="5"/>
      <c r="F93" s="5"/>
      <c r="G93" s="5"/>
      <c r="H93" s="7"/>
    </row>
    <row r="94" spans="2:8" x14ac:dyDescent="0.2">
      <c r="B94" s="5"/>
      <c r="C94" s="5"/>
      <c r="D94" s="5"/>
      <c r="E94" s="5"/>
      <c r="F94" s="5"/>
      <c r="G94" s="5"/>
      <c r="H94" s="7"/>
    </row>
    <row r="95" spans="2:8" x14ac:dyDescent="0.2">
      <c r="B95" s="5"/>
      <c r="C95" s="5"/>
      <c r="D95" s="5"/>
      <c r="E95" s="5"/>
      <c r="F95" s="5"/>
      <c r="G95" s="5"/>
      <c r="H95" s="7"/>
    </row>
    <row r="96" spans="2:8" x14ac:dyDescent="0.2">
      <c r="B96" s="5"/>
      <c r="C96" s="5"/>
      <c r="D96" s="5"/>
      <c r="E96" s="5"/>
      <c r="F96" s="5"/>
      <c r="G96" s="5"/>
      <c r="H96" s="7"/>
    </row>
    <row r="97" spans="2:8" x14ac:dyDescent="0.2">
      <c r="B97" s="5"/>
      <c r="C97" s="5"/>
      <c r="D97" s="5"/>
      <c r="E97" s="5"/>
      <c r="F97" s="5"/>
      <c r="G97" s="5"/>
      <c r="H97" s="7"/>
    </row>
    <row r="98" spans="2:8" x14ac:dyDescent="0.2">
      <c r="B98" s="5"/>
      <c r="C98" s="5"/>
      <c r="D98" s="5"/>
      <c r="E98" s="5"/>
      <c r="F98" s="5"/>
      <c r="G98" s="5"/>
      <c r="H98" s="7"/>
    </row>
    <row r="99" spans="2:8" x14ac:dyDescent="0.2">
      <c r="B99" s="5"/>
      <c r="C99" s="5"/>
      <c r="D99" s="5"/>
      <c r="E99" s="5"/>
      <c r="F99" s="5"/>
      <c r="G99" s="5"/>
      <c r="H99" s="7"/>
    </row>
    <row r="100" spans="2:8" x14ac:dyDescent="0.2">
      <c r="B100" s="5"/>
      <c r="C100" s="5"/>
      <c r="D100" s="5"/>
      <c r="E100" s="5"/>
      <c r="F100" s="5"/>
      <c r="G100" s="5"/>
      <c r="H100" s="7"/>
    </row>
    <row r="101" spans="2:8" x14ac:dyDescent="0.2">
      <c r="B101" s="5"/>
      <c r="C101" s="5"/>
      <c r="D101" s="5"/>
      <c r="E101" s="5"/>
      <c r="F101" s="5"/>
      <c r="G101" s="5"/>
      <c r="H101" s="7"/>
    </row>
    <row r="102" spans="2:8" x14ac:dyDescent="0.2">
      <c r="B102" s="5"/>
      <c r="C102" s="5"/>
      <c r="D102" s="5"/>
      <c r="E102" s="5"/>
      <c r="F102" s="5"/>
      <c r="G102" s="5"/>
      <c r="H102" s="7"/>
    </row>
    <row r="103" spans="2:8" x14ac:dyDescent="0.2">
      <c r="B103" s="5"/>
      <c r="C103" s="5"/>
      <c r="D103" s="5"/>
      <c r="E103" s="5"/>
      <c r="F103" s="5"/>
      <c r="G103" s="5"/>
      <c r="H103" s="7"/>
    </row>
    <row r="104" spans="2:8" x14ac:dyDescent="0.2">
      <c r="B104" s="5"/>
      <c r="C104" s="5"/>
      <c r="D104" s="5"/>
      <c r="E104" s="5"/>
      <c r="F104" s="5"/>
      <c r="G104" s="5"/>
      <c r="H104" s="7"/>
    </row>
    <row r="105" spans="2:8" x14ac:dyDescent="0.2">
      <c r="B105" s="5"/>
      <c r="C105" s="5"/>
      <c r="D105" s="5"/>
      <c r="E105" s="5"/>
      <c r="F105" s="5"/>
      <c r="G105" s="5"/>
      <c r="H105" s="7"/>
    </row>
    <row r="106" spans="2:8" x14ac:dyDescent="0.2">
      <c r="B106" s="5"/>
      <c r="C106" s="5"/>
      <c r="D106" s="5"/>
      <c r="E106" s="5"/>
      <c r="F106" s="5"/>
      <c r="G106" s="5"/>
      <c r="H106" s="7"/>
    </row>
    <row r="107" spans="2:8" x14ac:dyDescent="0.2">
      <c r="B107" s="5"/>
      <c r="C107" s="5"/>
      <c r="D107" s="5"/>
      <c r="E107" s="5"/>
      <c r="F107" s="5"/>
      <c r="G107" s="5"/>
      <c r="H107" s="7"/>
    </row>
    <row r="108" spans="2:8" x14ac:dyDescent="0.2">
      <c r="B108" s="5"/>
      <c r="C108" s="5"/>
      <c r="D108" s="5"/>
      <c r="E108" s="5"/>
      <c r="F108" s="5"/>
      <c r="G108" s="5"/>
      <c r="H108" s="7"/>
    </row>
    <row r="109" spans="2:8" x14ac:dyDescent="0.2">
      <c r="B109" s="5"/>
      <c r="C109" s="5"/>
      <c r="D109" s="5"/>
      <c r="E109" s="5"/>
      <c r="F109" s="5"/>
      <c r="G109" s="5"/>
      <c r="H109" s="7"/>
    </row>
    <row r="110" spans="2:8" x14ac:dyDescent="0.2">
      <c r="B110" s="5"/>
      <c r="C110" s="5"/>
      <c r="D110" s="5"/>
      <c r="E110" s="5"/>
      <c r="F110" s="5"/>
      <c r="G110" s="5"/>
      <c r="H110" s="7"/>
    </row>
    <row r="111" spans="2:8" x14ac:dyDescent="0.2">
      <c r="B111" s="5"/>
      <c r="C111" s="5"/>
      <c r="D111" s="5"/>
      <c r="E111" s="5"/>
      <c r="F111" s="5"/>
      <c r="G111" s="5"/>
      <c r="H111" s="7"/>
    </row>
    <row r="112" spans="2:8" x14ac:dyDescent="0.2">
      <c r="B112" s="5"/>
      <c r="C112" s="5"/>
      <c r="D112" s="5"/>
      <c r="E112" s="5"/>
      <c r="F112" s="5"/>
      <c r="G112" s="5"/>
      <c r="H112" s="7"/>
    </row>
    <row r="113" spans="2:8" x14ac:dyDescent="0.2">
      <c r="B113" s="5"/>
      <c r="C113" s="5"/>
      <c r="D113" s="5"/>
      <c r="E113" s="5"/>
      <c r="F113" s="5"/>
      <c r="G113" s="5"/>
      <c r="H113" s="7"/>
    </row>
    <row r="114" spans="2:8" x14ac:dyDescent="0.2">
      <c r="B114" s="5"/>
      <c r="C114" s="5"/>
      <c r="D114" s="5"/>
      <c r="E114" s="5"/>
      <c r="F114" s="5"/>
      <c r="G114" s="5"/>
      <c r="H114" s="7"/>
    </row>
    <row r="115" spans="2:8" x14ac:dyDescent="0.2">
      <c r="B115" s="5"/>
      <c r="C115" s="5"/>
      <c r="D115" s="5"/>
      <c r="E115" s="5"/>
      <c r="F115" s="5"/>
      <c r="G115" s="5"/>
      <c r="H115" s="7"/>
    </row>
    <row r="116" spans="2:8" x14ac:dyDescent="0.2">
      <c r="B116" s="5"/>
      <c r="C116" s="5"/>
      <c r="D116" s="5"/>
      <c r="E116" s="5"/>
      <c r="F116" s="5"/>
      <c r="G116" s="5"/>
      <c r="H116" s="7"/>
    </row>
    <row r="117" spans="2:8" x14ac:dyDescent="0.2">
      <c r="B117" s="5"/>
      <c r="C117" s="5"/>
      <c r="D117" s="5"/>
      <c r="E117" s="5"/>
      <c r="F117" s="5"/>
      <c r="G117" s="5"/>
      <c r="H117" s="7"/>
    </row>
    <row r="118" spans="2:8" x14ac:dyDescent="0.2">
      <c r="B118" s="5"/>
      <c r="C118" s="5"/>
      <c r="D118" s="5"/>
      <c r="E118" s="5"/>
      <c r="F118" s="5"/>
      <c r="G118" s="5"/>
      <c r="H118" s="7"/>
    </row>
    <row r="119" spans="2:8" x14ac:dyDescent="0.2">
      <c r="B119" s="5"/>
      <c r="C119" s="5"/>
      <c r="D119" s="5"/>
      <c r="E119" s="5"/>
      <c r="F119" s="5"/>
      <c r="G119" s="5"/>
      <c r="H119" s="7"/>
    </row>
    <row r="120" spans="2:8" x14ac:dyDescent="0.2">
      <c r="B120" s="5"/>
      <c r="C120" s="5"/>
      <c r="D120" s="5"/>
      <c r="E120" s="5"/>
      <c r="F120" s="5"/>
      <c r="G120" s="5"/>
      <c r="H120" s="7"/>
    </row>
    <row r="121" spans="2:8" x14ac:dyDescent="0.2">
      <c r="B121" s="5"/>
      <c r="C121" s="5"/>
      <c r="D121" s="5"/>
      <c r="E121" s="5"/>
      <c r="F121" s="5"/>
      <c r="G121" s="5"/>
      <c r="H121" s="7"/>
    </row>
    <row r="122" spans="2:8" x14ac:dyDescent="0.2">
      <c r="B122" s="5"/>
      <c r="C122" s="5"/>
      <c r="D122" s="5"/>
      <c r="E122" s="5"/>
      <c r="F122" s="5"/>
      <c r="G122" s="5"/>
      <c r="H122" s="7"/>
    </row>
    <row r="123" spans="2:8" x14ac:dyDescent="0.2">
      <c r="B123" s="5"/>
      <c r="C123" s="5"/>
      <c r="D123" s="5"/>
      <c r="E123" s="5"/>
      <c r="F123" s="5"/>
      <c r="G123" s="5"/>
      <c r="H123" s="7"/>
    </row>
    <row r="124" spans="2:8" x14ac:dyDescent="0.2">
      <c r="B124" s="5"/>
      <c r="C124" s="5"/>
      <c r="D124" s="5"/>
      <c r="E124" s="5"/>
      <c r="F124" s="5"/>
      <c r="G124" s="5"/>
      <c r="H124" s="7"/>
    </row>
    <row r="125" spans="2:8" x14ac:dyDescent="0.2">
      <c r="B125" s="5"/>
      <c r="C125" s="5"/>
      <c r="D125" s="5"/>
      <c r="E125" s="5"/>
      <c r="F125" s="5"/>
      <c r="G125" s="5"/>
      <c r="H125" s="7"/>
    </row>
    <row r="126" spans="2:8" x14ac:dyDescent="0.2">
      <c r="B126" s="5"/>
      <c r="C126" s="5"/>
      <c r="D126" s="5"/>
      <c r="E126" s="5"/>
      <c r="F126" s="5"/>
      <c r="G126" s="5"/>
      <c r="H126" s="7"/>
    </row>
    <row r="127" spans="2:8" x14ac:dyDescent="0.2">
      <c r="B127" s="5"/>
      <c r="C127" s="5"/>
      <c r="D127" s="5"/>
      <c r="E127" s="5"/>
      <c r="F127" s="5"/>
      <c r="G127" s="5"/>
      <c r="H127" s="7"/>
    </row>
    <row r="128" spans="2:8" x14ac:dyDescent="0.2">
      <c r="B128" s="5"/>
      <c r="C128" s="5"/>
      <c r="D128" s="5"/>
      <c r="E128" s="5"/>
      <c r="F128" s="5"/>
      <c r="G128" s="5"/>
      <c r="H128" s="7"/>
    </row>
    <row r="129" spans="2:8" x14ac:dyDescent="0.2">
      <c r="B129" s="5"/>
      <c r="C129" s="5"/>
      <c r="D129" s="5"/>
      <c r="E129" s="5"/>
      <c r="F129" s="5"/>
      <c r="G129" s="5"/>
      <c r="H129" s="7"/>
    </row>
    <row r="130" spans="2:8" x14ac:dyDescent="0.2">
      <c r="B130" s="5"/>
      <c r="C130" s="5"/>
      <c r="D130" s="5"/>
      <c r="E130" s="5"/>
      <c r="F130" s="5"/>
      <c r="G130" s="5"/>
      <c r="H130" s="7"/>
    </row>
    <row r="131" spans="2:8" x14ac:dyDescent="0.2">
      <c r="B131" s="5"/>
      <c r="C131" s="5"/>
      <c r="D131" s="5"/>
      <c r="E131" s="5"/>
      <c r="F131" s="5"/>
      <c r="G131" s="5"/>
      <c r="H131" s="7"/>
    </row>
    <row r="132" spans="2:8" x14ac:dyDescent="0.2">
      <c r="B132" s="5"/>
      <c r="C132" s="5"/>
      <c r="D132" s="5"/>
      <c r="E132" s="5"/>
      <c r="F132" s="5"/>
      <c r="G132" s="5"/>
      <c r="H132" s="7"/>
    </row>
    <row r="133" spans="2:8" x14ac:dyDescent="0.2">
      <c r="B133" s="5"/>
      <c r="C133" s="5"/>
      <c r="D133" s="5"/>
      <c r="E133" s="5"/>
      <c r="F133" s="5"/>
      <c r="G133" s="5"/>
      <c r="H133" s="7"/>
    </row>
    <row r="134" spans="2:8" x14ac:dyDescent="0.2">
      <c r="B134" s="5"/>
      <c r="C134" s="5"/>
      <c r="D134" s="5"/>
      <c r="E134" s="5"/>
      <c r="F134" s="5"/>
      <c r="G134" s="5"/>
      <c r="H134" s="7"/>
    </row>
    <row r="135" spans="2:8" x14ac:dyDescent="0.2">
      <c r="B135" s="5"/>
      <c r="C135" s="5"/>
      <c r="D135" s="5"/>
      <c r="E135" s="5"/>
      <c r="F135" s="5"/>
      <c r="G135" s="5"/>
      <c r="H135" s="7"/>
    </row>
    <row r="136" spans="2:8" x14ac:dyDescent="0.2">
      <c r="B136" s="5"/>
      <c r="C136" s="5"/>
      <c r="D136" s="5"/>
      <c r="E136" s="5"/>
      <c r="F136" s="5"/>
      <c r="G136" s="5"/>
      <c r="H136" s="7"/>
    </row>
    <row r="137" spans="2:8" x14ac:dyDescent="0.2">
      <c r="B137" s="5"/>
      <c r="C137" s="5"/>
      <c r="D137" s="5"/>
      <c r="E137" s="5"/>
      <c r="F137" s="5"/>
      <c r="G137" s="5"/>
      <c r="H137" s="7"/>
    </row>
    <row r="138" spans="2:8" x14ac:dyDescent="0.2">
      <c r="B138" s="5"/>
      <c r="C138" s="5"/>
      <c r="D138" s="5"/>
      <c r="E138" s="5"/>
      <c r="F138" s="5"/>
      <c r="G138" s="5"/>
      <c r="H138" s="7"/>
    </row>
    <row r="139" spans="2:8" x14ac:dyDescent="0.2">
      <c r="B139" s="5"/>
      <c r="C139" s="5"/>
      <c r="D139" s="5"/>
      <c r="E139" s="5"/>
      <c r="F139" s="5"/>
      <c r="G139" s="5"/>
      <c r="H139" s="7"/>
    </row>
    <row r="140" spans="2:8" x14ac:dyDescent="0.2">
      <c r="B140" s="5"/>
      <c r="C140" s="5"/>
      <c r="D140" s="5"/>
      <c r="E140" s="5"/>
      <c r="F140" s="5"/>
      <c r="G140" s="5"/>
      <c r="H140" s="7"/>
    </row>
    <row r="141" spans="2:8" x14ac:dyDescent="0.2">
      <c r="B141" s="5"/>
      <c r="C141" s="5"/>
      <c r="D141" s="5"/>
      <c r="E141" s="5"/>
      <c r="F141" s="5"/>
      <c r="G141" s="5"/>
      <c r="H141" s="7"/>
    </row>
    <row r="142" spans="2:8" x14ac:dyDescent="0.2">
      <c r="B142" s="5"/>
      <c r="C142" s="5"/>
      <c r="D142" s="5"/>
      <c r="E142" s="5"/>
      <c r="F142" s="5"/>
      <c r="G142" s="5"/>
      <c r="H142" s="7"/>
    </row>
    <row r="143" spans="2:8" x14ac:dyDescent="0.2">
      <c r="B143" s="5"/>
      <c r="C143" s="5"/>
      <c r="D143" s="5"/>
      <c r="E143" s="5"/>
      <c r="F143" s="5"/>
      <c r="G143" s="5"/>
      <c r="H143" s="7"/>
    </row>
    <row r="144" spans="2:8" x14ac:dyDescent="0.2">
      <c r="B144" s="5"/>
      <c r="C144" s="5"/>
      <c r="D144" s="5"/>
      <c r="E144" s="5"/>
      <c r="F144" s="5"/>
      <c r="G144" s="5"/>
      <c r="H144" s="7"/>
    </row>
    <row r="145" spans="2:8" x14ac:dyDescent="0.2">
      <c r="B145" s="5"/>
      <c r="C145" s="5"/>
      <c r="D145" s="5"/>
      <c r="E145" s="5"/>
      <c r="F145" s="5"/>
      <c r="G145" s="5"/>
      <c r="H145" s="7"/>
    </row>
    <row r="146" spans="2:8" x14ac:dyDescent="0.2">
      <c r="B146" s="5"/>
      <c r="C146" s="5"/>
      <c r="D146" s="5"/>
      <c r="E146" s="5"/>
      <c r="F146" s="5"/>
      <c r="G146" s="5"/>
      <c r="H146" s="7"/>
    </row>
    <row r="147" spans="2:8" x14ac:dyDescent="0.2">
      <c r="B147" s="5"/>
      <c r="C147" s="5"/>
      <c r="D147" s="5"/>
      <c r="E147" s="5"/>
      <c r="F147" s="5"/>
      <c r="G147" s="5"/>
      <c r="H147" s="7"/>
    </row>
    <row r="148" spans="2:8" x14ac:dyDescent="0.2">
      <c r="B148" s="5"/>
      <c r="C148" s="5"/>
      <c r="D148" s="5"/>
      <c r="E148" s="5"/>
      <c r="F148" s="5"/>
      <c r="G148" s="5"/>
      <c r="H148" s="7"/>
    </row>
    <row r="149" spans="2:8" x14ac:dyDescent="0.2">
      <c r="B149" s="5"/>
      <c r="C149" s="5"/>
      <c r="D149" s="5"/>
      <c r="E149" s="5"/>
      <c r="F149" s="5"/>
      <c r="G149" s="5"/>
      <c r="H149" s="7"/>
    </row>
    <row r="150" spans="2:8" x14ac:dyDescent="0.2">
      <c r="B150" s="5"/>
      <c r="C150" s="5"/>
      <c r="D150" s="5"/>
      <c r="E150" s="5"/>
      <c r="F150" s="5"/>
      <c r="G150" s="5"/>
      <c r="H150" s="7"/>
    </row>
    <row r="151" spans="2:8" x14ac:dyDescent="0.2">
      <c r="B151" s="5"/>
      <c r="C151" s="5"/>
      <c r="D151" s="5"/>
      <c r="E151" s="5"/>
      <c r="F151" s="5"/>
      <c r="G151" s="5"/>
      <c r="H151" s="7"/>
    </row>
    <row r="152" spans="2:8" x14ac:dyDescent="0.2">
      <c r="B152" s="5"/>
      <c r="C152" s="5"/>
      <c r="D152" s="5"/>
      <c r="E152" s="5"/>
      <c r="F152" s="5"/>
      <c r="G152" s="5"/>
      <c r="H152" s="7"/>
    </row>
    <row r="153" spans="2:8" x14ac:dyDescent="0.2">
      <c r="B153" s="5"/>
      <c r="C153" s="5"/>
      <c r="D153" s="5"/>
      <c r="E153" s="5"/>
      <c r="F153" s="5"/>
      <c r="G153" s="5"/>
      <c r="H153" s="7"/>
    </row>
    <row r="154" spans="2:8" x14ac:dyDescent="0.2">
      <c r="B154" s="5"/>
      <c r="C154" s="5"/>
      <c r="D154" s="5"/>
      <c r="E154" s="5"/>
      <c r="F154" s="5"/>
      <c r="G154" s="5"/>
      <c r="H154" s="7"/>
    </row>
    <row r="155" spans="2:8" x14ac:dyDescent="0.2">
      <c r="B155" s="5"/>
      <c r="C155" s="5"/>
      <c r="D155" s="5"/>
      <c r="E155" s="5"/>
      <c r="F155" s="5"/>
      <c r="G155" s="5"/>
      <c r="H155" s="7"/>
    </row>
    <row r="156" spans="2:8" x14ac:dyDescent="0.2">
      <c r="B156" s="5"/>
      <c r="C156" s="5"/>
      <c r="D156" s="5"/>
      <c r="E156" s="5"/>
      <c r="F156" s="5"/>
      <c r="G156" s="5"/>
      <c r="H156" s="7"/>
    </row>
    <row r="157" spans="2:8" x14ac:dyDescent="0.2">
      <c r="B157" s="5"/>
      <c r="C157" s="5"/>
      <c r="D157" s="5"/>
      <c r="E157" s="5"/>
      <c r="F157" s="5"/>
      <c r="G157" s="5"/>
      <c r="H157" s="7"/>
    </row>
    <row r="158" spans="2:8" x14ac:dyDescent="0.2">
      <c r="B158" s="5"/>
      <c r="C158" s="5"/>
      <c r="D158" s="5"/>
      <c r="E158" s="5"/>
      <c r="F158" s="5"/>
      <c r="G158" s="5"/>
      <c r="H158" s="7"/>
    </row>
    <row r="159" spans="2:8" x14ac:dyDescent="0.2">
      <c r="B159" s="5"/>
      <c r="C159" s="5"/>
      <c r="D159" s="5"/>
      <c r="E159" s="5"/>
      <c r="F159" s="5"/>
      <c r="G159" s="5"/>
      <c r="H159" s="7"/>
    </row>
    <row r="160" spans="2:8" x14ac:dyDescent="0.2">
      <c r="B160" s="5"/>
      <c r="C160" s="5"/>
      <c r="D160" s="5"/>
      <c r="E160" s="5"/>
      <c r="F160" s="5"/>
      <c r="G160" s="5"/>
      <c r="H160" s="7"/>
    </row>
    <row r="161" spans="2:8" x14ac:dyDescent="0.2">
      <c r="B161" s="5"/>
      <c r="C161" s="5"/>
      <c r="D161" s="5"/>
      <c r="E161" s="5"/>
      <c r="F161" s="5"/>
      <c r="G161" s="5"/>
      <c r="H161" s="7"/>
    </row>
    <row r="162" spans="2:8" x14ac:dyDescent="0.2">
      <c r="B162" s="5"/>
      <c r="C162" s="5"/>
      <c r="D162" s="5"/>
      <c r="E162" s="5"/>
      <c r="F162" s="5"/>
      <c r="G162" s="5"/>
      <c r="H162" s="7"/>
    </row>
    <row r="163" spans="2:8" x14ac:dyDescent="0.2">
      <c r="B163" s="5"/>
      <c r="C163" s="5"/>
      <c r="D163" s="5"/>
      <c r="E163" s="5"/>
      <c r="F163" s="5"/>
      <c r="G163" s="5"/>
      <c r="H163" s="7"/>
    </row>
    <row r="164" spans="2:8" x14ac:dyDescent="0.2">
      <c r="B164" s="5"/>
      <c r="C164" s="5"/>
      <c r="D164" s="5"/>
      <c r="E164" s="5"/>
      <c r="F164" s="5"/>
      <c r="G164" s="5"/>
      <c r="H164" s="7"/>
    </row>
    <row r="165" spans="2:8" x14ac:dyDescent="0.2">
      <c r="B165" s="5"/>
      <c r="C165" s="5"/>
      <c r="D165" s="5"/>
      <c r="E165" s="5"/>
      <c r="F165" s="5"/>
      <c r="G165" s="5"/>
      <c r="H165" s="7"/>
    </row>
    <row r="166" spans="2:8" x14ac:dyDescent="0.2">
      <c r="B166" s="5"/>
      <c r="C166" s="5"/>
      <c r="D166" s="5"/>
      <c r="E166" s="5"/>
      <c r="F166" s="5"/>
      <c r="G166" s="5"/>
      <c r="H166" s="7"/>
    </row>
    <row r="167" spans="2:8" x14ac:dyDescent="0.2">
      <c r="B167" s="5"/>
      <c r="C167" s="5"/>
      <c r="D167" s="5"/>
      <c r="E167" s="5"/>
      <c r="F167" s="5"/>
      <c r="G167" s="5"/>
      <c r="H167" s="7"/>
    </row>
    <row r="168" spans="2:8" x14ac:dyDescent="0.2">
      <c r="B168" s="5"/>
      <c r="C168" s="5"/>
      <c r="D168" s="5"/>
      <c r="E168" s="5"/>
      <c r="F168" s="5"/>
      <c r="G168" s="5"/>
      <c r="H168" s="7"/>
    </row>
    <row r="169" spans="2:8" x14ac:dyDescent="0.2">
      <c r="B169" s="5"/>
      <c r="C169" s="5"/>
      <c r="D169" s="5"/>
      <c r="E169" s="5"/>
      <c r="F169" s="5"/>
      <c r="G169" s="5"/>
      <c r="H169" s="7"/>
    </row>
    <row r="170" spans="2:8" x14ac:dyDescent="0.2">
      <c r="B170" s="5"/>
      <c r="C170" s="5"/>
      <c r="D170" s="5"/>
      <c r="E170" s="5"/>
      <c r="F170" s="5"/>
      <c r="G170" s="5"/>
      <c r="H170" s="7"/>
    </row>
    <row r="171" spans="2:8" x14ac:dyDescent="0.2">
      <c r="B171" s="5"/>
      <c r="C171" s="5"/>
      <c r="D171" s="5"/>
      <c r="E171" s="5"/>
      <c r="F171" s="5"/>
      <c r="G171" s="5"/>
      <c r="H171" s="7"/>
    </row>
    <row r="172" spans="2:8" x14ac:dyDescent="0.2">
      <c r="B172" s="5"/>
      <c r="C172" s="5"/>
      <c r="D172" s="5"/>
      <c r="E172" s="5"/>
      <c r="F172" s="5"/>
      <c r="G172" s="5"/>
      <c r="H172" s="7"/>
    </row>
    <row r="173" spans="2:8" x14ac:dyDescent="0.2">
      <c r="B173" s="5"/>
      <c r="C173" s="5"/>
      <c r="D173" s="5"/>
      <c r="E173" s="5"/>
      <c r="F173" s="5"/>
      <c r="G173" s="5"/>
      <c r="H173" s="7"/>
    </row>
    <row r="174" spans="2:8" x14ac:dyDescent="0.2">
      <c r="B174" s="5"/>
      <c r="C174" s="5"/>
      <c r="D174" s="5"/>
      <c r="E174" s="5"/>
      <c r="F174" s="5"/>
      <c r="G174" s="5"/>
      <c r="H174" s="7"/>
    </row>
    <row r="175" spans="2:8" x14ac:dyDescent="0.2">
      <c r="B175" s="5"/>
      <c r="C175" s="5"/>
      <c r="D175" s="5"/>
      <c r="E175" s="5"/>
      <c r="F175" s="5"/>
      <c r="G175" s="5"/>
      <c r="H175" s="7"/>
    </row>
    <row r="176" spans="2:8" x14ac:dyDescent="0.2">
      <c r="B176" s="5"/>
      <c r="C176" s="5"/>
      <c r="D176" s="5"/>
      <c r="E176" s="5"/>
      <c r="F176" s="5"/>
      <c r="G176" s="5"/>
      <c r="H176" s="7"/>
    </row>
    <row r="177" spans="2:8" x14ac:dyDescent="0.2">
      <c r="B177" s="5"/>
      <c r="C177" s="5"/>
      <c r="D177" s="5"/>
      <c r="E177" s="5"/>
      <c r="F177" s="5"/>
      <c r="G177" s="5"/>
      <c r="H177" s="7"/>
    </row>
    <row r="178" spans="2:8" x14ac:dyDescent="0.2">
      <c r="B178" s="5"/>
      <c r="C178" s="5"/>
      <c r="D178" s="5"/>
      <c r="E178" s="5"/>
      <c r="F178" s="5"/>
      <c r="G178" s="5"/>
      <c r="H178" s="7"/>
    </row>
    <row r="179" spans="2:8" x14ac:dyDescent="0.2">
      <c r="B179" s="5"/>
      <c r="C179" s="5"/>
      <c r="D179" s="5"/>
      <c r="E179" s="5"/>
      <c r="F179" s="5"/>
      <c r="G179" s="5"/>
      <c r="H179" s="7"/>
    </row>
    <row r="180" spans="2:8" x14ac:dyDescent="0.2">
      <c r="B180" s="5"/>
      <c r="C180" s="5"/>
      <c r="D180" s="5"/>
      <c r="E180" s="5"/>
      <c r="F180" s="5"/>
      <c r="G180" s="5"/>
      <c r="H180" s="7"/>
    </row>
    <row r="181" spans="2:8" x14ac:dyDescent="0.2">
      <c r="B181" s="5"/>
      <c r="C181" s="5"/>
      <c r="D181" s="5"/>
      <c r="E181" s="5"/>
      <c r="F181" s="5"/>
      <c r="G181" s="5"/>
      <c r="H181" s="7"/>
    </row>
    <row r="182" spans="2:8" x14ac:dyDescent="0.2">
      <c r="B182" s="5"/>
      <c r="C182" s="5"/>
      <c r="D182" s="5"/>
      <c r="E182" s="5"/>
      <c r="F182" s="5"/>
      <c r="G182" s="5"/>
      <c r="H182" s="7"/>
    </row>
    <row r="183" spans="2:8" x14ac:dyDescent="0.2">
      <c r="B183" s="5"/>
      <c r="C183" s="5"/>
      <c r="D183" s="5"/>
      <c r="E183" s="5"/>
      <c r="F183" s="5"/>
      <c r="G183" s="5"/>
      <c r="H183" s="7"/>
    </row>
    <row r="184" spans="2:8" x14ac:dyDescent="0.2">
      <c r="B184" s="5"/>
      <c r="C184" s="5"/>
      <c r="D184" s="5"/>
      <c r="E184" s="5"/>
      <c r="F184" s="5"/>
      <c r="G184" s="5"/>
      <c r="H184" s="7"/>
    </row>
    <row r="185" spans="2:8" x14ac:dyDescent="0.2">
      <c r="B185" s="5"/>
      <c r="C185" s="5"/>
      <c r="D185" s="5"/>
      <c r="E185" s="5"/>
      <c r="F185" s="5"/>
      <c r="G185" s="5"/>
      <c r="H185" s="7"/>
    </row>
    <row r="186" spans="2:8" x14ac:dyDescent="0.2">
      <c r="B186" s="5"/>
      <c r="C186" s="5"/>
      <c r="D186" s="5"/>
      <c r="E186" s="5"/>
      <c r="F186" s="5"/>
      <c r="G186" s="5"/>
      <c r="H186" s="7"/>
    </row>
    <row r="187" spans="2:8" x14ac:dyDescent="0.2">
      <c r="B187" s="5"/>
      <c r="C187" s="5"/>
      <c r="D187" s="5"/>
      <c r="E187" s="5"/>
      <c r="F187" s="5"/>
      <c r="G187" s="5"/>
      <c r="H187" s="7"/>
    </row>
    <row r="188" spans="2:8" x14ac:dyDescent="0.2">
      <c r="B188" s="5"/>
      <c r="C188" s="5"/>
      <c r="D188" s="5"/>
      <c r="E188" s="5"/>
      <c r="F188" s="5"/>
      <c r="G188" s="5"/>
      <c r="H188" s="7"/>
    </row>
    <row r="189" spans="2:8" x14ac:dyDescent="0.2">
      <c r="B189" s="5"/>
      <c r="C189" s="5"/>
      <c r="D189" s="5"/>
      <c r="E189" s="5"/>
      <c r="F189" s="5"/>
      <c r="G189" s="5"/>
      <c r="H189" s="7"/>
    </row>
    <row r="190" spans="2:8" x14ac:dyDescent="0.2">
      <c r="B190" s="5"/>
      <c r="C190" s="5"/>
      <c r="D190" s="5"/>
      <c r="E190" s="5"/>
      <c r="F190" s="5"/>
      <c r="G190" s="5"/>
      <c r="H190" s="7"/>
    </row>
    <row r="191" spans="2:8" x14ac:dyDescent="0.2">
      <c r="B191" s="5"/>
      <c r="C191" s="5"/>
      <c r="D191" s="5"/>
      <c r="E191" s="5"/>
      <c r="F191" s="5"/>
      <c r="G191" s="5"/>
      <c r="H191" s="7"/>
    </row>
    <row r="192" spans="2:8" x14ac:dyDescent="0.2">
      <c r="B192" s="5"/>
      <c r="C192" s="5"/>
      <c r="D192" s="5"/>
      <c r="E192" s="5"/>
      <c r="F192" s="5"/>
      <c r="G192" s="5"/>
      <c r="H192" s="7"/>
    </row>
    <row r="193" spans="2:8" x14ac:dyDescent="0.2">
      <c r="B193" s="5"/>
      <c r="C193" s="5"/>
      <c r="D193" s="5"/>
      <c r="E193" s="5"/>
      <c r="F193" s="5"/>
      <c r="G193" s="5"/>
      <c r="H193" s="7"/>
    </row>
    <row r="194" spans="2:8" x14ac:dyDescent="0.2">
      <c r="B194" s="5"/>
      <c r="C194" s="5"/>
      <c r="D194" s="5"/>
      <c r="E194" s="5"/>
      <c r="F194" s="5"/>
      <c r="G194" s="5"/>
      <c r="H194" s="7"/>
    </row>
    <row r="195" spans="2:8" x14ac:dyDescent="0.2">
      <c r="B195" s="5"/>
      <c r="C195" s="5"/>
      <c r="D195" s="5"/>
      <c r="E195" s="5"/>
      <c r="F195" s="5"/>
      <c r="G195" s="5"/>
      <c r="H195" s="7"/>
    </row>
    <row r="196" spans="2:8" x14ac:dyDescent="0.2">
      <c r="B196" s="5"/>
      <c r="C196" s="5"/>
      <c r="D196" s="5"/>
      <c r="E196" s="5"/>
      <c r="F196" s="5"/>
      <c r="G196" s="5"/>
      <c r="H196" s="7"/>
    </row>
    <row r="197" spans="2:8" x14ac:dyDescent="0.2">
      <c r="B197" s="5"/>
      <c r="C197" s="5"/>
      <c r="D197" s="5"/>
      <c r="E197" s="5"/>
      <c r="F197" s="5"/>
      <c r="G197" s="5"/>
      <c r="H197" s="7"/>
    </row>
    <row r="198" spans="2:8" x14ac:dyDescent="0.2">
      <c r="B198" s="5"/>
      <c r="C198" s="5"/>
      <c r="D198" s="5"/>
      <c r="E198" s="5"/>
      <c r="F198" s="5"/>
      <c r="G198" s="5"/>
      <c r="H198" s="7"/>
    </row>
    <row r="199" spans="2:8" x14ac:dyDescent="0.2">
      <c r="B199" s="5"/>
      <c r="C199" s="5"/>
      <c r="D199" s="5"/>
      <c r="E199" s="5"/>
      <c r="F199" s="5"/>
      <c r="G199" s="5"/>
      <c r="H199" s="7"/>
    </row>
    <row r="200" spans="2:8" x14ac:dyDescent="0.2">
      <c r="B200" s="5"/>
      <c r="C200" s="5"/>
      <c r="D200" s="5"/>
      <c r="E200" s="5"/>
      <c r="F200" s="5"/>
      <c r="G200" s="5"/>
      <c r="H200" s="7"/>
    </row>
    <row r="201" spans="2:8" x14ac:dyDescent="0.2">
      <c r="B201" s="5"/>
      <c r="C201" s="5"/>
      <c r="D201" s="5"/>
      <c r="E201" s="5"/>
      <c r="F201" s="5"/>
      <c r="G201" s="5"/>
      <c r="H201" s="7"/>
    </row>
    <row r="202" spans="2:8" x14ac:dyDescent="0.2">
      <c r="B202" s="5"/>
      <c r="C202" s="5"/>
      <c r="D202" s="5"/>
      <c r="E202" s="5"/>
      <c r="F202" s="5"/>
      <c r="G202" s="5"/>
      <c r="H202" s="7"/>
    </row>
    <row r="203" spans="2:8" x14ac:dyDescent="0.2">
      <c r="B203" s="5"/>
      <c r="C203" s="5"/>
      <c r="D203" s="5"/>
      <c r="E203" s="5"/>
      <c r="F203" s="5"/>
      <c r="G203" s="5"/>
      <c r="H203" s="7"/>
    </row>
    <row r="204" spans="2:8" x14ac:dyDescent="0.2">
      <c r="B204" s="5"/>
      <c r="C204" s="5"/>
      <c r="D204" s="5"/>
      <c r="E204" s="5"/>
      <c r="F204" s="5"/>
      <c r="G204" s="5"/>
      <c r="H204" s="7"/>
    </row>
    <row r="205" spans="2:8" x14ac:dyDescent="0.2">
      <c r="B205" s="5"/>
      <c r="C205" s="5"/>
      <c r="D205" s="5"/>
      <c r="E205" s="5"/>
      <c r="F205" s="5"/>
      <c r="G205" s="5"/>
      <c r="H205" s="7"/>
    </row>
    <row r="206" spans="2:8" x14ac:dyDescent="0.2">
      <c r="B206" s="5"/>
      <c r="C206" s="5"/>
      <c r="D206" s="5"/>
      <c r="E206" s="5"/>
      <c r="F206" s="5"/>
      <c r="G206" s="5"/>
      <c r="H206" s="7"/>
    </row>
    <row r="207" spans="2:8" x14ac:dyDescent="0.2">
      <c r="B207" s="5"/>
      <c r="C207" s="5"/>
      <c r="D207" s="5"/>
      <c r="E207" s="5"/>
      <c r="F207" s="5"/>
      <c r="G207" s="5"/>
      <c r="H207" s="7"/>
    </row>
    <row r="208" spans="2:8" x14ac:dyDescent="0.2">
      <c r="B208" s="5"/>
      <c r="C208" s="5"/>
      <c r="D208" s="5"/>
      <c r="E208" s="5"/>
      <c r="F208" s="5"/>
      <c r="G208" s="5"/>
      <c r="H208" s="7"/>
    </row>
    <row r="209" spans="2:8" x14ac:dyDescent="0.2">
      <c r="B209" s="5"/>
      <c r="C209" s="5"/>
      <c r="D209" s="5"/>
      <c r="E209" s="5"/>
      <c r="F209" s="5"/>
      <c r="G209" s="5"/>
      <c r="H209" s="7"/>
    </row>
    <row r="210" spans="2:8" x14ac:dyDescent="0.2">
      <c r="B210" s="5"/>
      <c r="C210" s="5"/>
      <c r="D210" s="5"/>
      <c r="E210" s="5"/>
      <c r="F210" s="5"/>
      <c r="G210" s="5"/>
      <c r="H210" s="7"/>
    </row>
    <row r="211" spans="2:8" x14ac:dyDescent="0.2">
      <c r="B211" s="5"/>
      <c r="C211" s="5"/>
      <c r="D211" s="5"/>
      <c r="E211" s="5"/>
      <c r="F211" s="5"/>
      <c r="G211" s="5"/>
      <c r="H211" s="7"/>
    </row>
    <row r="212" spans="2:8" x14ac:dyDescent="0.2">
      <c r="B212" s="5"/>
      <c r="C212" s="5"/>
      <c r="D212" s="5"/>
      <c r="E212" s="5"/>
      <c r="F212" s="5"/>
      <c r="G212" s="5"/>
      <c r="H212" s="7"/>
    </row>
    <row r="213" spans="2:8" x14ac:dyDescent="0.2">
      <c r="B213" s="5"/>
      <c r="C213" s="5"/>
      <c r="D213" s="5"/>
      <c r="E213" s="5"/>
      <c r="F213" s="5"/>
      <c r="G213" s="5"/>
      <c r="H213" s="7"/>
    </row>
    <row r="214" spans="2:8" x14ac:dyDescent="0.2">
      <c r="B214" s="5"/>
      <c r="C214" s="5"/>
      <c r="D214" s="5"/>
      <c r="E214" s="5"/>
      <c r="F214" s="5"/>
      <c r="G214" s="5"/>
      <c r="H214" s="7"/>
    </row>
    <row r="215" spans="2:8" x14ac:dyDescent="0.2">
      <c r="B215" s="5"/>
      <c r="C215" s="5"/>
      <c r="D215" s="5"/>
      <c r="E215" s="5"/>
      <c r="F215" s="5"/>
      <c r="G215" s="5"/>
      <c r="H215" s="7"/>
    </row>
    <row r="216" spans="2:8" x14ac:dyDescent="0.2">
      <c r="B216" s="5"/>
      <c r="C216" s="5"/>
      <c r="D216" s="5"/>
      <c r="E216" s="5"/>
      <c r="F216" s="5"/>
      <c r="G216" s="5"/>
      <c r="H216" s="7"/>
    </row>
    <row r="217" spans="2:8" x14ac:dyDescent="0.2">
      <c r="B217" s="5"/>
      <c r="C217" s="5"/>
      <c r="D217" s="5"/>
      <c r="E217" s="5"/>
      <c r="F217" s="5"/>
      <c r="G217" s="5"/>
      <c r="H217" s="7"/>
    </row>
    <row r="218" spans="2:8" x14ac:dyDescent="0.2">
      <c r="B218" s="5"/>
      <c r="C218" s="5"/>
      <c r="D218" s="5"/>
      <c r="E218" s="5"/>
      <c r="F218" s="5"/>
      <c r="G218" s="5"/>
      <c r="H218" s="7"/>
    </row>
    <row r="219" spans="2:8" x14ac:dyDescent="0.2">
      <c r="B219" s="5"/>
      <c r="C219" s="5"/>
      <c r="D219" s="5"/>
      <c r="E219" s="5"/>
      <c r="F219" s="5"/>
      <c r="G219" s="5"/>
      <c r="H219" s="7"/>
    </row>
    <row r="220" spans="2:8" x14ac:dyDescent="0.2">
      <c r="B220" s="5"/>
      <c r="C220" s="5"/>
      <c r="D220" s="5"/>
      <c r="E220" s="5"/>
      <c r="F220" s="5"/>
      <c r="G220" s="5"/>
      <c r="H220" s="7"/>
    </row>
    <row r="221" spans="2:8" x14ac:dyDescent="0.2">
      <c r="B221" s="5"/>
      <c r="C221" s="5"/>
      <c r="D221" s="5"/>
      <c r="E221" s="5"/>
      <c r="F221" s="5"/>
      <c r="G221" s="5"/>
      <c r="H221" s="7"/>
    </row>
    <row r="222" spans="2:8" x14ac:dyDescent="0.2">
      <c r="B222" s="5"/>
      <c r="C222" s="5"/>
      <c r="D222" s="5"/>
      <c r="E222" s="5"/>
      <c r="F222" s="5"/>
      <c r="G222" s="5"/>
      <c r="H222" s="7"/>
    </row>
    <row r="223" spans="2:8" x14ac:dyDescent="0.2">
      <c r="B223" s="5"/>
      <c r="C223" s="5"/>
      <c r="D223" s="5"/>
      <c r="E223" s="5"/>
      <c r="F223" s="5"/>
      <c r="G223" s="5"/>
      <c r="H223" s="7"/>
    </row>
    <row r="224" spans="2:8" x14ac:dyDescent="0.2">
      <c r="B224" s="5"/>
      <c r="C224" s="5"/>
      <c r="D224" s="5"/>
      <c r="E224" s="5"/>
      <c r="F224" s="5"/>
      <c r="G224" s="5"/>
      <c r="H224" s="7"/>
    </row>
    <row r="225" spans="2:8" x14ac:dyDescent="0.2">
      <c r="B225" s="5"/>
      <c r="C225" s="5"/>
      <c r="D225" s="5"/>
      <c r="E225" s="5"/>
      <c r="F225" s="5"/>
      <c r="G225" s="5"/>
      <c r="H225" s="7"/>
    </row>
    <row r="226" spans="2:8" x14ac:dyDescent="0.2">
      <c r="B226" s="5"/>
      <c r="C226" s="5"/>
      <c r="D226" s="5"/>
      <c r="E226" s="5"/>
      <c r="F226" s="5"/>
      <c r="G226" s="5"/>
      <c r="H226" s="7"/>
    </row>
    <row r="227" spans="2:8" x14ac:dyDescent="0.2">
      <c r="B227" s="5"/>
      <c r="C227" s="5"/>
      <c r="D227" s="5"/>
      <c r="E227" s="5"/>
      <c r="F227" s="5"/>
      <c r="G227" s="5"/>
      <c r="H227" s="7"/>
    </row>
    <row r="228" spans="2:8" x14ac:dyDescent="0.2">
      <c r="B228" s="5"/>
      <c r="C228" s="5"/>
      <c r="D228" s="5"/>
      <c r="E228" s="5"/>
      <c r="F228" s="5"/>
      <c r="G228" s="5"/>
      <c r="H228" s="7"/>
    </row>
    <row r="229" spans="2:8" x14ac:dyDescent="0.2">
      <c r="B229" s="5"/>
      <c r="C229" s="5"/>
      <c r="D229" s="5"/>
      <c r="E229" s="5"/>
      <c r="F229" s="5"/>
      <c r="G229" s="5"/>
      <c r="H229" s="7"/>
    </row>
    <row r="230" spans="2:8" x14ac:dyDescent="0.2">
      <c r="B230" s="5"/>
      <c r="C230" s="5"/>
      <c r="D230" s="5"/>
      <c r="E230" s="5"/>
      <c r="F230" s="5"/>
      <c r="G230" s="5"/>
      <c r="H230" s="7"/>
    </row>
    <row r="231" spans="2:8" x14ac:dyDescent="0.2">
      <c r="B231" s="5"/>
      <c r="C231" s="5"/>
      <c r="D231" s="5"/>
      <c r="E231" s="5"/>
      <c r="F231" s="5"/>
      <c r="G231" s="5"/>
      <c r="H231" s="7"/>
    </row>
    <row r="232" spans="2:8" x14ac:dyDescent="0.2">
      <c r="B232" s="5"/>
      <c r="C232" s="5"/>
      <c r="D232" s="5"/>
      <c r="E232" s="5"/>
      <c r="F232" s="5"/>
      <c r="G232" s="5"/>
      <c r="H232" s="7"/>
    </row>
    <row r="233" spans="2:8" x14ac:dyDescent="0.2">
      <c r="B233" s="5"/>
      <c r="C233" s="5"/>
      <c r="D233" s="5"/>
      <c r="E233" s="5"/>
      <c r="F233" s="5"/>
      <c r="G233" s="5"/>
      <c r="H233" s="7"/>
    </row>
    <row r="234" spans="2:8" x14ac:dyDescent="0.2">
      <c r="B234" s="5"/>
      <c r="C234" s="5"/>
      <c r="D234" s="5"/>
      <c r="E234" s="5"/>
      <c r="F234" s="5"/>
      <c r="G234" s="5"/>
      <c r="H234" s="7"/>
    </row>
    <row r="235" spans="2:8" x14ac:dyDescent="0.2">
      <c r="B235" s="5"/>
      <c r="C235" s="5"/>
      <c r="D235" s="5"/>
      <c r="E235" s="5"/>
      <c r="F235" s="5"/>
      <c r="G235" s="5"/>
      <c r="H235" s="7"/>
    </row>
    <row r="236" spans="2:8" x14ac:dyDescent="0.2">
      <c r="B236" s="5"/>
      <c r="C236" s="5"/>
      <c r="D236" s="5"/>
      <c r="E236" s="5"/>
      <c r="F236" s="5"/>
      <c r="G236" s="5"/>
      <c r="H236" s="7"/>
    </row>
    <row r="237" spans="2:8" x14ac:dyDescent="0.2">
      <c r="B237" s="5"/>
      <c r="C237" s="5"/>
      <c r="D237" s="5"/>
      <c r="E237" s="5"/>
      <c r="F237" s="5"/>
      <c r="G237" s="5"/>
      <c r="H237" s="7"/>
    </row>
    <row r="238" spans="2:8" x14ac:dyDescent="0.2">
      <c r="B238" s="5"/>
      <c r="C238" s="5"/>
      <c r="D238" s="5"/>
      <c r="E238" s="5"/>
      <c r="F238" s="5"/>
      <c r="G238" s="5"/>
      <c r="H238" s="7"/>
    </row>
    <row r="239" spans="2:8" x14ac:dyDescent="0.2">
      <c r="B239" s="5"/>
      <c r="C239" s="5"/>
      <c r="D239" s="5"/>
      <c r="E239" s="5"/>
      <c r="F239" s="5"/>
      <c r="G239" s="5"/>
      <c r="H239" s="7"/>
    </row>
    <row r="240" spans="2:8" x14ac:dyDescent="0.2">
      <c r="B240" s="5"/>
      <c r="C240" s="5"/>
      <c r="D240" s="5"/>
      <c r="E240" s="5"/>
      <c r="F240" s="5"/>
      <c r="G240" s="5"/>
      <c r="H240" s="7"/>
    </row>
    <row r="241" spans="2:8" x14ac:dyDescent="0.2">
      <c r="B241" s="5"/>
      <c r="C241" s="5"/>
      <c r="D241" s="5"/>
      <c r="E241" s="5"/>
      <c r="F241" s="5"/>
      <c r="G241" s="5"/>
      <c r="H241" s="7"/>
    </row>
    <row r="242" spans="2:8" x14ac:dyDescent="0.2">
      <c r="B242" s="5"/>
      <c r="C242" s="5"/>
      <c r="D242" s="5"/>
      <c r="E242" s="5"/>
      <c r="F242" s="5"/>
      <c r="G242" s="5"/>
      <c r="H242" s="7"/>
    </row>
    <row r="243" spans="2:8" x14ac:dyDescent="0.2">
      <c r="B243" s="5"/>
      <c r="C243" s="5"/>
      <c r="D243" s="5"/>
      <c r="E243" s="5"/>
      <c r="F243" s="5"/>
      <c r="G243" s="5"/>
      <c r="H243" s="7"/>
    </row>
    <row r="244" spans="2:8" x14ac:dyDescent="0.2">
      <c r="B244" s="5"/>
      <c r="C244" s="5"/>
      <c r="D244" s="5"/>
      <c r="E244" s="5"/>
      <c r="F244" s="5"/>
      <c r="G244" s="5"/>
      <c r="H244" s="7"/>
    </row>
    <row r="245" spans="2:8" x14ac:dyDescent="0.2">
      <c r="B245" s="5"/>
      <c r="C245" s="5"/>
      <c r="D245" s="5"/>
      <c r="E245" s="5"/>
      <c r="F245" s="5"/>
      <c r="G245" s="5"/>
      <c r="H245" s="7"/>
    </row>
    <row r="246" spans="2:8" x14ac:dyDescent="0.2">
      <c r="B246" s="5"/>
      <c r="C246" s="5"/>
      <c r="D246" s="5"/>
      <c r="E246" s="5"/>
      <c r="F246" s="5"/>
      <c r="G246" s="5"/>
      <c r="H246" s="7"/>
    </row>
    <row r="247" spans="2:8" x14ac:dyDescent="0.2">
      <c r="B247" s="5"/>
      <c r="C247" s="5"/>
      <c r="D247" s="5"/>
      <c r="E247" s="5"/>
      <c r="F247" s="5"/>
      <c r="G247" s="5"/>
      <c r="H247" s="7"/>
    </row>
    <row r="248" spans="2:8" x14ac:dyDescent="0.2">
      <c r="B248" s="5"/>
      <c r="C248" s="5"/>
      <c r="D248" s="5"/>
      <c r="E248" s="5"/>
      <c r="F248" s="5"/>
      <c r="G248" s="5"/>
      <c r="H248" s="7"/>
    </row>
    <row r="249" spans="2:8" x14ac:dyDescent="0.2">
      <c r="B249" s="5"/>
      <c r="C249" s="5"/>
      <c r="D249" s="5"/>
      <c r="E249" s="5"/>
      <c r="F249" s="5"/>
      <c r="G249" s="5"/>
      <c r="H249" s="7"/>
    </row>
    <row r="250" spans="2:8" x14ac:dyDescent="0.2">
      <c r="B250" s="5"/>
      <c r="C250" s="5"/>
      <c r="D250" s="5"/>
      <c r="E250" s="5"/>
      <c r="F250" s="5"/>
      <c r="G250" s="5"/>
      <c r="H250" s="7"/>
    </row>
    <row r="251" spans="2:8" x14ac:dyDescent="0.2">
      <c r="B251" s="5"/>
      <c r="C251" s="5"/>
      <c r="D251" s="5"/>
      <c r="E251" s="5"/>
      <c r="F251" s="5"/>
      <c r="G251" s="5"/>
      <c r="H251" s="7"/>
    </row>
    <row r="252" spans="2:8" x14ac:dyDescent="0.2">
      <c r="B252" s="5"/>
      <c r="C252" s="5"/>
      <c r="D252" s="5"/>
      <c r="E252" s="5"/>
      <c r="F252" s="5"/>
      <c r="G252" s="5"/>
      <c r="H252" s="7"/>
    </row>
    <row r="253" spans="2:8" x14ac:dyDescent="0.2">
      <c r="B253" s="5"/>
      <c r="C253" s="5"/>
      <c r="D253" s="5"/>
      <c r="E253" s="5"/>
      <c r="F253" s="5"/>
      <c r="G253" s="5"/>
      <c r="H253" s="7"/>
    </row>
    <row r="254" spans="2:8" x14ac:dyDescent="0.2">
      <c r="B254" s="5"/>
      <c r="C254" s="5"/>
      <c r="D254" s="5"/>
      <c r="E254" s="5"/>
      <c r="F254" s="5"/>
      <c r="G254" s="5"/>
      <c r="H254" s="7"/>
    </row>
    <row r="255" spans="2:8" x14ac:dyDescent="0.2">
      <c r="B255" s="5"/>
      <c r="C255" s="5"/>
      <c r="D255" s="5"/>
      <c r="E255" s="5"/>
      <c r="F255" s="5"/>
      <c r="G255" s="5"/>
      <c r="H255" s="7"/>
    </row>
    <row r="256" spans="2:8" x14ac:dyDescent="0.2">
      <c r="B256" s="5"/>
      <c r="C256" s="5"/>
      <c r="D256" s="5"/>
      <c r="E256" s="5"/>
      <c r="F256" s="5"/>
      <c r="G256" s="5"/>
      <c r="H256" s="7"/>
    </row>
    <row r="257" spans="2:8" x14ac:dyDescent="0.2">
      <c r="B257" s="5"/>
      <c r="C257" s="5"/>
      <c r="D257" s="5"/>
      <c r="E257" s="5"/>
      <c r="F257" s="5"/>
      <c r="G257" s="5"/>
      <c r="H257" s="7"/>
    </row>
    <row r="258" spans="2:8" x14ac:dyDescent="0.2">
      <c r="B258" s="5"/>
      <c r="C258" s="5"/>
      <c r="D258" s="5"/>
      <c r="E258" s="5"/>
      <c r="F258" s="5"/>
      <c r="G258" s="5"/>
      <c r="H258" s="7"/>
    </row>
    <row r="259" spans="2:8" x14ac:dyDescent="0.2">
      <c r="B259" s="5"/>
      <c r="C259" s="5"/>
      <c r="D259" s="5"/>
      <c r="E259" s="5"/>
      <c r="F259" s="5"/>
      <c r="G259" s="5"/>
      <c r="H259" s="7"/>
    </row>
    <row r="260" spans="2:8" x14ac:dyDescent="0.2">
      <c r="B260" s="5"/>
      <c r="C260" s="5"/>
      <c r="D260" s="5"/>
      <c r="E260" s="5"/>
      <c r="F260" s="5"/>
      <c r="G260" s="5"/>
      <c r="H260" s="7"/>
    </row>
    <row r="261" spans="2:8" x14ac:dyDescent="0.2">
      <c r="B261" s="5"/>
      <c r="C261" s="5"/>
      <c r="D261" s="5"/>
      <c r="E261" s="5"/>
      <c r="F261" s="5"/>
      <c r="G261" s="5"/>
      <c r="H261" s="7"/>
    </row>
    <row r="262" spans="2:8" x14ac:dyDescent="0.2">
      <c r="B262" s="5"/>
      <c r="C262" s="5"/>
      <c r="D262" s="5"/>
      <c r="E262" s="5"/>
      <c r="F262" s="5"/>
      <c r="G262" s="5"/>
      <c r="H262" s="7"/>
    </row>
    <row r="263" spans="2:8" x14ac:dyDescent="0.2">
      <c r="B263" s="5"/>
      <c r="C263" s="5"/>
      <c r="D263" s="5"/>
      <c r="E263" s="5"/>
      <c r="F263" s="5"/>
      <c r="G263" s="5"/>
      <c r="H263" s="7"/>
    </row>
    <row r="264" spans="2:8" x14ac:dyDescent="0.2">
      <c r="B264" s="5"/>
      <c r="C264" s="5"/>
      <c r="D264" s="5"/>
      <c r="E264" s="5"/>
      <c r="F264" s="5"/>
      <c r="G264" s="5"/>
      <c r="H264" s="7"/>
    </row>
    <row r="265" spans="2:8" x14ac:dyDescent="0.2">
      <c r="B265" s="5"/>
      <c r="C265" s="5"/>
      <c r="D265" s="5"/>
      <c r="E265" s="5"/>
      <c r="F265" s="5"/>
      <c r="G265" s="5"/>
      <c r="H265" s="7"/>
    </row>
    <row r="266" spans="2:8" x14ac:dyDescent="0.2">
      <c r="B266" s="5"/>
      <c r="C266" s="5"/>
      <c r="D266" s="5"/>
      <c r="E266" s="5"/>
      <c r="F266" s="5"/>
      <c r="G266" s="5"/>
      <c r="H266" s="7"/>
    </row>
    <row r="267" spans="2:8" x14ac:dyDescent="0.2">
      <c r="B267" s="5"/>
      <c r="C267" s="5"/>
      <c r="D267" s="5"/>
      <c r="E267" s="5"/>
      <c r="F267" s="5"/>
      <c r="G267" s="5"/>
      <c r="H267" s="7"/>
    </row>
    <row r="268" spans="2:8" x14ac:dyDescent="0.2">
      <c r="B268" s="5"/>
      <c r="C268" s="5"/>
      <c r="D268" s="5"/>
      <c r="E268" s="5"/>
      <c r="F268" s="5"/>
      <c r="G268" s="5"/>
      <c r="H268" s="7"/>
    </row>
    <row r="269" spans="2:8" x14ac:dyDescent="0.2">
      <c r="B269" s="5"/>
      <c r="C269" s="5"/>
      <c r="D269" s="5"/>
      <c r="E269" s="5"/>
      <c r="F269" s="5"/>
      <c r="G269" s="5"/>
      <c r="H269" s="7"/>
    </row>
    <row r="270" spans="2:8" x14ac:dyDescent="0.2">
      <c r="B270" s="5"/>
      <c r="C270" s="5"/>
      <c r="D270" s="5"/>
      <c r="E270" s="5"/>
      <c r="F270" s="5"/>
      <c r="G270" s="5"/>
      <c r="H270" s="7"/>
    </row>
    <row r="271" spans="2:8" x14ac:dyDescent="0.2">
      <c r="B271" s="5"/>
      <c r="C271" s="5"/>
      <c r="D271" s="5"/>
      <c r="E271" s="5"/>
      <c r="F271" s="5"/>
      <c r="G271" s="5"/>
      <c r="H271" s="7"/>
    </row>
    <row r="272" spans="2:8" x14ac:dyDescent="0.2">
      <c r="B272" s="5"/>
      <c r="C272" s="5"/>
      <c r="D272" s="5"/>
      <c r="E272" s="5"/>
      <c r="F272" s="5"/>
      <c r="G272" s="5"/>
      <c r="H272" s="7"/>
    </row>
    <row r="273" spans="2:8" x14ac:dyDescent="0.2">
      <c r="B273" s="5"/>
      <c r="C273" s="5"/>
      <c r="D273" s="5"/>
      <c r="E273" s="5"/>
      <c r="F273" s="5"/>
      <c r="G273" s="5"/>
      <c r="H273" s="7"/>
    </row>
    <row r="274" spans="2:8" x14ac:dyDescent="0.2">
      <c r="B274" s="5"/>
      <c r="C274" s="5"/>
      <c r="D274" s="5"/>
      <c r="E274" s="5"/>
      <c r="F274" s="5"/>
      <c r="G274" s="5"/>
      <c r="H274" s="7"/>
    </row>
    <row r="275" spans="2:8" x14ac:dyDescent="0.2">
      <c r="B275" s="5"/>
      <c r="C275" s="5"/>
      <c r="D275" s="5"/>
      <c r="E275" s="5"/>
      <c r="F275" s="5"/>
      <c r="G275" s="5"/>
      <c r="H275" s="7"/>
    </row>
    <row r="276" spans="2:8" x14ac:dyDescent="0.2">
      <c r="B276" s="5"/>
      <c r="C276" s="5"/>
      <c r="D276" s="5"/>
      <c r="E276" s="5"/>
      <c r="F276" s="5"/>
      <c r="G276" s="5"/>
      <c r="H276" s="7"/>
    </row>
    <row r="277" spans="2:8" x14ac:dyDescent="0.2">
      <c r="B277" s="5"/>
      <c r="C277" s="5"/>
      <c r="D277" s="5"/>
      <c r="E277" s="5"/>
      <c r="F277" s="5"/>
      <c r="G277" s="5"/>
      <c r="H277" s="7"/>
    </row>
    <row r="278" spans="2:8" x14ac:dyDescent="0.2">
      <c r="B278" s="5"/>
      <c r="C278" s="5"/>
      <c r="D278" s="5"/>
      <c r="E278" s="5"/>
      <c r="F278" s="5"/>
      <c r="G278" s="5"/>
      <c r="H278" s="7"/>
    </row>
    <row r="279" spans="2:8" x14ac:dyDescent="0.2">
      <c r="B279" s="5"/>
      <c r="C279" s="5"/>
      <c r="D279" s="5"/>
      <c r="E279" s="5"/>
      <c r="F279" s="5"/>
      <c r="G279" s="5"/>
      <c r="H279" s="7"/>
    </row>
    <row r="280" spans="2:8" x14ac:dyDescent="0.2">
      <c r="B280" s="5"/>
      <c r="C280" s="5"/>
      <c r="D280" s="5"/>
      <c r="E280" s="5"/>
      <c r="F280" s="5"/>
      <c r="G280" s="5"/>
      <c r="H280" s="7"/>
    </row>
    <row r="281" spans="2:8" x14ac:dyDescent="0.2">
      <c r="B281" s="5"/>
      <c r="C281" s="5"/>
      <c r="D281" s="5"/>
      <c r="E281" s="5"/>
      <c r="F281" s="5"/>
      <c r="G281" s="5"/>
      <c r="H281" s="7"/>
    </row>
    <row r="282" spans="2:8" x14ac:dyDescent="0.2">
      <c r="B282" s="5"/>
      <c r="C282" s="5"/>
      <c r="D282" s="5"/>
      <c r="E282" s="5"/>
      <c r="F282" s="5"/>
      <c r="G282" s="5"/>
      <c r="H282" s="7"/>
    </row>
    <row r="283" spans="2:8" x14ac:dyDescent="0.2">
      <c r="B283" s="5"/>
      <c r="C283" s="5"/>
      <c r="D283" s="5"/>
      <c r="E283" s="5"/>
      <c r="F283" s="5"/>
      <c r="G283" s="5"/>
      <c r="H283" s="7"/>
    </row>
    <row r="284" spans="2:8" x14ac:dyDescent="0.2">
      <c r="B284" s="5"/>
      <c r="C284" s="5"/>
      <c r="D284" s="5"/>
      <c r="E284" s="5"/>
      <c r="F284" s="5"/>
      <c r="G284" s="5"/>
      <c r="H284" s="7"/>
    </row>
    <row r="285" spans="2:8" x14ac:dyDescent="0.2">
      <c r="B285" s="5"/>
      <c r="C285" s="5"/>
      <c r="D285" s="5"/>
      <c r="E285" s="5"/>
      <c r="F285" s="5"/>
      <c r="G285" s="5"/>
      <c r="H285" s="7"/>
    </row>
    <row r="286" spans="2:8" x14ac:dyDescent="0.2">
      <c r="B286" s="5"/>
      <c r="C286" s="5"/>
      <c r="D286" s="5"/>
      <c r="E286" s="5"/>
      <c r="F286" s="5"/>
      <c r="G286" s="5"/>
      <c r="H286" s="7"/>
    </row>
    <row r="287" spans="2:8" x14ac:dyDescent="0.2">
      <c r="B287" s="5"/>
      <c r="C287" s="5"/>
      <c r="D287" s="5"/>
      <c r="E287" s="5"/>
      <c r="F287" s="5"/>
      <c r="G287" s="5"/>
      <c r="H287" s="7"/>
    </row>
    <row r="288" spans="2:8" x14ac:dyDescent="0.2">
      <c r="B288" s="5"/>
      <c r="C288" s="5"/>
      <c r="D288" s="5"/>
      <c r="E288" s="5"/>
      <c r="F288" s="5"/>
      <c r="G288" s="5"/>
      <c r="H288" s="7"/>
    </row>
    <row r="289" spans="2:8" x14ac:dyDescent="0.2">
      <c r="B289" s="5"/>
      <c r="C289" s="5"/>
      <c r="D289" s="5"/>
      <c r="E289" s="5"/>
      <c r="F289" s="5"/>
      <c r="G289" s="5"/>
      <c r="H289" s="7"/>
    </row>
    <row r="290" spans="2:8" x14ac:dyDescent="0.2">
      <c r="B290" s="5"/>
      <c r="C290" s="5"/>
      <c r="D290" s="5"/>
      <c r="E290" s="5"/>
      <c r="F290" s="5"/>
      <c r="G290" s="5"/>
      <c r="H290" s="7"/>
    </row>
    <row r="291" spans="2:8" x14ac:dyDescent="0.2">
      <c r="B291" s="5"/>
      <c r="C291" s="5"/>
      <c r="D291" s="5"/>
      <c r="E291" s="5"/>
      <c r="F291" s="5"/>
      <c r="G291" s="5"/>
      <c r="H291" s="7"/>
    </row>
    <row r="292" spans="2:8" x14ac:dyDescent="0.2">
      <c r="B292" s="5"/>
      <c r="C292" s="5"/>
      <c r="D292" s="5"/>
      <c r="E292" s="5"/>
      <c r="F292" s="5"/>
      <c r="G292" s="5"/>
      <c r="H292" s="7"/>
    </row>
    <row r="293" spans="2:8" x14ac:dyDescent="0.2">
      <c r="B293" s="5"/>
      <c r="C293" s="5"/>
      <c r="D293" s="5"/>
      <c r="E293" s="5"/>
      <c r="F293" s="5"/>
      <c r="G293" s="5"/>
      <c r="H293" s="7"/>
    </row>
    <row r="294" spans="2:8" x14ac:dyDescent="0.2">
      <c r="B294" s="5"/>
      <c r="C294" s="5"/>
      <c r="D294" s="5"/>
      <c r="E294" s="5"/>
      <c r="F294" s="5"/>
      <c r="G294" s="5"/>
      <c r="H294" s="7"/>
    </row>
    <row r="295" spans="2:8" x14ac:dyDescent="0.2">
      <c r="B295" s="5"/>
      <c r="C295" s="5"/>
      <c r="D295" s="5"/>
      <c r="E295" s="5"/>
      <c r="F295" s="5"/>
      <c r="G295" s="5"/>
      <c r="H295" s="7"/>
    </row>
    <row r="296" spans="2:8" x14ac:dyDescent="0.2">
      <c r="B296" s="5"/>
      <c r="C296" s="5"/>
      <c r="D296" s="5"/>
      <c r="E296" s="5"/>
      <c r="F296" s="5"/>
      <c r="G296" s="5"/>
      <c r="H296" s="7"/>
    </row>
    <row r="297" spans="2:8" x14ac:dyDescent="0.2">
      <c r="B297" s="5"/>
      <c r="C297" s="5"/>
      <c r="D297" s="5"/>
      <c r="E297" s="5"/>
      <c r="F297" s="5"/>
      <c r="G297" s="5"/>
      <c r="H297" s="7"/>
    </row>
    <row r="298" spans="2:8" x14ac:dyDescent="0.2">
      <c r="B298" s="5"/>
      <c r="C298" s="5"/>
      <c r="D298" s="5"/>
      <c r="E298" s="5"/>
      <c r="F298" s="5"/>
      <c r="G298" s="5"/>
      <c r="H298" s="7"/>
    </row>
    <row r="299" spans="2:8" x14ac:dyDescent="0.2">
      <c r="B299" s="5"/>
      <c r="C299" s="5"/>
      <c r="D299" s="5"/>
      <c r="E299" s="5"/>
      <c r="F299" s="5"/>
      <c r="G299" s="5"/>
      <c r="H299" s="7"/>
    </row>
    <row r="300" spans="2:8" x14ac:dyDescent="0.2">
      <c r="B300" s="5"/>
      <c r="C300" s="5"/>
      <c r="D300" s="5"/>
      <c r="E300" s="5"/>
      <c r="F300" s="5"/>
      <c r="G300" s="5"/>
      <c r="H300" s="7"/>
    </row>
    <row r="301" spans="2:8" x14ac:dyDescent="0.2">
      <c r="B301" s="5"/>
      <c r="C301" s="5"/>
      <c r="D301" s="5"/>
      <c r="E301" s="5"/>
      <c r="F301" s="5"/>
      <c r="G301" s="5"/>
      <c r="H301" s="7"/>
    </row>
    <row r="302" spans="2:8" x14ac:dyDescent="0.2">
      <c r="B302" s="5"/>
      <c r="C302" s="5"/>
      <c r="D302" s="5"/>
      <c r="E302" s="5"/>
      <c r="F302" s="5"/>
      <c r="G302" s="5"/>
      <c r="H302" s="7"/>
    </row>
    <row r="303" spans="2:8" x14ac:dyDescent="0.2">
      <c r="B303" s="5"/>
      <c r="C303" s="5"/>
      <c r="D303" s="5"/>
      <c r="E303" s="5"/>
      <c r="F303" s="5"/>
      <c r="G303" s="5"/>
      <c r="H303" s="7"/>
    </row>
    <row r="304" spans="2:8" x14ac:dyDescent="0.2">
      <c r="B304" s="5"/>
      <c r="C304" s="5"/>
      <c r="D304" s="5"/>
      <c r="E304" s="5"/>
      <c r="F304" s="5"/>
      <c r="G304" s="5"/>
      <c r="H304" s="7"/>
    </row>
    <row r="305" spans="2:8" x14ac:dyDescent="0.2">
      <c r="B305" s="5"/>
      <c r="C305" s="5"/>
      <c r="D305" s="5"/>
      <c r="E305" s="5"/>
      <c r="F305" s="5"/>
      <c r="G305" s="5"/>
      <c r="H305" s="7"/>
    </row>
    <row r="306" spans="2:8" x14ac:dyDescent="0.2">
      <c r="B306" s="5"/>
      <c r="C306" s="5"/>
      <c r="D306" s="5"/>
      <c r="E306" s="5"/>
      <c r="F306" s="5"/>
      <c r="G306" s="5"/>
      <c r="H306" s="7"/>
    </row>
    <row r="307" spans="2:8" x14ac:dyDescent="0.2">
      <c r="B307" s="5"/>
      <c r="C307" s="5"/>
      <c r="D307" s="5"/>
      <c r="E307" s="5"/>
      <c r="F307" s="5"/>
      <c r="G307" s="5"/>
      <c r="H307" s="7"/>
    </row>
    <row r="308" spans="2:8" x14ac:dyDescent="0.2">
      <c r="B308" s="5"/>
      <c r="C308" s="5"/>
      <c r="D308" s="5"/>
      <c r="E308" s="5"/>
      <c r="F308" s="5"/>
      <c r="G308" s="5"/>
      <c r="H308" s="7"/>
    </row>
    <row r="309" spans="2:8" x14ac:dyDescent="0.2">
      <c r="B309" s="5"/>
      <c r="C309" s="5"/>
      <c r="D309" s="5"/>
      <c r="E309" s="5"/>
      <c r="F309" s="5"/>
      <c r="G309" s="5"/>
      <c r="H309" s="7"/>
    </row>
    <row r="310" spans="2:8" x14ac:dyDescent="0.2">
      <c r="B310" s="5"/>
      <c r="C310" s="5"/>
      <c r="D310" s="5"/>
      <c r="E310" s="5"/>
      <c r="F310" s="5"/>
      <c r="G310" s="5"/>
      <c r="H310" s="7"/>
    </row>
    <row r="311" spans="2:8" x14ac:dyDescent="0.2">
      <c r="B311" s="5"/>
      <c r="C311" s="5"/>
      <c r="D311" s="5"/>
      <c r="E311" s="5"/>
      <c r="F311" s="5"/>
      <c r="G311" s="5"/>
      <c r="H311" s="7"/>
    </row>
    <row r="312" spans="2:8" x14ac:dyDescent="0.2">
      <c r="B312" s="5"/>
      <c r="C312" s="5"/>
      <c r="D312" s="5"/>
      <c r="E312" s="5"/>
      <c r="F312" s="5"/>
      <c r="G312" s="5"/>
      <c r="H312" s="7"/>
    </row>
    <row r="313" spans="2:8" x14ac:dyDescent="0.2">
      <c r="B313" s="5"/>
      <c r="C313" s="5"/>
      <c r="D313" s="5"/>
      <c r="E313" s="5"/>
      <c r="F313" s="5"/>
      <c r="G313" s="5"/>
      <c r="H313" s="7"/>
    </row>
    <row r="314" spans="2:8" x14ac:dyDescent="0.2">
      <c r="B314" s="5"/>
      <c r="C314" s="5"/>
      <c r="D314" s="5"/>
      <c r="E314" s="5"/>
      <c r="F314" s="5"/>
      <c r="G314" s="5"/>
      <c r="H314" s="7"/>
    </row>
    <row r="315" spans="2:8" x14ac:dyDescent="0.2">
      <c r="B315" s="5"/>
      <c r="C315" s="5"/>
      <c r="D315" s="5"/>
      <c r="E315" s="5"/>
      <c r="F315" s="5"/>
      <c r="G315" s="5"/>
      <c r="H315" s="7"/>
    </row>
    <row r="316" spans="2:8" x14ac:dyDescent="0.2">
      <c r="B316" s="5"/>
      <c r="C316" s="5"/>
      <c r="D316" s="5"/>
      <c r="E316" s="5"/>
      <c r="F316" s="5"/>
      <c r="G316" s="5"/>
      <c r="H316" s="7"/>
    </row>
    <row r="317" spans="2:8" x14ac:dyDescent="0.2">
      <c r="B317" s="5"/>
      <c r="C317" s="5"/>
      <c r="D317" s="5"/>
      <c r="E317" s="5"/>
      <c r="F317" s="5"/>
      <c r="G317" s="5"/>
      <c r="H317" s="7"/>
    </row>
    <row r="318" spans="2:8" x14ac:dyDescent="0.2">
      <c r="B318" s="5"/>
      <c r="C318" s="5"/>
      <c r="D318" s="5"/>
      <c r="E318" s="5"/>
      <c r="F318" s="5"/>
      <c r="G318" s="5"/>
      <c r="H318" s="7"/>
    </row>
    <row r="319" spans="2:8" x14ac:dyDescent="0.2">
      <c r="B319" s="5"/>
      <c r="C319" s="5"/>
      <c r="D319" s="5"/>
      <c r="E319" s="5"/>
      <c r="F319" s="5"/>
      <c r="G319" s="5"/>
      <c r="H319" s="7"/>
    </row>
    <row r="320" spans="2:8" x14ac:dyDescent="0.2">
      <c r="B320" s="5"/>
      <c r="C320" s="5"/>
      <c r="D320" s="5"/>
      <c r="E320" s="5"/>
      <c r="F320" s="5"/>
      <c r="G320" s="5"/>
      <c r="H320" s="7"/>
    </row>
    <row r="321" spans="2:8" x14ac:dyDescent="0.2">
      <c r="B321" s="5"/>
      <c r="C321" s="5"/>
      <c r="D321" s="5"/>
      <c r="E321" s="5"/>
      <c r="F321" s="5"/>
      <c r="G321" s="5"/>
      <c r="H321" s="7"/>
    </row>
    <row r="322" spans="2:8" x14ac:dyDescent="0.2">
      <c r="B322" s="5"/>
      <c r="C322" s="5"/>
      <c r="D322" s="5"/>
      <c r="E322" s="5"/>
      <c r="F322" s="5"/>
      <c r="G322" s="5"/>
      <c r="H322" s="7"/>
    </row>
    <row r="323" spans="2:8" x14ac:dyDescent="0.2">
      <c r="B323" s="5"/>
      <c r="C323" s="5"/>
      <c r="D323" s="5"/>
      <c r="E323" s="5"/>
      <c r="F323" s="5"/>
      <c r="G323" s="5"/>
      <c r="H323" s="7"/>
    </row>
    <row r="324" spans="2:8" x14ac:dyDescent="0.2">
      <c r="B324" s="5"/>
      <c r="C324" s="5"/>
      <c r="D324" s="5"/>
      <c r="E324" s="5"/>
      <c r="F324" s="5"/>
      <c r="G324" s="5"/>
      <c r="H324" s="7"/>
    </row>
    <row r="325" spans="2:8" x14ac:dyDescent="0.2">
      <c r="B325" s="5"/>
      <c r="C325" s="5"/>
      <c r="D325" s="5"/>
      <c r="E325" s="5"/>
      <c r="F325" s="5"/>
      <c r="G325" s="5"/>
      <c r="H325" s="7"/>
    </row>
    <row r="326" spans="2:8" x14ac:dyDescent="0.2">
      <c r="B326" s="5"/>
      <c r="C326" s="5"/>
      <c r="D326" s="5"/>
      <c r="E326" s="5"/>
      <c r="F326" s="5"/>
      <c r="G326" s="5"/>
      <c r="H326" s="7"/>
    </row>
    <row r="327" spans="2:8" x14ac:dyDescent="0.2">
      <c r="B327" s="5"/>
      <c r="C327" s="5"/>
      <c r="D327" s="5"/>
      <c r="E327" s="5"/>
      <c r="F327" s="5"/>
      <c r="G327" s="5"/>
      <c r="H327" s="7"/>
    </row>
    <row r="328" spans="2:8" x14ac:dyDescent="0.2">
      <c r="B328" s="5"/>
      <c r="C328" s="5"/>
      <c r="D328" s="5"/>
      <c r="E328" s="5"/>
      <c r="F328" s="5"/>
      <c r="G328" s="5"/>
      <c r="H328" s="7"/>
    </row>
    <row r="329" spans="2:8" x14ac:dyDescent="0.2">
      <c r="B329" s="5"/>
      <c r="C329" s="5"/>
      <c r="D329" s="5"/>
      <c r="E329" s="5"/>
      <c r="F329" s="5"/>
      <c r="G329" s="5"/>
      <c r="H329" s="7"/>
    </row>
    <row r="330" spans="2:8" x14ac:dyDescent="0.2">
      <c r="B330" s="5"/>
      <c r="C330" s="5"/>
      <c r="D330" s="5"/>
      <c r="E330" s="5"/>
      <c r="F330" s="5"/>
      <c r="G330" s="5"/>
      <c r="H330" s="7"/>
    </row>
    <row r="331" spans="2:8" x14ac:dyDescent="0.2">
      <c r="B331" s="5"/>
      <c r="C331" s="5"/>
      <c r="D331" s="5"/>
      <c r="E331" s="5"/>
      <c r="F331" s="5"/>
      <c r="G331" s="5"/>
      <c r="H331" s="7"/>
    </row>
    <row r="332" spans="2:8" x14ac:dyDescent="0.2">
      <c r="B332" s="5"/>
      <c r="C332" s="5"/>
      <c r="D332" s="5"/>
      <c r="E332" s="5"/>
      <c r="F332" s="5"/>
      <c r="G332" s="5"/>
      <c r="H332" s="7"/>
    </row>
    <row r="333" spans="2:8" x14ac:dyDescent="0.2">
      <c r="B333" s="5"/>
      <c r="C333" s="5"/>
      <c r="D333" s="5"/>
      <c r="E333" s="5"/>
      <c r="F333" s="5"/>
      <c r="G333" s="5"/>
      <c r="H333" s="7"/>
    </row>
    <row r="334" spans="2:8" x14ac:dyDescent="0.2">
      <c r="B334" s="5"/>
      <c r="C334" s="5"/>
      <c r="D334" s="5"/>
      <c r="E334" s="5"/>
      <c r="F334" s="5"/>
      <c r="G334" s="5"/>
      <c r="H334" s="7"/>
    </row>
    <row r="335" spans="2:8" x14ac:dyDescent="0.2">
      <c r="B335" s="5"/>
      <c r="C335" s="5"/>
      <c r="D335" s="5"/>
      <c r="E335" s="5"/>
      <c r="F335" s="5"/>
      <c r="G335" s="5"/>
      <c r="H335" s="7"/>
    </row>
    <row r="336" spans="2:8" x14ac:dyDescent="0.2">
      <c r="B336" s="5"/>
      <c r="C336" s="5"/>
      <c r="D336" s="5"/>
      <c r="E336" s="5"/>
      <c r="F336" s="5"/>
      <c r="G336" s="5"/>
      <c r="H336" s="7"/>
    </row>
    <row r="337" spans="2:8" x14ac:dyDescent="0.2">
      <c r="B337" s="5"/>
      <c r="C337" s="5"/>
      <c r="D337" s="5"/>
      <c r="E337" s="5"/>
      <c r="F337" s="5"/>
      <c r="G337" s="5"/>
      <c r="H337" s="7"/>
    </row>
    <row r="338" spans="2:8" x14ac:dyDescent="0.2">
      <c r="B338" s="5"/>
      <c r="C338" s="5"/>
      <c r="D338" s="5"/>
      <c r="E338" s="5"/>
      <c r="F338" s="5"/>
      <c r="G338" s="5"/>
      <c r="H338" s="7"/>
    </row>
    <row r="339" spans="2:8" x14ac:dyDescent="0.2">
      <c r="B339" s="5"/>
      <c r="C339" s="5"/>
      <c r="D339" s="5"/>
      <c r="E339" s="5"/>
      <c r="F339" s="5"/>
      <c r="G339" s="5"/>
      <c r="H339" s="7"/>
    </row>
    <row r="340" spans="2:8" x14ac:dyDescent="0.2">
      <c r="H340" s="7"/>
    </row>
    <row r="341" spans="2:8" x14ac:dyDescent="0.2">
      <c r="H341" s="7"/>
    </row>
    <row r="342" spans="2:8" x14ac:dyDescent="0.2">
      <c r="H342" s="7"/>
    </row>
    <row r="343" spans="2:8" x14ac:dyDescent="0.2">
      <c r="H343" s="7"/>
    </row>
    <row r="344" spans="2:8" x14ac:dyDescent="0.2">
      <c r="H344" s="7"/>
    </row>
    <row r="345" spans="2:8" x14ac:dyDescent="0.2">
      <c r="H345" s="7"/>
    </row>
    <row r="346" spans="2:8" x14ac:dyDescent="0.2">
      <c r="H346" s="7"/>
    </row>
    <row r="347" spans="2:8" x14ac:dyDescent="0.2">
      <c r="H347" s="7"/>
    </row>
    <row r="348" spans="2:8" x14ac:dyDescent="0.2">
      <c r="H348" s="7"/>
    </row>
    <row r="349" spans="2:8" x14ac:dyDescent="0.2">
      <c r="H349" s="7"/>
    </row>
    <row r="350" spans="2:8" x14ac:dyDescent="0.2">
      <c r="H350" s="7"/>
    </row>
    <row r="351" spans="2:8" x14ac:dyDescent="0.2">
      <c r="H351" s="7"/>
    </row>
    <row r="352" spans="2:8" x14ac:dyDescent="0.2">
      <c r="H352" s="7"/>
    </row>
    <row r="353" spans="8:8" x14ac:dyDescent="0.2">
      <c r="H353" s="7"/>
    </row>
    <row r="354" spans="8:8" x14ac:dyDescent="0.2">
      <c r="H354" s="7"/>
    </row>
    <row r="355" spans="8:8" x14ac:dyDescent="0.2">
      <c r="H355" s="7"/>
    </row>
    <row r="356" spans="8:8" x14ac:dyDescent="0.2">
      <c r="H356" s="7"/>
    </row>
    <row r="357" spans="8:8" x14ac:dyDescent="0.2">
      <c r="H357" s="7"/>
    </row>
    <row r="358" spans="8:8" x14ac:dyDescent="0.2">
      <c r="H358" s="7"/>
    </row>
    <row r="359" spans="8:8" x14ac:dyDescent="0.2">
      <c r="H359" s="7"/>
    </row>
    <row r="360" spans="8:8" x14ac:dyDescent="0.2">
      <c r="H360" s="7"/>
    </row>
    <row r="361" spans="8:8" x14ac:dyDescent="0.2">
      <c r="H361" s="7"/>
    </row>
    <row r="362" spans="8:8" x14ac:dyDescent="0.2">
      <c r="H362" s="7"/>
    </row>
    <row r="363" spans="8:8" x14ac:dyDescent="0.2">
      <c r="H363" s="7"/>
    </row>
    <row r="364" spans="8:8" x14ac:dyDescent="0.2">
      <c r="H364" s="7"/>
    </row>
    <row r="365" spans="8:8" x14ac:dyDescent="0.2">
      <c r="H365" s="7"/>
    </row>
    <row r="366" spans="8:8" x14ac:dyDescent="0.2">
      <c r="H366" s="7"/>
    </row>
    <row r="367" spans="8:8" x14ac:dyDescent="0.2">
      <c r="H367" s="7"/>
    </row>
    <row r="368" spans="8:8" x14ac:dyDescent="0.2">
      <c r="H368" s="7"/>
    </row>
    <row r="369" spans="8:8" x14ac:dyDescent="0.2">
      <c r="H369" s="7"/>
    </row>
    <row r="370" spans="8:8" x14ac:dyDescent="0.2">
      <c r="H370" s="7"/>
    </row>
    <row r="371" spans="8:8" x14ac:dyDescent="0.2">
      <c r="H371" s="7"/>
    </row>
    <row r="372" spans="8:8" x14ac:dyDescent="0.2">
      <c r="H372" s="7"/>
    </row>
    <row r="373" spans="8:8" x14ac:dyDescent="0.2">
      <c r="H373" s="7"/>
    </row>
    <row r="374" spans="8:8" x14ac:dyDescent="0.2">
      <c r="H374" s="7"/>
    </row>
    <row r="375" spans="8:8" x14ac:dyDescent="0.2">
      <c r="H375" s="7"/>
    </row>
    <row r="376" spans="8:8" x14ac:dyDescent="0.2">
      <c r="H376" s="7"/>
    </row>
    <row r="377" spans="8:8" x14ac:dyDescent="0.2">
      <c r="H377" s="7"/>
    </row>
    <row r="378" spans="8:8" x14ac:dyDescent="0.2">
      <c r="H378" s="7"/>
    </row>
    <row r="379" spans="8:8" x14ac:dyDescent="0.2">
      <c r="H379" s="7"/>
    </row>
    <row r="380" spans="8:8" x14ac:dyDescent="0.2">
      <c r="H380" s="7"/>
    </row>
    <row r="381" spans="8:8" x14ac:dyDescent="0.2">
      <c r="H381" s="7"/>
    </row>
    <row r="382" spans="8:8" x14ac:dyDescent="0.2">
      <c r="H382" s="7"/>
    </row>
    <row r="383" spans="8:8" x14ac:dyDescent="0.2">
      <c r="H383" s="7"/>
    </row>
    <row r="384" spans="8:8" x14ac:dyDescent="0.2">
      <c r="H384" s="7"/>
    </row>
    <row r="385" spans="8:8" x14ac:dyDescent="0.2">
      <c r="H385" s="7"/>
    </row>
    <row r="386" spans="8:8" x14ac:dyDescent="0.2">
      <c r="H386" s="7"/>
    </row>
    <row r="387" spans="8:8" x14ac:dyDescent="0.2">
      <c r="H387" s="7"/>
    </row>
    <row r="388" spans="8:8" x14ac:dyDescent="0.2">
      <c r="H388" s="7"/>
    </row>
    <row r="389" spans="8:8" x14ac:dyDescent="0.2">
      <c r="H389" s="7"/>
    </row>
    <row r="390" spans="8:8" x14ac:dyDescent="0.2">
      <c r="H390" s="7"/>
    </row>
    <row r="391" spans="8:8" x14ac:dyDescent="0.2">
      <c r="H391" s="7"/>
    </row>
    <row r="392" spans="8:8" x14ac:dyDescent="0.2">
      <c r="H392" s="7"/>
    </row>
    <row r="393" spans="8:8" x14ac:dyDescent="0.2">
      <c r="H393" s="7"/>
    </row>
    <row r="394" spans="8:8" x14ac:dyDescent="0.2">
      <c r="H394" s="7"/>
    </row>
    <row r="395" spans="8:8" x14ac:dyDescent="0.2">
      <c r="H395" s="7"/>
    </row>
    <row r="396" spans="8:8" x14ac:dyDescent="0.2">
      <c r="H396" s="7"/>
    </row>
    <row r="397" spans="8:8" x14ac:dyDescent="0.2">
      <c r="H397" s="7"/>
    </row>
    <row r="398" spans="8:8" x14ac:dyDescent="0.2">
      <c r="H398" s="7"/>
    </row>
    <row r="399" spans="8:8" x14ac:dyDescent="0.2">
      <c r="H399" s="7"/>
    </row>
    <row r="400" spans="8:8" x14ac:dyDescent="0.2">
      <c r="H400" s="7"/>
    </row>
    <row r="401" spans="8:8" x14ac:dyDescent="0.2">
      <c r="H401" s="7"/>
    </row>
    <row r="402" spans="8:8" x14ac:dyDescent="0.2">
      <c r="H402" s="7"/>
    </row>
    <row r="403" spans="8:8" x14ac:dyDescent="0.2">
      <c r="H403" s="7"/>
    </row>
    <row r="404" spans="8:8" x14ac:dyDescent="0.2">
      <c r="H404" s="7"/>
    </row>
    <row r="405" spans="8:8" x14ac:dyDescent="0.2">
      <c r="H405" s="7"/>
    </row>
    <row r="406" spans="8:8" x14ac:dyDescent="0.2">
      <c r="H406" s="7"/>
    </row>
    <row r="407" spans="8:8" x14ac:dyDescent="0.2">
      <c r="H407" s="7"/>
    </row>
    <row r="408" spans="8:8" x14ac:dyDescent="0.2">
      <c r="H408" s="7"/>
    </row>
    <row r="409" spans="8:8" x14ac:dyDescent="0.2">
      <c r="H409" s="7"/>
    </row>
    <row r="410" spans="8:8" x14ac:dyDescent="0.2">
      <c r="H410" s="7"/>
    </row>
    <row r="411" spans="8:8" x14ac:dyDescent="0.2">
      <c r="H411" s="7"/>
    </row>
    <row r="412" spans="8:8" x14ac:dyDescent="0.2">
      <c r="H412" s="7"/>
    </row>
    <row r="413" spans="8:8" x14ac:dyDescent="0.2">
      <c r="H413" s="7"/>
    </row>
    <row r="414" spans="8:8" x14ac:dyDescent="0.2">
      <c r="H414" s="7"/>
    </row>
    <row r="415" spans="8:8" x14ac:dyDescent="0.2">
      <c r="H415" s="7"/>
    </row>
    <row r="416" spans="8:8" x14ac:dyDescent="0.2">
      <c r="H416" s="7"/>
    </row>
    <row r="417" spans="8:8" x14ac:dyDescent="0.2">
      <c r="H417" s="7"/>
    </row>
    <row r="418" spans="8:8" x14ac:dyDescent="0.2">
      <c r="H418" s="7"/>
    </row>
    <row r="419" spans="8:8" x14ac:dyDescent="0.2">
      <c r="H419" s="7"/>
    </row>
    <row r="420" spans="8:8" x14ac:dyDescent="0.2">
      <c r="H420" s="7"/>
    </row>
    <row r="421" spans="8:8" x14ac:dyDescent="0.2">
      <c r="H421" s="7"/>
    </row>
    <row r="422" spans="8:8" x14ac:dyDescent="0.2">
      <c r="H422" s="7"/>
    </row>
    <row r="423" spans="8:8" x14ac:dyDescent="0.2">
      <c r="H423" s="7"/>
    </row>
    <row r="424" spans="8:8" x14ac:dyDescent="0.2">
      <c r="H424" s="7"/>
    </row>
    <row r="425" spans="8:8" x14ac:dyDescent="0.2">
      <c r="H425" s="7"/>
    </row>
    <row r="426" spans="8:8" x14ac:dyDescent="0.2">
      <c r="H426" s="7"/>
    </row>
    <row r="427" spans="8:8" x14ac:dyDescent="0.2">
      <c r="H427" s="7"/>
    </row>
    <row r="428" spans="8:8" x14ac:dyDescent="0.2">
      <c r="H428" s="7"/>
    </row>
    <row r="429" spans="8:8" x14ac:dyDescent="0.2">
      <c r="H429" s="7"/>
    </row>
    <row r="430" spans="8:8" x14ac:dyDescent="0.2">
      <c r="H430" s="7"/>
    </row>
    <row r="431" spans="8:8" x14ac:dyDescent="0.2">
      <c r="H431" s="7"/>
    </row>
    <row r="432" spans="8:8" x14ac:dyDescent="0.2">
      <c r="H432" s="7"/>
    </row>
    <row r="433" spans="8:8" x14ac:dyDescent="0.2">
      <c r="H433" s="7"/>
    </row>
    <row r="434" spans="8:8" x14ac:dyDescent="0.2">
      <c r="H434" s="7"/>
    </row>
    <row r="435" spans="8:8" x14ac:dyDescent="0.2">
      <c r="H435" s="7"/>
    </row>
    <row r="436" spans="8:8" x14ac:dyDescent="0.2">
      <c r="H436" s="7"/>
    </row>
    <row r="437" spans="8:8" x14ac:dyDescent="0.2">
      <c r="H437" s="7"/>
    </row>
    <row r="438" spans="8:8" x14ac:dyDescent="0.2">
      <c r="H438" s="7"/>
    </row>
    <row r="439" spans="8:8" x14ac:dyDescent="0.2">
      <c r="H439" s="7"/>
    </row>
    <row r="440" spans="8:8" x14ac:dyDescent="0.2">
      <c r="H440" s="7"/>
    </row>
    <row r="441" spans="8:8" x14ac:dyDescent="0.2">
      <c r="H441" s="7"/>
    </row>
    <row r="442" spans="8:8" x14ac:dyDescent="0.2">
      <c r="H442" s="7"/>
    </row>
    <row r="443" spans="8:8" x14ac:dyDescent="0.2">
      <c r="H443" s="7"/>
    </row>
    <row r="444" spans="8:8" x14ac:dyDescent="0.2">
      <c r="H444" s="7"/>
    </row>
    <row r="445" spans="8:8" x14ac:dyDescent="0.2">
      <c r="H445" s="7"/>
    </row>
    <row r="446" spans="8:8" x14ac:dyDescent="0.2">
      <c r="H446" s="7"/>
    </row>
    <row r="447" spans="8:8" x14ac:dyDescent="0.2">
      <c r="H447" s="7"/>
    </row>
    <row r="448" spans="8:8" x14ac:dyDescent="0.2">
      <c r="H448" s="7"/>
    </row>
    <row r="449" spans="8:8" x14ac:dyDescent="0.2">
      <c r="H449" s="7"/>
    </row>
    <row r="450" spans="8:8" x14ac:dyDescent="0.2">
      <c r="H450" s="7"/>
    </row>
    <row r="451" spans="8:8" x14ac:dyDescent="0.2">
      <c r="H451" s="7"/>
    </row>
    <row r="452" spans="8:8" x14ac:dyDescent="0.2">
      <c r="H452" s="7"/>
    </row>
    <row r="453" spans="8:8" x14ac:dyDescent="0.2">
      <c r="H453" s="7"/>
    </row>
    <row r="454" spans="8:8" x14ac:dyDescent="0.2">
      <c r="H454" s="7"/>
    </row>
    <row r="455" spans="8:8" x14ac:dyDescent="0.2">
      <c r="H455" s="7"/>
    </row>
    <row r="456" spans="8:8" x14ac:dyDescent="0.2">
      <c r="H456" s="7"/>
    </row>
    <row r="457" spans="8:8" x14ac:dyDescent="0.2">
      <c r="H457" s="7"/>
    </row>
    <row r="458" spans="8:8" x14ac:dyDescent="0.2">
      <c r="H458" s="7"/>
    </row>
    <row r="459" spans="8:8" x14ac:dyDescent="0.2">
      <c r="H459" s="7"/>
    </row>
    <row r="460" spans="8:8" x14ac:dyDescent="0.2">
      <c r="H460" s="7"/>
    </row>
    <row r="461" spans="8:8" x14ac:dyDescent="0.2">
      <c r="H461" s="7"/>
    </row>
    <row r="462" spans="8:8" x14ac:dyDescent="0.2">
      <c r="H462" s="7"/>
    </row>
    <row r="463" spans="8:8" x14ac:dyDescent="0.2">
      <c r="H463" s="7"/>
    </row>
    <row r="464" spans="8:8" x14ac:dyDescent="0.2">
      <c r="H464" s="7"/>
    </row>
    <row r="465" spans="8:8" x14ac:dyDescent="0.2">
      <c r="H465" s="7"/>
    </row>
    <row r="466" spans="8:8" x14ac:dyDescent="0.2">
      <c r="H466" s="7"/>
    </row>
    <row r="467" spans="8:8" x14ac:dyDescent="0.2">
      <c r="H467" s="7"/>
    </row>
    <row r="468" spans="8:8" x14ac:dyDescent="0.2">
      <c r="H468" s="7"/>
    </row>
    <row r="469" spans="8:8" x14ac:dyDescent="0.2">
      <c r="H469" s="7"/>
    </row>
    <row r="470" spans="8:8" x14ac:dyDescent="0.2">
      <c r="H470" s="7"/>
    </row>
    <row r="471" spans="8:8" x14ac:dyDescent="0.2">
      <c r="H471" s="7"/>
    </row>
    <row r="472" spans="8:8" x14ac:dyDescent="0.2">
      <c r="H472" s="7"/>
    </row>
    <row r="473" spans="8:8" x14ac:dyDescent="0.2">
      <c r="H473" s="7"/>
    </row>
    <row r="474" spans="8:8" x14ac:dyDescent="0.2">
      <c r="H474" s="7"/>
    </row>
    <row r="475" spans="8:8" x14ac:dyDescent="0.2">
      <c r="H475" s="7"/>
    </row>
    <row r="476" spans="8:8" x14ac:dyDescent="0.2">
      <c r="H476" s="7"/>
    </row>
    <row r="477" spans="8:8" x14ac:dyDescent="0.2">
      <c r="H477" s="7"/>
    </row>
    <row r="478" spans="8:8" x14ac:dyDescent="0.2">
      <c r="H478" s="7"/>
    </row>
    <row r="479" spans="8:8" x14ac:dyDescent="0.2">
      <c r="H479" s="7"/>
    </row>
    <row r="480" spans="8:8" x14ac:dyDescent="0.2">
      <c r="H480" s="7"/>
    </row>
    <row r="481" spans="8:8" x14ac:dyDescent="0.2">
      <c r="H481" s="7"/>
    </row>
    <row r="482" spans="8:8" x14ac:dyDescent="0.2">
      <c r="H482" s="7"/>
    </row>
    <row r="483" spans="8:8" x14ac:dyDescent="0.2">
      <c r="H483" s="7"/>
    </row>
    <row r="484" spans="8:8" x14ac:dyDescent="0.2">
      <c r="H484" s="7"/>
    </row>
    <row r="485" spans="8:8" x14ac:dyDescent="0.2">
      <c r="H485" s="7"/>
    </row>
    <row r="486" spans="8:8" x14ac:dyDescent="0.2">
      <c r="H486" s="7"/>
    </row>
    <row r="487" spans="8:8" x14ac:dyDescent="0.2">
      <c r="H487" s="7"/>
    </row>
    <row r="488" spans="8:8" x14ac:dyDescent="0.2">
      <c r="H488" s="7"/>
    </row>
    <row r="489" spans="8:8" x14ac:dyDescent="0.2">
      <c r="H489" s="7"/>
    </row>
    <row r="490" spans="8:8" x14ac:dyDescent="0.2">
      <c r="H490" s="7"/>
    </row>
    <row r="491" spans="8:8" x14ac:dyDescent="0.2">
      <c r="H491" s="7"/>
    </row>
    <row r="492" spans="8:8" x14ac:dyDescent="0.2">
      <c r="H492" s="7"/>
    </row>
    <row r="493" spans="8:8" x14ac:dyDescent="0.2">
      <c r="H493" s="7"/>
    </row>
    <row r="494" spans="8:8" x14ac:dyDescent="0.2">
      <c r="H494" s="7"/>
    </row>
    <row r="495" spans="8:8" x14ac:dyDescent="0.2">
      <c r="H495" s="7"/>
    </row>
    <row r="496" spans="8:8" x14ac:dyDescent="0.2">
      <c r="H496" s="7"/>
    </row>
    <row r="497" spans="8:8" x14ac:dyDescent="0.2">
      <c r="H497" s="7"/>
    </row>
    <row r="498" spans="8:8" x14ac:dyDescent="0.2">
      <c r="H498" s="7"/>
    </row>
    <row r="499" spans="8:8" x14ac:dyDescent="0.2">
      <c r="H499" s="7"/>
    </row>
    <row r="500" spans="8:8" x14ac:dyDescent="0.2">
      <c r="H500" s="7"/>
    </row>
    <row r="501" spans="8:8" x14ac:dyDescent="0.2">
      <c r="H501" s="7"/>
    </row>
    <row r="502" spans="8:8" x14ac:dyDescent="0.2">
      <c r="H502" s="7"/>
    </row>
    <row r="503" spans="8:8" x14ac:dyDescent="0.2">
      <c r="H503" s="7"/>
    </row>
    <row r="504" spans="8:8" x14ac:dyDescent="0.2">
      <c r="H504" s="7"/>
    </row>
    <row r="505" spans="8:8" x14ac:dyDescent="0.2">
      <c r="H505" s="7"/>
    </row>
    <row r="506" spans="8:8" x14ac:dyDescent="0.2">
      <c r="H506" s="7"/>
    </row>
    <row r="507" spans="8:8" x14ac:dyDescent="0.2">
      <c r="H507" s="7"/>
    </row>
    <row r="508" spans="8:8" x14ac:dyDescent="0.2">
      <c r="H508" s="7"/>
    </row>
    <row r="509" spans="8:8" x14ac:dyDescent="0.2">
      <c r="H509" s="7"/>
    </row>
    <row r="510" spans="8:8" x14ac:dyDescent="0.2">
      <c r="H510" s="7"/>
    </row>
    <row r="511" spans="8:8" x14ac:dyDescent="0.2">
      <c r="H511" s="7"/>
    </row>
    <row r="512" spans="8:8" x14ac:dyDescent="0.2">
      <c r="H512" s="7"/>
    </row>
    <row r="513" spans="8:8" x14ac:dyDescent="0.2">
      <c r="H513" s="7"/>
    </row>
    <row r="514" spans="8:8" x14ac:dyDescent="0.2">
      <c r="H514" s="7"/>
    </row>
    <row r="515" spans="8:8" x14ac:dyDescent="0.2">
      <c r="H515" s="7"/>
    </row>
    <row r="516" spans="8:8" x14ac:dyDescent="0.2">
      <c r="H516" s="7"/>
    </row>
    <row r="517" spans="8:8" x14ac:dyDescent="0.2">
      <c r="H517" s="7"/>
    </row>
    <row r="518" spans="8:8" x14ac:dyDescent="0.2">
      <c r="H518" s="7"/>
    </row>
    <row r="519" spans="8:8" x14ac:dyDescent="0.2">
      <c r="H519" s="7"/>
    </row>
    <row r="520" spans="8:8" x14ac:dyDescent="0.2">
      <c r="H520" s="7"/>
    </row>
    <row r="521" spans="8:8" x14ac:dyDescent="0.2">
      <c r="H521" s="7"/>
    </row>
    <row r="522" spans="8:8" x14ac:dyDescent="0.2">
      <c r="H522" s="7"/>
    </row>
    <row r="523" spans="8:8" x14ac:dyDescent="0.2">
      <c r="H523" s="7"/>
    </row>
    <row r="524" spans="8:8" x14ac:dyDescent="0.2">
      <c r="H524" s="7"/>
    </row>
    <row r="525" spans="8:8" x14ac:dyDescent="0.2">
      <c r="H525" s="7"/>
    </row>
    <row r="526" spans="8:8" x14ac:dyDescent="0.2">
      <c r="H526" s="7"/>
    </row>
    <row r="527" spans="8:8" x14ac:dyDescent="0.2">
      <c r="H527" s="7"/>
    </row>
    <row r="528" spans="8:8" x14ac:dyDescent="0.2">
      <c r="H528" s="7"/>
    </row>
    <row r="529" spans="8:8" x14ac:dyDescent="0.2">
      <c r="H529" s="7"/>
    </row>
    <row r="530" spans="8:8" x14ac:dyDescent="0.2">
      <c r="H530" s="7"/>
    </row>
    <row r="531" spans="8:8" x14ac:dyDescent="0.2">
      <c r="H531" s="7"/>
    </row>
    <row r="532" spans="8:8" x14ac:dyDescent="0.2">
      <c r="H532" s="7"/>
    </row>
    <row r="533" spans="8:8" x14ac:dyDescent="0.2">
      <c r="H533" s="7"/>
    </row>
    <row r="534" spans="8:8" x14ac:dyDescent="0.2">
      <c r="H534" s="7"/>
    </row>
    <row r="535" spans="8:8" x14ac:dyDescent="0.2">
      <c r="H535" s="7"/>
    </row>
    <row r="536" spans="8:8" x14ac:dyDescent="0.2">
      <c r="H536" s="7"/>
    </row>
    <row r="537" spans="8:8" x14ac:dyDescent="0.2">
      <c r="H537" s="7"/>
    </row>
    <row r="538" spans="8:8" x14ac:dyDescent="0.2">
      <c r="H538" s="7"/>
    </row>
    <row r="539" spans="8:8" x14ac:dyDescent="0.2">
      <c r="H539" s="7"/>
    </row>
    <row r="540" spans="8:8" x14ac:dyDescent="0.2">
      <c r="H540" s="7"/>
    </row>
    <row r="541" spans="8:8" x14ac:dyDescent="0.2">
      <c r="H541" s="7"/>
    </row>
    <row r="542" spans="8:8" x14ac:dyDescent="0.2">
      <c r="H542" s="7"/>
    </row>
    <row r="543" spans="8:8" x14ac:dyDescent="0.2">
      <c r="H543" s="7"/>
    </row>
    <row r="544" spans="8:8" x14ac:dyDescent="0.2">
      <c r="H544" s="7"/>
    </row>
    <row r="545" spans="8:8" x14ac:dyDescent="0.2">
      <c r="H545" s="7"/>
    </row>
    <row r="546" spans="8:8" x14ac:dyDescent="0.2">
      <c r="H546" s="7"/>
    </row>
    <row r="547" spans="8:8" x14ac:dyDescent="0.2">
      <c r="H547" s="7"/>
    </row>
    <row r="548" spans="8:8" x14ac:dyDescent="0.2">
      <c r="H548" s="7"/>
    </row>
    <row r="549" spans="8:8" x14ac:dyDescent="0.2">
      <c r="H549" s="7"/>
    </row>
    <row r="550" spans="8:8" x14ac:dyDescent="0.2">
      <c r="H550" s="7"/>
    </row>
    <row r="551" spans="8:8" x14ac:dyDescent="0.2">
      <c r="H551" s="7"/>
    </row>
    <row r="552" spans="8:8" x14ac:dyDescent="0.2">
      <c r="H552" s="7"/>
    </row>
    <row r="553" spans="8:8" x14ac:dyDescent="0.2">
      <c r="H553" s="7"/>
    </row>
    <row r="554" spans="8:8" x14ac:dyDescent="0.2">
      <c r="H554" s="7"/>
    </row>
    <row r="555" spans="8:8" x14ac:dyDescent="0.2">
      <c r="H555" s="7"/>
    </row>
    <row r="556" spans="8:8" x14ac:dyDescent="0.2">
      <c r="H556" s="7"/>
    </row>
    <row r="557" spans="8:8" x14ac:dyDescent="0.2">
      <c r="H557" s="7"/>
    </row>
    <row r="558" spans="8:8" x14ac:dyDescent="0.2">
      <c r="H558" s="7"/>
    </row>
    <row r="559" spans="8:8" x14ac:dyDescent="0.2">
      <c r="H559" s="7"/>
    </row>
    <row r="560" spans="8:8" x14ac:dyDescent="0.2">
      <c r="H560" s="7"/>
    </row>
    <row r="561" spans="8:8" x14ac:dyDescent="0.2">
      <c r="H561" s="7"/>
    </row>
    <row r="562" spans="8:8" x14ac:dyDescent="0.2">
      <c r="H562" s="7"/>
    </row>
    <row r="563" spans="8:8" x14ac:dyDescent="0.2">
      <c r="H563" s="7"/>
    </row>
    <row r="564" spans="8:8" x14ac:dyDescent="0.2">
      <c r="H564" s="7"/>
    </row>
    <row r="565" spans="8:8" x14ac:dyDescent="0.2">
      <c r="H565" s="7"/>
    </row>
    <row r="566" spans="8:8" x14ac:dyDescent="0.2">
      <c r="H566" s="7"/>
    </row>
    <row r="567" spans="8:8" x14ac:dyDescent="0.2">
      <c r="H567" s="7"/>
    </row>
    <row r="568" spans="8:8" x14ac:dyDescent="0.2">
      <c r="H568" s="7"/>
    </row>
    <row r="569" spans="8:8" x14ac:dyDescent="0.2">
      <c r="H569" s="7"/>
    </row>
    <row r="570" spans="8:8" x14ac:dyDescent="0.2">
      <c r="H570" s="7"/>
    </row>
    <row r="571" spans="8:8" x14ac:dyDescent="0.2">
      <c r="H571" s="7"/>
    </row>
    <row r="572" spans="8:8" x14ac:dyDescent="0.2">
      <c r="H572" s="7"/>
    </row>
    <row r="573" spans="8:8" x14ac:dyDescent="0.2">
      <c r="H573" s="7"/>
    </row>
    <row r="574" spans="8:8" x14ac:dyDescent="0.2">
      <c r="H574" s="7"/>
    </row>
    <row r="575" spans="8:8" x14ac:dyDescent="0.2">
      <c r="H575" s="7"/>
    </row>
    <row r="576" spans="8:8" x14ac:dyDescent="0.2">
      <c r="H576" s="7"/>
    </row>
    <row r="577" spans="8:8" x14ac:dyDescent="0.2">
      <c r="H577" s="7"/>
    </row>
    <row r="578" spans="8:8" x14ac:dyDescent="0.2">
      <c r="H578" s="7"/>
    </row>
    <row r="579" spans="8:8" x14ac:dyDescent="0.2">
      <c r="H579" s="7"/>
    </row>
    <row r="580" spans="8:8" x14ac:dyDescent="0.2">
      <c r="H580" s="7"/>
    </row>
    <row r="581" spans="8:8" x14ac:dyDescent="0.2">
      <c r="H581" s="7"/>
    </row>
    <row r="582" spans="8:8" x14ac:dyDescent="0.2">
      <c r="H582" s="7"/>
    </row>
    <row r="583" spans="8:8" x14ac:dyDescent="0.2">
      <c r="H583" s="7"/>
    </row>
    <row r="584" spans="8:8" x14ac:dyDescent="0.2">
      <c r="H584" s="7"/>
    </row>
    <row r="585" spans="8:8" x14ac:dyDescent="0.2">
      <c r="H585" s="7"/>
    </row>
    <row r="586" spans="8:8" x14ac:dyDescent="0.2">
      <c r="H586" s="7"/>
    </row>
    <row r="587" spans="8:8" x14ac:dyDescent="0.2">
      <c r="H587" s="7"/>
    </row>
    <row r="588" spans="8:8" x14ac:dyDescent="0.2">
      <c r="H588" s="7"/>
    </row>
    <row r="589" spans="8:8" x14ac:dyDescent="0.2">
      <c r="H589" s="7"/>
    </row>
    <row r="590" spans="8:8" x14ac:dyDescent="0.2">
      <c r="H590" s="7"/>
    </row>
    <row r="591" spans="8:8" x14ac:dyDescent="0.2">
      <c r="H591" s="7"/>
    </row>
    <row r="592" spans="8:8" x14ac:dyDescent="0.2">
      <c r="H592" s="7"/>
    </row>
    <row r="593" spans="8:8" x14ac:dyDescent="0.2">
      <c r="H593" s="7"/>
    </row>
    <row r="594" spans="8:8" x14ac:dyDescent="0.2">
      <c r="H594" s="7"/>
    </row>
    <row r="595" spans="8:8" x14ac:dyDescent="0.2">
      <c r="H595" s="7"/>
    </row>
    <row r="596" spans="8:8" x14ac:dyDescent="0.2">
      <c r="H596" s="7"/>
    </row>
    <row r="597" spans="8:8" x14ac:dyDescent="0.2">
      <c r="H597" s="7"/>
    </row>
    <row r="598" spans="8:8" x14ac:dyDescent="0.2">
      <c r="H598" s="7"/>
    </row>
    <row r="599" spans="8:8" x14ac:dyDescent="0.2">
      <c r="H599" s="7"/>
    </row>
    <row r="600" spans="8:8" x14ac:dyDescent="0.2">
      <c r="H600" s="7"/>
    </row>
    <row r="601" spans="8:8" x14ac:dyDescent="0.2">
      <c r="H601" s="7"/>
    </row>
    <row r="602" spans="8:8" x14ac:dyDescent="0.2">
      <c r="H602" s="7"/>
    </row>
    <row r="603" spans="8:8" x14ac:dyDescent="0.2">
      <c r="H603" s="7"/>
    </row>
    <row r="604" spans="8:8" x14ac:dyDescent="0.2">
      <c r="H604" s="7"/>
    </row>
    <row r="605" spans="8:8" x14ac:dyDescent="0.2">
      <c r="H605" s="7"/>
    </row>
    <row r="606" spans="8:8" x14ac:dyDescent="0.2">
      <c r="H606" s="7"/>
    </row>
    <row r="607" spans="8:8" x14ac:dyDescent="0.2">
      <c r="H607" s="7"/>
    </row>
    <row r="608" spans="8:8" x14ac:dyDescent="0.2">
      <c r="H608" s="7"/>
    </row>
    <row r="609" spans="8:8" x14ac:dyDescent="0.2">
      <c r="H609" s="7"/>
    </row>
    <row r="610" spans="8:8" x14ac:dyDescent="0.2">
      <c r="H610" s="7"/>
    </row>
    <row r="611" spans="8:8" x14ac:dyDescent="0.2">
      <c r="H611" s="7"/>
    </row>
    <row r="612" spans="8:8" x14ac:dyDescent="0.2">
      <c r="H612" s="7"/>
    </row>
    <row r="613" spans="8:8" x14ac:dyDescent="0.2">
      <c r="H613" s="7"/>
    </row>
    <row r="614" spans="8:8" x14ac:dyDescent="0.2">
      <c r="H614" s="7"/>
    </row>
    <row r="615" spans="8:8" x14ac:dyDescent="0.2">
      <c r="H615" s="7"/>
    </row>
    <row r="616" spans="8:8" x14ac:dyDescent="0.2">
      <c r="H616" s="7"/>
    </row>
    <row r="617" spans="8:8" x14ac:dyDescent="0.2">
      <c r="H617" s="7"/>
    </row>
    <row r="618" spans="8:8" x14ac:dyDescent="0.2">
      <c r="H618" s="7"/>
    </row>
    <row r="619" spans="8:8" x14ac:dyDescent="0.2">
      <c r="H619" s="7"/>
    </row>
    <row r="620" spans="8:8" x14ac:dyDescent="0.2">
      <c r="H620" s="7"/>
    </row>
    <row r="621" spans="8:8" x14ac:dyDescent="0.2">
      <c r="H621" s="7"/>
    </row>
    <row r="622" spans="8:8" x14ac:dyDescent="0.2">
      <c r="H622" s="7"/>
    </row>
    <row r="623" spans="8:8" x14ac:dyDescent="0.2">
      <c r="H623" s="7"/>
    </row>
    <row r="624" spans="8:8" x14ac:dyDescent="0.2">
      <c r="H624" s="7"/>
    </row>
    <row r="625" spans="8:8" x14ac:dyDescent="0.2">
      <c r="H625" s="7"/>
    </row>
    <row r="626" spans="8:8" x14ac:dyDescent="0.2">
      <c r="H626" s="7"/>
    </row>
    <row r="627" spans="8:8" x14ac:dyDescent="0.2">
      <c r="H627" s="7"/>
    </row>
    <row r="628" spans="8:8" x14ac:dyDescent="0.2">
      <c r="H628" s="7"/>
    </row>
    <row r="629" spans="8:8" x14ac:dyDescent="0.2">
      <c r="H629" s="7"/>
    </row>
    <row r="630" spans="8:8" x14ac:dyDescent="0.2">
      <c r="H630" s="7"/>
    </row>
    <row r="631" spans="8:8" x14ac:dyDescent="0.2">
      <c r="H631" s="7"/>
    </row>
    <row r="632" spans="8:8" x14ac:dyDescent="0.2">
      <c r="H632" s="7"/>
    </row>
    <row r="633" spans="8:8" x14ac:dyDescent="0.2">
      <c r="H633" s="7"/>
    </row>
    <row r="634" spans="8:8" x14ac:dyDescent="0.2">
      <c r="H634" s="7"/>
    </row>
    <row r="635" spans="8:8" x14ac:dyDescent="0.2">
      <c r="H635" s="7"/>
    </row>
    <row r="636" spans="8:8" x14ac:dyDescent="0.2">
      <c r="H636" s="7"/>
    </row>
    <row r="637" spans="8:8" x14ac:dyDescent="0.2">
      <c r="H637" s="7"/>
    </row>
    <row r="638" spans="8:8" x14ac:dyDescent="0.2">
      <c r="H638" s="7"/>
    </row>
    <row r="639" spans="8:8" x14ac:dyDescent="0.2">
      <c r="H639" s="7"/>
    </row>
    <row r="640" spans="8:8" x14ac:dyDescent="0.2">
      <c r="H640" s="7"/>
    </row>
    <row r="641" spans="8:8" x14ac:dyDescent="0.2">
      <c r="H641" s="7"/>
    </row>
    <row r="642" spans="8:8" x14ac:dyDescent="0.2">
      <c r="H642" s="7"/>
    </row>
    <row r="643" spans="8:8" x14ac:dyDescent="0.2">
      <c r="H643" s="7"/>
    </row>
    <row r="644" spans="8:8" x14ac:dyDescent="0.2">
      <c r="H644" s="7"/>
    </row>
    <row r="645" spans="8:8" x14ac:dyDescent="0.2">
      <c r="H645" s="7"/>
    </row>
    <row r="646" spans="8:8" x14ac:dyDescent="0.2">
      <c r="H646" s="7"/>
    </row>
    <row r="647" spans="8:8" x14ac:dyDescent="0.2">
      <c r="H647" s="7"/>
    </row>
    <row r="648" spans="8:8" x14ac:dyDescent="0.2">
      <c r="H648" s="7"/>
    </row>
    <row r="649" spans="8:8" x14ac:dyDescent="0.2">
      <c r="H649" s="7"/>
    </row>
    <row r="650" spans="8:8" x14ac:dyDescent="0.2">
      <c r="H650" s="7"/>
    </row>
    <row r="651" spans="8:8" x14ac:dyDescent="0.2">
      <c r="H651" s="7"/>
    </row>
    <row r="652" spans="8:8" x14ac:dyDescent="0.2">
      <c r="H652" s="7"/>
    </row>
    <row r="653" spans="8:8" x14ac:dyDescent="0.2">
      <c r="H653" s="7"/>
    </row>
    <row r="654" spans="8:8" x14ac:dyDescent="0.2">
      <c r="H654" s="7"/>
    </row>
    <row r="655" spans="8:8" x14ac:dyDescent="0.2">
      <c r="H655" s="7"/>
    </row>
    <row r="656" spans="8:8" x14ac:dyDescent="0.2">
      <c r="H656" s="7"/>
    </row>
    <row r="657" spans="8:8" x14ac:dyDescent="0.2">
      <c r="H657" s="7"/>
    </row>
    <row r="658" spans="8:8" x14ac:dyDescent="0.2">
      <c r="H658" s="7"/>
    </row>
    <row r="659" spans="8:8" x14ac:dyDescent="0.2">
      <c r="H659" s="7"/>
    </row>
    <row r="660" spans="8:8" x14ac:dyDescent="0.2">
      <c r="H660" s="7"/>
    </row>
    <row r="661" spans="8:8" x14ac:dyDescent="0.2">
      <c r="H661" s="7"/>
    </row>
    <row r="662" spans="8:8" x14ac:dyDescent="0.2">
      <c r="H662" s="7"/>
    </row>
    <row r="663" spans="8:8" x14ac:dyDescent="0.2">
      <c r="H663" s="7"/>
    </row>
    <row r="664" spans="8:8" x14ac:dyDescent="0.2">
      <c r="H664" s="7"/>
    </row>
    <row r="665" spans="8:8" x14ac:dyDescent="0.2">
      <c r="H665" s="7"/>
    </row>
    <row r="666" spans="8:8" x14ac:dyDescent="0.2">
      <c r="H666" s="7"/>
    </row>
    <row r="667" spans="8:8" x14ac:dyDescent="0.2">
      <c r="H667" s="7"/>
    </row>
    <row r="668" spans="8:8" x14ac:dyDescent="0.2">
      <c r="H668" s="7"/>
    </row>
    <row r="669" spans="8:8" x14ac:dyDescent="0.2">
      <c r="H669" s="7"/>
    </row>
    <row r="670" spans="8:8" x14ac:dyDescent="0.2">
      <c r="H670" s="7"/>
    </row>
    <row r="671" spans="8:8" x14ac:dyDescent="0.2">
      <c r="H671" s="7"/>
    </row>
    <row r="672" spans="8:8" x14ac:dyDescent="0.2">
      <c r="H672" s="1"/>
    </row>
    <row r="673" spans="8:8" x14ac:dyDescent="0.2">
      <c r="H673" s="1"/>
    </row>
    <row r="674" spans="8:8" x14ac:dyDescent="0.2">
      <c r="H674" s="1"/>
    </row>
    <row r="675" spans="8:8" x14ac:dyDescent="0.2">
      <c r="H675" s="1"/>
    </row>
    <row r="676" spans="8:8" x14ac:dyDescent="0.2">
      <c r="H676" s="1"/>
    </row>
    <row r="677" spans="8:8" x14ac:dyDescent="0.2">
      <c r="H677" s="1"/>
    </row>
    <row r="678" spans="8:8" x14ac:dyDescent="0.2">
      <c r="H678" s="1"/>
    </row>
    <row r="679" spans="8:8" x14ac:dyDescent="0.2">
      <c r="H679" s="1"/>
    </row>
    <row r="680" spans="8:8" x14ac:dyDescent="0.2">
      <c r="H680" s="1"/>
    </row>
    <row r="681" spans="8:8" x14ac:dyDescent="0.2">
      <c r="H681" s="1"/>
    </row>
    <row r="682" spans="8:8" x14ac:dyDescent="0.2">
      <c r="H682" s="1"/>
    </row>
    <row r="683" spans="8:8" x14ac:dyDescent="0.2">
      <c r="H683" s="1"/>
    </row>
    <row r="684" spans="8:8" x14ac:dyDescent="0.2">
      <c r="H684" s="1"/>
    </row>
    <row r="685" spans="8:8" x14ac:dyDescent="0.2">
      <c r="H685" s="1"/>
    </row>
    <row r="686" spans="8:8" x14ac:dyDescent="0.2">
      <c r="H686" s="1"/>
    </row>
    <row r="687" spans="8:8" x14ac:dyDescent="0.2">
      <c r="H687" s="1"/>
    </row>
    <row r="688" spans="8:8" x14ac:dyDescent="0.2">
      <c r="H688" s="1"/>
    </row>
    <row r="689" spans="8:8" x14ac:dyDescent="0.2">
      <c r="H689" s="1"/>
    </row>
    <row r="690" spans="8:8" x14ac:dyDescent="0.2">
      <c r="H690" s="1"/>
    </row>
    <row r="691" spans="8:8" x14ac:dyDescent="0.2">
      <c r="H691" s="1"/>
    </row>
    <row r="692" spans="8:8" x14ac:dyDescent="0.2">
      <c r="H692" s="1"/>
    </row>
    <row r="693" spans="8:8" x14ac:dyDescent="0.2">
      <c r="H693" s="1"/>
    </row>
    <row r="694" spans="8:8" x14ac:dyDescent="0.2">
      <c r="H694" s="1"/>
    </row>
    <row r="695" spans="8:8" x14ac:dyDescent="0.2">
      <c r="H695" s="1"/>
    </row>
    <row r="696" spans="8:8" x14ac:dyDescent="0.2">
      <c r="H696" s="1"/>
    </row>
    <row r="697" spans="8:8" x14ac:dyDescent="0.2">
      <c r="H697" s="1"/>
    </row>
    <row r="698" spans="8:8" x14ac:dyDescent="0.2">
      <c r="H698" s="1"/>
    </row>
    <row r="699" spans="8:8" x14ac:dyDescent="0.2">
      <c r="H699" s="1"/>
    </row>
    <row r="700" spans="8:8" x14ac:dyDescent="0.2">
      <c r="H700" s="1"/>
    </row>
    <row r="701" spans="8:8" x14ac:dyDescent="0.2">
      <c r="H701" s="1"/>
    </row>
    <row r="702" spans="8:8" x14ac:dyDescent="0.2">
      <c r="H702" s="1"/>
    </row>
    <row r="703" spans="8:8" x14ac:dyDescent="0.2">
      <c r="H703" s="1"/>
    </row>
    <row r="704" spans="8:8" x14ac:dyDescent="0.2">
      <c r="H704" s="1"/>
    </row>
    <row r="705" spans="8:8" x14ac:dyDescent="0.2">
      <c r="H705" s="1"/>
    </row>
    <row r="706" spans="8:8" x14ac:dyDescent="0.2">
      <c r="H706" s="1"/>
    </row>
    <row r="707" spans="8:8" x14ac:dyDescent="0.2">
      <c r="H707" s="1"/>
    </row>
    <row r="708" spans="8:8" x14ac:dyDescent="0.2">
      <c r="H708" s="1"/>
    </row>
    <row r="709" spans="8:8" x14ac:dyDescent="0.2">
      <c r="H709" s="1"/>
    </row>
    <row r="710" spans="8:8" x14ac:dyDescent="0.2">
      <c r="H710" s="1"/>
    </row>
    <row r="711" spans="8:8" x14ac:dyDescent="0.2">
      <c r="H711" s="1"/>
    </row>
    <row r="712" spans="8:8" x14ac:dyDescent="0.2">
      <c r="H712" s="1"/>
    </row>
    <row r="713" spans="8:8" x14ac:dyDescent="0.2">
      <c r="H713" s="1"/>
    </row>
    <row r="714" spans="8:8" x14ac:dyDescent="0.2">
      <c r="H714" s="1"/>
    </row>
    <row r="715" spans="8:8" x14ac:dyDescent="0.2">
      <c r="H715" s="1"/>
    </row>
    <row r="716" spans="8:8" x14ac:dyDescent="0.2">
      <c r="H716" s="1"/>
    </row>
    <row r="717" spans="8:8" x14ac:dyDescent="0.2">
      <c r="H717" s="1"/>
    </row>
    <row r="718" spans="8:8" x14ac:dyDescent="0.2">
      <c r="H718" s="1"/>
    </row>
    <row r="719" spans="8:8" x14ac:dyDescent="0.2">
      <c r="H719" s="1"/>
    </row>
    <row r="720" spans="8:8" x14ac:dyDescent="0.2">
      <c r="H720" s="1"/>
    </row>
    <row r="721" spans="8:8" x14ac:dyDescent="0.2">
      <c r="H721" s="1"/>
    </row>
    <row r="722" spans="8:8" x14ac:dyDescent="0.2">
      <c r="H722" s="1"/>
    </row>
    <row r="723" spans="8:8" x14ac:dyDescent="0.2">
      <c r="H723" s="1"/>
    </row>
    <row r="724" spans="8:8" x14ac:dyDescent="0.2">
      <c r="H724" s="1"/>
    </row>
    <row r="725" spans="8:8" x14ac:dyDescent="0.2">
      <c r="H725" s="1"/>
    </row>
    <row r="726" spans="8:8" x14ac:dyDescent="0.2">
      <c r="H726" s="1"/>
    </row>
    <row r="727" spans="8:8" x14ac:dyDescent="0.2">
      <c r="H727" s="1"/>
    </row>
    <row r="728" spans="8:8" x14ac:dyDescent="0.2">
      <c r="H728" s="1"/>
    </row>
    <row r="729" spans="8:8" x14ac:dyDescent="0.2">
      <c r="H729" s="1"/>
    </row>
    <row r="730" spans="8:8" x14ac:dyDescent="0.2">
      <c r="H730" s="1"/>
    </row>
    <row r="731" spans="8:8" x14ac:dyDescent="0.2">
      <c r="H731" s="1"/>
    </row>
    <row r="732" spans="8:8" x14ac:dyDescent="0.2">
      <c r="H732" s="1"/>
    </row>
    <row r="733" spans="8:8" x14ac:dyDescent="0.2">
      <c r="H733" s="1"/>
    </row>
    <row r="734" spans="8:8" x14ac:dyDescent="0.2">
      <c r="H734" s="1"/>
    </row>
    <row r="735" spans="8:8" x14ac:dyDescent="0.2">
      <c r="H735" s="1"/>
    </row>
    <row r="736" spans="8:8" x14ac:dyDescent="0.2">
      <c r="H736" s="1"/>
    </row>
    <row r="737" spans="8:8" x14ac:dyDescent="0.2">
      <c r="H737" s="1"/>
    </row>
    <row r="738" spans="8:8" x14ac:dyDescent="0.2">
      <c r="H738" s="1"/>
    </row>
    <row r="739" spans="8:8" x14ac:dyDescent="0.2">
      <c r="H739" s="1"/>
    </row>
    <row r="740" spans="8:8" x14ac:dyDescent="0.2">
      <c r="H740" s="1"/>
    </row>
    <row r="741" spans="8:8" x14ac:dyDescent="0.2">
      <c r="H741" s="1"/>
    </row>
    <row r="742" spans="8:8" x14ac:dyDescent="0.2">
      <c r="H742" s="1"/>
    </row>
    <row r="743" spans="8:8" x14ac:dyDescent="0.2">
      <c r="H743" s="1"/>
    </row>
    <row r="744" spans="8:8" x14ac:dyDescent="0.2">
      <c r="H744" s="1"/>
    </row>
    <row r="745" spans="8:8" x14ac:dyDescent="0.2">
      <c r="H745" s="1"/>
    </row>
    <row r="746" spans="8:8" x14ac:dyDescent="0.2">
      <c r="H746" s="1"/>
    </row>
    <row r="747" spans="8:8" x14ac:dyDescent="0.2">
      <c r="H747" s="1"/>
    </row>
    <row r="748" spans="8:8" x14ac:dyDescent="0.2">
      <c r="H748" s="1"/>
    </row>
    <row r="749" spans="8:8" x14ac:dyDescent="0.2">
      <c r="H749" s="1"/>
    </row>
    <row r="750" spans="8:8" x14ac:dyDescent="0.2">
      <c r="H750" s="1"/>
    </row>
    <row r="751" spans="8:8" x14ac:dyDescent="0.2">
      <c r="H751" s="1"/>
    </row>
    <row r="752" spans="8:8" x14ac:dyDescent="0.2">
      <c r="H752" s="1"/>
    </row>
    <row r="753" spans="8:8" x14ac:dyDescent="0.2">
      <c r="H753" s="1"/>
    </row>
    <row r="754" spans="8:8" x14ac:dyDescent="0.2">
      <c r="H754" s="1"/>
    </row>
    <row r="755" spans="8:8" x14ac:dyDescent="0.2">
      <c r="H755" s="1"/>
    </row>
    <row r="756" spans="8:8" x14ac:dyDescent="0.2">
      <c r="H756" s="1"/>
    </row>
    <row r="757" spans="8:8" x14ac:dyDescent="0.2">
      <c r="H757" s="1"/>
    </row>
    <row r="758" spans="8:8" x14ac:dyDescent="0.2">
      <c r="H758" s="1"/>
    </row>
    <row r="759" spans="8:8" x14ac:dyDescent="0.2">
      <c r="H759" s="1"/>
    </row>
    <row r="760" spans="8:8" x14ac:dyDescent="0.2">
      <c r="H760" s="1"/>
    </row>
    <row r="761" spans="8:8" x14ac:dyDescent="0.2">
      <c r="H761" s="1"/>
    </row>
    <row r="762" spans="8:8" x14ac:dyDescent="0.2">
      <c r="H762" s="1"/>
    </row>
    <row r="763" spans="8:8" x14ac:dyDescent="0.2">
      <c r="H763" s="1"/>
    </row>
    <row r="764" spans="8:8" x14ac:dyDescent="0.2">
      <c r="H764" s="1"/>
    </row>
    <row r="765" spans="8:8" x14ac:dyDescent="0.2">
      <c r="H765" s="1"/>
    </row>
    <row r="766" spans="8:8" x14ac:dyDescent="0.2">
      <c r="H766" s="1"/>
    </row>
    <row r="767" spans="8:8" x14ac:dyDescent="0.2">
      <c r="H767" s="1"/>
    </row>
    <row r="768" spans="8:8" x14ac:dyDescent="0.2">
      <c r="H768" s="1"/>
    </row>
    <row r="769" spans="8:8" x14ac:dyDescent="0.2">
      <c r="H769" s="1"/>
    </row>
    <row r="770" spans="8:8" x14ac:dyDescent="0.2">
      <c r="H770" s="1"/>
    </row>
    <row r="771" spans="8:8" x14ac:dyDescent="0.2">
      <c r="H771" s="1"/>
    </row>
    <row r="772" spans="8:8" x14ac:dyDescent="0.2">
      <c r="H772" s="1"/>
    </row>
    <row r="773" spans="8:8" x14ac:dyDescent="0.2">
      <c r="H773" s="1"/>
    </row>
    <row r="774" spans="8:8" x14ac:dyDescent="0.2">
      <c r="H774" s="1"/>
    </row>
    <row r="775" spans="8:8" x14ac:dyDescent="0.2">
      <c r="H775" s="1"/>
    </row>
    <row r="776" spans="8:8" x14ac:dyDescent="0.2">
      <c r="H776" s="1"/>
    </row>
    <row r="777" spans="8:8" x14ac:dyDescent="0.2">
      <c r="H777" s="1"/>
    </row>
    <row r="778" spans="8:8" x14ac:dyDescent="0.2">
      <c r="H778" s="1"/>
    </row>
    <row r="779" spans="8:8" x14ac:dyDescent="0.2">
      <c r="H779" s="1"/>
    </row>
    <row r="780" spans="8:8" x14ac:dyDescent="0.2">
      <c r="H780" s="1"/>
    </row>
    <row r="781" spans="8:8" x14ac:dyDescent="0.2">
      <c r="H781" s="1"/>
    </row>
    <row r="782" spans="8:8" x14ac:dyDescent="0.2">
      <c r="H782" s="1"/>
    </row>
    <row r="783" spans="8:8" x14ac:dyDescent="0.2">
      <c r="H783" s="1"/>
    </row>
    <row r="784" spans="8:8" x14ac:dyDescent="0.2">
      <c r="H784" s="1"/>
    </row>
    <row r="785" spans="8:8" x14ac:dyDescent="0.2">
      <c r="H785" s="1"/>
    </row>
    <row r="786" spans="8:8" x14ac:dyDescent="0.2">
      <c r="H786" s="1"/>
    </row>
    <row r="787" spans="8:8" x14ac:dyDescent="0.2">
      <c r="H787" s="1"/>
    </row>
    <row r="788" spans="8:8" x14ac:dyDescent="0.2">
      <c r="H788" s="1"/>
    </row>
    <row r="789" spans="8:8" x14ac:dyDescent="0.2">
      <c r="H789" s="1"/>
    </row>
    <row r="790" spans="8:8" x14ac:dyDescent="0.2">
      <c r="H790" s="1"/>
    </row>
    <row r="791" spans="8:8" x14ac:dyDescent="0.2">
      <c r="H791" s="1"/>
    </row>
    <row r="792" spans="8:8" x14ac:dyDescent="0.2">
      <c r="H792" s="1"/>
    </row>
    <row r="793" spans="8:8" x14ac:dyDescent="0.2">
      <c r="H793" s="1"/>
    </row>
    <row r="794" spans="8:8" x14ac:dyDescent="0.2">
      <c r="H794" s="1"/>
    </row>
    <row r="795" spans="8:8" x14ac:dyDescent="0.2">
      <c r="H795" s="1"/>
    </row>
    <row r="796" spans="8:8" x14ac:dyDescent="0.2">
      <c r="H796" s="1"/>
    </row>
    <row r="797" spans="8:8" x14ac:dyDescent="0.2">
      <c r="H797" s="1"/>
    </row>
    <row r="798" spans="8:8" x14ac:dyDescent="0.2">
      <c r="H798" s="1"/>
    </row>
    <row r="799" spans="8:8" x14ac:dyDescent="0.2">
      <c r="H799" s="1"/>
    </row>
    <row r="800" spans="8:8" x14ac:dyDescent="0.2">
      <c r="H800" s="1"/>
    </row>
    <row r="801" spans="8:8" x14ac:dyDescent="0.2">
      <c r="H801" s="1"/>
    </row>
    <row r="802" spans="8:8" x14ac:dyDescent="0.2">
      <c r="H802" s="1"/>
    </row>
    <row r="803" spans="8:8" x14ac:dyDescent="0.2">
      <c r="H803" s="1"/>
    </row>
    <row r="804" spans="8:8" x14ac:dyDescent="0.2">
      <c r="H804" s="1"/>
    </row>
    <row r="805" spans="8:8" x14ac:dyDescent="0.2">
      <c r="H805" s="1"/>
    </row>
    <row r="806" spans="8:8" x14ac:dyDescent="0.2">
      <c r="H806" s="1"/>
    </row>
    <row r="807" spans="8:8" x14ac:dyDescent="0.2">
      <c r="H807" s="1"/>
    </row>
    <row r="808" spans="8:8" x14ac:dyDescent="0.2">
      <c r="H808" s="1"/>
    </row>
    <row r="809" spans="8:8" x14ac:dyDescent="0.2">
      <c r="H809" s="1"/>
    </row>
    <row r="810" spans="8:8" x14ac:dyDescent="0.2">
      <c r="H810" s="1"/>
    </row>
    <row r="811" spans="8:8" x14ac:dyDescent="0.2">
      <c r="H811" s="1"/>
    </row>
    <row r="812" spans="8:8" x14ac:dyDescent="0.2">
      <c r="H812" s="1"/>
    </row>
    <row r="813" spans="8:8" x14ac:dyDescent="0.2">
      <c r="H813" s="1"/>
    </row>
    <row r="814" spans="8:8" x14ac:dyDescent="0.2">
      <c r="H814" s="1"/>
    </row>
    <row r="815" spans="8:8" x14ac:dyDescent="0.2">
      <c r="H815" s="1"/>
    </row>
    <row r="816" spans="8:8" x14ac:dyDescent="0.2">
      <c r="H816" s="1"/>
    </row>
    <row r="817" spans="8:8" x14ac:dyDescent="0.2">
      <c r="H817" s="1"/>
    </row>
    <row r="818" spans="8:8" x14ac:dyDescent="0.2">
      <c r="H818" s="1"/>
    </row>
    <row r="819" spans="8:8" x14ac:dyDescent="0.2">
      <c r="H819" s="1"/>
    </row>
    <row r="820" spans="8:8" x14ac:dyDescent="0.2">
      <c r="H820" s="1"/>
    </row>
    <row r="821" spans="8:8" x14ac:dyDescent="0.2">
      <c r="H821" s="1"/>
    </row>
    <row r="822" spans="8:8" x14ac:dyDescent="0.2">
      <c r="H822" s="1"/>
    </row>
    <row r="823" spans="8:8" x14ac:dyDescent="0.2">
      <c r="H823" s="1"/>
    </row>
    <row r="824" spans="8:8" x14ac:dyDescent="0.2">
      <c r="H824" s="1"/>
    </row>
    <row r="825" spans="8:8" x14ac:dyDescent="0.2">
      <c r="H825" s="1"/>
    </row>
    <row r="826" spans="8:8" x14ac:dyDescent="0.2">
      <c r="H826" s="1"/>
    </row>
    <row r="827" spans="8:8" x14ac:dyDescent="0.2">
      <c r="H827" s="1"/>
    </row>
    <row r="828" spans="8:8" x14ac:dyDescent="0.2">
      <c r="H828" s="1"/>
    </row>
    <row r="829" spans="8:8" x14ac:dyDescent="0.2">
      <c r="H829" s="1"/>
    </row>
    <row r="830" spans="8:8" x14ac:dyDescent="0.2">
      <c r="H830" s="1"/>
    </row>
    <row r="831" spans="8:8" x14ac:dyDescent="0.2">
      <c r="H831" s="1"/>
    </row>
    <row r="832" spans="8:8" x14ac:dyDescent="0.2">
      <c r="H832" s="1"/>
    </row>
    <row r="833" spans="8:8" x14ac:dyDescent="0.2">
      <c r="H833" s="1"/>
    </row>
    <row r="834" spans="8:8" x14ac:dyDescent="0.2">
      <c r="H834" s="1"/>
    </row>
    <row r="835" spans="8:8" x14ac:dyDescent="0.2">
      <c r="H835" s="1"/>
    </row>
    <row r="836" spans="8:8" x14ac:dyDescent="0.2">
      <c r="H836" s="1"/>
    </row>
    <row r="837" spans="8:8" x14ac:dyDescent="0.2">
      <c r="H837" s="1"/>
    </row>
    <row r="838" spans="8:8" x14ac:dyDescent="0.2">
      <c r="H838" s="1"/>
    </row>
    <row r="839" spans="8:8" x14ac:dyDescent="0.2">
      <c r="H839" s="1"/>
    </row>
    <row r="840" spans="8:8" x14ac:dyDescent="0.2">
      <c r="H840" s="1"/>
    </row>
    <row r="841" spans="8:8" x14ac:dyDescent="0.2">
      <c r="H841" s="1"/>
    </row>
    <row r="842" spans="8:8" x14ac:dyDescent="0.2">
      <c r="H842" s="1"/>
    </row>
    <row r="843" spans="8:8" x14ac:dyDescent="0.2">
      <c r="H843" s="1"/>
    </row>
    <row r="844" spans="8:8" x14ac:dyDescent="0.2">
      <c r="H844" s="1"/>
    </row>
    <row r="845" spans="8:8" x14ac:dyDescent="0.2">
      <c r="H845" s="1"/>
    </row>
    <row r="846" spans="8:8" x14ac:dyDescent="0.2">
      <c r="H846" s="1"/>
    </row>
    <row r="847" spans="8:8" x14ac:dyDescent="0.2">
      <c r="H847" s="1"/>
    </row>
    <row r="848" spans="8:8" x14ac:dyDescent="0.2">
      <c r="H848" s="1"/>
    </row>
    <row r="849" spans="8:8" x14ac:dyDescent="0.2">
      <c r="H849" s="1"/>
    </row>
    <row r="850" spans="8:8" x14ac:dyDescent="0.2">
      <c r="H850" s="1"/>
    </row>
    <row r="851" spans="8:8" x14ac:dyDescent="0.2">
      <c r="H851" s="1"/>
    </row>
    <row r="852" spans="8:8" x14ac:dyDescent="0.2">
      <c r="H852" s="1"/>
    </row>
    <row r="853" spans="8:8" x14ac:dyDescent="0.2">
      <c r="H853" s="1"/>
    </row>
    <row r="854" spans="8:8" x14ac:dyDescent="0.2">
      <c r="H854" s="1"/>
    </row>
    <row r="855" spans="8:8" x14ac:dyDescent="0.2">
      <c r="H855" s="1"/>
    </row>
  </sheetData>
  <phoneticPr fontId="2" type="noConversion"/>
  <pageMargins left="0.75" right="0.75" top="1" bottom="1" header="0" footer="0"/>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7"/>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Total!B3209</f>
        <v>44714</v>
      </c>
      <c r="C2" s="101">
        <f>Total!C3209</f>
        <v>44732</v>
      </c>
      <c r="D2" s="112" t="s">
        <v>1092</v>
      </c>
      <c r="E2" s="332" t="str">
        <f>Total!E3209</f>
        <v>Obra Civil</v>
      </c>
      <c r="F2" s="96" t="str">
        <f>Total!F3209</f>
        <v>Direcció d'obra</v>
      </c>
      <c r="G2" s="112" t="str">
        <f>Total!G3209</f>
        <v>DO. PC-CGT-19048</v>
      </c>
      <c r="H2" s="112" t="str">
        <f>Total!H3209</f>
        <v>Contracte de serveis per a la direcció de les obres de "Construcció de cunetes trepitjables a la T-701. Cornudella de Montsant i Prades".</v>
      </c>
      <c r="I2" s="157">
        <f>Total!I3209</f>
        <v>31147.93</v>
      </c>
    </row>
    <row r="3" spans="1:9" x14ac:dyDescent="0.2">
      <c r="A3" s="8">
        <v>2</v>
      </c>
      <c r="B3" s="101">
        <f>Total!B3210</f>
        <v>44714</v>
      </c>
      <c r="C3" s="101">
        <f>Total!C3210</f>
        <v>44732</v>
      </c>
      <c r="D3" s="112" t="s">
        <v>1092</v>
      </c>
      <c r="E3" s="332" t="str">
        <f>Total!E3210</f>
        <v>Obra Civil</v>
      </c>
      <c r="F3" s="96" t="str">
        <f>Total!F3210</f>
        <v>Direcció d'obra</v>
      </c>
      <c r="G3" s="112" t="str">
        <f>Total!G3210</f>
        <v>CSS. PC-CGT-19048</v>
      </c>
      <c r="H3" s="112" t="str">
        <f>Total!H3210</f>
        <v>Contracte de serveis per a l'assistència tècnica de coordinació de seguretat i salut de les obres de "Construcció de cunetes trepitjables a la T-701. Cornudella de Montsant i Prades".</v>
      </c>
      <c r="I3" s="157">
        <f>Total!I3210</f>
        <v>8989.3700000000008</v>
      </c>
    </row>
    <row r="4" spans="1:9" x14ac:dyDescent="0.2">
      <c r="A4" s="8">
        <v>3</v>
      </c>
      <c r="B4" s="101">
        <f>Total!B3211</f>
        <v>44714</v>
      </c>
      <c r="C4" s="101">
        <f>Total!C3211</f>
        <v>44732</v>
      </c>
      <c r="D4" s="112" t="s">
        <v>1092</v>
      </c>
      <c r="E4" s="332" t="str">
        <f>Total!E3211</f>
        <v>Obra Civil</v>
      </c>
      <c r="F4" s="96" t="str">
        <f>Total!F3211</f>
        <v>Control de Qualitat</v>
      </c>
      <c r="G4" s="112" t="str">
        <f>Total!G3211</f>
        <v>CQ. PC-CGT-19048</v>
      </c>
      <c r="H4" s="112" t="str">
        <f>Total!H3211</f>
        <v>Contracte de serveis per a l'assistència tècnica de control de qualitat de les obres de "Construcció de cunetes trepitjables a la T-701. Cornudella de Montsant i Prades".</v>
      </c>
      <c r="I4" s="157">
        <f>Total!I3211</f>
        <v>10374.9</v>
      </c>
    </row>
    <row r="5" spans="1:9" x14ac:dyDescent="0.2">
      <c r="A5" s="8">
        <v>4</v>
      </c>
      <c r="B5" s="101">
        <f>Total!B3212</f>
        <v>44714</v>
      </c>
      <c r="C5" s="101">
        <f>Total!C3212</f>
        <v>44732</v>
      </c>
      <c r="D5" s="112" t="s">
        <v>1092</v>
      </c>
      <c r="E5" s="332" t="str">
        <f>Total!E3212</f>
        <v>Obra Civil</v>
      </c>
      <c r="F5" s="96" t="str">
        <f>Total!F3212</f>
        <v>Projectes</v>
      </c>
      <c r="G5" s="112" t="str">
        <f>Total!G3212</f>
        <v>PC. PC-CFE-21080</v>
      </c>
      <c r="H5" s="112" t="str">
        <f>Total!H3212</f>
        <v>Contracte de serveis per a l'assistència tècnica per a la redacció del projecte constructiu "Reforç de ferm de la C-42 del PK 2-090 al 8+450. L'Aldea-Tortosa".</v>
      </c>
      <c r="I5" s="157">
        <f>Total!I3212</f>
        <v>94270</v>
      </c>
    </row>
    <row r="6" spans="1:9" x14ac:dyDescent="0.2">
      <c r="A6" s="8">
        <v>5</v>
      </c>
      <c r="B6" s="101">
        <f>Total!B3213</f>
        <v>44714</v>
      </c>
      <c r="C6" s="101">
        <f>Total!C3213</f>
        <v>44732</v>
      </c>
      <c r="D6" s="112" t="s">
        <v>1092</v>
      </c>
      <c r="E6" s="332" t="str">
        <f>Total!E3213</f>
        <v>Obra Civil</v>
      </c>
      <c r="F6" s="96" t="str">
        <f>Total!F3213</f>
        <v>Projectes</v>
      </c>
      <c r="G6" s="112" t="str">
        <f>Total!G3213</f>
        <v>ATAM. PC.CGT-19048</v>
      </c>
      <c r="H6" s="112" t="str">
        <f>Total!H3213</f>
        <v>Contracte de serveis per a l'assistència tècnica ambiental de les obres "Construcció de cunetes trepitjables a la T-701. Cornudella de Montsant i Prades".</v>
      </c>
      <c r="I6" s="157">
        <f>Total!I3213</f>
        <v>7037.4</v>
      </c>
    </row>
    <row r="7" spans="1:9" x14ac:dyDescent="0.2">
      <c r="A7" s="8">
        <v>6</v>
      </c>
      <c r="B7" s="101">
        <f>Total!B3214</f>
        <v>44715</v>
      </c>
      <c r="C7" s="101">
        <f>Total!C3214</f>
        <v>44732</v>
      </c>
      <c r="D7" s="112" t="s">
        <v>1092</v>
      </c>
      <c r="E7" s="332" t="str">
        <f>Total!E3214</f>
        <v>Edificació</v>
      </c>
      <c r="F7" s="96" t="str">
        <f>Total!F3214</f>
        <v>Direccions d'Obra</v>
      </c>
      <c r="G7" s="112" t="str">
        <f>Total!G3214</f>
        <v>DO. PMM-21240</v>
      </c>
      <c r="H7" s="112" t="str">
        <f>Total!H3214</f>
        <v>Contracte de serveis per a la Direcció d'Obra de les obres de Projecte constructiu. Museïtzació de l'Espai Illes Medes del Parc Natural del Montgrí, les Illes Medes i el Baix Ter. Clau: DO. PMM-21240</v>
      </c>
      <c r="I7" s="157">
        <f>Total!I3214</f>
        <v>9109.82</v>
      </c>
    </row>
    <row r="8" spans="1:9" x14ac:dyDescent="0.2">
      <c r="A8" s="8">
        <v>7</v>
      </c>
      <c r="B8" s="101">
        <f>Total!B3215</f>
        <v>44715</v>
      </c>
      <c r="C8" s="101">
        <f>Total!C3215</f>
        <v>44732</v>
      </c>
      <c r="D8" s="112" t="s">
        <v>1092</v>
      </c>
      <c r="E8" s="332" t="str">
        <f>Total!E3215</f>
        <v>Edificació</v>
      </c>
      <c r="F8" s="96" t="str">
        <f>Total!F3215</f>
        <v>Control de Qualitat</v>
      </c>
      <c r="G8" s="112" t="str">
        <f>Total!G3215</f>
        <v>CQ. PMM-21240</v>
      </c>
      <c r="H8" s="112" t="str">
        <f>Total!H3215</f>
        <v>Contracte de serveis per a l'assistència tècnica del control de qualitat de les obres del Projecte constructiu. Museïtzació de l'Espai Illes Medes del Parc Natural del Montgrí, les Illes Medes i el Baix Ter. Clau: CQ. PMM-21240</v>
      </c>
      <c r="I8" s="157">
        <f>Total!I3215</f>
        <v>1206</v>
      </c>
    </row>
    <row r="9" spans="1:9" x14ac:dyDescent="0.2">
      <c r="A9" s="8">
        <v>8</v>
      </c>
      <c r="B9" s="101">
        <f>Total!B3216</f>
        <v>44715</v>
      </c>
      <c r="C9" s="101">
        <f>Total!C3216</f>
        <v>44732</v>
      </c>
      <c r="D9" s="112" t="s">
        <v>1092</v>
      </c>
      <c r="E9" s="332" t="str">
        <f>Total!E3216</f>
        <v>Edificació</v>
      </c>
      <c r="F9" s="96" t="str">
        <f>Total!F3216</f>
        <v>Direccions d'Execució</v>
      </c>
      <c r="G9" s="112" t="str">
        <f>Total!G3216</f>
        <v>DE+CSS. PMM-21240</v>
      </c>
      <c r="H9" s="112" t="str">
        <f>Total!H3216</f>
        <v>Contracte de serveis per a la direcció d'execució de les obres i coordinació de seguretat i salut de les obres de Projecte constructiu. Museïtzació de l'Espai Illes Medes del Parc Natural del Montgrí, les Illes Medes i el Baix Ter. Clau: DE+CSS. PMM-21240</v>
      </c>
      <c r="I9" s="157">
        <f>Total!I3216</f>
        <v>9615.92</v>
      </c>
    </row>
    <row r="10" spans="1:9" x14ac:dyDescent="0.2">
      <c r="A10" s="8">
        <v>9</v>
      </c>
      <c r="B10" s="101">
        <f>Total!B3217</f>
        <v>44720</v>
      </c>
      <c r="C10" s="101">
        <f>Total!C3217</f>
        <v>44739</v>
      </c>
      <c r="D10" s="112" t="s">
        <v>1092</v>
      </c>
      <c r="E10" s="332" t="str">
        <f>Total!E3217</f>
        <v>Edificació</v>
      </c>
      <c r="F10" s="96" t="str">
        <f>Total!F3217</f>
        <v>Control de Qualitat</v>
      </c>
      <c r="G10" s="112" t="str">
        <f>Total!G3217</f>
        <v>CQ. PGM-19206</v>
      </c>
      <c r="H10" s="112" t="str">
        <f>Total!H3217</f>
        <v>Contracte de serveis per a l'assistència tècnica de control de qualitat de les obres RAM d'adequació de la urbanització del Complex Central de Bombers de la Generalitat de Catalunya a Cerdanyola del Vallès.</v>
      </c>
      <c r="I10" s="157">
        <f>Total!I3217</f>
        <v>18520.77</v>
      </c>
    </row>
    <row r="11" spans="1:9" x14ac:dyDescent="0.2">
      <c r="A11" s="8">
        <v>10</v>
      </c>
      <c r="B11" s="101">
        <f>Total!B3218</f>
        <v>44720</v>
      </c>
      <c r="C11" s="101">
        <f>Total!C3218</f>
        <v>44739</v>
      </c>
      <c r="D11" s="112" t="s">
        <v>1092</v>
      </c>
      <c r="E11" s="332" t="str">
        <f>Total!E3218</f>
        <v>Edificació</v>
      </c>
      <c r="F11" s="96" t="str">
        <f>Total!F3218</f>
        <v>Direccions d'Execució</v>
      </c>
      <c r="G11" s="112" t="str">
        <f>Total!G3218</f>
        <v>DE. PGM-19206</v>
      </c>
      <c r="H11" s="112" t="str">
        <f>Total!H3218</f>
        <v>Contracte de serveis per a la direcció d'execució de les obres RAM d'adequació de la urbanització del Complex Central de Bombers de la Generalitat de Catalunya a Cerdanyola del Vallès.</v>
      </c>
      <c r="I11" s="157">
        <f>Total!I3218</f>
        <v>42000</v>
      </c>
    </row>
    <row r="12" spans="1:9" x14ac:dyDescent="0.2">
      <c r="A12" s="8">
        <v>11</v>
      </c>
      <c r="B12" s="101">
        <f>Total!B3219</f>
        <v>44720</v>
      </c>
      <c r="C12" s="101">
        <f>Total!C3219</f>
        <v>44739</v>
      </c>
      <c r="D12" s="112" t="s">
        <v>1092</v>
      </c>
      <c r="E12" s="332" t="str">
        <f>Total!E3219</f>
        <v>Edificació</v>
      </c>
      <c r="F12" s="96" t="str">
        <f>Total!F3219</f>
        <v>Direccions d'Execució</v>
      </c>
      <c r="G12" s="112" t="str">
        <f>Total!G3219</f>
        <v>CSS. PGM-19206</v>
      </c>
      <c r="H12" s="112" t="str">
        <f>Total!H3219</f>
        <v>Contracte de serveis per a l'assistència tècnica de coordinació de seguretat i salut de les obres del projecte executiu de RAM d'adequació de la urbanització del Complex Central de Bombers de la Generalitat de Catalunya a Cerdanyola del Vallès.</v>
      </c>
      <c r="I12" s="157">
        <f>Total!I3219</f>
        <v>10500</v>
      </c>
    </row>
    <row r="13" spans="1:9" x14ac:dyDescent="0.2">
      <c r="A13" s="8">
        <v>12</v>
      </c>
      <c r="B13" s="101">
        <f>Total!B3220</f>
        <v>44721</v>
      </c>
      <c r="C13" s="101">
        <f>Total!C3220</f>
        <v>44741</v>
      </c>
      <c r="D13" s="112" t="s">
        <v>1092</v>
      </c>
      <c r="E13" s="332" t="str">
        <f>Total!E3220</f>
        <v>Obra Civil</v>
      </c>
      <c r="F13" s="96" t="str">
        <f>Total!F3220</f>
        <v>Projectes</v>
      </c>
      <c r="G13" s="112" t="str">
        <f>Total!G3220</f>
        <v>EV. EX-AG-07040.1-A1</v>
      </c>
      <c r="H13" s="112" t="str">
        <f>Total!H3220</f>
        <v>Contracte de serveis per a l'assistència tècnica per a la redacció de la memòria ambiental. Condicionament de la GI-643 del PK 0+000 AL 4+550, Gualta - Serra de Daró.</v>
      </c>
      <c r="I13" s="157">
        <f>Total!I3220</f>
        <v>14400</v>
      </c>
    </row>
    <row r="14" spans="1:9" x14ac:dyDescent="0.2">
      <c r="A14" s="8">
        <v>13</v>
      </c>
      <c r="B14" s="101">
        <f>Total!B3221</f>
        <v>44721</v>
      </c>
      <c r="C14" s="101">
        <f>Total!C3221</f>
        <v>44741</v>
      </c>
      <c r="D14" s="112" t="s">
        <v>1092</v>
      </c>
      <c r="E14" s="332" t="str">
        <f>Total!E3221</f>
        <v>Obra Civil</v>
      </c>
      <c r="F14" s="96" t="str">
        <f>Total!F3221</f>
        <v>Projectes</v>
      </c>
      <c r="G14" s="112" t="str">
        <f>Total!G3221</f>
        <v>EV. EX-AG-07040.3-A1</v>
      </c>
      <c r="H14" s="112" t="str">
        <f>Total!H3221</f>
        <v>Contracte de serveis per a l'assistència tècnica per a la redacció de la memòria ambiental. Condicionament de la GI-642 del PK 0+000 AL 3+512, La Pera-Parlavà.</v>
      </c>
      <c r="I14" s="157">
        <f>Total!I3221</f>
        <v>13220</v>
      </c>
    </row>
    <row r="15" spans="1:9" x14ac:dyDescent="0.2">
      <c r="A15" s="8">
        <v>14</v>
      </c>
      <c r="B15" s="101">
        <f>Total!B3222</f>
        <v>44722</v>
      </c>
      <c r="C15" s="101">
        <f>Total!C3222</f>
        <v>44739</v>
      </c>
      <c r="D15" s="112" t="s">
        <v>1092</v>
      </c>
      <c r="E15" s="332" t="str">
        <f>Total!E3222</f>
        <v>Obra Civil</v>
      </c>
      <c r="F15" s="96" t="str">
        <f>Total!F3222</f>
        <v>Projectes</v>
      </c>
      <c r="G15" s="112" t="str">
        <f>Total!G3222</f>
        <v>ATAM. JC-19234</v>
      </c>
      <c r="H15" s="112" t="str">
        <f>Total!H3222</f>
        <v>Contracte de serveis per a l'assistència tècnica ambiental de les obres del Projecte constructiu del nou col·lector de salmorres. Ramal Llobregat. Fase 2. Tram: Balsareny-Castellgalí. Clau: JC-19234</v>
      </c>
      <c r="I15" s="157">
        <f>Total!I3222</f>
        <v>154268.70000000001</v>
      </c>
    </row>
    <row r="16" spans="1:9" x14ac:dyDescent="0.2">
      <c r="A16" s="8">
        <v>15</v>
      </c>
      <c r="B16" s="101">
        <f>Total!B3223</f>
        <v>44722</v>
      </c>
      <c r="C16" s="101">
        <f>Total!C3223</f>
        <v>44739</v>
      </c>
      <c r="D16" s="112" t="s">
        <v>1092</v>
      </c>
      <c r="E16" s="332" t="str">
        <f>Total!E3223</f>
        <v>Obra Civil</v>
      </c>
      <c r="F16" s="96" t="str">
        <f>Total!F3223</f>
        <v>Direccions d'Obra</v>
      </c>
      <c r="G16" s="112" t="str">
        <f>Total!G3223</f>
        <v>CSS. JC-19234</v>
      </c>
      <c r="H16" s="112" t="str">
        <f>Total!H3223</f>
        <v>Contracte de serveis per a l'assistència tècnica de coordinació de seguretat i salut de les obres del projecte constructiu del nou c ol·lector de salmorres. Ramal Llobregat. Fase 2. Tram: Balsareny-Castellgalí. Lot 1 + Lot 2. Clau: JC-19234.</v>
      </c>
      <c r="I16" s="157">
        <f>Total!I3223</f>
        <v>138585.56</v>
      </c>
    </row>
    <row r="17" spans="1:9" x14ac:dyDescent="0.2">
      <c r="A17" s="8">
        <v>16</v>
      </c>
      <c r="B17" s="101">
        <f>Total!B3224</f>
        <v>44722</v>
      </c>
      <c r="C17" s="101">
        <f>Total!C3224</f>
        <v>44753</v>
      </c>
      <c r="D17" s="112" t="s">
        <v>1092</v>
      </c>
      <c r="E17" s="332" t="str">
        <f>Total!E3224</f>
        <v>Obra Civil</v>
      </c>
      <c r="F17" s="96" t="str">
        <f>Total!F3224</f>
        <v>Direccions d'Obra</v>
      </c>
      <c r="G17" s="112" t="str">
        <f>Total!G3224</f>
        <v>DO. JC-19234</v>
      </c>
      <c r="H17" s="112" t="str">
        <f>Total!H3224</f>
        <v>Contracte de serveis per a la direcció de les obres del Projecte constructiu del nou col·lector de salmorres. Ramal Llobregat. Fase 2. Tram: Balsareny-Castellgalí. Clau: JC-19234</v>
      </c>
      <c r="I17" s="157">
        <f>Total!I3224</f>
        <v>1117922</v>
      </c>
    </row>
    <row r="18" spans="1:9" x14ac:dyDescent="0.2">
      <c r="A18" s="8">
        <v>17</v>
      </c>
      <c r="B18" s="101">
        <f>Total!B3225</f>
        <v>44722</v>
      </c>
      <c r="C18" s="101">
        <f>Total!C3225</f>
        <v>44762</v>
      </c>
      <c r="D18" s="112" t="s">
        <v>1092</v>
      </c>
      <c r="E18" s="332" t="str">
        <f>Total!E3225</f>
        <v>Obra Civil</v>
      </c>
      <c r="F18" s="96" t="str">
        <f>Total!F3225</f>
        <v>Control de Qualitat</v>
      </c>
      <c r="G18" s="112" t="str">
        <f>Total!G3225</f>
        <v>CQ. JC-19234</v>
      </c>
      <c r="H18" s="112" t="str">
        <f>Total!H3225</f>
        <v>Contracte de serveis per a l'assistència tècnica de Control de Qualitat de les obres del Projecte constructiu del nou col·lector de salmorres. Ramal Llobregat. Fase 2. Tram: Balsareny-Castellgalí. Clau: JC-19234</v>
      </c>
      <c r="I18" s="157">
        <f>Total!I3225</f>
        <v>263699.44</v>
      </c>
    </row>
    <row r="19" spans="1:9" x14ac:dyDescent="0.2">
      <c r="A19" s="8">
        <v>18</v>
      </c>
      <c r="B19" s="101">
        <f>Total!B3226</f>
        <v>44725</v>
      </c>
      <c r="C19" s="101">
        <f>Total!C3226</f>
        <v>44760</v>
      </c>
      <c r="D19" s="112" t="s">
        <v>1092</v>
      </c>
      <c r="E19" s="332" t="str">
        <f>Total!E3226</f>
        <v>Edificació</v>
      </c>
      <c r="F19" s="96" t="str">
        <f>Total!F3226</f>
        <v>Projectes i Direccions d'Obra</v>
      </c>
      <c r="G19" s="112" t="str">
        <f>Total!G3226</f>
        <v>PE+DO PGM-22224</v>
      </c>
      <c r="H19" s="112" t="str">
        <f>Total!H3226</f>
        <v>Concurs de projectes per a la redacció del projecte bàsic i executiu i la posterior direcció de les obres RAM de reforma i ampliació del Parc de Bombers de Reus. Clau: PGM-22224</v>
      </c>
      <c r="I19" s="157">
        <f>Total!I3226</f>
        <v>377801.34</v>
      </c>
    </row>
    <row r="20" spans="1:9" x14ac:dyDescent="0.2">
      <c r="A20" s="8">
        <v>19</v>
      </c>
      <c r="B20" s="101">
        <f>Total!B3227</f>
        <v>44725</v>
      </c>
      <c r="C20" s="101">
        <f>Total!C3227</f>
        <v>44746</v>
      </c>
      <c r="D20" s="112" t="s">
        <v>1092</v>
      </c>
      <c r="E20" s="332" t="str">
        <f>Total!E3227</f>
        <v>Obra Civil</v>
      </c>
      <c r="F20" s="96" t="str">
        <f>Total!F3227</f>
        <v>Control de Qualitat</v>
      </c>
      <c r="G20" s="112" t="str">
        <f>Total!G3227</f>
        <v>CQ. PC-CIB-19028</v>
      </c>
      <c r="H20" s="112" t="str">
        <f>Total!H3227</f>
        <v>Contracte de serveis per a l'assistència tècnica de Control de Qualitat de les obres de condicionament de la C-59 del PK 22+000 al 38+460. Sant Feliu de Codines - Moià. Clau: PC-CIB-19028</v>
      </c>
      <c r="I20" s="157">
        <f>Total!I3227</f>
        <v>76962.19</v>
      </c>
    </row>
    <row r="21" spans="1:9" x14ac:dyDescent="0.2">
      <c r="A21" s="8">
        <v>20</v>
      </c>
      <c r="B21" s="101">
        <f>Total!B3228</f>
        <v>44725</v>
      </c>
      <c r="C21" s="101">
        <f>Total!C3228</f>
        <v>44746</v>
      </c>
      <c r="D21" s="112" t="s">
        <v>1092</v>
      </c>
      <c r="E21" s="332" t="str">
        <f>Total!E3228</f>
        <v>Obra Civil</v>
      </c>
      <c r="F21" s="96" t="str">
        <f>Total!F3228</f>
        <v>Direccions d'Obra</v>
      </c>
      <c r="G21" s="112" t="str">
        <f>Total!G3228</f>
        <v>CSS. PC-CIB-19028</v>
      </c>
      <c r="H21" s="112" t="str">
        <f>Total!H3228</f>
        <v>Contracte de serveis per a l'assistència tècnica de coordinació de seguretat i salut de les obres de condicionament de la C-59 del PK 22+000 al 38+460. Sant Feliu de Codines - Moià. Clau: PC-CIB-19028</v>
      </c>
      <c r="I21" s="157">
        <f>Total!I3228</f>
        <v>22802.5</v>
      </c>
    </row>
    <row r="22" spans="1:9" x14ac:dyDescent="0.2">
      <c r="A22" s="8">
        <v>21</v>
      </c>
      <c r="B22" s="101">
        <f>Total!B3229</f>
        <v>44725</v>
      </c>
      <c r="C22" s="101">
        <f>Total!C3229</f>
        <v>44746</v>
      </c>
      <c r="D22" s="112" t="s">
        <v>1092</v>
      </c>
      <c r="E22" s="332" t="str">
        <f>Total!E3229</f>
        <v>Obra Civil</v>
      </c>
      <c r="F22" s="96" t="str">
        <f>Total!F3229</f>
        <v>Direccions d'Obra</v>
      </c>
      <c r="G22" s="112" t="str">
        <f>Total!G3229</f>
        <v>DO. PC-CIB-19028</v>
      </c>
      <c r="H22" s="112" t="str">
        <f>Total!H3229</f>
        <v>Contracte de serveis per a la direcció de les obres de condicionament de la C-59 del PK 22+000 al 38+460. Sant Feliu de Codines - Moià. Clau: PC-CIB-19028</v>
      </c>
      <c r="I22" s="157">
        <f>Total!I3229</f>
        <v>207234.91</v>
      </c>
    </row>
    <row r="23" spans="1:9" x14ac:dyDescent="0.2">
      <c r="A23" s="8">
        <v>22</v>
      </c>
      <c r="B23" s="101">
        <f>Total!B3230</f>
        <v>44725</v>
      </c>
      <c r="C23" s="101">
        <f>Total!C3230</f>
        <v>45456</v>
      </c>
      <c r="D23" s="112" t="s">
        <v>1092</v>
      </c>
      <c r="E23" s="332" t="str">
        <f>Total!E3230</f>
        <v>Obra Civil</v>
      </c>
      <c r="F23" s="96" t="str">
        <f>Total!F3230</f>
        <v>Direccions d'Obra</v>
      </c>
      <c r="G23" s="112" t="str">
        <f>Total!G3230</f>
        <v>SDC.AT.FIBRA.22-FEDER REACT-EU</v>
      </c>
      <c r="H23" s="112" t="str">
        <f>Total!H3230</f>
        <v>Sistema dinàmic de contractació d'assistències tècniques per a les obres de desplegament de la xarxa pública de fibra òptica amb finançament "Next Generation EU", provinent de l'ajuda a la recuperació per a la cohesió dels territoris d'Europa … .</v>
      </c>
      <c r="I23" s="157">
        <f>Total!I3230</f>
        <v>9000000</v>
      </c>
    </row>
    <row r="24" spans="1:9" x14ac:dyDescent="0.2">
      <c r="A24" s="8">
        <v>23</v>
      </c>
      <c r="B24" s="101">
        <f>Total!B3231</f>
        <v>44726</v>
      </c>
      <c r="C24" s="101">
        <f>Total!C3231</f>
        <v>44746</v>
      </c>
      <c r="D24" s="112" t="s">
        <v>1092</v>
      </c>
      <c r="E24" s="332" t="str">
        <f>Total!E3231</f>
        <v>Obra Civil</v>
      </c>
      <c r="F24" s="96" t="str">
        <f>Total!F3231</f>
        <v>Direccions d'Obra</v>
      </c>
      <c r="G24" s="112" t="str">
        <f>Total!G3231</f>
        <v>PC-BNL-21090.1+PC-BNL-21090.2</v>
      </c>
      <c r="H24" s="112" t="str">
        <f>Total!H3231</f>
        <v>Assistència tècnica per a la redacció del projecte constructiu "Via verda paral·lela a la C-13. Camarasa - Congost de Mu. Camarasa-la Platgeta" i del projecte constructiu "Via verda paral·lela a la C-13. Camarasa-Congost de Mu.La Platgeta-Congost de Mu''</v>
      </c>
      <c r="I24" s="157">
        <f>Total!I3231</f>
        <v>68310</v>
      </c>
    </row>
    <row r="25" spans="1:9" x14ac:dyDescent="0.2">
      <c r="A25" s="8">
        <v>24</v>
      </c>
      <c r="B25" s="101">
        <f>Total!B3232</f>
        <v>44727</v>
      </c>
      <c r="C25" s="101">
        <f>Total!C3232</f>
        <v>44746</v>
      </c>
      <c r="D25" s="112" t="s">
        <v>1092</v>
      </c>
      <c r="E25" s="332" t="str">
        <f>Total!E3232</f>
        <v>Edificació</v>
      </c>
      <c r="F25" s="96" t="str">
        <f>Total!F3232</f>
        <v>Direcció d'Execució</v>
      </c>
      <c r="G25" s="112" t="str">
        <f>Total!G3232</f>
        <v>DE+CSS-S59-FGC-04467</v>
      </c>
      <c r="H25" s="112" t="str">
        <f>Total!H3232</f>
        <v>Contracte de serveis per a la direcció d'execució i coordinació de seguretat i salut de les obres de la nova escala d'accés a la coberta de la seu corporativa d'Infraestructures.cat de Barcelona. Clau: DE+CSS. S59-FGC-04467</v>
      </c>
      <c r="I25" s="157">
        <f>Total!I3232</f>
        <v>3600</v>
      </c>
    </row>
    <row r="26" spans="1:9" x14ac:dyDescent="0.2">
      <c r="A26" s="8">
        <v>25</v>
      </c>
      <c r="B26" s="101">
        <f>Total!B3233</f>
        <v>44727</v>
      </c>
      <c r="C26" s="101">
        <f>Total!C3233</f>
        <v>44746</v>
      </c>
      <c r="D26" s="112" t="s">
        <v>1092</v>
      </c>
      <c r="E26" s="332" t="str">
        <f>Total!E3233</f>
        <v>Edificació</v>
      </c>
      <c r="F26" s="96" t="str">
        <f>Total!F3233</f>
        <v>Control de Qualitat</v>
      </c>
      <c r="G26" s="112" t="str">
        <f>Total!G3233</f>
        <v>CQ. S59-FGC-04467</v>
      </c>
      <c r="H26" s="112" t="str">
        <f>Total!H3233</f>
        <v>Contracte de serveis per a l'assistència tècnica de control de qualitat de les obres de la nova escala d'accés a la coberta de la seu corporativa d'Infraestructures.cat de Barcelona.</v>
      </c>
      <c r="I26" s="157">
        <f>Total!I3233</f>
        <v>646.30999999999995</v>
      </c>
    </row>
    <row r="27" spans="1:9" x14ac:dyDescent="0.2">
      <c r="A27" s="8">
        <v>26</v>
      </c>
      <c r="B27" s="101">
        <f>Total!B3234</f>
        <v>44727</v>
      </c>
      <c r="C27" s="101">
        <f>Total!C3234</f>
        <v>44746</v>
      </c>
      <c r="D27" s="112" t="s">
        <v>1092</v>
      </c>
      <c r="E27" s="332" t="str">
        <f>Total!E3234</f>
        <v>Edificació</v>
      </c>
      <c r="F27" s="96" t="str">
        <f>Total!F3234</f>
        <v>Direccions d'Obra</v>
      </c>
      <c r="G27" s="112" t="str">
        <f>Total!G3234</f>
        <v>DO. S59-FGC-04467</v>
      </c>
      <c r="H27" s="112" t="str">
        <f>Total!H3234</f>
        <v>Contracte de serveis per a la direcció d'obra de les obres de la nova escala d'accés a la coberta de la seu corporativa d'Infraestructures.cat de Barcelona.</v>
      </c>
      <c r="I27" s="157">
        <f>Total!I3234</f>
        <v>2760</v>
      </c>
    </row>
    <row r="28" spans="1:9" x14ac:dyDescent="0.2">
      <c r="A28" s="8">
        <v>27</v>
      </c>
      <c r="B28" s="101">
        <f>Total!B3235</f>
        <v>44728</v>
      </c>
      <c r="C28" s="101">
        <f>Total!C3235</f>
        <v>44746</v>
      </c>
      <c r="D28" s="112" t="s">
        <v>1092</v>
      </c>
      <c r="E28" s="332" t="str">
        <f>Total!E3235</f>
        <v>Edificació</v>
      </c>
      <c r="F28" s="96" t="str">
        <f>Total!F3235</f>
        <v>Control de Qualitat</v>
      </c>
      <c r="G28" s="112" t="str">
        <f>Total!G3235</f>
        <v>CQ. S22-CAP-04378</v>
      </c>
      <c r="H28" s="112" t="str">
        <f>Total!H3235</f>
        <v>Contracte de serveis per l'assistència tècnica de control de qualitat de les obres de condicionament de les cobertes i espais interiors del CAP de Salt II. Clau: S22-CAP-04378</v>
      </c>
      <c r="I28" s="157">
        <f>Total!I3235</f>
        <v>2559.1999999999998</v>
      </c>
    </row>
    <row r="29" spans="1:9" x14ac:dyDescent="0.2">
      <c r="A29" s="8">
        <v>28</v>
      </c>
      <c r="B29" s="101">
        <f>Total!B3236</f>
        <v>44733</v>
      </c>
      <c r="C29" s="101">
        <f>Total!C3236</f>
        <v>44746</v>
      </c>
      <c r="D29" s="112" t="s">
        <v>1092</v>
      </c>
      <c r="E29" s="332" t="str">
        <f>Total!E3236</f>
        <v>Obra Civil</v>
      </c>
      <c r="F29" s="96" t="str">
        <f>Total!F3236</f>
        <v>Control de Qualitat</v>
      </c>
      <c r="G29" s="112" t="str">
        <f>Total!G3236</f>
        <v>CQ. PC-CNB-21057</v>
      </c>
      <c r="H29" s="112" t="str">
        <f>Total!H3236</f>
        <v>Contracte de serveis per a l'assistència tècnica de control de qualitat de les obres de nova passera a la C-31 al PK 181+130. Castelldefels.</v>
      </c>
      <c r="I29" s="157">
        <f>Total!I3236</f>
        <v>12517.38</v>
      </c>
    </row>
    <row r="30" spans="1:9" x14ac:dyDescent="0.2">
      <c r="A30" s="8">
        <v>29</v>
      </c>
      <c r="B30" s="101">
        <f>Total!B3237</f>
        <v>44733</v>
      </c>
      <c r="C30" s="101">
        <f>Total!C3237</f>
        <v>44746</v>
      </c>
      <c r="D30" s="112" t="s">
        <v>1092</v>
      </c>
      <c r="E30" s="332" t="str">
        <f>Total!E3237</f>
        <v>Obra Civil</v>
      </c>
      <c r="F30" s="96" t="str">
        <f>Total!F3237</f>
        <v>Direccions d'Obra</v>
      </c>
      <c r="G30" s="112" t="str">
        <f>Total!G3237</f>
        <v>DO. PC-CNB-21057</v>
      </c>
      <c r="H30" s="112" t="str">
        <f>Total!H3237</f>
        <v>Contracte de serveis per a la direcció de les obres de nova passera a la C-31 al PK 181+130. Castelldefels.</v>
      </c>
      <c r="I30" s="157">
        <f>Total!I3237</f>
        <v>55467.839999999997</v>
      </c>
    </row>
    <row r="31" spans="1:9" x14ac:dyDescent="0.2">
      <c r="A31" s="8">
        <v>30</v>
      </c>
      <c r="B31" s="101">
        <f>Total!B3238</f>
        <v>44733</v>
      </c>
      <c r="C31" s="101">
        <f>Total!C3238</f>
        <v>44746</v>
      </c>
      <c r="D31" s="112" t="s">
        <v>1092</v>
      </c>
      <c r="E31" s="332" t="str">
        <f>Total!E3238</f>
        <v>Obra Civil</v>
      </c>
      <c r="F31" s="96" t="str">
        <f>Total!F3238</f>
        <v>Direccions d'Obra</v>
      </c>
      <c r="G31" s="112" t="str">
        <f>Total!G3238</f>
        <v>CSS. PC-CNB-21057</v>
      </c>
      <c r="H31" s="112" t="str">
        <f>Total!H3238</f>
        <v>Contracte de serveis per a l'assistència tècnica de coordinació de seguretat i salut de les obres del projecte constructiu de nova passera a la C-31 al PK 181+130. Castelldefels.</v>
      </c>
      <c r="I31" s="157">
        <f>Total!I3238</f>
        <v>10967.74</v>
      </c>
    </row>
    <row r="32" spans="1:9" x14ac:dyDescent="0.2">
      <c r="A32" s="8">
        <v>31</v>
      </c>
      <c r="B32" s="101">
        <f>Total!B3239</f>
        <v>44734</v>
      </c>
      <c r="C32" s="101">
        <f>Total!C3239</f>
        <v>44760</v>
      </c>
      <c r="D32" s="112" t="s">
        <v>1092</v>
      </c>
      <c r="E32" s="332" t="str">
        <f>Total!E3239</f>
        <v>Edificació</v>
      </c>
      <c r="F32" s="96" t="str">
        <f>Total!F3239</f>
        <v>Control de Qualitat</v>
      </c>
      <c r="G32" s="112" t="str">
        <f>Total!G3239</f>
        <v>CQ. CCM-17261</v>
      </c>
      <c r="H32" s="112" t="str">
        <f>Total!H3239</f>
        <v>Contracte de serveis per a l'assistència tècnica de Control de Qualitat de les Obres RAM de millores de seguretat i videovigilància a les comissaries de les regions policials metropolitana Nord, metropolitana Sud, Barcelona i SAUC.</v>
      </c>
      <c r="I32" s="157">
        <f>Total!I3239</f>
        <v>5971.92</v>
      </c>
    </row>
    <row r="33" spans="1:9" x14ac:dyDescent="0.2">
      <c r="A33" s="8">
        <v>32</v>
      </c>
      <c r="B33" s="101">
        <f>Total!B3240</f>
        <v>44734</v>
      </c>
      <c r="C33" s="101">
        <f>Total!C3240</f>
        <v>44760</v>
      </c>
      <c r="D33" s="112" t="s">
        <v>1092</v>
      </c>
      <c r="E33" s="332" t="str">
        <f>Total!E3240</f>
        <v>Edificació</v>
      </c>
      <c r="F33" s="96" t="str">
        <f>Total!F3240</f>
        <v>Direccions d'Execució</v>
      </c>
      <c r="G33" s="112" t="str">
        <f>Total!G3240</f>
        <v>CSS. CCM-17261</v>
      </c>
      <c r="H33" s="112" t="str">
        <f>Total!H3240</f>
        <v>Assistència tècnica de coordinació de seguretat i salut de les obres del projecte executiu RAM de millores de seguretat i videovigilància a les comissaries de les regions policials metropolitana Nord, metropolitana Sud, Barcelona i SAUC.</v>
      </c>
      <c r="I33" s="157">
        <f>Total!I3240</f>
        <v>9000</v>
      </c>
    </row>
    <row r="34" spans="1:9" x14ac:dyDescent="0.2">
      <c r="A34" s="8">
        <v>33</v>
      </c>
      <c r="B34" s="101">
        <f>Total!B3241</f>
        <v>44734</v>
      </c>
      <c r="C34" s="101">
        <f>Total!C3241</f>
        <v>44760</v>
      </c>
      <c r="D34" s="112" t="s">
        <v>1092</v>
      </c>
      <c r="E34" s="332" t="str">
        <f>Total!E3241</f>
        <v>Edificació</v>
      </c>
      <c r="F34" s="96" t="str">
        <f>Total!F3241</f>
        <v>Direccions d'Execució</v>
      </c>
      <c r="G34" s="112" t="str">
        <f>Total!G3241</f>
        <v>DE. CCM-17261</v>
      </c>
      <c r="H34" s="112" t="str">
        <f>Total!H3241</f>
        <v>Contracte de serveis per la Direcció d'Execució de les Obres RAM de millores de seguretat i videovigilància a les comissaries de les regions policials metropolitana Nord, metropolitana Sud, Barcelona i SAUC.</v>
      </c>
      <c r="I34" s="157">
        <f>Total!I3241</f>
        <v>36000</v>
      </c>
    </row>
    <row r="35" spans="1:9" x14ac:dyDescent="0.2">
      <c r="A35" s="8">
        <v>34</v>
      </c>
      <c r="B35" s="101">
        <f>Total!B3242</f>
        <v>44734</v>
      </c>
      <c r="C35" s="101">
        <f>Total!C3242</f>
        <v>44760</v>
      </c>
      <c r="D35" s="112" t="s">
        <v>1092</v>
      </c>
      <c r="E35" s="332" t="str">
        <f>Total!E3242</f>
        <v>Edificació</v>
      </c>
      <c r="F35" s="96" t="str">
        <f>Total!F3242</f>
        <v>Control de Qualitat</v>
      </c>
      <c r="G35" s="112" t="str">
        <f>Total!G3242</f>
        <v>CQ. VBM-21217</v>
      </c>
      <c r="H35" s="112" t="str">
        <f>Total!H3242</f>
        <v>Contracte serveis per a l'assistència tècnica de Control de Qualitat de les obres RAM de reforma, adaptació i mesures correctores de la Seu del Departament d'Interior per l'obtenció de la llicència ambiental. Fase 2.</v>
      </c>
      <c r="I35" s="157">
        <f>Total!I3242</f>
        <v>7334.12</v>
      </c>
    </row>
    <row r="36" spans="1:9" x14ac:dyDescent="0.2">
      <c r="A36" s="8">
        <v>35</v>
      </c>
      <c r="B36" s="101">
        <f>Total!B3243</f>
        <v>44740</v>
      </c>
      <c r="C36" s="101">
        <f>Total!C3243</f>
        <v>44809</v>
      </c>
      <c r="D36" s="112" t="s">
        <v>1092</v>
      </c>
      <c r="E36" s="332" t="str">
        <f>Total!E3243</f>
        <v>Edificació</v>
      </c>
      <c r="F36" s="96" t="str">
        <f>Total!F3243</f>
        <v>Projectes i Direccions d'Obra</v>
      </c>
      <c r="G36" s="112" t="str">
        <f>Total!G3243</f>
        <v>PE+DO PNG-20227</v>
      </c>
      <c r="H36" s="112" t="str">
        <f>Total!H3243</f>
        <v>Concurs de projectes per a la redacció del projecte bàsic i executiu i la posterior direcció de les obres de Nova construcció Escola 1L Gonçal Comellas d'Avinyonet de Puigventós.</v>
      </c>
      <c r="I36" s="157">
        <f>Total!I3243</f>
        <v>351167.57</v>
      </c>
    </row>
    <row r="37" spans="1:9" x14ac:dyDescent="0.2">
      <c r="I37" s="126">
        <f>SUM(I2:I36)</f>
        <v>12195970.83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32"/>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Total!B3179</f>
        <v>44683</v>
      </c>
      <c r="C2" s="101">
        <f>Total!C3179</f>
        <v>44711</v>
      </c>
      <c r="D2" s="112" t="s">
        <v>1092</v>
      </c>
      <c r="E2" s="332" t="str">
        <f>Total!E3179</f>
        <v>Obra Civil</v>
      </c>
      <c r="F2" s="96" t="str">
        <f>Total!F3179</f>
        <v>Direccions d'Obra</v>
      </c>
      <c r="G2" s="112" t="str">
        <f>Total!G3179</f>
        <v>EI. EI-CIB-21087+PC. PC-CIB-21</v>
      </c>
      <c r="H2" s="112" t="str">
        <f>Total!H3179</f>
        <v>Red. estudi informatiu "Millora connectivitat i nous enllaços C-32 al Maresme del PK 84+250 al PK 134+750. Montgat - Tordera" i proj. constructiu "Millora connnectivitat i nous enllaços C-32 al Maresme del pk 85,250 al pk 95,00. Montgat-Cabrera de Mar.</v>
      </c>
      <c r="I2" s="157">
        <f>Total!I3179</f>
        <v>722132</v>
      </c>
    </row>
    <row r="3" spans="1:9" x14ac:dyDescent="0.2">
      <c r="A3" s="8">
        <v>2</v>
      </c>
      <c r="B3" s="101">
        <f>Total!B3180</f>
        <v>44685</v>
      </c>
      <c r="C3" s="101">
        <f>Total!C3180</f>
        <v>44704</v>
      </c>
      <c r="D3" s="112" t="s">
        <v>1092</v>
      </c>
      <c r="E3" s="332" t="str">
        <f>Total!E3180</f>
        <v>Obra Civil</v>
      </c>
      <c r="F3" s="96" t="str">
        <f>Total!F3180</f>
        <v>Projectes</v>
      </c>
      <c r="G3" s="112" t="str">
        <f>Total!G3180</f>
        <v>PC. PC-CGE-21048.</v>
      </c>
      <c r="H3" s="112" t="str">
        <f>Total!H3180</f>
        <v>Contracte de serveis per a l'assistència tècnica per a la redacció del projecte constructiu. Pas de fauna per llúdrigues a la C-12 entre el PK 85+600 al 86+000 a l'alçada de la presa de Flix.</v>
      </c>
      <c r="I3" s="157">
        <f>Total!I3180</f>
        <v>31000</v>
      </c>
    </row>
    <row r="4" spans="1:9" x14ac:dyDescent="0.2">
      <c r="A4" s="8">
        <v>3</v>
      </c>
      <c r="B4" s="101">
        <f>Total!B3181</f>
        <v>44685</v>
      </c>
      <c r="C4" s="101">
        <f>Total!C3181</f>
        <v>44704</v>
      </c>
      <c r="D4" s="112" t="s">
        <v>1092</v>
      </c>
      <c r="E4" s="332" t="str">
        <f>Total!E3181</f>
        <v>Edificació</v>
      </c>
      <c r="F4" s="96" t="str">
        <f>Total!F3181</f>
        <v>Projectes i Direccions d'Obra</v>
      </c>
      <c r="G4" s="112" t="str">
        <f>Total!G3181</f>
        <v>PE+DO. JVX-21283</v>
      </c>
      <c r="H4" s="112" t="str">
        <f>Total!H3181</f>
        <v>Assistència tècnica per a la redacció del projecte bàsic i executiu i la posterior direcció de les obres de l'actualització del projecte RAM de reforma del Mòdul Residencial 11 (A i B) del Centre Penitenciari de Ponent, a Lleida.</v>
      </c>
      <c r="I4" s="157">
        <f>Total!I3181</f>
        <v>113022.93</v>
      </c>
    </row>
    <row r="5" spans="1:9" x14ac:dyDescent="0.2">
      <c r="A5" s="8">
        <v>4</v>
      </c>
      <c r="B5" s="101">
        <f>Total!B3182</f>
        <v>44685</v>
      </c>
      <c r="C5" s="101">
        <f>Total!C3182</f>
        <v>44704</v>
      </c>
      <c r="D5" s="112" t="s">
        <v>1092</v>
      </c>
      <c r="E5" s="332" t="str">
        <f>Total!E3182</f>
        <v>Obra Civil</v>
      </c>
      <c r="F5" s="96" t="str">
        <f>Total!F3182</f>
        <v>Projectes</v>
      </c>
      <c r="G5" s="112" t="str">
        <f>Total!G3182</f>
        <v>PC. PAP-22223</v>
      </c>
      <c r="H5" s="112" t="str">
        <f>Total!H3182</f>
        <v>Contracte de serveis per a l'assistència tècnica per a la redacció del projecte constructiu. Millora de la pista de Boet a Alins al Parc Natural de l'Alt Pirineu (Pallars Sobirà).</v>
      </c>
      <c r="I5" s="157">
        <f>Total!I3182</f>
        <v>85695</v>
      </c>
    </row>
    <row r="6" spans="1:9" x14ac:dyDescent="0.2">
      <c r="A6" s="8">
        <v>5</v>
      </c>
      <c r="B6" s="101">
        <f>Total!B3183</f>
        <v>44685</v>
      </c>
      <c r="C6" s="101">
        <f>Total!C3183</f>
        <v>44704</v>
      </c>
      <c r="D6" s="112" t="s">
        <v>1092</v>
      </c>
      <c r="E6" s="332" t="str">
        <f>Total!E3183</f>
        <v>Obra Civil</v>
      </c>
      <c r="F6" s="96" t="str">
        <f>Total!F3183</f>
        <v>Projectes</v>
      </c>
      <c r="G6" s="112" t="str">
        <f>Total!G3183</f>
        <v>PC. PC-CGL-21062</v>
      </c>
      <c r="H6" s="112" t="str">
        <f>Total!H3183</f>
        <v>Contracte de serveis per a l'assistència tècnica per a la redacció del projecte constructiu. Estabilització de talussos i protecció contra despreniments a la C-13 del PK 133+110 al 141+730. Rialp i Llavorsí.</v>
      </c>
      <c r="I6" s="157">
        <f>Total!I3183</f>
        <v>73700</v>
      </c>
    </row>
    <row r="7" spans="1:9" x14ac:dyDescent="0.2">
      <c r="A7" s="8">
        <v>6</v>
      </c>
      <c r="B7" s="101">
        <f>Total!B3184</f>
        <v>44685</v>
      </c>
      <c r="C7" s="101">
        <f>Total!C3184</f>
        <v>44704</v>
      </c>
      <c r="D7" s="112" t="s">
        <v>1092</v>
      </c>
      <c r="E7" s="332" t="str">
        <f>Total!E3184</f>
        <v>Obra Civil</v>
      </c>
      <c r="F7" s="96" t="str">
        <f>Total!F3184</f>
        <v>Projectes</v>
      </c>
      <c r="G7" s="112" t="str">
        <f>Total!G3184</f>
        <v>PC. PC-CIB-22001</v>
      </c>
      <c r="H7" s="112" t="str">
        <f>Total!H3184</f>
        <v>Contracte de serveis per a l'assistència tècnica per a la redacció del projecte constructiu "Condicionament de la C-59 del PK 38+460 al 53+720. Moià - Santa Maria d'Oló".</v>
      </c>
      <c r="I7" s="157">
        <f>Total!I3184</f>
        <v>173861</v>
      </c>
    </row>
    <row r="8" spans="1:9" x14ac:dyDescent="0.2">
      <c r="A8" s="8">
        <v>7</v>
      </c>
      <c r="B8" s="101">
        <f>Total!B3185</f>
        <v>44686</v>
      </c>
      <c r="C8" s="101">
        <f>Total!C3185</f>
        <v>44704</v>
      </c>
      <c r="D8" s="112" t="s">
        <v>1092</v>
      </c>
      <c r="E8" s="332" t="str">
        <f>Total!E3185</f>
        <v>Obra Civil</v>
      </c>
      <c r="F8" s="96" t="str">
        <f>Total!F3185</f>
        <v>Projectes</v>
      </c>
      <c r="G8" s="112" t="str">
        <f>Total!G3185</f>
        <v>PC. PC-CNB-21067</v>
      </c>
      <c r="H8" s="112" t="str">
        <f>Total!H3185</f>
        <v>Serveis per a l'assistència tècnica per a la redacció del projecte constructiu "Connexió entre l'N-II, la C-32 i el polígon industrial Vall de Gata-Draper. Arenys de Mar". Clau: PC-CNB-21067</v>
      </c>
      <c r="I8" s="157">
        <f>Total!I3185</f>
        <v>53000</v>
      </c>
    </row>
    <row r="9" spans="1:9" x14ac:dyDescent="0.2">
      <c r="A9" s="8">
        <v>8</v>
      </c>
      <c r="B9" s="101">
        <f>Total!B3186</f>
        <v>44686</v>
      </c>
      <c r="C9" s="101">
        <f>Total!C3186</f>
        <v>44704</v>
      </c>
      <c r="D9" s="112" t="s">
        <v>1092</v>
      </c>
      <c r="E9" s="332" t="str">
        <f>Total!E3186</f>
        <v>Edificació</v>
      </c>
      <c r="F9" s="96" t="str">
        <f>Total!F3186</f>
        <v>Direccions d'Execució</v>
      </c>
      <c r="G9" s="112" t="str">
        <f>Total!G3186</f>
        <v>DE. CAP-18202.A</v>
      </c>
      <c r="H9" s="112" t="str">
        <f>Total!H3186</f>
        <v>Contracte de serveis per a la direcció d'execució de les obres de construcció del nou Centre d'Atenció Primària de Pineda de Mar. Clau: CAP-18202.A</v>
      </c>
      <c r="I9" s="157">
        <f>Total!I3186</f>
        <v>80594.600000000006</v>
      </c>
    </row>
    <row r="10" spans="1:9" x14ac:dyDescent="0.2">
      <c r="A10" s="8">
        <v>9</v>
      </c>
      <c r="B10" s="101">
        <f>Total!B3187</f>
        <v>44686</v>
      </c>
      <c r="C10" s="101">
        <f>Total!C3187</f>
        <v>44706</v>
      </c>
      <c r="D10" s="112" t="s">
        <v>1092</v>
      </c>
      <c r="E10" s="332" t="str">
        <f>Total!E3187</f>
        <v>Obra Civil</v>
      </c>
      <c r="F10" s="96" t="str">
        <f>Total!F3187</f>
        <v>Control de Qualitat</v>
      </c>
      <c r="G10" s="112" t="str">
        <f>Total!G3187</f>
        <v>CQ. MG-10042-AA</v>
      </c>
      <c r="H10" s="112" t="str">
        <f>Total!H3187</f>
        <v>Contracte de serveis per a l'assistència tècnica de Control de Qualitat de les obres del projecte constructiu de millora local. Millora de nus. Rotonda a la carretera C-17, PK 95+455 (intersecció amb N-260). Tram: Ripoll. Clau: MG-10042-AA</v>
      </c>
      <c r="I10" s="157">
        <f>Total!I3187</f>
        <v>5595.99</v>
      </c>
    </row>
    <row r="11" spans="1:9" x14ac:dyDescent="0.2">
      <c r="A11" s="8">
        <v>10</v>
      </c>
      <c r="B11" s="101">
        <f>Total!B3188</f>
        <v>44686</v>
      </c>
      <c r="C11" s="101">
        <f>Total!C3188</f>
        <v>44704</v>
      </c>
      <c r="D11" s="112" t="s">
        <v>1092</v>
      </c>
      <c r="E11" s="332" t="str">
        <f>Total!E3188</f>
        <v>Edificació</v>
      </c>
      <c r="F11" s="96" t="str">
        <f>Total!F3188</f>
        <v>Control de Qualitat</v>
      </c>
      <c r="G11" s="112" t="str">
        <f>Total!G3188</f>
        <v>CQ. CAP-18202.A</v>
      </c>
      <c r="H11" s="112" t="str">
        <f>Total!H3188</f>
        <v>Contracte de serveis per a l'assistència tècnica de control de qualitat de les obres de construcció del nou Centre d'Atenció Primària de Pineda de Mar. Clau: CAP-18202.A</v>
      </c>
      <c r="I11" s="157">
        <f>Total!I3188</f>
        <v>63013.73</v>
      </c>
    </row>
    <row r="12" spans="1:9" x14ac:dyDescent="0.2">
      <c r="A12" s="8">
        <v>11</v>
      </c>
      <c r="B12" s="101">
        <f>Total!B3189</f>
        <v>44686</v>
      </c>
      <c r="C12" s="101">
        <f>Total!C3189</f>
        <v>44704</v>
      </c>
      <c r="D12" s="112" t="s">
        <v>1092</v>
      </c>
      <c r="E12" s="332" t="str">
        <f>Total!E3189</f>
        <v>Edificació</v>
      </c>
      <c r="F12" s="96" t="str">
        <f>Total!F3189</f>
        <v>Direccions d'Execució</v>
      </c>
      <c r="G12" s="112" t="str">
        <f>Total!G3189</f>
        <v>CSS. CAP-18202.A</v>
      </c>
      <c r="H12" s="112" t="str">
        <f>Total!H3189</f>
        <v>Contracte de serveis per a l'assistència tècnica de coordinació de seguretat i salut de les obres del projecte actualitzat del nou Centre d'Atenció Primària de Pineda de Mar. Clau: CAP-18202.A</v>
      </c>
      <c r="I12" s="157">
        <f>Total!I3189</f>
        <v>20148.650000000001</v>
      </c>
    </row>
    <row r="13" spans="1:9" x14ac:dyDescent="0.2">
      <c r="A13" s="8">
        <v>12</v>
      </c>
      <c r="B13" s="101">
        <f>Total!B3190</f>
        <v>44686</v>
      </c>
      <c r="C13" s="101">
        <f>Total!C3190</f>
        <v>44706</v>
      </c>
      <c r="D13" s="112" t="s">
        <v>1092</v>
      </c>
      <c r="E13" s="332" t="str">
        <f>Total!E3190</f>
        <v>Obra Civil</v>
      </c>
      <c r="F13" s="96" t="str">
        <f>Total!F3190</f>
        <v>Direccions d'Obra</v>
      </c>
      <c r="G13" s="112" t="str">
        <f>Total!G3190</f>
        <v>CSS. MG-10042-AA</v>
      </c>
      <c r="H13" s="112" t="str">
        <f>Total!H3190</f>
        <v>Contracte de serveis per a l'assistència tècnica de coordinació de seguretat i salut de les obres del projecte constructiu de millora local. Millora de nus. Rotonda a la carretera C-17, PK 95+455 (intersecció amb N-260). Tram: Ripoll. Clau: MG-10042-AA</v>
      </c>
      <c r="I13" s="157">
        <f>Total!I3190</f>
        <v>5899.3</v>
      </c>
    </row>
    <row r="14" spans="1:9" x14ac:dyDescent="0.2">
      <c r="A14" s="8">
        <v>13</v>
      </c>
      <c r="B14" s="101">
        <f>Total!B3191</f>
        <v>44686</v>
      </c>
      <c r="C14" s="101">
        <f>Total!C3191</f>
        <v>44706</v>
      </c>
      <c r="D14" s="112" t="s">
        <v>1092</v>
      </c>
      <c r="E14" s="332" t="str">
        <f>Total!E3191</f>
        <v>Obra Civil</v>
      </c>
      <c r="F14" s="96" t="str">
        <f>Total!F3191</f>
        <v>Direccions d'Obra</v>
      </c>
      <c r="G14" s="112" t="str">
        <f>Total!G3191</f>
        <v>DO. MG-10042-AA</v>
      </c>
      <c r="H14" s="112" t="str">
        <f>Total!H3191</f>
        <v>Contracte de serveis per a la direcció de les obres del projecte constructiu de millora local. Millora de nus. Rotonda a la carretera C-17, PK 95+455 (intersecció amb N-260). Tram: Ripoll. Clau: MG-10042-AA</v>
      </c>
      <c r="I14" s="157">
        <f>Total!I3191</f>
        <v>15561.4</v>
      </c>
    </row>
    <row r="15" spans="1:9" x14ac:dyDescent="0.2">
      <c r="A15" s="8">
        <v>14</v>
      </c>
      <c r="B15" s="101">
        <f>Total!B3192</f>
        <v>44686</v>
      </c>
      <c r="C15" s="101">
        <f>Total!C3192</f>
        <v>44704</v>
      </c>
      <c r="D15" s="112" t="s">
        <v>1092</v>
      </c>
      <c r="E15" s="332" t="str">
        <f>Total!E3192</f>
        <v>Obra Civil</v>
      </c>
      <c r="F15" s="96" t="str">
        <f>Total!F3192</f>
        <v>Projectes</v>
      </c>
      <c r="G15" s="112" t="str">
        <f>Total!G3192</f>
        <v>PC. PC-CPG-19024</v>
      </c>
      <c r="H15" s="112" t="str">
        <f>Total!H3192</f>
        <v>Contracte de serveis per a l'assistència tècnica per a la redacció del projecte constructiu "Rehabilitació del ferm i ordenació d'accessos al vial perimetral de Celrà del PK0+000 al 3+200. Celrà". Clau: PC-CPG-19024</v>
      </c>
      <c r="I15" s="157">
        <f>Total!I3192</f>
        <v>106700</v>
      </c>
    </row>
    <row r="16" spans="1:9" x14ac:dyDescent="0.2">
      <c r="A16" s="8">
        <v>15</v>
      </c>
      <c r="B16" s="101">
        <f>Total!B3193</f>
        <v>44686</v>
      </c>
      <c r="C16" s="101">
        <f>Total!C3193</f>
        <v>44704</v>
      </c>
      <c r="D16" s="112" t="s">
        <v>1092</v>
      </c>
      <c r="E16" s="332" t="str">
        <f>Total!E3193</f>
        <v>Obra Civil</v>
      </c>
      <c r="F16" s="96" t="str">
        <f>Total!F3193</f>
        <v>Projectes</v>
      </c>
      <c r="G16" s="112" t="str">
        <f>Total!G3193</f>
        <v>PC. PC-CFT-21070</v>
      </c>
      <c r="H16" s="112" t="str">
        <f>Total!H3193</f>
        <v>Contracte de serveis per a l'assistència tècnica per a la redacció del projecte constructiu "Millora de característiques superficials de la C-37 del PK 14+600 al 26+455. Valls - el Pont d'Armentera". Clau: PC-CFT-21070</v>
      </c>
      <c r="I16" s="157">
        <f>Total!I3193</f>
        <v>66800</v>
      </c>
    </row>
    <row r="17" spans="1:9" x14ac:dyDescent="0.2">
      <c r="A17" s="8">
        <v>16</v>
      </c>
      <c r="B17" s="101">
        <f>Total!B3194</f>
        <v>44687</v>
      </c>
      <c r="C17" s="101">
        <f>Total!C3194</f>
        <v>44720</v>
      </c>
      <c r="D17" s="112" t="s">
        <v>1092</v>
      </c>
      <c r="E17" s="332" t="str">
        <f>Total!E3194</f>
        <v>Edificació</v>
      </c>
      <c r="F17" s="96" t="str">
        <f>Total!F3194</f>
        <v>Projectes i Direccions d'Obra</v>
      </c>
      <c r="G17" s="112" t="str">
        <f>Total!G3194</f>
        <v>PE+DO. PNG-20249</v>
      </c>
      <c r="H17" s="112" t="str">
        <f>Total!H3194</f>
        <v>Redaccó del projecte bàsic i executiu i la posterior deirecció de les obres de la Nova Construcció Escola 1L Sant Jordi de Sant Julià de Llor i Bonmatí.</v>
      </c>
      <c r="I17" s="157">
        <f>Total!I3194</f>
        <v>271565.93</v>
      </c>
    </row>
    <row r="18" spans="1:9" x14ac:dyDescent="0.2">
      <c r="A18" s="8">
        <v>17</v>
      </c>
      <c r="B18" s="101">
        <f>Total!B3195</f>
        <v>44687</v>
      </c>
      <c r="C18" s="101">
        <f>Total!C3195</f>
        <v>44704</v>
      </c>
      <c r="D18" s="112" t="s">
        <v>1092</v>
      </c>
      <c r="E18" s="332" t="str">
        <f>Total!E3195</f>
        <v>Obra Civil</v>
      </c>
      <c r="F18" s="96" t="str">
        <f>Total!F3195</f>
        <v>Projectes</v>
      </c>
      <c r="G18" s="112" t="str">
        <f>Total!G3195</f>
        <v>PC. AG-07040.3-A1</v>
      </c>
      <c r="H18" s="112" t="str">
        <f>Total!H3195</f>
        <v>Serveis per a l'assistència tècnica per a la redacció del projecte constructiu "Condicionament de la GI-642 del pk 0,000 al 3,512. La Pera-Parlavà.</v>
      </c>
      <c r="I18" s="157">
        <f>Total!I3195</f>
        <v>139580</v>
      </c>
    </row>
    <row r="19" spans="1:9" x14ac:dyDescent="0.2">
      <c r="A19" s="8">
        <v>18</v>
      </c>
      <c r="B19" s="101">
        <f>Total!B3196</f>
        <v>44692</v>
      </c>
      <c r="C19" s="101">
        <f>Total!C3196</f>
        <v>44711</v>
      </c>
      <c r="D19" s="112" t="s">
        <v>1092</v>
      </c>
      <c r="E19" s="332" t="str">
        <f>Total!E3196</f>
        <v>Edificació</v>
      </c>
      <c r="F19" s="96" t="str">
        <f>Total!F3196</f>
        <v>Projectes i Direccions Facultatives</v>
      </c>
      <c r="G19" s="112" t="str">
        <f>Total!G3196</f>
        <v>PE+DF. PPO-21301</v>
      </c>
      <c r="H19" s="112" t="str">
        <f>Total!H3196</f>
        <v>Redacció del projecte bàsic i executiu i la posterior direcció facultativa de les obres de rehabilitació de l'edifici carrer Bailén (TM Roquetes) i Millora funcional i de les instal·lacions de la casa forestal de la Vall (TM de Roquetes).</v>
      </c>
      <c r="I19" s="157">
        <f>Total!I3196</f>
        <v>71371.44</v>
      </c>
    </row>
    <row r="20" spans="1:9" x14ac:dyDescent="0.2">
      <c r="A20" s="8">
        <v>19</v>
      </c>
      <c r="B20" s="101">
        <f>Total!B3197</f>
        <v>44697</v>
      </c>
      <c r="C20" s="101">
        <f>Total!C3197</f>
        <v>44720</v>
      </c>
      <c r="D20" s="112" t="s">
        <v>1092</v>
      </c>
      <c r="E20" s="332" t="str">
        <f>Total!E3197</f>
        <v>Obra Civil</v>
      </c>
      <c r="F20" s="96" t="str">
        <f>Total!F3197</f>
        <v>Control de Qualitat</v>
      </c>
      <c r="G20" s="112" t="str">
        <f>Total!G3197</f>
        <v>CQ. MB-16037.F1</v>
      </c>
      <c r="H20" s="112" t="str">
        <f>Total!H3197</f>
        <v>Contracte de serveis per a l'assistència tècnica de control de qualitat de les obres de millora local. Millora de nus. Rotonda a la C-31, PK 176+500. Fase 1. Sitges.</v>
      </c>
      <c r="I20" s="157">
        <f>Total!I3197</f>
        <v>5378.16</v>
      </c>
    </row>
    <row r="21" spans="1:9" x14ac:dyDescent="0.2">
      <c r="A21" s="8">
        <v>20</v>
      </c>
      <c r="B21" s="101">
        <f>Total!B3198</f>
        <v>44697</v>
      </c>
      <c r="C21" s="101">
        <f>Total!C3198</f>
        <v>44720</v>
      </c>
      <c r="D21" s="112" t="s">
        <v>1092</v>
      </c>
      <c r="E21" s="332" t="str">
        <f>Total!E3198</f>
        <v>Obra Civil</v>
      </c>
      <c r="F21" s="96" t="str">
        <f>Total!F3198</f>
        <v>Direccions d'Obra</v>
      </c>
      <c r="G21" s="112" t="str">
        <f>Total!G3198</f>
        <v>DO. MB-16037.F1</v>
      </c>
      <c r="H21" s="112" t="str">
        <f>Total!H3198</f>
        <v>Contracte de serveis per a la direcció de les obres de millora local. Millora de nus. Rotonda a la C-31, PK 176+500. Fase 1. Sitges.</v>
      </c>
      <c r="I21" s="157">
        <f>Total!I3198</f>
        <v>13409.99</v>
      </c>
    </row>
    <row r="22" spans="1:9" x14ac:dyDescent="0.2">
      <c r="A22" s="8">
        <v>21</v>
      </c>
      <c r="B22" s="101">
        <f>Total!B3199</f>
        <v>44697</v>
      </c>
      <c r="C22" s="101">
        <f>Total!C3199</f>
        <v>44720</v>
      </c>
      <c r="D22" s="112" t="s">
        <v>1092</v>
      </c>
      <c r="E22" s="332" t="str">
        <f>Total!E3199</f>
        <v>Obra Civil</v>
      </c>
      <c r="F22" s="96" t="str">
        <f>Total!F3199</f>
        <v>Direccions d'Obra</v>
      </c>
      <c r="G22" s="112" t="str">
        <f>Total!G3199</f>
        <v>CSS. MB-16037.F1</v>
      </c>
      <c r="H22" s="112" t="str">
        <f>Total!H3199</f>
        <v>Contracte de serveis per a l'assistència tècnica de coordinació de seguretat i salut de les obres del projecte constructiu de millora local. Millora de nus. Rotonda a la C-31, PK 176+500. Fase 1. Sitges.</v>
      </c>
      <c r="I22" s="157">
        <f>Total!I3199</f>
        <v>3480.47</v>
      </c>
    </row>
    <row r="23" spans="1:9" x14ac:dyDescent="0.2">
      <c r="A23" s="8">
        <v>22</v>
      </c>
      <c r="B23" s="101">
        <f>Total!B3200</f>
        <v>44699</v>
      </c>
      <c r="C23" s="101">
        <f>Total!C3200</f>
        <v>44727</v>
      </c>
      <c r="D23" s="112" t="s">
        <v>1092</v>
      </c>
      <c r="E23" s="332" t="str">
        <f>Total!E3200</f>
        <v>Edificació</v>
      </c>
      <c r="F23" s="96" t="str">
        <f>Total!F3200</f>
        <v>Projectes i Direccions d'Obra</v>
      </c>
      <c r="G23" s="112" t="str">
        <f>Total!G3200</f>
        <v>PE+DO. CAP-22221</v>
      </c>
      <c r="H23" s="112" t="str">
        <f>Total!H3200</f>
        <v>Concurs de projectes per a la redacció del projecte bàsic i executiu i la posterior direcció de les obres del Nou Centre d'Atenció Primària de Santa Margarida i els Monjos. Clau: CAP-22221</v>
      </c>
      <c r="I23" s="157">
        <f>Total!I3200</f>
        <v>342304.45</v>
      </c>
    </row>
    <row r="24" spans="1:9" x14ac:dyDescent="0.2">
      <c r="A24" s="8">
        <v>23</v>
      </c>
      <c r="B24" s="101">
        <f>Total!B3201</f>
        <v>44701</v>
      </c>
      <c r="C24" s="101">
        <f>Total!C3201</f>
        <v>44725</v>
      </c>
      <c r="D24" s="112" t="s">
        <v>1092</v>
      </c>
      <c r="E24" s="332" t="str">
        <f>Total!E3201</f>
        <v>Edificació</v>
      </c>
      <c r="F24" s="96" t="str">
        <f>Total!F3201</f>
        <v>Direccions d'Execució</v>
      </c>
      <c r="G24" s="112" t="str">
        <f>Total!G3201</f>
        <v>CSS. PRL-22910</v>
      </c>
      <c r="H24" s="112" t="str">
        <f>Total!H3201</f>
        <v>Contracte de serveis per a l'assistència tècnica de coordinació de seguretat i salut de treballs de reparació a executar en el període de garantia o suspensió de les obres gestionades per Infraestructures de la Generalitat de Catalunya, SAU.</v>
      </c>
      <c r="I24" s="157">
        <f>Total!I3201</f>
        <v>30000</v>
      </c>
    </row>
    <row r="25" spans="1:9" x14ac:dyDescent="0.2">
      <c r="A25" s="8">
        <v>24</v>
      </c>
      <c r="B25" s="101">
        <f>Total!B3202</f>
        <v>44704</v>
      </c>
      <c r="C25" s="101">
        <f>Total!C3202</f>
        <v>44727</v>
      </c>
      <c r="D25" s="112" t="s">
        <v>1092</v>
      </c>
      <c r="E25" s="332" t="str">
        <f>Total!E3202</f>
        <v>Obra Civil</v>
      </c>
      <c r="F25" s="96" t="str">
        <f>Total!F3202</f>
        <v>Control de Qualitat</v>
      </c>
      <c r="G25" s="112" t="str">
        <f>Total!G3202</f>
        <v>CQ. PC-CPB-20028</v>
      </c>
      <c r="H25" s="112" t="str">
        <f>Total!H3202</f>
        <v>Contracte de serveis per a l'assistència tècnica de control de qualitat de les obres de rotonda a la BV-4501, PK 4+425. Santpedor.</v>
      </c>
      <c r="I25" s="157">
        <f>Total!I3202</f>
        <v>6119.47</v>
      </c>
    </row>
    <row r="26" spans="1:9" x14ac:dyDescent="0.2">
      <c r="A26" s="8">
        <v>25</v>
      </c>
      <c r="B26" s="101">
        <f>Total!B3203</f>
        <v>44704</v>
      </c>
      <c r="C26" s="101">
        <f>Total!C3203</f>
        <v>44727</v>
      </c>
      <c r="D26" s="112" t="s">
        <v>1092</v>
      </c>
      <c r="E26" s="332" t="str">
        <f>Total!E3203</f>
        <v>Obra Civil</v>
      </c>
      <c r="F26" s="96" t="str">
        <f>Total!F3203</f>
        <v>Direccions d'Obra</v>
      </c>
      <c r="G26" s="112" t="str">
        <f>Total!G3203</f>
        <v>CSS. PC-CPB-20028</v>
      </c>
      <c r="H26" s="112" t="str">
        <f>Total!H3203</f>
        <v>Contracte de serveis per a l'assistència tècnica de coordinació de seguretat i salut de les obres del projecte constructiu de rotonda a la BV-4501, PK 4+425. Santpedor.</v>
      </c>
      <c r="I26" s="157">
        <f>Total!I3203</f>
        <v>4093.73</v>
      </c>
    </row>
    <row r="27" spans="1:9" x14ac:dyDescent="0.2">
      <c r="A27" s="8">
        <v>26</v>
      </c>
      <c r="B27" s="101">
        <f>Total!B3204</f>
        <v>44706</v>
      </c>
      <c r="C27" s="101">
        <f>Total!C3204</f>
        <v>44725</v>
      </c>
      <c r="D27" s="112" t="s">
        <v>1092</v>
      </c>
      <c r="E27" s="332" t="str">
        <f>Total!E3204</f>
        <v>Edificació</v>
      </c>
      <c r="F27" s="96" t="str">
        <f>Total!F3204</f>
        <v>Control de Qualitat</v>
      </c>
      <c r="G27" s="112" t="str">
        <f>Total!G3204</f>
        <v>CQ. XMV-21537</v>
      </c>
      <c r="H27" s="112" t="str">
        <f>Total!H3204</f>
        <v>Control de qualitat de les obres RAM 2021 als Serveis Territorials al Vallès Occidental (XI): Escola Virolet (Sabadell), Enderroc parcial de fonamentació de mòduls, instal·lació de recollida pneumàtica i adequació d'accés i tanca.</v>
      </c>
      <c r="I27" s="157">
        <f>Total!I3204</f>
        <v>3391.84</v>
      </c>
    </row>
    <row r="28" spans="1:9" x14ac:dyDescent="0.2">
      <c r="A28" s="8">
        <v>27</v>
      </c>
      <c r="B28" s="101">
        <f>Total!B3205</f>
        <v>44711</v>
      </c>
      <c r="C28" s="101">
        <f>Total!C3205</f>
        <v>44741</v>
      </c>
      <c r="D28" s="112" t="s">
        <v>1092</v>
      </c>
      <c r="E28" s="332" t="str">
        <f>Total!E3205</f>
        <v>Edificació</v>
      </c>
      <c r="F28" s="96" t="str">
        <f>Total!F3205</f>
        <v>Projectes i Direccions d'Obra</v>
      </c>
      <c r="G28" s="112" t="str">
        <f>Total!G3205</f>
        <v>PE+DO. JJV-21303</v>
      </c>
      <c r="H28" s="112" t="str">
        <f>Total!H3205</f>
        <v>A.T. per a la redacció del projecte bàsic i executiu i la posterior direcció de les obres RAM per a la substitució del sistema de climatització i ventilació, i l'obtenció de la llicència d'activitats de l'edifici Judicial Tomas y Valiente de Mataró.</v>
      </c>
      <c r="I28" s="157">
        <f>Total!I3205</f>
        <v>305441.71999999997</v>
      </c>
    </row>
    <row r="29" spans="1:9" x14ac:dyDescent="0.2">
      <c r="A29" s="8">
        <v>28</v>
      </c>
      <c r="B29" s="101">
        <f>Total!B3206</f>
        <v>44712</v>
      </c>
      <c r="C29" s="101">
        <f>Total!C3206</f>
        <v>44732</v>
      </c>
      <c r="D29" s="112" t="s">
        <v>1092</v>
      </c>
      <c r="E29" s="332" t="str">
        <f>Total!E3206</f>
        <v>Obra Civil</v>
      </c>
      <c r="F29" s="96" t="str">
        <f>Total!F3206</f>
        <v>Direccions d'Obra</v>
      </c>
      <c r="G29" s="112" t="str">
        <f>Total!G3206</f>
        <v>CSS. MB-16066</v>
      </c>
      <c r="H29" s="112" t="str">
        <f>Total!H3206</f>
        <v>Coordinació de seguretat i salut de les obres del projecte constructiu de millora local. Ponts i estructures. Ampliació vorera de la BV-1225 al pas superior de la carretera C-55 (Ronda de Manresa). PK 28+530. Tram: Manresa.</v>
      </c>
      <c r="I29" s="157">
        <f>Total!I3206</f>
        <v>4024.04</v>
      </c>
    </row>
    <row r="30" spans="1:9" x14ac:dyDescent="0.2">
      <c r="A30" s="8">
        <v>29</v>
      </c>
      <c r="B30" s="101">
        <f>Total!B3207</f>
        <v>44712</v>
      </c>
      <c r="C30" s="101">
        <f>Total!C3207</f>
        <v>44732</v>
      </c>
      <c r="D30" s="112" t="s">
        <v>1092</v>
      </c>
      <c r="E30" s="332" t="str">
        <f>Total!E3207</f>
        <v>Obra Civil</v>
      </c>
      <c r="F30" s="96" t="str">
        <f>Total!F3207</f>
        <v>Direccions d'Obra</v>
      </c>
      <c r="G30" s="112" t="str">
        <f>Total!G3207</f>
        <v>DO. MB-16066+PC. CPB-20028</v>
      </c>
      <c r="H30" s="112" t="str">
        <f>Total!H3207</f>
        <v>Direcció conjunta de les obres de "Millora local. Ponts i estructures. Ampliació vorera de la BV-1225 al pas superior de la carretera C-55 (Ronda de Manresa). PK 28+530. Tram: Manresa. Clau MB-16066" i "Rotonda a la BV-4501, PK 4+425. Santpedor.</v>
      </c>
      <c r="I30" s="157">
        <f>Total!I3207</f>
        <v>39057.17</v>
      </c>
    </row>
    <row r="31" spans="1:9" x14ac:dyDescent="0.2">
      <c r="A31" s="8">
        <v>30</v>
      </c>
      <c r="B31" s="101">
        <f>Total!B3208</f>
        <v>44712</v>
      </c>
      <c r="C31" s="101">
        <f>Total!C3208</f>
        <v>44732</v>
      </c>
      <c r="D31" s="112" t="s">
        <v>1092</v>
      </c>
      <c r="E31" s="332" t="str">
        <f>Total!E3208</f>
        <v>Obra Civil</v>
      </c>
      <c r="F31" s="96" t="str">
        <f>Total!F3208</f>
        <v>Control de Qualitat</v>
      </c>
      <c r="G31" s="112" t="str">
        <f>Total!G3208</f>
        <v>CQ. MB-16066</v>
      </c>
      <c r="H31" s="112" t="str">
        <f>Total!H3208</f>
        <v>Control de qualitat de les obres del projecte constructiu de millora local. Ponts i estructures. Ampliació vorera de la BV-1225 al pas superior de la carretera C-55 (Ronda de Manresa). PK 28+530. Tram: Manresa.</v>
      </c>
      <c r="I31" s="157">
        <f>Total!I3208</f>
        <v>6043.49</v>
      </c>
    </row>
    <row r="32" spans="1:9" x14ac:dyDescent="0.2">
      <c r="I32" s="126">
        <f>SUM(I2:I31)</f>
        <v>2861986.5000000009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21"/>
  <sheetViews>
    <sheetView workbookViewId="0">
      <selection activeCell="G46" sqref="G4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Total!B3160</f>
        <v>44657</v>
      </c>
      <c r="C2" s="101">
        <f>Total!C3160</f>
        <v>44676</v>
      </c>
      <c r="D2" s="112" t="s">
        <v>1092</v>
      </c>
      <c r="E2" s="332" t="str">
        <f>Total!E3160</f>
        <v>Edificació</v>
      </c>
      <c r="F2" s="96" t="str">
        <f>Total!F3160</f>
        <v>Control de Qualitat</v>
      </c>
      <c r="G2" s="112" t="str">
        <f>Total!G3160</f>
        <v>CQ. CAP-18307.A</v>
      </c>
      <c r="H2" s="112" t="str">
        <f>Total!H3160</f>
        <v>Contracte de serveis per a l'assistència tècnica de Control de Qualitat de les obres del nou Centre d'Atenció Primària La Florida, de l'Hospitalet de Llobregat.</v>
      </c>
      <c r="I2" s="157">
        <f>Total!I3160</f>
        <v>27343.8</v>
      </c>
    </row>
    <row r="3" spans="1:9" x14ac:dyDescent="0.2">
      <c r="A3" s="8">
        <v>2</v>
      </c>
      <c r="B3" s="101">
        <f>Total!B3161</f>
        <v>44657</v>
      </c>
      <c r="C3" s="101">
        <f>Total!C3161</f>
        <v>44676</v>
      </c>
      <c r="D3" s="112" t="s">
        <v>1092</v>
      </c>
      <c r="E3" s="332" t="str">
        <f>Total!E3161</f>
        <v>Edificació</v>
      </c>
      <c r="F3" s="96" t="str">
        <f>Total!F3161</f>
        <v>Direccions d'Execució</v>
      </c>
      <c r="G3" s="112" t="str">
        <f>Total!G3161</f>
        <v>DE. CAP-18307.A</v>
      </c>
      <c r="H3" s="112" t="str">
        <f>Total!H3161</f>
        <v>Contracte de serveis per a l'assistència tècnica de direcció d'execució de les obres del nou Centre d'Atenció Primària La Florida, de l'Hospitalet de Llobregat.</v>
      </c>
      <c r="I3" s="157">
        <f>Total!I3161</f>
        <v>67162.17</v>
      </c>
    </row>
    <row r="4" spans="1:9" x14ac:dyDescent="0.2">
      <c r="A4" s="8">
        <v>3</v>
      </c>
      <c r="B4" s="101">
        <f>Total!B3162</f>
        <v>44657</v>
      </c>
      <c r="C4" s="101">
        <f>Total!C3162</f>
        <v>44676</v>
      </c>
      <c r="D4" s="112" t="s">
        <v>1092</v>
      </c>
      <c r="E4" s="332" t="str">
        <f>Total!E3162</f>
        <v>Edificació</v>
      </c>
      <c r="F4" s="96" t="str">
        <f>Total!F3162</f>
        <v>Direccions d'Execució</v>
      </c>
      <c r="G4" s="112" t="str">
        <f>Total!G3162</f>
        <v>CSS. CAP-18307.A</v>
      </c>
      <c r="H4" s="112" t="str">
        <f>Total!H3162</f>
        <v>Contracte de serveis per a l'assistència tècnica de coordinació de seguretat i salut de les obres del nou Centre d'Atenció Primària La Florida, de l'Hospitalet de Llobregat.</v>
      </c>
      <c r="I4" s="157">
        <f>Total!I3162</f>
        <v>15669.92</v>
      </c>
    </row>
    <row r="5" spans="1:9" x14ac:dyDescent="0.2">
      <c r="A5" s="8">
        <v>4</v>
      </c>
      <c r="B5" s="101">
        <f>Total!B3163</f>
        <v>44658</v>
      </c>
      <c r="C5" s="101">
        <f>Total!C3163</f>
        <v>44676</v>
      </c>
      <c r="D5" s="112" t="s">
        <v>1092</v>
      </c>
      <c r="E5" s="332" t="str">
        <f>Total!E3163</f>
        <v>Obra Civil</v>
      </c>
      <c r="F5" s="96" t="str">
        <f>Total!F3163</f>
        <v>Direccions d'Obra</v>
      </c>
      <c r="G5" s="112" t="str">
        <f>Total!G3163</f>
        <v>CSS. AL-05037-C1</v>
      </c>
      <c r="H5" s="112" t="str">
        <f>Total!H3163</f>
        <v>Contracte de serveis per a l'assistència tècnica de coordinació de seguretat i salut de les obres del projecte constructiu de reparació del paviment a la C-14 del PK 161+475 al 163+450. Organyà. Lot 1 i Lot 2.</v>
      </c>
      <c r="I5" s="157">
        <f>Total!I3163</f>
        <v>5866.63</v>
      </c>
    </row>
    <row r="6" spans="1:9" x14ac:dyDescent="0.2">
      <c r="A6" s="8">
        <v>5</v>
      </c>
      <c r="B6" s="101">
        <f>Total!B3164</f>
        <v>44658</v>
      </c>
      <c r="C6" s="101">
        <f>Total!C3164</f>
        <v>44676</v>
      </c>
      <c r="D6" s="112" t="s">
        <v>1092</v>
      </c>
      <c r="E6" s="332" t="str">
        <f>Total!E3164</f>
        <v>Edificació</v>
      </c>
      <c r="F6" s="96" t="str">
        <f>Total!F3164</f>
        <v>Direccions d'Obra</v>
      </c>
      <c r="G6" s="112" t="str">
        <f>Total!G3164</f>
        <v>DO. PNL-20230</v>
      </c>
      <c r="H6" s="112" t="str">
        <f>Total!H3164</f>
        <v>Contracte de serveis per a l'assistència per a la direcció de les obres de la nova construcció de l'Escola 1L RB L'Àlber d'Albesa.</v>
      </c>
      <c r="I6" s="157">
        <f>Total!I3164</f>
        <v>55157.05</v>
      </c>
    </row>
    <row r="7" spans="1:9" x14ac:dyDescent="0.2">
      <c r="A7" s="8">
        <v>6</v>
      </c>
      <c r="B7" s="101">
        <f>Total!B3165</f>
        <v>44658</v>
      </c>
      <c r="C7" s="101">
        <f>Total!C3165</f>
        <v>44676</v>
      </c>
      <c r="D7" s="112" t="s">
        <v>1092</v>
      </c>
      <c r="E7" s="332" t="str">
        <f>Total!E3165</f>
        <v>Edificació</v>
      </c>
      <c r="F7" s="96" t="str">
        <f>Total!F3165</f>
        <v>Direccions d'Execució</v>
      </c>
      <c r="G7" s="112" t="str">
        <f>Total!G3165</f>
        <v>CSS. PNL-20230</v>
      </c>
      <c r="H7" s="112" t="str">
        <f>Total!H3165</f>
        <v>Contracte de serveis per a l'assistència tècnica de coordinació de seguretat i salut de les obres del projecte executiu de nova construcció Escola 1L RB l'Àlber d'Albesa.</v>
      </c>
      <c r="I7" s="157">
        <f>Total!I3165</f>
        <v>14514.61</v>
      </c>
    </row>
    <row r="8" spans="1:9" x14ac:dyDescent="0.2">
      <c r="A8" s="8">
        <v>7</v>
      </c>
      <c r="B8" s="101">
        <f>Total!B3166</f>
        <v>44658</v>
      </c>
      <c r="C8" s="101">
        <f>Total!C3166</f>
        <v>44676</v>
      </c>
      <c r="D8" s="112" t="s">
        <v>1092</v>
      </c>
      <c r="E8" s="332" t="str">
        <f>Total!E3166</f>
        <v>Edificació</v>
      </c>
      <c r="F8" s="96" t="str">
        <f>Total!F3166</f>
        <v>Direccions d'Execució</v>
      </c>
      <c r="G8" s="112" t="str">
        <f>Total!G3166</f>
        <v>DE. PNL-20230</v>
      </c>
      <c r="H8" s="112" t="str">
        <f>Total!H3166</f>
        <v>Contracte de serveis per a l'assistència tècnica de direcció d'execució de les obres de la nova construcció de l'Escola 1L RB L'Àlber d'Albesa.</v>
      </c>
      <c r="I8" s="157">
        <f>Total!I3166</f>
        <v>66958.7</v>
      </c>
    </row>
    <row r="9" spans="1:9" x14ac:dyDescent="0.2">
      <c r="A9" s="8">
        <v>8</v>
      </c>
      <c r="B9" s="101">
        <f>Total!B3167</f>
        <v>44658</v>
      </c>
      <c r="C9" s="101">
        <f>Total!C3167</f>
        <v>44676</v>
      </c>
      <c r="D9" s="112" t="s">
        <v>1092</v>
      </c>
      <c r="E9" s="332" t="str">
        <f>Total!E3167</f>
        <v>Edificació</v>
      </c>
      <c r="F9" s="96" t="str">
        <f>Total!F3167</f>
        <v>Control de Qualitat</v>
      </c>
      <c r="G9" s="112" t="str">
        <f>Total!G3167</f>
        <v>CQ. PNL-20230</v>
      </c>
      <c r="H9" s="112" t="str">
        <f>Total!H3167</f>
        <v>Contracte de serveis per a l'assistència tècnica de control de qualitat de les obres de la nova construcció de l'Escola 1L RB L'Àlber d'Albesa.</v>
      </c>
      <c r="I9" s="157">
        <f>Total!I3167</f>
        <v>34538.35</v>
      </c>
    </row>
    <row r="10" spans="1:9" x14ac:dyDescent="0.2">
      <c r="A10" s="8">
        <v>9</v>
      </c>
      <c r="B10" s="101">
        <f>Total!B3168</f>
        <v>44658</v>
      </c>
      <c r="C10" s="101">
        <f>Total!C3168</f>
        <v>44676</v>
      </c>
      <c r="D10" s="112" t="s">
        <v>1092</v>
      </c>
      <c r="E10" s="332" t="str">
        <f>Total!E3168</f>
        <v>Obra Civil</v>
      </c>
      <c r="F10" s="96" t="str">
        <f>Total!F3168</f>
        <v>Control de Qualitat</v>
      </c>
      <c r="G10" s="112" t="str">
        <f>Total!G3168</f>
        <v>CQ. AL-05037-C1</v>
      </c>
      <c r="H10" s="112" t="str">
        <f>Total!H3168</f>
        <v>Contracte de serveis per a l'assistència tècnica de control de qualitat de les obres de reparació del paviment a la C-14 del PK 161+475 al 163+450. Organyà.</v>
      </c>
      <c r="I10" s="157">
        <f>Total!I3168</f>
        <v>12529.77</v>
      </c>
    </row>
    <row r="11" spans="1:9" x14ac:dyDescent="0.2">
      <c r="A11" s="8">
        <v>10</v>
      </c>
      <c r="B11" s="101">
        <f>Total!B3169</f>
        <v>44658</v>
      </c>
      <c r="C11" s="101">
        <f>Total!C3169</f>
        <v>44676</v>
      </c>
      <c r="D11" s="112" t="s">
        <v>1092</v>
      </c>
      <c r="E11" s="332" t="str">
        <f>Total!E3169</f>
        <v>Obra Civil</v>
      </c>
      <c r="F11" s="96" t="str">
        <f>Total!F3169</f>
        <v>Direccions d'Obra</v>
      </c>
      <c r="G11" s="112" t="str">
        <f>Total!G3169</f>
        <v>DO. AL-05037-C1</v>
      </c>
      <c r="H11" s="112" t="str">
        <f>Total!H3169</f>
        <v>Contracte de serveis per a la direcció de les obres de reparació del paviment a la C-14 del PK 161+475 al 163+450. Organyà.</v>
      </c>
      <c r="I11" s="157">
        <f>Total!I3169</f>
        <v>31992.22</v>
      </c>
    </row>
    <row r="12" spans="1:9" x14ac:dyDescent="0.2">
      <c r="A12" s="8">
        <v>11</v>
      </c>
      <c r="B12" s="101">
        <f>Total!B3170</f>
        <v>44659</v>
      </c>
      <c r="C12" s="101">
        <f>Total!C3170</f>
        <v>44683</v>
      </c>
      <c r="D12" s="112" t="s">
        <v>1092</v>
      </c>
      <c r="E12" s="332" t="str">
        <f>Total!E3170</f>
        <v>Obra Civil</v>
      </c>
      <c r="F12" s="96" t="str">
        <f>Total!F3170</f>
        <v>Direccions d'Obra</v>
      </c>
      <c r="G12" s="112" t="str">
        <f>Total!G3170</f>
        <v>CSS. AT-00164.1-A1-C1</v>
      </c>
      <c r="H12" s="112" t="str">
        <f>Total!H3170</f>
        <v>Assistència tècnica de coordinació de seguretat i salut de les obres del projecte de millora local. Mesures correctores d'impacte ambiental del condicionament de la carretera C-51 a Vilardida. PK 24+400 al 26+840. Tram: Vila-rodona.</v>
      </c>
      <c r="I12" s="157">
        <f>Total!I3170</f>
        <v>3819.52</v>
      </c>
    </row>
    <row r="13" spans="1:9" x14ac:dyDescent="0.2">
      <c r="A13" s="8">
        <v>12</v>
      </c>
      <c r="B13" s="101">
        <f>Total!B3171</f>
        <v>44659</v>
      </c>
      <c r="C13" s="101">
        <f>Total!C3171</f>
        <v>44683</v>
      </c>
      <c r="D13" s="112" t="s">
        <v>1092</v>
      </c>
      <c r="E13" s="332" t="str">
        <f>Total!E3171</f>
        <v>Obra Civil</v>
      </c>
      <c r="F13" s="96" t="str">
        <f>Total!F3171</f>
        <v>Direccions d'Obra</v>
      </c>
      <c r="G13" s="112" t="str">
        <f>Total!G3171</f>
        <v>DO. AT-00164.1-A1-C1</v>
      </c>
      <c r="H13" s="112" t="str">
        <f>Total!H3171</f>
        <v>Direcció de les obres de millora local. Mesures correctores d'impacte ambiental del condicionament de la carretera C-51 a Vilardida. PK 24+400 al 26+840. Tram: Vila-rodona.</v>
      </c>
      <c r="I13" s="157">
        <f>Total!I3171</f>
        <v>15604.16</v>
      </c>
    </row>
    <row r="14" spans="1:9" x14ac:dyDescent="0.2">
      <c r="A14" s="8">
        <v>13</v>
      </c>
      <c r="B14" s="101">
        <f>Total!B3172</f>
        <v>44659</v>
      </c>
      <c r="C14" s="101">
        <f>Total!C3172</f>
        <v>44683</v>
      </c>
      <c r="D14" s="112" t="s">
        <v>1092</v>
      </c>
      <c r="E14" s="332" t="str">
        <f>Total!E3172</f>
        <v>Obra Civil</v>
      </c>
      <c r="F14" s="96" t="str">
        <f>Total!F3172</f>
        <v>Control de Qualitat</v>
      </c>
      <c r="G14" s="112" t="str">
        <f>Total!G3172</f>
        <v>CQ. AT-00164.1-A1-C1</v>
      </c>
      <c r="H14" s="112" t="str">
        <f>Total!H3172</f>
        <v>Control de qualitat de les obres de millora local. Mesures correctores d'impacte ambiental del condicionament de la carretera C-51 a Vilardida. PK 24+400 al 26+840. Tram: Vila-rodona.</v>
      </c>
      <c r="I14" s="157">
        <f>Total!I3172</f>
        <v>3714.98</v>
      </c>
    </row>
    <row r="15" spans="1:9" x14ac:dyDescent="0.2">
      <c r="A15" s="8">
        <v>14</v>
      </c>
      <c r="B15" s="101">
        <f>Total!B3173</f>
        <v>44662</v>
      </c>
      <c r="C15" s="101">
        <f>Total!C3173</f>
        <v>44692</v>
      </c>
      <c r="D15" s="112" t="s">
        <v>1092</v>
      </c>
      <c r="E15" s="332" t="str">
        <f>Total!E3173</f>
        <v>Obra Civil</v>
      </c>
      <c r="F15" s="96" t="str">
        <f>Total!F3173</f>
        <v>Projectes</v>
      </c>
      <c r="G15" s="112" t="str">
        <f>Total!G3173</f>
        <v>EV. EG-CMB-18014.F3</v>
      </c>
      <c r="H15" s="112" t="str">
        <f>Total!H3173</f>
        <v>Contracte de serveis per a l'assistència tècnica per a la redacció de l"Estudi geotècnic. Pla d'auscultació per al seguiment i control de vessant de la C-17 entre el PK 43+050 i el 43+550. Centelles - Seva". Clau: EG-CMB-18014.F3</v>
      </c>
      <c r="I15" s="157">
        <f>Total!I3173</f>
        <v>409100</v>
      </c>
    </row>
    <row r="16" spans="1:9" x14ac:dyDescent="0.2">
      <c r="A16" s="8">
        <v>15</v>
      </c>
      <c r="B16" s="101">
        <f>Total!B3174</f>
        <v>44663</v>
      </c>
      <c r="C16" s="101">
        <f>Total!C3174</f>
        <v>44683</v>
      </c>
      <c r="D16" s="112" t="s">
        <v>1092</v>
      </c>
      <c r="E16" s="332" t="str">
        <f>Total!E3174</f>
        <v>Obra Civil</v>
      </c>
      <c r="F16" s="96" t="str">
        <f>Total!F3174</f>
        <v>Projectes</v>
      </c>
      <c r="G16" s="112" t="str">
        <f>Total!G3174</f>
        <v>EV. EX-CIL-20041</v>
      </c>
      <c r="H16" s="112" t="str">
        <f>Total!H3174</f>
        <v>Contracte de serveis per a l'assistència tècnica per a la redacció del Document ambiental de la millora de característiques superficials i reestudi de secció transversal a la C-12 del PK 125+000 al 133+000. Alfès-Lleida. Clau: EV. EX-CIL-20041</v>
      </c>
      <c r="I16" s="157">
        <f>Total!I3174</f>
        <v>18900</v>
      </c>
    </row>
    <row r="17" spans="1:9" x14ac:dyDescent="0.2">
      <c r="A17" s="8">
        <v>16</v>
      </c>
      <c r="B17" s="101">
        <f>Total!B3175</f>
        <v>44670</v>
      </c>
      <c r="C17" s="101">
        <f>Total!C3175</f>
        <v>44697</v>
      </c>
      <c r="D17" s="112" t="s">
        <v>1092</v>
      </c>
      <c r="E17" s="332" t="str">
        <f>Total!E3175</f>
        <v>Edificació</v>
      </c>
      <c r="F17" s="96" t="str">
        <f>Total!F3175</f>
        <v>Control de Qualitat</v>
      </c>
      <c r="G17" s="112" t="str">
        <f>Total!G3175</f>
        <v>MEA. MEC-22L01</v>
      </c>
      <c r="H17" s="112" t="str">
        <f>Total!H3175</f>
        <v>Contracte de serveis per l'assistència tècnica per a la realització d'auditories de qualitat de manteniment de 19 equipaments del Departament d'Interior i 20 equipaments del Departament de Justícia. (Lots 1 a 11).</v>
      </c>
      <c r="I17" s="157">
        <f>Total!I3175</f>
        <v>467000</v>
      </c>
    </row>
    <row r="18" spans="1:9" x14ac:dyDescent="0.2">
      <c r="A18" s="8">
        <v>17</v>
      </c>
      <c r="B18" s="101">
        <f>Total!B3176</f>
        <v>44677</v>
      </c>
      <c r="C18" s="101">
        <f>Total!C3176</f>
        <v>44697</v>
      </c>
      <c r="D18" s="112" t="s">
        <v>1092</v>
      </c>
      <c r="E18" s="332" t="str">
        <f>Total!E3176</f>
        <v>Edificació</v>
      </c>
      <c r="F18" s="96" t="str">
        <f>Total!F3176</f>
        <v>Projectes i Direccions d'Obra</v>
      </c>
      <c r="G18" s="112" t="str">
        <f>Total!G3176</f>
        <v>PE+DO. PGM-21302</v>
      </c>
      <c r="H18" s="112" t="str">
        <f>Total!H3176</f>
        <v>Contracte de serveis per a l'assistència tècnica per a la redacció del projecte bàsic i executiu i la posterior direcció de les obres RAM de retirada i substitució dels elements que contenen fibrociment en els edificis de parcs de bombers d'Interior.</v>
      </c>
      <c r="I18" s="157">
        <f>Total!I3176</f>
        <v>109131.45</v>
      </c>
    </row>
    <row r="19" spans="1:9" x14ac:dyDescent="0.2">
      <c r="A19" s="8">
        <v>18</v>
      </c>
      <c r="B19" s="101">
        <f>Total!B3177</f>
        <v>44680</v>
      </c>
      <c r="C19" s="101">
        <f>Total!C3177</f>
        <v>44711</v>
      </c>
      <c r="D19" s="112" t="s">
        <v>1092</v>
      </c>
      <c r="E19" s="332" t="str">
        <f>Total!E3177</f>
        <v>Obra Civil</v>
      </c>
      <c r="F19" s="96" t="str">
        <f>Total!F3177</f>
        <v>Projectes</v>
      </c>
      <c r="G19" s="112" t="str">
        <f>Total!G3177</f>
        <v>CP. PAR-22212</v>
      </c>
      <c r="H19" s="112" t="str">
        <f>Total!H3177</f>
        <v>Contracte de serveis per a l'assistència tècnica al procediment de concentració parcel·lària a la zona del terme municipal de Cubells. Bases Provisionals i Definitives.</v>
      </c>
      <c r="I19" s="157">
        <f>Total!I3177</f>
        <v>216147.27</v>
      </c>
    </row>
    <row r="20" spans="1:9" x14ac:dyDescent="0.2">
      <c r="A20" s="8">
        <v>19</v>
      </c>
      <c r="B20" s="101">
        <f>Total!B3178</f>
        <v>44680</v>
      </c>
      <c r="C20" s="101">
        <f>Total!C3178</f>
        <v>44697</v>
      </c>
      <c r="D20" s="112" t="s">
        <v>1092</v>
      </c>
      <c r="E20" s="332" t="str">
        <f>Total!E3178</f>
        <v>Obra Civil</v>
      </c>
      <c r="F20" s="96" t="str">
        <f>Total!F3178</f>
        <v>Projectes</v>
      </c>
      <c r="G20" s="112" t="str">
        <f>Total!G3178</f>
        <v>EV. EA-VR-22209</v>
      </c>
      <c r="H20" s="112" t="str">
        <f>Total!H3178</f>
        <v>Contracte de serveis per a l'assistència tècnica per a la redacció de l'estudi d'alternatives de la consolidació de la xarxa de reg de la conca del Riu Siurana.</v>
      </c>
      <c r="I20" s="157">
        <f>Total!I3178</f>
        <v>49350</v>
      </c>
    </row>
    <row r="21" spans="1:9" x14ac:dyDescent="0.2">
      <c r="I21" s="126">
        <f>SUM(I2:I20)</f>
        <v>1624500.5999999999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259"/>
  <sheetViews>
    <sheetView topLeftCell="A221" zoomScaleNormal="100" workbookViewId="0">
      <pane xSplit="3" topLeftCell="N1" activePane="topRight" state="frozen"/>
      <selection pane="topRight" activeCell="O247" sqref="O247"/>
    </sheetView>
  </sheetViews>
  <sheetFormatPr baseColWidth="10" defaultColWidth="11.42578125" defaultRowHeight="12.75" x14ac:dyDescent="0.2"/>
  <cols>
    <col min="1" max="1" width="6.140625" customWidth="1"/>
    <col min="3" max="3" width="29.85546875" customWidth="1"/>
    <col min="5" max="5" width="16.140625" bestFit="1" customWidth="1"/>
    <col min="7" max="7" width="16.140625" bestFit="1" customWidth="1"/>
    <col min="9" max="9" width="18" bestFit="1" customWidth="1"/>
    <col min="11" max="11" width="16.140625" customWidth="1"/>
    <col min="13" max="13" width="16.140625" customWidth="1"/>
    <col min="15" max="15" width="16.140625" bestFit="1" customWidth="1"/>
    <col min="17" max="17" width="16.140625" bestFit="1" customWidth="1"/>
    <col min="19" max="19" width="16.140625" bestFit="1" customWidth="1"/>
    <col min="21" max="21" width="16.140625" bestFit="1" customWidth="1"/>
    <col min="23" max="23" width="16.140625" bestFit="1" customWidth="1"/>
    <col min="25" max="25" width="16.140625" bestFit="1" customWidth="1"/>
    <col min="27" max="27" width="19" bestFit="1" customWidth="1"/>
    <col min="29" max="29" width="16.140625" bestFit="1" customWidth="1"/>
    <col min="31" max="31" width="14.28515625" bestFit="1" customWidth="1"/>
    <col min="33" max="33" width="14.28515625" bestFit="1" customWidth="1"/>
  </cols>
  <sheetData>
    <row r="1" spans="1:29" x14ac:dyDescent="0.2">
      <c r="A1" s="71" t="s">
        <v>632</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row>
    <row r="2" spans="1:29" ht="12.75" customHeight="1" x14ac:dyDescent="0.2">
      <c r="A2" s="10"/>
      <c r="B2" s="10"/>
      <c r="C2" s="10"/>
      <c r="D2" s="421" t="s">
        <v>635</v>
      </c>
      <c r="E2" s="421"/>
      <c r="F2" s="421" t="s">
        <v>853</v>
      </c>
      <c r="G2" s="421"/>
      <c r="H2" s="421" t="s">
        <v>860</v>
      </c>
      <c r="I2" s="421"/>
      <c r="J2" s="421" t="s">
        <v>863</v>
      </c>
      <c r="K2" s="421"/>
      <c r="L2" s="421" t="s">
        <v>880</v>
      </c>
      <c r="M2" s="421"/>
      <c r="N2" s="428" t="s">
        <v>913</v>
      </c>
      <c r="O2" s="421"/>
      <c r="P2" s="428" t="s">
        <v>953</v>
      </c>
      <c r="Q2" s="421"/>
      <c r="R2" s="421" t="s">
        <v>955</v>
      </c>
      <c r="S2" s="421"/>
      <c r="T2" s="421" t="s">
        <v>970</v>
      </c>
      <c r="U2" s="421"/>
      <c r="V2" s="421" t="s">
        <v>989</v>
      </c>
      <c r="W2" s="421"/>
      <c r="X2" s="421" t="s">
        <v>1004</v>
      </c>
      <c r="Y2" s="421"/>
      <c r="Z2" s="421" t="s">
        <v>1031</v>
      </c>
      <c r="AA2" s="421"/>
      <c r="AB2" s="422" t="s">
        <v>1302</v>
      </c>
      <c r="AC2" s="423"/>
    </row>
    <row r="3" spans="1:29" x14ac:dyDescent="0.2">
      <c r="D3" s="8" t="s">
        <v>633</v>
      </c>
      <c r="E3" s="8" t="s">
        <v>843</v>
      </c>
      <c r="F3" s="8" t="s">
        <v>633</v>
      </c>
      <c r="G3" s="8" t="s">
        <v>843</v>
      </c>
      <c r="H3" s="8" t="s">
        <v>633</v>
      </c>
      <c r="I3" s="8" t="s">
        <v>843</v>
      </c>
      <c r="J3" s="8" t="s">
        <v>633</v>
      </c>
      <c r="K3" s="8" t="s">
        <v>843</v>
      </c>
      <c r="L3" s="8" t="s">
        <v>633</v>
      </c>
      <c r="M3" s="8" t="s">
        <v>843</v>
      </c>
      <c r="N3" s="8" t="s">
        <v>633</v>
      </c>
      <c r="O3" s="8" t="s">
        <v>843</v>
      </c>
      <c r="P3" s="8" t="s">
        <v>633</v>
      </c>
      <c r="Q3" s="8" t="s">
        <v>843</v>
      </c>
      <c r="R3" s="8" t="s">
        <v>633</v>
      </c>
      <c r="S3" s="8" t="s">
        <v>843</v>
      </c>
      <c r="T3" s="8" t="s">
        <v>633</v>
      </c>
      <c r="U3" s="8" t="s">
        <v>843</v>
      </c>
      <c r="V3" s="8" t="s">
        <v>633</v>
      </c>
      <c r="W3" s="8" t="s">
        <v>843</v>
      </c>
      <c r="X3" s="8" t="s">
        <v>633</v>
      </c>
      <c r="Y3" s="8" t="s">
        <v>843</v>
      </c>
      <c r="Z3" s="8" t="s">
        <v>633</v>
      </c>
      <c r="AA3" s="8" t="s">
        <v>843</v>
      </c>
      <c r="AB3" s="94" t="s">
        <v>633</v>
      </c>
      <c r="AC3" s="94" t="s">
        <v>843</v>
      </c>
    </row>
    <row r="4" spans="1:29" x14ac:dyDescent="0.2">
      <c r="A4" s="19" t="s">
        <v>66</v>
      </c>
      <c r="B4" s="19" t="s">
        <v>422</v>
      </c>
      <c r="C4" s="20" t="s">
        <v>701</v>
      </c>
      <c r="D4" s="41">
        <v>6</v>
      </c>
      <c r="E4" s="6">
        <v>750008.62</v>
      </c>
      <c r="F4" s="41">
        <v>11</v>
      </c>
      <c r="G4" s="6">
        <v>2581773.9700000002</v>
      </c>
      <c r="H4" s="41">
        <v>6</v>
      </c>
      <c r="I4" s="6">
        <v>1355185.51</v>
      </c>
      <c r="J4" s="41">
        <v>6</v>
      </c>
      <c r="K4" s="6">
        <v>2812068.96</v>
      </c>
      <c r="L4" s="41">
        <v>6</v>
      </c>
      <c r="M4" s="6">
        <v>2225862.0499999998</v>
      </c>
      <c r="N4" s="41">
        <v>7</v>
      </c>
      <c r="O4" s="6">
        <v>998115.52</v>
      </c>
      <c r="P4" s="41">
        <v>2</v>
      </c>
      <c r="Q4" s="6">
        <v>849100</v>
      </c>
      <c r="R4" s="41">
        <v>2</v>
      </c>
      <c r="S4" s="6">
        <v>210677.97</v>
      </c>
      <c r="T4" s="41">
        <v>7</v>
      </c>
      <c r="U4" s="6">
        <v>12015694.279999999</v>
      </c>
      <c r="V4" s="41">
        <v>2</v>
      </c>
      <c r="W4" s="6">
        <v>342000</v>
      </c>
      <c r="X4" s="41">
        <v>1</v>
      </c>
      <c r="Y4" s="6">
        <v>190000</v>
      </c>
      <c r="Z4" s="41"/>
      <c r="AA4" s="6"/>
      <c r="AB4" s="97">
        <f>SUM(D4,F4,H4,J4,L4,N4,P4,R4,T4,V4,X4,Z4)</f>
        <v>56</v>
      </c>
      <c r="AC4" s="103">
        <f>SUM(E4,G4,I4,K4,M4,O4,Q4,S4,U4,W4,Y4,AA4)</f>
        <v>24330486.879999999</v>
      </c>
    </row>
    <row r="5" spans="1:29" x14ac:dyDescent="0.2">
      <c r="A5" s="21"/>
      <c r="B5" s="21"/>
      <c r="C5" s="20" t="s">
        <v>396</v>
      </c>
      <c r="D5" s="41">
        <v>7</v>
      </c>
      <c r="E5" s="6">
        <v>6071163.2999999998</v>
      </c>
      <c r="F5" s="41">
        <v>3</v>
      </c>
      <c r="G5" s="6">
        <v>5826755.5700000003</v>
      </c>
      <c r="H5" s="41">
        <v>5</v>
      </c>
      <c r="I5" s="6">
        <v>1838278.6</v>
      </c>
      <c r="J5" s="41"/>
      <c r="K5" s="6"/>
      <c r="L5" s="41">
        <v>5</v>
      </c>
      <c r="M5" s="6">
        <v>2044302.2</v>
      </c>
      <c r="N5" s="41">
        <v>3</v>
      </c>
      <c r="O5" s="6">
        <v>1564848.67</v>
      </c>
      <c r="P5" s="41">
        <v>4</v>
      </c>
      <c r="Q5" s="6">
        <v>630104</v>
      </c>
      <c r="R5" s="41">
        <v>2</v>
      </c>
      <c r="S5" s="6">
        <v>1303253.33</v>
      </c>
      <c r="T5" s="41">
        <v>5</v>
      </c>
      <c r="U5" s="6">
        <v>1411933.78</v>
      </c>
      <c r="V5" s="41">
        <v>9</v>
      </c>
      <c r="W5" s="6">
        <v>5691322.3899999997</v>
      </c>
      <c r="X5" s="41">
        <v>3</v>
      </c>
      <c r="Y5" s="6">
        <v>870586.11</v>
      </c>
      <c r="Z5" s="41">
        <v>2</v>
      </c>
      <c r="AA5" s="6">
        <v>1278787.9099999999</v>
      </c>
      <c r="AB5" s="97">
        <f t="shared" ref="AB5:AB6" si="0">SUM(D5,F5,H5,J5,L5,N5,P5,R5,T5,V5,X5,Z5)</f>
        <v>48</v>
      </c>
      <c r="AC5" s="103">
        <f t="shared" ref="AC5:AC6" si="1">SUM(E5,G5,I5,K5,M5,O5,Q5,S5,U5,W5,Y5,AA5)</f>
        <v>28531335.860000003</v>
      </c>
    </row>
    <row r="6" spans="1:29" x14ac:dyDescent="0.2">
      <c r="A6" s="21"/>
      <c r="B6" s="22"/>
      <c r="C6" s="20" t="s">
        <v>8</v>
      </c>
      <c r="D6" s="41">
        <v>4</v>
      </c>
      <c r="E6" s="6">
        <v>825554.58</v>
      </c>
      <c r="F6" s="41">
        <v>2</v>
      </c>
      <c r="G6" s="6">
        <v>619262.13</v>
      </c>
      <c r="H6" s="41">
        <v>2</v>
      </c>
      <c r="I6" s="6">
        <v>611909.86</v>
      </c>
      <c r="J6" s="41">
        <v>1</v>
      </c>
      <c r="K6" s="6">
        <v>150233.73000000001</v>
      </c>
      <c r="L6" s="41"/>
      <c r="M6" s="6"/>
      <c r="N6" s="41">
        <v>2</v>
      </c>
      <c r="O6" s="6">
        <v>2091584.93</v>
      </c>
      <c r="P6" s="41"/>
      <c r="Q6" s="6"/>
      <c r="R6" s="41">
        <v>1</v>
      </c>
      <c r="S6" s="6">
        <v>701383.23</v>
      </c>
      <c r="T6" s="41">
        <v>4</v>
      </c>
      <c r="U6" s="6">
        <v>444419.45</v>
      </c>
      <c r="V6" s="41">
        <v>3</v>
      </c>
      <c r="W6" s="6">
        <v>562550.22</v>
      </c>
      <c r="X6" s="41">
        <v>2</v>
      </c>
      <c r="Y6" s="6">
        <v>824579.21</v>
      </c>
      <c r="Z6" s="41">
        <v>2</v>
      </c>
      <c r="AA6" s="6">
        <v>370050.22</v>
      </c>
      <c r="AB6" s="97">
        <f t="shared" si="0"/>
        <v>23</v>
      </c>
      <c r="AC6" s="103">
        <f t="shared" si="1"/>
        <v>7201527.5599999987</v>
      </c>
    </row>
    <row r="7" spans="1:29" x14ac:dyDescent="0.2">
      <c r="A7" s="21"/>
      <c r="B7" s="19" t="s">
        <v>392</v>
      </c>
      <c r="C7" s="20" t="s">
        <v>701</v>
      </c>
      <c r="D7" s="41">
        <v>2</v>
      </c>
      <c r="E7" s="6">
        <v>3087711.66</v>
      </c>
      <c r="F7" s="41"/>
      <c r="G7" s="6"/>
      <c r="H7" s="41">
        <v>1</v>
      </c>
      <c r="I7" s="6">
        <v>155172.41</v>
      </c>
      <c r="J7" s="41"/>
      <c r="K7" s="6"/>
      <c r="L7" s="41"/>
      <c r="M7" s="6"/>
      <c r="N7" s="41">
        <v>1</v>
      </c>
      <c r="O7" s="6">
        <v>100000</v>
      </c>
      <c r="P7" s="41"/>
      <c r="Q7" s="6"/>
      <c r="R7" s="41"/>
      <c r="S7" s="6"/>
      <c r="T7" s="41"/>
      <c r="U7" s="6"/>
      <c r="V7" s="41"/>
      <c r="W7" s="6"/>
      <c r="X7" s="41"/>
      <c r="Y7" s="6"/>
      <c r="Z7" s="41"/>
      <c r="AA7" s="6"/>
      <c r="AB7" s="97">
        <f>SUM(D7,F7,H7,J7,L7,N7,P7,R7,T7,V7,X7,Z7)</f>
        <v>4</v>
      </c>
      <c r="AC7" s="103">
        <f>SUM(E7,G7,I7,K7,M7,O7,Q7,S7,U7,W7,Y7,AA7)</f>
        <v>3342884.0700000003</v>
      </c>
    </row>
    <row r="8" spans="1:29" x14ac:dyDescent="0.2">
      <c r="A8" s="21"/>
      <c r="B8" s="21"/>
      <c r="C8" s="20" t="s">
        <v>9</v>
      </c>
      <c r="D8" s="41"/>
      <c r="E8" s="6"/>
      <c r="F8" s="41">
        <v>1</v>
      </c>
      <c r="G8" s="6">
        <v>556985.23</v>
      </c>
      <c r="H8" s="41">
        <v>5</v>
      </c>
      <c r="I8" s="6">
        <v>1355640.38</v>
      </c>
      <c r="J8" s="41">
        <v>2</v>
      </c>
      <c r="K8" s="6">
        <v>1172166.71</v>
      </c>
      <c r="L8" s="41"/>
      <c r="M8" s="6"/>
      <c r="N8" s="41">
        <v>5</v>
      </c>
      <c r="O8" s="6">
        <v>1206408.73</v>
      </c>
      <c r="P8" s="41">
        <v>8</v>
      </c>
      <c r="Q8" s="6">
        <v>4283832.8600000003</v>
      </c>
      <c r="R8" s="41"/>
      <c r="S8" s="6"/>
      <c r="T8" s="41"/>
      <c r="U8" s="6"/>
      <c r="V8" s="41">
        <v>2</v>
      </c>
      <c r="W8" s="6">
        <v>401168.93</v>
      </c>
      <c r="X8" s="41">
        <v>3</v>
      </c>
      <c r="Y8" s="6">
        <v>1258024.29</v>
      </c>
      <c r="Z8" s="41"/>
      <c r="AA8" s="6"/>
      <c r="AB8" s="97">
        <f t="shared" ref="AB8:AB15" si="2">SUM(D8,F8,H8,J8,L8,N8,P8,R8,T8,V8,X8,Z8)</f>
        <v>26</v>
      </c>
      <c r="AC8" s="103">
        <f t="shared" ref="AC8:AC15" si="3">SUM(E8,G8,I8,K8,M8,O8,Q8,S8,U8,W8,Y8,AA8)</f>
        <v>10234227.129999999</v>
      </c>
    </row>
    <row r="9" spans="1:29" x14ac:dyDescent="0.2">
      <c r="A9" s="21"/>
      <c r="B9" s="21"/>
      <c r="C9" s="20" t="s">
        <v>396</v>
      </c>
      <c r="D9" s="41"/>
      <c r="E9" s="6"/>
      <c r="F9" s="41">
        <v>1</v>
      </c>
      <c r="G9" s="6">
        <v>121481.1</v>
      </c>
      <c r="H9" s="41">
        <v>2</v>
      </c>
      <c r="I9" s="6">
        <v>173481.82</v>
      </c>
      <c r="J9" s="41">
        <v>1</v>
      </c>
      <c r="K9" s="6">
        <v>171187.93</v>
      </c>
      <c r="L9" s="41"/>
      <c r="M9" s="6"/>
      <c r="N9" s="41"/>
      <c r="O9" s="6"/>
      <c r="P9" s="41"/>
      <c r="Q9" s="6"/>
      <c r="R9" s="41"/>
      <c r="S9" s="6"/>
      <c r="T9" s="41">
        <v>1</v>
      </c>
      <c r="U9" s="6">
        <v>109620</v>
      </c>
      <c r="V9" s="41">
        <v>2</v>
      </c>
      <c r="W9" s="6">
        <v>263671</v>
      </c>
      <c r="X9" s="41">
        <v>1</v>
      </c>
      <c r="Y9" s="6">
        <v>235400</v>
      </c>
      <c r="Z9" s="41"/>
      <c r="AA9" s="6"/>
      <c r="AB9" s="97">
        <f t="shared" si="2"/>
        <v>8</v>
      </c>
      <c r="AC9" s="103">
        <f t="shared" si="3"/>
        <v>1074841.8500000001</v>
      </c>
    </row>
    <row r="10" spans="1:29" x14ac:dyDescent="0.2">
      <c r="A10" s="21"/>
      <c r="B10" s="21"/>
      <c r="C10" s="20" t="s">
        <v>393</v>
      </c>
      <c r="D10" s="41">
        <v>5</v>
      </c>
      <c r="E10" s="6">
        <v>611408.9</v>
      </c>
      <c r="F10" s="41">
        <v>5</v>
      </c>
      <c r="G10" s="6">
        <v>697755.56</v>
      </c>
      <c r="H10" s="41">
        <v>24</v>
      </c>
      <c r="I10" s="6">
        <v>3390064.68</v>
      </c>
      <c r="J10" s="41">
        <v>10</v>
      </c>
      <c r="K10" s="6">
        <v>1140846.3999999999</v>
      </c>
      <c r="L10" s="41">
        <v>1</v>
      </c>
      <c r="M10" s="6">
        <v>190000</v>
      </c>
      <c r="N10" s="41"/>
      <c r="O10" s="6"/>
      <c r="P10" s="41">
        <v>4</v>
      </c>
      <c r="Q10" s="6">
        <v>549337.66</v>
      </c>
      <c r="R10" s="41">
        <v>5</v>
      </c>
      <c r="S10" s="6">
        <v>625143.32999999996</v>
      </c>
      <c r="T10" s="41">
        <v>15</v>
      </c>
      <c r="U10" s="6">
        <v>1888143.29</v>
      </c>
      <c r="V10" s="41">
        <v>6</v>
      </c>
      <c r="W10" s="6">
        <v>612118.22</v>
      </c>
      <c r="X10" s="41">
        <v>11</v>
      </c>
      <c r="Y10" s="6">
        <v>1429852</v>
      </c>
      <c r="Z10" s="41">
        <v>2</v>
      </c>
      <c r="AA10" s="6">
        <v>211412.5</v>
      </c>
      <c r="AB10" s="97">
        <f t="shared" si="2"/>
        <v>88</v>
      </c>
      <c r="AC10" s="103">
        <f t="shared" si="3"/>
        <v>11346082.540000001</v>
      </c>
    </row>
    <row r="11" spans="1:29" x14ac:dyDescent="0.2">
      <c r="A11" s="21"/>
      <c r="B11" s="21"/>
      <c r="C11" s="20" t="s">
        <v>10</v>
      </c>
      <c r="D11" s="41"/>
      <c r="E11" s="6"/>
      <c r="F11" s="41"/>
      <c r="G11" s="6"/>
      <c r="H11" s="41"/>
      <c r="I11" s="6"/>
      <c r="J11" s="41"/>
      <c r="K11" s="6"/>
      <c r="L11" s="41"/>
      <c r="M11" s="6"/>
      <c r="N11" s="41"/>
      <c r="O11" s="6"/>
      <c r="P11" s="41"/>
      <c r="Q11" s="6"/>
      <c r="R11" s="41">
        <v>2</v>
      </c>
      <c r="S11" s="6">
        <v>2137500</v>
      </c>
      <c r="T11" s="41"/>
      <c r="U11" s="6"/>
      <c r="V11" s="41"/>
      <c r="W11" s="6"/>
      <c r="X11" s="41"/>
      <c r="Y11" s="6"/>
      <c r="Z11" s="41"/>
      <c r="AA11" s="6"/>
      <c r="AB11" s="97">
        <f t="shared" si="2"/>
        <v>2</v>
      </c>
      <c r="AC11" s="103">
        <f t="shared" si="3"/>
        <v>2137500</v>
      </c>
    </row>
    <row r="12" spans="1:29" x14ac:dyDescent="0.2">
      <c r="A12" s="22"/>
      <c r="B12" s="22"/>
      <c r="C12" s="20" t="s">
        <v>8</v>
      </c>
      <c r="D12" s="41">
        <v>2</v>
      </c>
      <c r="E12" s="6">
        <v>98945.1</v>
      </c>
      <c r="F12" s="41">
        <v>5</v>
      </c>
      <c r="G12" s="6">
        <v>390889.66</v>
      </c>
      <c r="H12" s="41">
        <v>13</v>
      </c>
      <c r="I12" s="6">
        <v>948971.05</v>
      </c>
      <c r="J12" s="41">
        <v>7</v>
      </c>
      <c r="K12" s="6">
        <v>439669.94</v>
      </c>
      <c r="L12" s="41"/>
      <c r="M12" s="6"/>
      <c r="N12" s="41">
        <v>3</v>
      </c>
      <c r="O12" s="6">
        <v>1190436</v>
      </c>
      <c r="P12" s="41">
        <v>2</v>
      </c>
      <c r="Q12" s="6">
        <v>197800.29</v>
      </c>
      <c r="R12" s="41"/>
      <c r="S12" s="6"/>
      <c r="T12" s="41">
        <v>13</v>
      </c>
      <c r="U12" s="6">
        <v>1069596.53</v>
      </c>
      <c r="V12" s="41">
        <v>2</v>
      </c>
      <c r="W12" s="6">
        <v>111779.66</v>
      </c>
      <c r="X12" s="41">
        <v>1</v>
      </c>
      <c r="Y12" s="6">
        <v>99355.93</v>
      </c>
      <c r="Z12" s="41">
        <v>2</v>
      </c>
      <c r="AA12" s="6">
        <v>203619.28</v>
      </c>
      <c r="AB12" s="97">
        <f t="shared" si="2"/>
        <v>50</v>
      </c>
      <c r="AC12" s="103">
        <f t="shared" si="3"/>
        <v>4751063.4400000004</v>
      </c>
    </row>
    <row r="13" spans="1:29" x14ac:dyDescent="0.2">
      <c r="A13" s="23" t="s">
        <v>11</v>
      </c>
      <c r="B13" s="24"/>
      <c r="C13" s="20" t="s">
        <v>701</v>
      </c>
      <c r="D13" s="41">
        <v>1</v>
      </c>
      <c r="E13" s="6">
        <v>109482.76</v>
      </c>
      <c r="F13" s="41">
        <v>5</v>
      </c>
      <c r="G13" s="6">
        <v>719482.76</v>
      </c>
      <c r="H13" s="41">
        <v>3</v>
      </c>
      <c r="I13" s="6">
        <v>759000</v>
      </c>
      <c r="J13" s="41">
        <v>2</v>
      </c>
      <c r="K13" s="6">
        <v>449000</v>
      </c>
      <c r="L13" s="41">
        <v>1</v>
      </c>
      <c r="M13" s="6">
        <v>224200</v>
      </c>
      <c r="N13" s="41">
        <v>2</v>
      </c>
      <c r="O13" s="6">
        <v>305000</v>
      </c>
      <c r="P13" s="41">
        <v>2</v>
      </c>
      <c r="Q13" s="6">
        <v>497586.21</v>
      </c>
      <c r="R13" s="41"/>
      <c r="S13" s="6"/>
      <c r="T13" s="41">
        <v>1</v>
      </c>
      <c r="U13" s="6">
        <v>35000</v>
      </c>
      <c r="V13" s="41">
        <v>3</v>
      </c>
      <c r="W13" s="6">
        <v>157862.07</v>
      </c>
      <c r="X13" s="41"/>
      <c r="Y13" s="6"/>
      <c r="Z13" s="41">
        <v>1</v>
      </c>
      <c r="AA13" s="6">
        <v>75000</v>
      </c>
      <c r="AB13" s="97">
        <f t="shared" si="2"/>
        <v>21</v>
      </c>
      <c r="AC13" s="103">
        <f t="shared" si="3"/>
        <v>3331613.8</v>
      </c>
    </row>
    <row r="14" spans="1:29" x14ac:dyDescent="0.2">
      <c r="A14" s="25"/>
      <c r="B14" s="26"/>
      <c r="C14" s="20" t="s">
        <v>396</v>
      </c>
      <c r="D14" s="41"/>
      <c r="E14" s="6"/>
      <c r="F14" s="41"/>
      <c r="G14" s="6"/>
      <c r="H14" s="41"/>
      <c r="I14" s="6"/>
      <c r="J14" s="41"/>
      <c r="K14" s="6"/>
      <c r="L14" s="41"/>
      <c r="M14" s="6"/>
      <c r="N14" s="41">
        <v>2</v>
      </c>
      <c r="O14" s="6">
        <v>541722.22</v>
      </c>
      <c r="P14" s="41">
        <v>2</v>
      </c>
      <c r="Q14" s="6">
        <v>152055.56</v>
      </c>
      <c r="R14" s="41"/>
      <c r="S14" s="6"/>
      <c r="T14" s="41">
        <v>2</v>
      </c>
      <c r="U14" s="6">
        <v>338699</v>
      </c>
      <c r="V14" s="41">
        <v>2</v>
      </c>
      <c r="W14" s="6">
        <v>543044</v>
      </c>
      <c r="X14" s="41"/>
      <c r="Y14" s="6"/>
      <c r="Z14" s="41"/>
      <c r="AA14" s="6"/>
      <c r="AB14" s="97">
        <f t="shared" si="2"/>
        <v>8</v>
      </c>
      <c r="AC14" s="103">
        <f t="shared" si="3"/>
        <v>1575520.78</v>
      </c>
    </row>
    <row r="15" spans="1:29" x14ac:dyDescent="0.2">
      <c r="A15" s="27"/>
      <c r="B15" s="28"/>
      <c r="C15" s="20" t="s">
        <v>8</v>
      </c>
      <c r="D15" s="41"/>
      <c r="E15" s="6"/>
      <c r="F15" s="41"/>
      <c r="G15" s="6"/>
      <c r="H15" s="41"/>
      <c r="I15" s="6"/>
      <c r="J15" s="41"/>
      <c r="K15" s="6"/>
      <c r="L15" s="41"/>
      <c r="M15" s="6"/>
      <c r="N15" s="41">
        <v>1</v>
      </c>
      <c r="O15" s="6">
        <v>189469.92</v>
      </c>
      <c r="P15" s="41"/>
      <c r="Q15" s="6"/>
      <c r="R15" s="41"/>
      <c r="S15" s="6"/>
      <c r="T15" s="41">
        <v>2</v>
      </c>
      <c r="U15" s="6">
        <v>314293.87</v>
      </c>
      <c r="V15" s="41"/>
      <c r="W15" s="6"/>
      <c r="X15" s="41"/>
      <c r="Y15" s="6"/>
      <c r="Z15" s="41"/>
      <c r="AA15" s="6"/>
      <c r="AB15" s="97">
        <f t="shared" si="2"/>
        <v>3</v>
      </c>
      <c r="AC15" s="103">
        <f t="shared" si="3"/>
        <v>503763.79000000004</v>
      </c>
    </row>
    <row r="16" spans="1:29" x14ac:dyDescent="0.2">
      <c r="A16" s="424" t="s">
        <v>12</v>
      </c>
      <c r="B16" s="425"/>
      <c r="C16" s="426"/>
      <c r="D16" s="61">
        <f t="shared" ref="D16:I16" si="4">SUM(D4:D15)</f>
        <v>27</v>
      </c>
      <c r="E16" s="62">
        <f t="shared" si="4"/>
        <v>11554274.92</v>
      </c>
      <c r="F16" s="61">
        <f t="shared" si="4"/>
        <v>33</v>
      </c>
      <c r="G16" s="62">
        <f t="shared" si="4"/>
        <v>11514385.980000002</v>
      </c>
      <c r="H16" s="61">
        <f t="shared" si="4"/>
        <v>61</v>
      </c>
      <c r="I16" s="62">
        <f t="shared" si="4"/>
        <v>10587704.310000001</v>
      </c>
      <c r="J16" s="61">
        <f t="shared" ref="J16:O16" si="5">SUM(J4:J15)</f>
        <v>29</v>
      </c>
      <c r="K16" s="62">
        <f t="shared" si="5"/>
        <v>6335173.6700000009</v>
      </c>
      <c r="L16" s="61">
        <f t="shared" si="5"/>
        <v>13</v>
      </c>
      <c r="M16" s="62">
        <f t="shared" si="5"/>
        <v>4684364.25</v>
      </c>
      <c r="N16" s="61">
        <f t="shared" si="5"/>
        <v>26</v>
      </c>
      <c r="O16" s="62">
        <f t="shared" si="5"/>
        <v>8187585.9899999993</v>
      </c>
      <c r="P16" s="61">
        <f t="shared" ref="P16:U16" si="6">SUM(P4:P15)</f>
        <v>24</v>
      </c>
      <c r="Q16" s="62">
        <f t="shared" si="6"/>
        <v>7159816.5800000001</v>
      </c>
      <c r="R16" s="61">
        <f t="shared" si="6"/>
        <v>12</v>
      </c>
      <c r="S16" s="62">
        <f t="shared" si="6"/>
        <v>4977957.8600000003</v>
      </c>
      <c r="T16" s="61">
        <f t="shared" si="6"/>
        <v>50</v>
      </c>
      <c r="U16" s="62">
        <f t="shared" si="6"/>
        <v>17627400.199999999</v>
      </c>
      <c r="V16" s="61">
        <f t="shared" ref="V16:W16" si="7">SUM(V4:V15)</f>
        <v>31</v>
      </c>
      <c r="W16" s="62">
        <f t="shared" si="7"/>
        <v>8685516.4899999984</v>
      </c>
      <c r="X16" s="61">
        <f t="shared" ref="X16:Y16" si="8">SUM(X4:X15)</f>
        <v>22</v>
      </c>
      <c r="Y16" s="62">
        <f t="shared" si="8"/>
        <v>4907797.5399999991</v>
      </c>
      <c r="Z16" s="61">
        <f t="shared" ref="Z16:AA16" si="9">SUM(Z4:Z15)</f>
        <v>9</v>
      </c>
      <c r="AA16" s="62">
        <f t="shared" si="9"/>
        <v>2138869.91</v>
      </c>
      <c r="AB16" s="107">
        <f>SUM(D16,F16,H16,J16,L16,N16,P16,R16,T16,V16,X16,Z16)</f>
        <v>337</v>
      </c>
      <c r="AC16" s="108">
        <f>SUM(E16,G16,I16,K16,M16,O16,Q16,S16,U16,W16,Y16,AA16)</f>
        <v>98360847.699999988</v>
      </c>
    </row>
    <row r="17" spans="1:29" ht="12.75" customHeight="1" x14ac:dyDescent="0.2"/>
    <row r="18" spans="1:29" x14ac:dyDescent="0.2">
      <c r="A18" s="71" t="s">
        <v>634</v>
      </c>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row>
    <row r="19" spans="1:29" ht="12.75" customHeight="1" x14ac:dyDescent="0.2">
      <c r="A19" s="10"/>
      <c r="B19" s="10"/>
      <c r="C19" s="10"/>
      <c r="D19" s="421" t="s">
        <v>635</v>
      </c>
      <c r="E19" s="421"/>
      <c r="F19" s="421" t="s">
        <v>853</v>
      </c>
      <c r="G19" s="421"/>
      <c r="H19" s="421" t="s">
        <v>860</v>
      </c>
      <c r="I19" s="421"/>
      <c r="J19" s="421" t="s">
        <v>863</v>
      </c>
      <c r="K19" s="421"/>
      <c r="L19" s="421" t="s">
        <v>880</v>
      </c>
      <c r="M19" s="421"/>
      <c r="N19" s="428" t="s">
        <v>913</v>
      </c>
      <c r="O19" s="421"/>
      <c r="P19" s="428" t="s">
        <v>953</v>
      </c>
      <c r="Q19" s="421"/>
      <c r="R19" s="421" t="s">
        <v>955</v>
      </c>
      <c r="S19" s="421"/>
      <c r="T19" s="421" t="s">
        <v>970</v>
      </c>
      <c r="U19" s="421"/>
      <c r="V19" s="421" t="s">
        <v>989</v>
      </c>
      <c r="W19" s="421"/>
      <c r="X19" s="421" t="s">
        <v>1004</v>
      </c>
      <c r="Y19" s="421"/>
      <c r="Z19" s="421" t="s">
        <v>1031</v>
      </c>
      <c r="AA19" s="421"/>
      <c r="AB19" s="422" t="s">
        <v>1302</v>
      </c>
      <c r="AC19" s="423"/>
    </row>
    <row r="20" spans="1:29" x14ac:dyDescent="0.2">
      <c r="D20" s="8" t="s">
        <v>633</v>
      </c>
      <c r="E20" s="8" t="s">
        <v>843</v>
      </c>
      <c r="F20" s="8" t="s">
        <v>633</v>
      </c>
      <c r="G20" s="8" t="s">
        <v>843</v>
      </c>
      <c r="H20" s="8" t="s">
        <v>633</v>
      </c>
      <c r="I20" s="8" t="s">
        <v>843</v>
      </c>
      <c r="J20" s="8" t="s">
        <v>633</v>
      </c>
      <c r="K20" s="8" t="s">
        <v>843</v>
      </c>
      <c r="L20" s="8" t="s">
        <v>633</v>
      </c>
      <c r="M20" s="8" t="s">
        <v>843</v>
      </c>
      <c r="N20" s="8" t="s">
        <v>633</v>
      </c>
      <c r="O20" s="8" t="s">
        <v>843</v>
      </c>
      <c r="P20" s="8" t="s">
        <v>633</v>
      </c>
      <c r="Q20" s="8" t="s">
        <v>843</v>
      </c>
      <c r="R20" s="8" t="s">
        <v>633</v>
      </c>
      <c r="S20" s="8" t="s">
        <v>843</v>
      </c>
      <c r="T20" s="8" t="s">
        <v>633</v>
      </c>
      <c r="U20" s="8" t="s">
        <v>843</v>
      </c>
      <c r="V20" s="8" t="s">
        <v>633</v>
      </c>
      <c r="W20" s="8" t="s">
        <v>843</v>
      </c>
      <c r="X20" s="8" t="s">
        <v>633</v>
      </c>
      <c r="Y20" s="8" t="s">
        <v>843</v>
      </c>
      <c r="Z20" s="8" t="s">
        <v>633</v>
      </c>
      <c r="AA20" s="8" t="s">
        <v>843</v>
      </c>
      <c r="AB20" s="94" t="s">
        <v>633</v>
      </c>
      <c r="AC20" s="94" t="s">
        <v>843</v>
      </c>
    </row>
    <row r="21" spans="1:29" x14ac:dyDescent="0.2">
      <c r="A21" s="19" t="s">
        <v>66</v>
      </c>
      <c r="B21" s="19" t="s">
        <v>422</v>
      </c>
      <c r="C21" s="20" t="s">
        <v>701</v>
      </c>
      <c r="D21" s="59"/>
      <c r="E21" s="16"/>
      <c r="F21" s="41"/>
      <c r="G21" s="6"/>
      <c r="H21" s="41"/>
      <c r="I21" s="6"/>
      <c r="J21" s="41"/>
      <c r="K21" s="6"/>
      <c r="L21" s="41">
        <v>7</v>
      </c>
      <c r="M21" s="6">
        <v>1785600</v>
      </c>
      <c r="N21" s="41">
        <v>9</v>
      </c>
      <c r="O21" s="6">
        <v>2985789.65</v>
      </c>
      <c r="P21" s="41">
        <f>19-1</f>
        <v>18</v>
      </c>
      <c r="Q21" s="6">
        <f>6424281.38-185000</f>
        <v>6239281.3799999999</v>
      </c>
      <c r="R21" s="41"/>
      <c r="S21" s="6"/>
      <c r="T21" s="41">
        <v>6</v>
      </c>
      <c r="U21" s="6">
        <v>1290445.52</v>
      </c>
      <c r="V21" s="41">
        <v>3</v>
      </c>
      <c r="W21" s="6">
        <v>1225253</v>
      </c>
      <c r="X21" s="41">
        <v>4</v>
      </c>
      <c r="Y21" s="6">
        <v>1776713</v>
      </c>
      <c r="Z21" s="41">
        <v>14</v>
      </c>
      <c r="AA21" s="6">
        <v>4333261</v>
      </c>
      <c r="AB21" s="97">
        <f t="shared" ref="AB21:AB23" si="10">SUM(D21,F21,H21,J21,L21,N21,P21,R21,T21,V21,X21,Z21)</f>
        <v>61</v>
      </c>
      <c r="AC21" s="103">
        <f t="shared" ref="AC21:AC23" si="11">SUM(E21,G21,I21,K21,M21,O21,Q21,S21,U21,W21,Y21,AA21)</f>
        <v>19636343.550000001</v>
      </c>
    </row>
    <row r="22" spans="1:29" x14ac:dyDescent="0.2">
      <c r="A22" s="21"/>
      <c r="B22" s="21"/>
      <c r="C22" s="20" t="s">
        <v>396</v>
      </c>
      <c r="D22" s="59">
        <f>2-1</f>
        <v>1</v>
      </c>
      <c r="E22" s="16">
        <f>730470-579000</f>
        <v>151470</v>
      </c>
      <c r="F22" s="41"/>
      <c r="G22" s="6"/>
      <c r="H22" s="41">
        <v>1</v>
      </c>
      <c r="I22" s="6">
        <v>192627</v>
      </c>
      <c r="J22" s="41">
        <v>1</v>
      </c>
      <c r="K22" s="6">
        <v>102200</v>
      </c>
      <c r="L22" s="41"/>
      <c r="M22" s="6"/>
      <c r="N22" s="41">
        <v>1</v>
      </c>
      <c r="O22" s="6">
        <v>192000</v>
      </c>
      <c r="P22" s="41"/>
      <c r="Q22" s="6"/>
      <c r="R22" s="41">
        <v>1</v>
      </c>
      <c r="S22" s="6">
        <v>140619.09</v>
      </c>
      <c r="T22" s="41"/>
      <c r="U22" s="6"/>
      <c r="V22" s="41"/>
      <c r="W22" s="6"/>
      <c r="X22" s="41"/>
      <c r="Y22" s="6"/>
      <c r="Z22" s="41"/>
      <c r="AA22" s="6"/>
      <c r="AB22" s="97">
        <f t="shared" si="10"/>
        <v>5</v>
      </c>
      <c r="AC22" s="103">
        <f t="shared" si="11"/>
        <v>778916.09</v>
      </c>
    </row>
    <row r="23" spans="1:29" x14ac:dyDescent="0.2">
      <c r="A23" s="21"/>
      <c r="B23" s="22"/>
      <c r="C23" s="20" t="s">
        <v>8</v>
      </c>
      <c r="D23" s="59"/>
      <c r="E23" s="16"/>
      <c r="F23" s="41"/>
      <c r="G23" s="6"/>
      <c r="H23" s="41"/>
      <c r="I23" s="6"/>
      <c r="J23" s="41"/>
      <c r="K23" s="6"/>
      <c r="L23" s="41"/>
      <c r="M23" s="6"/>
      <c r="N23" s="41"/>
      <c r="O23" s="6"/>
      <c r="P23" s="41"/>
      <c r="Q23" s="6"/>
      <c r="R23" s="41"/>
      <c r="S23" s="6"/>
      <c r="T23" s="41"/>
      <c r="U23" s="6"/>
      <c r="V23" s="41"/>
      <c r="W23" s="6"/>
      <c r="X23" s="41"/>
      <c r="Y23" s="6"/>
      <c r="Z23" s="41"/>
      <c r="AA23" s="6"/>
      <c r="AB23" s="97">
        <f t="shared" si="10"/>
        <v>0</v>
      </c>
      <c r="AC23" s="103">
        <f t="shared" si="11"/>
        <v>0</v>
      </c>
    </row>
    <row r="24" spans="1:29" x14ac:dyDescent="0.2">
      <c r="A24" s="21"/>
      <c r="B24" s="19" t="s">
        <v>392</v>
      </c>
      <c r="C24" s="20" t="s">
        <v>701</v>
      </c>
      <c r="D24" s="59"/>
      <c r="E24" s="16"/>
      <c r="F24" s="41"/>
      <c r="G24" s="6"/>
      <c r="H24" s="41"/>
      <c r="I24" s="6"/>
      <c r="J24" s="41"/>
      <c r="K24" s="6"/>
      <c r="L24" s="41"/>
      <c r="M24" s="6"/>
      <c r="N24" s="41"/>
      <c r="O24" s="6"/>
      <c r="P24" s="41"/>
      <c r="Q24" s="6"/>
      <c r="R24" s="41"/>
      <c r="S24" s="6"/>
      <c r="T24" s="41"/>
      <c r="U24" s="6"/>
      <c r="V24" s="41"/>
      <c r="W24" s="6"/>
      <c r="X24" s="41"/>
      <c r="Y24" s="6"/>
      <c r="Z24" s="41"/>
      <c r="AA24" s="6"/>
      <c r="AB24" s="97">
        <f>SUM(D24,F24,H24,J24,L24,N24,P24,R24,T24,V24,X24,Z24)</f>
        <v>0</v>
      </c>
      <c r="AC24" s="103">
        <f>SUM(E24,G24,I24,K24,M24,O24,Q24,S24,U24,W24,Y24,AA24)</f>
        <v>0</v>
      </c>
    </row>
    <row r="25" spans="1:29" x14ac:dyDescent="0.2">
      <c r="A25" s="21"/>
      <c r="B25" s="21"/>
      <c r="C25" s="20" t="s">
        <v>9</v>
      </c>
      <c r="D25" s="59"/>
      <c r="E25" s="16"/>
      <c r="F25" s="41"/>
      <c r="G25" s="6"/>
      <c r="H25" s="41"/>
      <c r="I25" s="6"/>
      <c r="J25" s="41"/>
      <c r="K25" s="6"/>
      <c r="L25" s="41"/>
      <c r="M25" s="6"/>
      <c r="N25" s="41">
        <v>1</v>
      </c>
      <c r="O25" s="6">
        <v>108345.86</v>
      </c>
      <c r="P25" s="41"/>
      <c r="Q25" s="6"/>
      <c r="R25" s="41">
        <v>1</v>
      </c>
      <c r="S25" s="6">
        <v>279800</v>
      </c>
      <c r="T25" s="41"/>
      <c r="U25" s="6"/>
      <c r="V25" s="41"/>
      <c r="W25" s="6"/>
      <c r="X25" s="41"/>
      <c r="Y25" s="6"/>
      <c r="Z25" s="41"/>
      <c r="AA25" s="6"/>
      <c r="AB25" s="97">
        <f t="shared" ref="AB25:AB33" si="12">SUM(D25,F25,H25,J25,L25,N25,P25,R25,T25,V25,X25,Z25)</f>
        <v>2</v>
      </c>
      <c r="AC25" s="103">
        <f t="shared" ref="AC25:AC33" si="13">SUM(E25,G25,I25,K25,M25,O25,Q25,S25,U25,W25,Y25,AA25)</f>
        <v>388145.86</v>
      </c>
    </row>
    <row r="26" spans="1:29" x14ac:dyDescent="0.2">
      <c r="A26" s="21"/>
      <c r="B26" s="21"/>
      <c r="C26" s="20" t="s">
        <v>396</v>
      </c>
      <c r="D26" s="59"/>
      <c r="E26" s="16"/>
      <c r="F26" s="41"/>
      <c r="G26" s="6"/>
      <c r="H26" s="41"/>
      <c r="I26" s="6"/>
      <c r="J26" s="41"/>
      <c r="K26" s="6"/>
      <c r="L26" s="41"/>
      <c r="M26" s="6"/>
      <c r="N26" s="41"/>
      <c r="O26" s="6"/>
      <c r="P26" s="41"/>
      <c r="Q26" s="6"/>
      <c r="R26" s="41"/>
      <c r="S26" s="6"/>
      <c r="T26" s="41"/>
      <c r="U26" s="6"/>
      <c r="V26" s="41"/>
      <c r="W26" s="6"/>
      <c r="X26" s="41"/>
      <c r="Y26" s="6"/>
      <c r="Z26" s="41"/>
      <c r="AA26" s="6"/>
      <c r="AB26" s="97">
        <f t="shared" si="12"/>
        <v>0</v>
      </c>
      <c r="AC26" s="103">
        <f t="shared" si="13"/>
        <v>0</v>
      </c>
    </row>
    <row r="27" spans="1:29" x14ac:dyDescent="0.2">
      <c r="A27" s="21"/>
      <c r="B27" s="21"/>
      <c r="C27" s="20" t="s">
        <v>393</v>
      </c>
      <c r="D27" s="59">
        <v>1</v>
      </c>
      <c r="E27" s="16">
        <v>65002.5</v>
      </c>
      <c r="F27" s="41">
        <v>1</v>
      </c>
      <c r="G27" s="6">
        <v>121500</v>
      </c>
      <c r="H27" s="41"/>
      <c r="I27" s="6"/>
      <c r="J27" s="41"/>
      <c r="K27" s="6"/>
      <c r="L27" s="41"/>
      <c r="M27" s="6"/>
      <c r="N27" s="41"/>
      <c r="O27" s="6"/>
      <c r="P27" s="41"/>
      <c r="Q27" s="6"/>
      <c r="R27" s="41"/>
      <c r="S27" s="6"/>
      <c r="T27" s="41"/>
      <c r="U27" s="6"/>
      <c r="V27" s="41">
        <v>3</v>
      </c>
      <c r="W27" s="6">
        <v>390000</v>
      </c>
      <c r="X27" s="41"/>
      <c r="Y27" s="6"/>
      <c r="Z27" s="41"/>
      <c r="AA27" s="6"/>
      <c r="AB27" s="97">
        <f t="shared" si="12"/>
        <v>5</v>
      </c>
      <c r="AC27" s="103">
        <f t="shared" si="13"/>
        <v>576502.5</v>
      </c>
    </row>
    <row r="28" spans="1:29" x14ac:dyDescent="0.2">
      <c r="A28" s="21"/>
      <c r="B28" s="21"/>
      <c r="C28" s="20" t="s">
        <v>10</v>
      </c>
      <c r="D28" s="59"/>
      <c r="E28" s="16"/>
      <c r="F28" s="41"/>
      <c r="G28" s="6"/>
      <c r="H28" s="41"/>
      <c r="I28" s="6"/>
      <c r="J28" s="41"/>
      <c r="K28" s="6"/>
      <c r="L28" s="41"/>
      <c r="M28" s="6"/>
      <c r="N28" s="41"/>
      <c r="O28" s="6"/>
      <c r="P28" s="41"/>
      <c r="Q28" s="6"/>
      <c r="R28" s="41"/>
      <c r="S28" s="6"/>
      <c r="T28" s="41"/>
      <c r="U28" s="6"/>
      <c r="V28" s="41"/>
      <c r="W28" s="6"/>
      <c r="X28" s="41"/>
      <c r="Y28" s="6"/>
      <c r="Z28" s="41"/>
      <c r="AA28" s="6"/>
      <c r="AB28" s="97">
        <f t="shared" si="12"/>
        <v>0</v>
      </c>
      <c r="AC28" s="103">
        <f t="shared" si="13"/>
        <v>0</v>
      </c>
    </row>
    <row r="29" spans="1:29" x14ac:dyDescent="0.2">
      <c r="A29" s="22"/>
      <c r="B29" s="22"/>
      <c r="C29" s="20" t="s">
        <v>8</v>
      </c>
      <c r="D29" s="59">
        <v>1</v>
      </c>
      <c r="E29" s="16">
        <v>82040.28</v>
      </c>
      <c r="F29" s="41"/>
      <c r="G29" s="6"/>
      <c r="H29" s="41"/>
      <c r="I29" s="6"/>
      <c r="J29" s="41"/>
      <c r="K29" s="6"/>
      <c r="L29" s="41"/>
      <c r="M29" s="6"/>
      <c r="N29" s="41">
        <v>1</v>
      </c>
      <c r="O29" s="6">
        <v>72725.13</v>
      </c>
      <c r="P29" s="41"/>
      <c r="Q29" s="6"/>
      <c r="R29" s="41"/>
      <c r="S29" s="6"/>
      <c r="T29" s="41"/>
      <c r="U29" s="6"/>
      <c r="V29" s="41">
        <v>3</v>
      </c>
      <c r="W29" s="6">
        <v>158315.47</v>
      </c>
      <c r="X29" s="41"/>
      <c r="Y29" s="6"/>
      <c r="Z29" s="41"/>
      <c r="AA29" s="6"/>
      <c r="AB29" s="97">
        <f t="shared" si="12"/>
        <v>5</v>
      </c>
      <c r="AC29" s="103">
        <f t="shared" si="13"/>
        <v>313080.88</v>
      </c>
    </row>
    <row r="30" spans="1:29" x14ac:dyDescent="0.2">
      <c r="A30" s="23" t="s">
        <v>11</v>
      </c>
      <c r="B30" s="24"/>
      <c r="C30" s="20" t="s">
        <v>701</v>
      </c>
      <c r="D30" s="59"/>
      <c r="E30" s="16"/>
      <c r="F30" s="41"/>
      <c r="G30" s="6"/>
      <c r="H30" s="41"/>
      <c r="I30" s="6"/>
      <c r="J30" s="41"/>
      <c r="K30" s="6"/>
      <c r="L30" s="41"/>
      <c r="M30" s="6"/>
      <c r="N30" s="41"/>
      <c r="O30" s="6"/>
      <c r="P30" s="41">
        <v>2</v>
      </c>
      <c r="Q30" s="6">
        <v>216000</v>
      </c>
      <c r="R30" s="41"/>
      <c r="S30" s="6"/>
      <c r="T30" s="41"/>
      <c r="U30" s="6"/>
      <c r="V30" s="41"/>
      <c r="W30" s="6"/>
      <c r="X30" s="41">
        <v>2</v>
      </c>
      <c r="Y30" s="6">
        <v>433000</v>
      </c>
      <c r="Z30" s="41"/>
      <c r="AA30" s="6"/>
      <c r="AB30" s="97">
        <f t="shared" si="12"/>
        <v>4</v>
      </c>
      <c r="AC30" s="103">
        <f t="shared" si="13"/>
        <v>649000</v>
      </c>
    </row>
    <row r="31" spans="1:29" x14ac:dyDescent="0.2">
      <c r="A31" s="25"/>
      <c r="B31" s="26"/>
      <c r="C31" s="20" t="s">
        <v>396</v>
      </c>
      <c r="D31" s="59"/>
      <c r="E31" s="16"/>
      <c r="F31" s="41"/>
      <c r="G31" s="6"/>
      <c r="H31" s="41"/>
      <c r="I31" s="6"/>
      <c r="J31" s="41"/>
      <c r="K31" s="6"/>
      <c r="L31" s="41"/>
      <c r="M31" s="6"/>
      <c r="N31" s="41"/>
      <c r="O31" s="6"/>
      <c r="P31" s="41"/>
      <c r="Q31" s="6"/>
      <c r="R31" s="41"/>
      <c r="S31" s="6"/>
      <c r="T31" s="41"/>
      <c r="U31" s="6"/>
      <c r="V31" s="41"/>
      <c r="W31" s="6"/>
      <c r="X31" s="41"/>
      <c r="Y31" s="6"/>
      <c r="Z31" s="41"/>
      <c r="AA31" s="6"/>
      <c r="AB31" s="97">
        <f t="shared" si="12"/>
        <v>0</v>
      </c>
      <c r="AC31" s="103">
        <f t="shared" si="13"/>
        <v>0</v>
      </c>
    </row>
    <row r="32" spans="1:29" x14ac:dyDescent="0.2">
      <c r="A32" s="27"/>
      <c r="B32" s="28"/>
      <c r="C32" s="20" t="s">
        <v>8</v>
      </c>
      <c r="D32" s="59"/>
      <c r="E32" s="16"/>
      <c r="F32" s="41"/>
      <c r="G32" s="6"/>
      <c r="H32" s="41"/>
      <c r="I32" s="6"/>
      <c r="J32" s="41"/>
      <c r="K32" s="6"/>
      <c r="L32" s="41"/>
      <c r="M32" s="6"/>
      <c r="N32" s="41"/>
      <c r="O32" s="6"/>
      <c r="P32" s="41"/>
      <c r="Q32" s="6"/>
      <c r="R32" s="41"/>
      <c r="S32" s="6"/>
      <c r="T32" s="41"/>
      <c r="U32" s="6"/>
      <c r="V32" s="41"/>
      <c r="W32" s="6"/>
      <c r="X32" s="41"/>
      <c r="Y32" s="6"/>
      <c r="Z32" s="41"/>
      <c r="AA32" s="6"/>
      <c r="AB32" s="97">
        <f t="shared" si="12"/>
        <v>0</v>
      </c>
      <c r="AC32" s="103">
        <f t="shared" si="13"/>
        <v>0</v>
      </c>
    </row>
    <row r="33" spans="1:29" x14ac:dyDescent="0.2">
      <c r="A33" s="424" t="s">
        <v>12</v>
      </c>
      <c r="B33" s="425"/>
      <c r="C33" s="426"/>
      <c r="D33" s="61">
        <f t="shared" ref="D33:I33" si="14">SUM(D21:D32)</f>
        <v>3</v>
      </c>
      <c r="E33" s="62">
        <f t="shared" si="14"/>
        <v>298512.78000000003</v>
      </c>
      <c r="F33" s="61">
        <f t="shared" si="14"/>
        <v>1</v>
      </c>
      <c r="G33" s="62">
        <f t="shared" si="14"/>
        <v>121500</v>
      </c>
      <c r="H33" s="61">
        <f t="shared" si="14"/>
        <v>1</v>
      </c>
      <c r="I33" s="62">
        <f t="shared" si="14"/>
        <v>192627</v>
      </c>
      <c r="J33" s="61">
        <f t="shared" ref="J33:O33" si="15">SUM(J21:J32)</f>
        <v>1</v>
      </c>
      <c r="K33" s="62">
        <f t="shared" si="15"/>
        <v>102200</v>
      </c>
      <c r="L33" s="61">
        <f t="shared" si="15"/>
        <v>7</v>
      </c>
      <c r="M33" s="62">
        <f t="shared" si="15"/>
        <v>1785600</v>
      </c>
      <c r="N33" s="61">
        <f t="shared" si="15"/>
        <v>12</v>
      </c>
      <c r="O33" s="62">
        <f t="shared" si="15"/>
        <v>3358860.6399999997</v>
      </c>
      <c r="P33" s="61">
        <f t="shared" ref="P33:U33" si="16">SUM(P21:P32)</f>
        <v>20</v>
      </c>
      <c r="Q33" s="62">
        <f t="shared" si="16"/>
        <v>6455281.3799999999</v>
      </c>
      <c r="R33" s="61">
        <f t="shared" si="16"/>
        <v>2</v>
      </c>
      <c r="S33" s="62">
        <f t="shared" si="16"/>
        <v>420419.08999999997</v>
      </c>
      <c r="T33" s="61">
        <f t="shared" si="16"/>
        <v>6</v>
      </c>
      <c r="U33" s="62">
        <f t="shared" si="16"/>
        <v>1290445.52</v>
      </c>
      <c r="V33" s="61">
        <f t="shared" ref="V33:W33" si="17">SUM(V21:V32)</f>
        <v>9</v>
      </c>
      <c r="W33" s="62">
        <f t="shared" si="17"/>
        <v>1773568.47</v>
      </c>
      <c r="X33" s="61">
        <f t="shared" ref="X33:Y33" si="18">SUM(X21:X32)</f>
        <v>6</v>
      </c>
      <c r="Y33" s="62">
        <f t="shared" si="18"/>
        <v>2209713</v>
      </c>
      <c r="Z33" s="61">
        <f t="shared" ref="Z33:AA33" si="19">SUM(Z21:Z32)</f>
        <v>14</v>
      </c>
      <c r="AA33" s="62">
        <f t="shared" si="19"/>
        <v>4333261</v>
      </c>
      <c r="AB33" s="107">
        <f t="shared" si="12"/>
        <v>82</v>
      </c>
      <c r="AC33" s="108">
        <f t="shared" si="13"/>
        <v>22341988.880000003</v>
      </c>
    </row>
    <row r="34" spans="1:29" ht="12.75" customHeight="1" x14ac:dyDescent="0.2"/>
    <row r="35" spans="1:29" x14ac:dyDescent="0.2">
      <c r="A35" s="71" t="s">
        <v>1046</v>
      </c>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row>
    <row r="36" spans="1:29" x14ac:dyDescent="0.2">
      <c r="A36" s="10"/>
      <c r="B36" s="10"/>
      <c r="C36" s="10"/>
      <c r="D36" s="421" t="s">
        <v>635</v>
      </c>
      <c r="E36" s="421"/>
      <c r="F36" s="421" t="s">
        <v>853</v>
      </c>
      <c r="G36" s="421"/>
      <c r="H36" s="421" t="s">
        <v>860</v>
      </c>
      <c r="I36" s="421"/>
      <c r="J36" s="421" t="s">
        <v>863</v>
      </c>
      <c r="K36" s="421"/>
      <c r="L36" s="427" t="s">
        <v>1100</v>
      </c>
      <c r="M36" s="427"/>
      <c r="N36" s="428" t="s">
        <v>913</v>
      </c>
      <c r="O36" s="421"/>
      <c r="P36" s="428" t="s">
        <v>953</v>
      </c>
      <c r="Q36" s="421"/>
      <c r="R36" s="421" t="s">
        <v>955</v>
      </c>
      <c r="S36" s="421"/>
      <c r="T36" s="421" t="s">
        <v>970</v>
      </c>
      <c r="U36" s="421"/>
      <c r="V36" s="421" t="s">
        <v>989</v>
      </c>
      <c r="W36" s="421"/>
      <c r="X36" s="421" t="s">
        <v>1004</v>
      </c>
      <c r="Y36" s="421"/>
      <c r="Z36" s="421" t="s">
        <v>1031</v>
      </c>
      <c r="AA36" s="421"/>
      <c r="AB36" s="422" t="s">
        <v>1302</v>
      </c>
      <c r="AC36" s="423"/>
    </row>
    <row r="37" spans="1:29" x14ac:dyDescent="0.2">
      <c r="D37" s="8" t="s">
        <v>633</v>
      </c>
      <c r="E37" s="8" t="s">
        <v>843</v>
      </c>
      <c r="F37" s="8" t="s">
        <v>633</v>
      </c>
      <c r="G37" s="8" t="s">
        <v>843</v>
      </c>
      <c r="H37" s="8" t="s">
        <v>633</v>
      </c>
      <c r="I37" s="8" t="s">
        <v>843</v>
      </c>
      <c r="J37" s="8" t="s">
        <v>633</v>
      </c>
      <c r="K37" s="8" t="s">
        <v>843</v>
      </c>
      <c r="L37" s="8" t="s">
        <v>633</v>
      </c>
      <c r="M37" s="8" t="s">
        <v>843</v>
      </c>
      <c r="N37" s="8" t="s">
        <v>633</v>
      </c>
      <c r="O37" s="8" t="s">
        <v>843</v>
      </c>
      <c r="P37" s="8" t="s">
        <v>633</v>
      </c>
      <c r="Q37" s="8" t="s">
        <v>843</v>
      </c>
      <c r="R37" s="8" t="s">
        <v>633</v>
      </c>
      <c r="S37" s="8" t="s">
        <v>843</v>
      </c>
      <c r="T37" s="8" t="s">
        <v>633</v>
      </c>
      <c r="U37" s="8" t="s">
        <v>843</v>
      </c>
      <c r="V37" s="8" t="s">
        <v>633</v>
      </c>
      <c r="W37" s="8" t="s">
        <v>843</v>
      </c>
      <c r="X37" s="8" t="s">
        <v>633</v>
      </c>
      <c r="Y37" s="8" t="s">
        <v>843</v>
      </c>
      <c r="Z37" s="8" t="s">
        <v>633</v>
      </c>
      <c r="AA37" s="8" t="s">
        <v>843</v>
      </c>
      <c r="AB37" s="94" t="s">
        <v>633</v>
      </c>
      <c r="AC37" s="94" t="s">
        <v>843</v>
      </c>
    </row>
    <row r="38" spans="1:29" x14ac:dyDescent="0.2">
      <c r="A38" s="19" t="s">
        <v>66</v>
      </c>
      <c r="B38" s="19" t="s">
        <v>422</v>
      </c>
      <c r="C38" s="20" t="s">
        <v>701</v>
      </c>
      <c r="D38" s="59"/>
      <c r="E38" s="16"/>
      <c r="F38" s="41">
        <v>1</v>
      </c>
      <c r="G38" s="6">
        <v>921386</v>
      </c>
      <c r="H38" s="41">
        <v>1</v>
      </c>
      <c r="I38" s="6">
        <v>199000</v>
      </c>
      <c r="J38" s="41">
        <v>1</v>
      </c>
      <c r="K38" s="6">
        <v>175000</v>
      </c>
      <c r="L38" s="75">
        <v>1</v>
      </c>
      <c r="M38" s="74">
        <v>198000</v>
      </c>
      <c r="N38" s="75">
        <v>1</v>
      </c>
      <c r="O38" s="74">
        <v>62500</v>
      </c>
      <c r="P38" s="75">
        <v>4</v>
      </c>
      <c r="Q38" s="74">
        <v>1208829</v>
      </c>
      <c r="R38" s="75">
        <v>2</v>
      </c>
      <c r="S38" s="74">
        <v>218400</v>
      </c>
      <c r="T38" s="75">
        <v>2</v>
      </c>
      <c r="U38" s="74">
        <v>789782</v>
      </c>
      <c r="V38" s="75">
        <v>8</v>
      </c>
      <c r="W38" s="74">
        <v>1550700</v>
      </c>
      <c r="X38" s="75">
        <v>3</v>
      </c>
      <c r="Y38" s="74">
        <v>720950</v>
      </c>
      <c r="Z38" s="75">
        <v>4</v>
      </c>
      <c r="AA38" s="74">
        <v>724541</v>
      </c>
      <c r="AB38" s="97">
        <f t="shared" ref="AB38:AB51" si="20">SUM(D38,F38,H38,J38,L38,N38,P38,R38,T38,V38,X38,Z38)</f>
        <v>28</v>
      </c>
      <c r="AC38" s="103">
        <f t="shared" ref="AC38:AC51" si="21">SUM(E38,G38,I38,K38,M38,O38,Q38,S38,U38,W38,Y38,AA38)</f>
        <v>6769088</v>
      </c>
    </row>
    <row r="39" spans="1:29" x14ac:dyDescent="0.2">
      <c r="A39" s="21"/>
      <c r="B39" s="21"/>
      <c r="C39" s="20" t="s">
        <v>396</v>
      </c>
      <c r="D39" s="59"/>
      <c r="E39" s="16"/>
      <c r="F39" s="41"/>
      <c r="G39" s="6"/>
      <c r="H39" s="41"/>
      <c r="I39" s="6"/>
      <c r="J39" s="41">
        <v>3</v>
      </c>
      <c r="K39" s="6">
        <v>412253.22</v>
      </c>
      <c r="L39" s="41"/>
      <c r="M39" s="6"/>
      <c r="N39" s="41"/>
      <c r="O39" s="6"/>
      <c r="P39" s="41"/>
      <c r="Q39" s="6"/>
      <c r="R39" s="41"/>
      <c r="S39" s="6"/>
      <c r="T39" s="41"/>
      <c r="U39" s="6"/>
      <c r="V39" s="41"/>
      <c r="W39" s="6"/>
      <c r="X39" s="41"/>
      <c r="Y39" s="6"/>
      <c r="Z39" s="75">
        <v>1</v>
      </c>
      <c r="AA39" s="74">
        <v>2353400</v>
      </c>
      <c r="AB39" s="97">
        <f t="shared" si="20"/>
        <v>4</v>
      </c>
      <c r="AC39" s="103">
        <f t="shared" si="21"/>
        <v>2765653.2199999997</v>
      </c>
    </row>
    <row r="40" spans="1:29" x14ac:dyDescent="0.2">
      <c r="A40" s="21"/>
      <c r="B40" s="22"/>
      <c r="C40" s="20" t="s">
        <v>8</v>
      </c>
      <c r="D40" s="59"/>
      <c r="E40" s="16"/>
      <c r="F40" s="41"/>
      <c r="G40" s="6"/>
      <c r="H40" s="41"/>
      <c r="I40" s="6"/>
      <c r="J40" s="41"/>
      <c r="K40" s="6"/>
      <c r="L40" s="75">
        <v>1</v>
      </c>
      <c r="M40" s="74">
        <v>106802.69</v>
      </c>
      <c r="N40" s="41"/>
      <c r="O40" s="6"/>
      <c r="P40" s="41"/>
      <c r="Q40" s="6"/>
      <c r="R40" s="41"/>
      <c r="S40" s="6"/>
      <c r="T40" s="41"/>
      <c r="U40" s="6"/>
      <c r="V40" s="41"/>
      <c r="W40" s="6"/>
      <c r="X40" s="41"/>
      <c r="Y40" s="6"/>
      <c r="Z40" s="41"/>
      <c r="AA40" s="6"/>
      <c r="AB40" s="97">
        <f t="shared" si="20"/>
        <v>1</v>
      </c>
      <c r="AC40" s="103">
        <f t="shared" si="21"/>
        <v>106802.69</v>
      </c>
    </row>
    <row r="41" spans="1:29" x14ac:dyDescent="0.2">
      <c r="A41" s="21"/>
      <c r="B41" s="19" t="s">
        <v>392</v>
      </c>
      <c r="C41" s="20" t="s">
        <v>701</v>
      </c>
      <c r="D41" s="59"/>
      <c r="E41" s="16"/>
      <c r="F41" s="41"/>
      <c r="G41" s="6"/>
      <c r="H41" s="41"/>
      <c r="I41" s="6"/>
      <c r="J41" s="41"/>
      <c r="K41" s="6"/>
      <c r="L41" s="41"/>
      <c r="M41" s="6"/>
      <c r="N41" s="41"/>
      <c r="O41" s="6"/>
      <c r="P41" s="41"/>
      <c r="Q41" s="6"/>
      <c r="R41" s="41"/>
      <c r="S41" s="6"/>
      <c r="T41" s="75">
        <v>1</v>
      </c>
      <c r="U41" s="74">
        <v>52800</v>
      </c>
      <c r="V41" s="41"/>
      <c r="W41" s="6"/>
      <c r="X41" s="41"/>
      <c r="Y41" s="6"/>
      <c r="Z41" s="41"/>
      <c r="AA41" s="6"/>
      <c r="AB41" s="97">
        <f t="shared" si="20"/>
        <v>1</v>
      </c>
      <c r="AC41" s="103">
        <f t="shared" si="21"/>
        <v>52800</v>
      </c>
    </row>
    <row r="42" spans="1:29" x14ac:dyDescent="0.2">
      <c r="A42" s="21"/>
      <c r="B42" s="21"/>
      <c r="C42" s="20" t="s">
        <v>9</v>
      </c>
      <c r="D42" s="59"/>
      <c r="E42" s="16"/>
      <c r="F42" s="41"/>
      <c r="G42" s="6"/>
      <c r="H42" s="41">
        <v>2</v>
      </c>
      <c r="I42" s="6">
        <v>377833.71</v>
      </c>
      <c r="J42" s="41">
        <v>2</v>
      </c>
      <c r="K42" s="6">
        <v>548227.39</v>
      </c>
      <c r="L42" s="41"/>
      <c r="M42" s="6"/>
      <c r="N42" s="41"/>
      <c r="O42" s="6"/>
      <c r="P42" s="75">
        <v>2</v>
      </c>
      <c r="Q42" s="74">
        <v>517735</v>
      </c>
      <c r="R42" s="41"/>
      <c r="S42" s="6"/>
      <c r="T42" s="41"/>
      <c r="U42" s="6"/>
      <c r="V42" s="41"/>
      <c r="W42" s="6"/>
      <c r="X42" s="41"/>
      <c r="Y42" s="6"/>
      <c r="Z42" s="41"/>
      <c r="AA42" s="6"/>
      <c r="AB42" s="97">
        <f t="shared" si="20"/>
        <v>6</v>
      </c>
      <c r="AC42" s="103">
        <f t="shared" si="21"/>
        <v>1443796.1</v>
      </c>
    </row>
    <row r="43" spans="1:29" x14ac:dyDescent="0.2">
      <c r="A43" s="21"/>
      <c r="B43" s="21"/>
      <c r="C43" s="20" t="s">
        <v>396</v>
      </c>
      <c r="D43" s="59"/>
      <c r="E43" s="16"/>
      <c r="F43" s="41"/>
      <c r="G43" s="6"/>
      <c r="H43" s="41"/>
      <c r="I43" s="6"/>
      <c r="J43" s="41"/>
      <c r="K43" s="6"/>
      <c r="L43" s="41"/>
      <c r="M43" s="6"/>
      <c r="N43" s="41"/>
      <c r="O43" s="6"/>
      <c r="P43" s="41"/>
      <c r="Q43" s="6"/>
      <c r="R43" s="41"/>
      <c r="S43" s="6"/>
      <c r="T43" s="41"/>
      <c r="U43" s="6"/>
      <c r="V43" s="41"/>
      <c r="W43" s="6"/>
      <c r="X43" s="41"/>
      <c r="Y43" s="6"/>
      <c r="Z43" s="41"/>
      <c r="AA43" s="6"/>
      <c r="AB43" s="97">
        <f t="shared" si="20"/>
        <v>0</v>
      </c>
      <c r="AC43" s="103">
        <f t="shared" si="21"/>
        <v>0</v>
      </c>
    </row>
    <row r="44" spans="1:29" x14ac:dyDescent="0.2">
      <c r="A44" s="21"/>
      <c r="B44" s="21"/>
      <c r="C44" s="20" t="s">
        <v>393</v>
      </c>
      <c r="D44" s="59">
        <v>1</v>
      </c>
      <c r="E44" s="16">
        <v>208738</v>
      </c>
      <c r="F44" s="41">
        <v>4</v>
      </c>
      <c r="G44" s="6">
        <v>439366</v>
      </c>
      <c r="H44" s="41">
        <v>2</v>
      </c>
      <c r="I44" s="6">
        <v>194299</v>
      </c>
      <c r="J44" s="41">
        <v>1</v>
      </c>
      <c r="K44" s="6">
        <v>44000</v>
      </c>
      <c r="L44" s="75">
        <v>2</v>
      </c>
      <c r="M44" s="74">
        <v>150923</v>
      </c>
      <c r="N44" s="75">
        <v>1</v>
      </c>
      <c r="O44" s="74">
        <v>102239</v>
      </c>
      <c r="P44" s="41"/>
      <c r="Q44" s="6"/>
      <c r="R44" s="41"/>
      <c r="S44" s="6"/>
      <c r="T44" s="41"/>
      <c r="U44" s="6"/>
      <c r="V44" s="75">
        <v>3</v>
      </c>
      <c r="W44" s="74">
        <v>344145</v>
      </c>
      <c r="X44" s="75">
        <v>1</v>
      </c>
      <c r="Y44" s="74">
        <v>75772</v>
      </c>
      <c r="Z44" s="41"/>
      <c r="AA44" s="6"/>
      <c r="AB44" s="97">
        <f t="shared" si="20"/>
        <v>15</v>
      </c>
      <c r="AC44" s="103">
        <f t="shared" si="21"/>
        <v>1559482</v>
      </c>
    </row>
    <row r="45" spans="1:29" x14ac:dyDescent="0.2">
      <c r="A45" s="21"/>
      <c r="B45" s="21"/>
      <c r="C45" s="20" t="s">
        <v>10</v>
      </c>
      <c r="D45" s="59"/>
      <c r="E45" s="16"/>
      <c r="F45" s="41"/>
      <c r="G45" s="6"/>
      <c r="H45" s="41"/>
      <c r="I45" s="6"/>
      <c r="J45" s="41"/>
      <c r="K45" s="6"/>
      <c r="L45" s="41"/>
      <c r="M45" s="6"/>
      <c r="N45" s="41"/>
      <c r="O45" s="6"/>
      <c r="P45" s="41"/>
      <c r="Q45" s="6"/>
      <c r="R45" s="41"/>
      <c r="S45" s="6"/>
      <c r="T45" s="41"/>
      <c r="U45" s="6"/>
      <c r="V45" s="41"/>
      <c r="W45" s="6"/>
      <c r="X45" s="41"/>
      <c r="Y45" s="6"/>
      <c r="Z45" s="41"/>
      <c r="AA45" s="6"/>
      <c r="AB45" s="97">
        <f t="shared" si="20"/>
        <v>0</v>
      </c>
      <c r="AC45" s="103">
        <f t="shared" si="21"/>
        <v>0</v>
      </c>
    </row>
    <row r="46" spans="1:29" x14ac:dyDescent="0.2">
      <c r="A46" s="21"/>
      <c r="B46" s="21"/>
      <c r="C46" s="20" t="s">
        <v>1101</v>
      </c>
      <c r="D46" s="59"/>
      <c r="E46" s="16"/>
      <c r="F46" s="41"/>
      <c r="G46" s="6"/>
      <c r="H46" s="41"/>
      <c r="I46" s="6"/>
      <c r="J46" s="41"/>
      <c r="K46" s="6"/>
      <c r="L46" s="41"/>
      <c r="M46" s="6"/>
      <c r="N46" s="75">
        <v>1</v>
      </c>
      <c r="O46" s="74">
        <v>198500</v>
      </c>
      <c r="P46" s="41"/>
      <c r="Q46" s="6"/>
      <c r="R46" s="41"/>
      <c r="S46" s="6"/>
      <c r="T46" s="41"/>
      <c r="U46" s="6"/>
      <c r="V46" s="41"/>
      <c r="W46" s="6"/>
      <c r="X46" s="41"/>
      <c r="Y46" s="6"/>
      <c r="Z46" s="41"/>
      <c r="AA46" s="6"/>
      <c r="AB46" s="97">
        <f t="shared" si="20"/>
        <v>1</v>
      </c>
      <c r="AC46" s="103">
        <f t="shared" si="21"/>
        <v>198500</v>
      </c>
    </row>
    <row r="47" spans="1:29" x14ac:dyDescent="0.2">
      <c r="A47" s="22"/>
      <c r="B47" s="22"/>
      <c r="C47" s="20" t="s">
        <v>8</v>
      </c>
      <c r="D47" s="59">
        <v>3</v>
      </c>
      <c r="E47" s="16">
        <v>184800.16</v>
      </c>
      <c r="F47" s="41"/>
      <c r="G47" s="6"/>
      <c r="H47" s="41">
        <v>2</v>
      </c>
      <c r="I47" s="6">
        <v>85250.87</v>
      </c>
      <c r="J47" s="41"/>
      <c r="K47" s="6"/>
      <c r="L47" s="41"/>
      <c r="M47" s="6"/>
      <c r="N47" s="75">
        <v>1</v>
      </c>
      <c r="O47" s="74">
        <v>69936.259999999995</v>
      </c>
      <c r="P47" s="41"/>
      <c r="Q47" s="6"/>
      <c r="R47" s="41"/>
      <c r="S47" s="6"/>
      <c r="T47" s="41"/>
      <c r="U47" s="6"/>
      <c r="V47" s="75">
        <v>2</v>
      </c>
      <c r="W47" s="74">
        <v>127271.71</v>
      </c>
      <c r="X47" s="75">
        <v>1</v>
      </c>
      <c r="Y47" s="74">
        <v>40818.53</v>
      </c>
      <c r="Z47" s="41"/>
      <c r="AA47" s="6"/>
      <c r="AB47" s="97">
        <f t="shared" si="20"/>
        <v>9</v>
      </c>
      <c r="AC47" s="103">
        <f t="shared" si="21"/>
        <v>508077.53</v>
      </c>
    </row>
    <row r="48" spans="1:29" x14ac:dyDescent="0.2">
      <c r="A48" s="23" t="s">
        <v>11</v>
      </c>
      <c r="B48" s="24"/>
      <c r="C48" s="20" t="s">
        <v>701</v>
      </c>
      <c r="D48" s="59"/>
      <c r="E48" s="16"/>
      <c r="F48" s="41"/>
      <c r="G48" s="6"/>
      <c r="H48" s="41"/>
      <c r="I48" s="6"/>
      <c r="J48" s="41"/>
      <c r="K48" s="6"/>
      <c r="L48" s="41"/>
      <c r="M48" s="6"/>
      <c r="N48" s="41"/>
      <c r="O48" s="6"/>
      <c r="P48" s="41"/>
      <c r="Q48" s="6"/>
      <c r="R48" s="41"/>
      <c r="S48" s="6"/>
      <c r="T48" s="41"/>
      <c r="U48" s="6"/>
      <c r="V48" s="41"/>
      <c r="W48" s="6"/>
      <c r="X48" s="41"/>
      <c r="Y48" s="6"/>
      <c r="Z48" s="41"/>
      <c r="AA48" s="6"/>
      <c r="AB48" s="97">
        <f t="shared" si="20"/>
        <v>0</v>
      </c>
      <c r="AC48" s="103">
        <f t="shared" si="21"/>
        <v>0</v>
      </c>
    </row>
    <row r="49" spans="1:29" x14ac:dyDescent="0.2">
      <c r="A49" s="25"/>
      <c r="B49" s="26"/>
      <c r="C49" s="20" t="s">
        <v>396</v>
      </c>
      <c r="D49" s="59"/>
      <c r="E49" s="16"/>
      <c r="F49" s="41"/>
      <c r="G49" s="6"/>
      <c r="H49" s="41"/>
      <c r="I49" s="6"/>
      <c r="J49" s="41"/>
      <c r="K49" s="6"/>
      <c r="L49" s="41"/>
      <c r="M49" s="6"/>
      <c r="N49" s="41"/>
      <c r="O49" s="6"/>
      <c r="P49" s="41"/>
      <c r="Q49" s="6"/>
      <c r="R49" s="41"/>
      <c r="S49" s="6"/>
      <c r="T49" s="41"/>
      <c r="U49" s="6"/>
      <c r="V49" s="41"/>
      <c r="W49" s="6"/>
      <c r="X49" s="41"/>
      <c r="Y49" s="6"/>
      <c r="Z49" s="41"/>
      <c r="AA49" s="6"/>
      <c r="AB49" s="97">
        <f t="shared" si="20"/>
        <v>0</v>
      </c>
      <c r="AC49" s="103">
        <f t="shared" si="21"/>
        <v>0</v>
      </c>
    </row>
    <row r="50" spans="1:29" x14ac:dyDescent="0.2">
      <c r="A50" s="27"/>
      <c r="B50" s="28"/>
      <c r="C50" s="20" t="s">
        <v>8</v>
      </c>
      <c r="D50" s="59"/>
      <c r="E50" s="16"/>
      <c r="F50" s="41"/>
      <c r="G50" s="6"/>
      <c r="H50" s="41"/>
      <c r="I50" s="6"/>
      <c r="J50" s="41"/>
      <c r="K50" s="6"/>
      <c r="L50" s="41"/>
      <c r="M50" s="6"/>
      <c r="N50" s="41"/>
      <c r="O50" s="6"/>
      <c r="P50" s="41"/>
      <c r="Q50" s="6"/>
      <c r="R50" s="41"/>
      <c r="S50" s="6"/>
      <c r="T50" s="41"/>
      <c r="U50" s="6"/>
      <c r="V50" s="41"/>
      <c r="W50" s="6"/>
      <c r="X50" s="41"/>
      <c r="Y50" s="6"/>
      <c r="Z50" s="41"/>
      <c r="AA50" s="6"/>
      <c r="AB50" s="97">
        <f t="shared" si="20"/>
        <v>0</v>
      </c>
      <c r="AC50" s="103">
        <f t="shared" si="21"/>
        <v>0</v>
      </c>
    </row>
    <row r="51" spans="1:29" x14ac:dyDescent="0.2">
      <c r="A51" s="424" t="s">
        <v>12</v>
      </c>
      <c r="B51" s="425"/>
      <c r="C51" s="426"/>
      <c r="D51" s="61">
        <f t="shared" ref="D51:I51" si="22">SUM(D38:D50)</f>
        <v>4</v>
      </c>
      <c r="E51" s="62">
        <f t="shared" si="22"/>
        <v>393538.16000000003</v>
      </c>
      <c r="F51" s="61">
        <f t="shared" si="22"/>
        <v>5</v>
      </c>
      <c r="G51" s="62">
        <f t="shared" si="22"/>
        <v>1360752</v>
      </c>
      <c r="H51" s="61">
        <f t="shared" si="22"/>
        <v>7</v>
      </c>
      <c r="I51" s="62">
        <f t="shared" si="22"/>
        <v>856383.58</v>
      </c>
      <c r="J51" s="61">
        <f t="shared" ref="J51:AA51" si="23">SUM(J38:J50)</f>
        <v>7</v>
      </c>
      <c r="K51" s="62">
        <f t="shared" si="23"/>
        <v>1179480.6099999999</v>
      </c>
      <c r="L51" s="61">
        <f t="shared" si="23"/>
        <v>4</v>
      </c>
      <c r="M51" s="62">
        <f t="shared" si="23"/>
        <v>455725.69</v>
      </c>
      <c r="N51" s="61">
        <f t="shared" si="23"/>
        <v>4</v>
      </c>
      <c r="O51" s="62">
        <f t="shared" si="23"/>
        <v>433175.26</v>
      </c>
      <c r="P51" s="61">
        <f t="shared" si="23"/>
        <v>6</v>
      </c>
      <c r="Q51" s="62">
        <f t="shared" si="23"/>
        <v>1726564</v>
      </c>
      <c r="R51" s="61">
        <f t="shared" si="23"/>
        <v>2</v>
      </c>
      <c r="S51" s="62">
        <f t="shared" si="23"/>
        <v>218400</v>
      </c>
      <c r="T51" s="61">
        <f t="shared" si="23"/>
        <v>3</v>
      </c>
      <c r="U51" s="62">
        <f t="shared" si="23"/>
        <v>842582</v>
      </c>
      <c r="V51" s="61">
        <f t="shared" si="23"/>
        <v>13</v>
      </c>
      <c r="W51" s="62">
        <f t="shared" si="23"/>
        <v>2022116.71</v>
      </c>
      <c r="X51" s="61">
        <f t="shared" si="23"/>
        <v>5</v>
      </c>
      <c r="Y51" s="62">
        <f t="shared" si="23"/>
        <v>837540.53</v>
      </c>
      <c r="Z51" s="61">
        <f t="shared" si="23"/>
        <v>5</v>
      </c>
      <c r="AA51" s="62">
        <f t="shared" si="23"/>
        <v>3077941</v>
      </c>
      <c r="AB51" s="107">
        <f t="shared" si="20"/>
        <v>65</v>
      </c>
      <c r="AC51" s="108">
        <f t="shared" si="21"/>
        <v>13404199.539999999</v>
      </c>
    </row>
    <row r="53" spans="1:29" x14ac:dyDescent="0.2">
      <c r="L53" s="76" t="s">
        <v>1099</v>
      </c>
      <c r="U53" s="1"/>
    </row>
    <row r="55" spans="1:29" x14ac:dyDescent="0.2">
      <c r="A55" s="71" t="s">
        <v>1184</v>
      </c>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row>
    <row r="56" spans="1:29" x14ac:dyDescent="0.2">
      <c r="A56" s="10"/>
      <c r="B56" s="10"/>
      <c r="C56" s="10"/>
      <c r="D56" s="421" t="s">
        <v>635</v>
      </c>
      <c r="E56" s="421"/>
      <c r="F56" s="421" t="s">
        <v>853</v>
      </c>
      <c r="G56" s="421"/>
      <c r="H56" s="421" t="s">
        <v>860</v>
      </c>
      <c r="I56" s="421"/>
      <c r="J56" s="421" t="s">
        <v>863</v>
      </c>
      <c r="K56" s="421"/>
      <c r="L56" s="427" t="s">
        <v>1220</v>
      </c>
      <c r="M56" s="427"/>
      <c r="N56" s="428" t="s">
        <v>913</v>
      </c>
      <c r="O56" s="421"/>
      <c r="P56" s="428" t="s">
        <v>953</v>
      </c>
      <c r="Q56" s="421"/>
      <c r="R56" s="421" t="s">
        <v>955</v>
      </c>
      <c r="S56" s="421"/>
      <c r="T56" s="421" t="s">
        <v>970</v>
      </c>
      <c r="U56" s="421"/>
      <c r="V56" s="421" t="s">
        <v>989</v>
      </c>
      <c r="W56" s="421"/>
      <c r="X56" s="421" t="s">
        <v>1004</v>
      </c>
      <c r="Y56" s="421"/>
      <c r="Z56" s="421" t="s">
        <v>1031</v>
      </c>
      <c r="AA56" s="421"/>
      <c r="AB56" s="422" t="s">
        <v>1302</v>
      </c>
      <c r="AC56" s="423"/>
    </row>
    <row r="57" spans="1:29" x14ac:dyDescent="0.2">
      <c r="D57" s="8" t="s">
        <v>633</v>
      </c>
      <c r="E57" s="8" t="s">
        <v>843</v>
      </c>
      <c r="F57" s="8" t="s">
        <v>633</v>
      </c>
      <c r="G57" s="8" t="s">
        <v>843</v>
      </c>
      <c r="H57" s="8" t="s">
        <v>633</v>
      </c>
      <c r="I57" s="8" t="s">
        <v>843</v>
      </c>
      <c r="J57" s="8" t="s">
        <v>633</v>
      </c>
      <c r="K57" s="8" t="s">
        <v>843</v>
      </c>
      <c r="L57" s="8" t="s">
        <v>633</v>
      </c>
      <c r="M57" s="8" t="s">
        <v>843</v>
      </c>
      <c r="N57" s="8" t="s">
        <v>633</v>
      </c>
      <c r="O57" s="8" t="s">
        <v>843</v>
      </c>
      <c r="P57" s="8" t="s">
        <v>633</v>
      </c>
      <c r="Q57" s="8" t="s">
        <v>843</v>
      </c>
      <c r="R57" s="8" t="s">
        <v>633</v>
      </c>
      <c r="S57" s="8" t="s">
        <v>843</v>
      </c>
      <c r="T57" s="8" t="s">
        <v>633</v>
      </c>
      <c r="U57" s="8" t="s">
        <v>843</v>
      </c>
      <c r="V57" s="8" t="s">
        <v>633</v>
      </c>
      <c r="W57" s="8" t="s">
        <v>843</v>
      </c>
      <c r="X57" s="8" t="s">
        <v>633</v>
      </c>
      <c r="Y57" s="8" t="s">
        <v>843</v>
      </c>
      <c r="Z57" s="8" t="s">
        <v>633</v>
      </c>
      <c r="AA57" s="8" t="s">
        <v>843</v>
      </c>
      <c r="AB57" s="94" t="s">
        <v>633</v>
      </c>
      <c r="AC57" s="94" t="s">
        <v>843</v>
      </c>
    </row>
    <row r="58" spans="1:29" x14ac:dyDescent="0.2">
      <c r="A58" s="19" t="s">
        <v>1183</v>
      </c>
      <c r="B58" s="19" t="s">
        <v>422</v>
      </c>
      <c r="C58" s="20" t="s">
        <v>701</v>
      </c>
      <c r="D58" s="59">
        <v>2</v>
      </c>
      <c r="E58" s="16">
        <v>207180</v>
      </c>
      <c r="F58" s="41">
        <v>3</v>
      </c>
      <c r="G58" s="6">
        <v>426714</v>
      </c>
      <c r="H58" s="41"/>
      <c r="I58" s="6"/>
      <c r="J58" s="41">
        <v>1</v>
      </c>
      <c r="K58" s="6">
        <v>249100</v>
      </c>
      <c r="L58" s="41"/>
      <c r="M58" s="6"/>
      <c r="N58" s="41">
        <v>1</v>
      </c>
      <c r="O58" s="6">
        <v>199000</v>
      </c>
      <c r="P58" s="41"/>
      <c r="Q58" s="6"/>
      <c r="R58" s="41"/>
      <c r="S58" s="6"/>
      <c r="T58" s="41">
        <v>6</v>
      </c>
      <c r="U58" s="6">
        <f>457350+60000</f>
        <v>517350</v>
      </c>
      <c r="V58" s="41"/>
      <c r="W58" s="6"/>
      <c r="X58" s="41">
        <v>4</v>
      </c>
      <c r="Y58" s="6">
        <v>721700</v>
      </c>
      <c r="Z58" s="41">
        <v>3</v>
      </c>
      <c r="AA58" s="6">
        <v>1306260</v>
      </c>
      <c r="AB58" s="97">
        <f t="shared" ref="AB58:AB68" si="24">SUM(D58,F58,H58,J58,L58,N58,P58,R58,T58,V58,X58,Z58)</f>
        <v>20</v>
      </c>
      <c r="AC58" s="103">
        <f t="shared" ref="AC58:AC68" si="25">SUM(E58,G58,I58,K58,M58,O58,Q58,S58,U58,W58,Y58,AA58)</f>
        <v>3627304</v>
      </c>
    </row>
    <row r="59" spans="1:29" x14ac:dyDescent="0.2">
      <c r="A59" s="21"/>
      <c r="B59" s="21"/>
      <c r="C59" s="20" t="s">
        <v>396</v>
      </c>
      <c r="D59" s="59"/>
      <c r="E59" s="16"/>
      <c r="F59" s="41"/>
      <c r="G59" s="6"/>
      <c r="H59" s="41"/>
      <c r="I59" s="6"/>
      <c r="J59" s="41"/>
      <c r="K59" s="6"/>
      <c r="L59" s="41"/>
      <c r="M59" s="6"/>
      <c r="N59" s="41">
        <v>1</v>
      </c>
      <c r="O59" s="6">
        <v>120000</v>
      </c>
      <c r="P59" s="41"/>
      <c r="Q59" s="6"/>
      <c r="R59" s="41"/>
      <c r="S59" s="6"/>
      <c r="T59" s="41"/>
      <c r="U59" s="6"/>
      <c r="V59" s="41"/>
      <c r="W59" s="6"/>
      <c r="X59" s="41">
        <v>1</v>
      </c>
      <c r="Y59" s="92">
        <v>94777.78</v>
      </c>
      <c r="Z59" s="41"/>
      <c r="AA59" s="6"/>
      <c r="AB59" s="97">
        <f t="shared" si="24"/>
        <v>2</v>
      </c>
      <c r="AC59" s="103">
        <f t="shared" si="25"/>
        <v>214777.78</v>
      </c>
    </row>
    <row r="60" spans="1:29" x14ac:dyDescent="0.2">
      <c r="A60" s="21"/>
      <c r="B60" s="22"/>
      <c r="C60" s="20" t="s">
        <v>8</v>
      </c>
      <c r="D60" s="59"/>
      <c r="E60" s="16"/>
      <c r="F60" s="41"/>
      <c r="G60" s="6"/>
      <c r="H60" s="41"/>
      <c r="I60" s="6"/>
      <c r="J60" s="41"/>
      <c r="K60" s="6"/>
      <c r="L60" s="41"/>
      <c r="M60" s="6"/>
      <c r="N60" s="41"/>
      <c r="O60" s="6"/>
      <c r="P60" s="41"/>
      <c r="Q60" s="6"/>
      <c r="R60" s="41"/>
      <c r="S60" s="6"/>
      <c r="T60" s="41"/>
      <c r="U60" s="6"/>
      <c r="V60" s="41"/>
      <c r="W60" s="6"/>
      <c r="X60" s="41"/>
      <c r="Y60" s="6"/>
      <c r="Z60" s="41"/>
      <c r="AA60" s="6"/>
      <c r="AB60" s="97">
        <f t="shared" si="24"/>
        <v>0</v>
      </c>
      <c r="AC60" s="103">
        <f t="shared" si="25"/>
        <v>0</v>
      </c>
    </row>
    <row r="61" spans="1:29" x14ac:dyDescent="0.2">
      <c r="A61" s="21"/>
      <c r="B61" s="19" t="s">
        <v>392</v>
      </c>
      <c r="C61" s="20" t="s">
        <v>701</v>
      </c>
      <c r="D61" s="59"/>
      <c r="E61" s="16"/>
      <c r="F61" s="41">
        <v>1</v>
      </c>
      <c r="G61" s="6">
        <v>198000</v>
      </c>
      <c r="H61" s="41"/>
      <c r="I61" s="6"/>
      <c r="J61" s="41"/>
      <c r="K61" s="6"/>
      <c r="L61" s="41"/>
      <c r="M61" s="6"/>
      <c r="N61" s="41"/>
      <c r="O61" s="6"/>
      <c r="P61" s="41"/>
      <c r="Q61" s="6"/>
      <c r="R61" s="41"/>
      <c r="S61" s="6"/>
      <c r="T61" s="41"/>
      <c r="U61" s="6"/>
      <c r="V61" s="41">
        <v>1</v>
      </c>
      <c r="W61" s="79">
        <v>253154</v>
      </c>
      <c r="X61" s="41"/>
      <c r="Y61" s="6"/>
      <c r="Z61" s="41"/>
      <c r="AA61" s="6"/>
      <c r="AB61" s="97">
        <f t="shared" si="24"/>
        <v>2</v>
      </c>
      <c r="AC61" s="103">
        <f t="shared" si="25"/>
        <v>451154</v>
      </c>
    </row>
    <row r="62" spans="1:29" x14ac:dyDescent="0.2">
      <c r="A62" s="21"/>
      <c r="B62" s="21"/>
      <c r="C62" s="20" t="s">
        <v>9</v>
      </c>
      <c r="D62" s="59"/>
      <c r="E62" s="16"/>
      <c r="F62" s="41">
        <v>2</v>
      </c>
      <c r="G62" s="6">
        <v>325011.57</v>
      </c>
      <c r="H62" s="41"/>
      <c r="I62" s="6"/>
      <c r="J62" s="41"/>
      <c r="K62" s="6"/>
      <c r="L62" s="41">
        <v>1</v>
      </c>
      <c r="M62" s="6">
        <v>199427</v>
      </c>
      <c r="N62" s="41">
        <v>1</v>
      </c>
      <c r="O62" s="6">
        <v>112517</v>
      </c>
      <c r="P62" s="41">
        <v>1</v>
      </c>
      <c r="Q62" s="6">
        <v>415154</v>
      </c>
      <c r="R62" s="41"/>
      <c r="S62" s="6"/>
      <c r="T62" s="41"/>
      <c r="U62" s="6"/>
      <c r="V62" s="41">
        <v>4</v>
      </c>
      <c r="W62" s="1">
        <v>996130</v>
      </c>
      <c r="X62" s="41">
        <v>1</v>
      </c>
      <c r="Y62" s="79">
        <v>248970</v>
      </c>
      <c r="Z62" s="41"/>
      <c r="AA62" s="6"/>
      <c r="AB62" s="97">
        <f t="shared" si="24"/>
        <v>10</v>
      </c>
      <c r="AC62" s="103">
        <f t="shared" si="25"/>
        <v>2297209.5700000003</v>
      </c>
    </row>
    <row r="63" spans="1:29" x14ac:dyDescent="0.2">
      <c r="A63" s="21"/>
      <c r="B63" s="21"/>
      <c r="C63" s="20" t="s">
        <v>396</v>
      </c>
      <c r="D63" s="59"/>
      <c r="E63" s="16"/>
      <c r="F63" s="41"/>
      <c r="G63" s="6"/>
      <c r="H63" s="41"/>
      <c r="I63" s="6"/>
      <c r="J63" s="41"/>
      <c r="K63" s="6"/>
      <c r="L63" s="41">
        <v>1</v>
      </c>
      <c r="M63" s="6">
        <v>86893</v>
      </c>
      <c r="N63" s="41"/>
      <c r="O63" s="6"/>
      <c r="P63" s="41"/>
      <c r="Q63" s="6"/>
      <c r="R63" s="41"/>
      <c r="S63" s="6"/>
      <c r="T63" s="41">
        <v>1</v>
      </c>
      <c r="U63" s="79">
        <v>96203</v>
      </c>
      <c r="V63" s="41"/>
      <c r="W63" s="6"/>
      <c r="X63" s="41">
        <v>1</v>
      </c>
      <c r="Y63" s="6">
        <v>90000</v>
      </c>
      <c r="Z63" s="41"/>
      <c r="AA63" s="6"/>
      <c r="AB63" s="97">
        <f t="shared" si="24"/>
        <v>3</v>
      </c>
      <c r="AC63" s="103">
        <f t="shared" si="25"/>
        <v>273096</v>
      </c>
    </row>
    <row r="64" spans="1:29" x14ac:dyDescent="0.2">
      <c r="A64" s="21"/>
      <c r="B64" s="21"/>
      <c r="C64" s="20" t="s">
        <v>393</v>
      </c>
      <c r="D64" s="59"/>
      <c r="E64" s="16"/>
      <c r="F64" s="41"/>
      <c r="G64" s="6"/>
      <c r="H64" s="41"/>
      <c r="I64" s="6"/>
      <c r="J64" s="41">
        <v>4</v>
      </c>
      <c r="K64" s="6">
        <v>366989.99</v>
      </c>
      <c r="L64" s="41">
        <v>2</v>
      </c>
      <c r="M64" s="6">
        <v>187334</v>
      </c>
      <c r="N64" s="41"/>
      <c r="O64" s="6"/>
      <c r="P64" s="41">
        <v>1</v>
      </c>
      <c r="Q64" s="6">
        <v>139724</v>
      </c>
      <c r="R64" s="41">
        <v>2</v>
      </c>
      <c r="S64" s="6">
        <v>1088970.32</v>
      </c>
      <c r="T64" s="41">
        <v>1</v>
      </c>
      <c r="U64" s="6">
        <v>100237.5</v>
      </c>
      <c r="V64" s="41"/>
      <c r="W64" s="6"/>
      <c r="X64" s="41">
        <v>2</v>
      </c>
      <c r="Y64" s="92">
        <v>183300</v>
      </c>
      <c r="Z64" s="41"/>
      <c r="AA64" s="6"/>
      <c r="AB64" s="97">
        <f t="shared" si="24"/>
        <v>12</v>
      </c>
      <c r="AC64" s="103">
        <f t="shared" si="25"/>
        <v>2066555.81</v>
      </c>
    </row>
    <row r="65" spans="1:33" x14ac:dyDescent="0.2">
      <c r="A65" s="21"/>
      <c r="B65" s="21"/>
      <c r="C65" s="20" t="s">
        <v>10</v>
      </c>
      <c r="D65" s="59"/>
      <c r="E65" s="16"/>
      <c r="F65" s="41"/>
      <c r="G65" s="6"/>
      <c r="H65" s="41"/>
      <c r="I65" s="6"/>
      <c r="J65" s="41"/>
      <c r="K65" s="6"/>
      <c r="L65" s="41"/>
      <c r="M65" s="6"/>
      <c r="N65" s="41"/>
      <c r="O65" s="6"/>
      <c r="P65" s="41"/>
      <c r="Q65" s="6"/>
      <c r="R65" s="41"/>
      <c r="S65" s="6"/>
      <c r="T65" s="41"/>
      <c r="U65" s="6"/>
      <c r="V65" s="41">
        <v>1</v>
      </c>
      <c r="W65" s="6">
        <v>1027080.45</v>
      </c>
      <c r="X65" s="41"/>
      <c r="Y65" s="6"/>
      <c r="Z65" s="41"/>
      <c r="AA65" s="6"/>
      <c r="AB65" s="97">
        <f t="shared" si="24"/>
        <v>1</v>
      </c>
      <c r="AC65" s="103">
        <f t="shared" si="25"/>
        <v>1027080.45</v>
      </c>
    </row>
    <row r="66" spans="1:33" x14ac:dyDescent="0.2">
      <c r="A66" s="21"/>
      <c r="B66" s="21"/>
      <c r="C66" s="20" t="s">
        <v>1101</v>
      </c>
      <c r="D66" s="59"/>
      <c r="E66" s="16"/>
      <c r="F66" s="41"/>
      <c r="G66" s="6"/>
      <c r="H66" s="41"/>
      <c r="I66" s="6"/>
      <c r="J66" s="41"/>
      <c r="K66" s="6"/>
      <c r="L66" s="41"/>
      <c r="M66" s="6"/>
      <c r="N66" s="41"/>
      <c r="O66" s="6"/>
      <c r="P66" s="41"/>
      <c r="Q66" s="6"/>
      <c r="R66" s="41"/>
      <c r="S66" s="6"/>
      <c r="T66" s="41"/>
      <c r="U66" s="6"/>
      <c r="V66" s="41"/>
      <c r="W66" s="6"/>
      <c r="X66" s="41"/>
      <c r="Y66" s="6"/>
      <c r="Z66" s="41"/>
      <c r="AA66" s="6"/>
      <c r="AB66" s="97">
        <f t="shared" si="24"/>
        <v>0</v>
      </c>
      <c r="AC66" s="103">
        <f t="shared" si="25"/>
        <v>0</v>
      </c>
    </row>
    <row r="67" spans="1:33" x14ac:dyDescent="0.2">
      <c r="A67" s="22"/>
      <c r="B67" s="22"/>
      <c r="C67" s="20" t="s">
        <v>8</v>
      </c>
      <c r="D67" s="59"/>
      <c r="E67" s="16"/>
      <c r="F67" s="41"/>
      <c r="G67" s="6"/>
      <c r="H67" s="41"/>
      <c r="I67" s="6"/>
      <c r="J67" s="41"/>
      <c r="K67" s="6"/>
      <c r="L67" s="41">
        <v>1</v>
      </c>
      <c r="M67" s="6">
        <v>54904.14</v>
      </c>
      <c r="N67" s="41"/>
      <c r="O67" s="6"/>
      <c r="P67" s="41">
        <v>1</v>
      </c>
      <c r="Q67" s="6">
        <v>67494.2</v>
      </c>
      <c r="R67" s="41"/>
      <c r="S67" s="6"/>
      <c r="T67" s="41">
        <v>1</v>
      </c>
      <c r="U67" s="6">
        <v>101107.96</v>
      </c>
      <c r="V67" s="41">
        <v>1</v>
      </c>
      <c r="W67" s="6">
        <v>57637.41</v>
      </c>
      <c r="X67" s="41">
        <v>1</v>
      </c>
      <c r="Y67" s="99">
        <v>39079.879999999997</v>
      </c>
      <c r="Z67" s="41"/>
      <c r="AA67" s="6"/>
      <c r="AB67" s="97">
        <f t="shared" si="24"/>
        <v>5</v>
      </c>
      <c r="AC67" s="103">
        <f t="shared" si="25"/>
        <v>320223.58999999997</v>
      </c>
    </row>
    <row r="68" spans="1:33" x14ac:dyDescent="0.2">
      <c r="A68" s="424" t="s">
        <v>12</v>
      </c>
      <c r="B68" s="425"/>
      <c r="C68" s="426"/>
      <c r="D68" s="61">
        <f t="shared" ref="D68:AA68" si="26">SUM(D58:D67)</f>
        <v>2</v>
      </c>
      <c r="E68" s="62">
        <f t="shared" si="26"/>
        <v>207180</v>
      </c>
      <c r="F68" s="61">
        <f t="shared" si="26"/>
        <v>6</v>
      </c>
      <c r="G68" s="62">
        <f t="shared" si="26"/>
        <v>949725.57000000007</v>
      </c>
      <c r="H68" s="61">
        <f t="shared" si="26"/>
        <v>0</v>
      </c>
      <c r="I68" s="62">
        <f t="shared" si="26"/>
        <v>0</v>
      </c>
      <c r="J68" s="61">
        <f t="shared" si="26"/>
        <v>5</v>
      </c>
      <c r="K68" s="62">
        <f t="shared" si="26"/>
        <v>616089.99</v>
      </c>
      <c r="L68" s="61">
        <f t="shared" si="26"/>
        <v>5</v>
      </c>
      <c r="M68" s="62">
        <f t="shared" si="26"/>
        <v>528558.14</v>
      </c>
      <c r="N68" s="61">
        <f t="shared" si="26"/>
        <v>3</v>
      </c>
      <c r="O68" s="62">
        <f t="shared" si="26"/>
        <v>431517</v>
      </c>
      <c r="P68" s="61">
        <f t="shared" si="26"/>
        <v>3</v>
      </c>
      <c r="Q68" s="62">
        <f t="shared" si="26"/>
        <v>622372.19999999995</v>
      </c>
      <c r="R68" s="61">
        <f t="shared" si="26"/>
        <v>2</v>
      </c>
      <c r="S68" s="62">
        <f t="shared" si="26"/>
        <v>1088970.32</v>
      </c>
      <c r="T68" s="61">
        <f t="shared" si="26"/>
        <v>9</v>
      </c>
      <c r="U68" s="62">
        <f t="shared" si="26"/>
        <v>814898.46</v>
      </c>
      <c r="V68" s="61">
        <f t="shared" si="26"/>
        <v>7</v>
      </c>
      <c r="W68" s="62">
        <f t="shared" si="26"/>
        <v>2334001.8600000003</v>
      </c>
      <c r="X68" s="61">
        <f t="shared" si="26"/>
        <v>10</v>
      </c>
      <c r="Y68" s="62">
        <f t="shared" si="26"/>
        <v>1377827.66</v>
      </c>
      <c r="Z68" s="61">
        <f t="shared" si="26"/>
        <v>3</v>
      </c>
      <c r="AA68" s="62">
        <f t="shared" si="26"/>
        <v>1306260</v>
      </c>
      <c r="AB68" s="107">
        <f t="shared" si="24"/>
        <v>55</v>
      </c>
      <c r="AC68" s="108">
        <f t="shared" si="25"/>
        <v>10277401.200000001</v>
      </c>
      <c r="AE68" s="1"/>
      <c r="AG68" s="1"/>
    </row>
    <row r="70" spans="1:33" x14ac:dyDescent="0.2">
      <c r="Q70" s="1"/>
    </row>
    <row r="72" spans="1:33" x14ac:dyDescent="0.2">
      <c r="A72" s="71" t="s">
        <v>1299</v>
      </c>
      <c r="B72" s="71"/>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row>
    <row r="73" spans="1:33" x14ac:dyDescent="0.2">
      <c r="A73" s="10"/>
      <c r="B73" s="10"/>
      <c r="C73" s="10"/>
      <c r="D73" s="421" t="s">
        <v>635</v>
      </c>
      <c r="E73" s="421"/>
      <c r="F73" s="421" t="s">
        <v>853</v>
      </c>
      <c r="G73" s="421"/>
      <c r="H73" s="421" t="s">
        <v>860</v>
      </c>
      <c r="I73" s="421"/>
      <c r="J73" s="421" t="s">
        <v>863</v>
      </c>
      <c r="K73" s="421"/>
      <c r="L73" s="427" t="s">
        <v>1220</v>
      </c>
      <c r="M73" s="427"/>
      <c r="N73" s="428" t="s">
        <v>913</v>
      </c>
      <c r="O73" s="421"/>
      <c r="P73" s="428" t="s">
        <v>953</v>
      </c>
      <c r="Q73" s="421"/>
      <c r="R73" s="421" t="s">
        <v>955</v>
      </c>
      <c r="S73" s="421"/>
      <c r="T73" s="421" t="s">
        <v>970</v>
      </c>
      <c r="U73" s="421"/>
      <c r="V73" s="421" t="s">
        <v>989</v>
      </c>
      <c r="W73" s="421"/>
      <c r="X73" s="421" t="s">
        <v>1004</v>
      </c>
      <c r="Y73" s="421"/>
      <c r="Z73" s="421" t="s">
        <v>1031</v>
      </c>
      <c r="AA73" s="421"/>
      <c r="AB73" s="422" t="s">
        <v>1302</v>
      </c>
      <c r="AC73" s="423"/>
    </row>
    <row r="74" spans="1:33" ht="12.75" customHeight="1" x14ac:dyDescent="0.2">
      <c r="D74" s="8" t="s">
        <v>633</v>
      </c>
      <c r="E74" s="8" t="s">
        <v>843</v>
      </c>
      <c r="F74" s="8" t="s">
        <v>633</v>
      </c>
      <c r="G74" s="8" t="s">
        <v>843</v>
      </c>
      <c r="H74" s="8" t="s">
        <v>633</v>
      </c>
      <c r="I74" s="8" t="s">
        <v>843</v>
      </c>
      <c r="J74" s="8" t="s">
        <v>633</v>
      </c>
      <c r="K74" s="8" t="s">
        <v>843</v>
      </c>
      <c r="L74" s="8" t="s">
        <v>633</v>
      </c>
      <c r="M74" s="8" t="s">
        <v>843</v>
      </c>
      <c r="N74" s="8" t="s">
        <v>633</v>
      </c>
      <c r="O74" s="8" t="s">
        <v>843</v>
      </c>
      <c r="P74" s="8" t="s">
        <v>633</v>
      </c>
      <c r="Q74" s="8" t="s">
        <v>843</v>
      </c>
      <c r="R74" s="8" t="s">
        <v>633</v>
      </c>
      <c r="S74" s="8" t="s">
        <v>843</v>
      </c>
      <c r="T74" s="8" t="s">
        <v>633</v>
      </c>
      <c r="U74" s="8" t="s">
        <v>843</v>
      </c>
      <c r="V74" s="8" t="s">
        <v>633</v>
      </c>
      <c r="W74" s="8" t="s">
        <v>843</v>
      </c>
      <c r="X74" s="8" t="s">
        <v>633</v>
      </c>
      <c r="Y74" s="8" t="s">
        <v>843</v>
      </c>
      <c r="Z74" s="8" t="s">
        <v>633</v>
      </c>
      <c r="AA74" s="8" t="s">
        <v>843</v>
      </c>
      <c r="AB74" s="94" t="s">
        <v>633</v>
      </c>
      <c r="AC74" s="94" t="s">
        <v>843</v>
      </c>
    </row>
    <row r="75" spans="1:33" x14ac:dyDescent="0.2">
      <c r="A75" s="19" t="s">
        <v>1183</v>
      </c>
      <c r="B75" s="19" t="s">
        <v>422</v>
      </c>
      <c r="C75" s="20" t="s">
        <v>701</v>
      </c>
      <c r="D75" s="59">
        <v>1</v>
      </c>
      <c r="E75" s="16">
        <v>73600</v>
      </c>
      <c r="F75" s="41">
        <v>3</v>
      </c>
      <c r="G75" s="6">
        <f>SUM(175000+60614+182064)</f>
        <v>417678</v>
      </c>
      <c r="H75" s="41"/>
      <c r="I75" s="6"/>
      <c r="J75" s="41"/>
      <c r="K75" s="6"/>
      <c r="L75" s="41">
        <v>3</v>
      </c>
      <c r="M75" s="6">
        <f>SUM(62140+62250+88806.61)</f>
        <v>213196.61</v>
      </c>
      <c r="N75" s="41"/>
      <c r="O75" s="6"/>
      <c r="P75" s="41"/>
      <c r="Q75" s="6"/>
      <c r="R75" s="41">
        <v>2</v>
      </c>
      <c r="S75" s="6">
        <f>(96700+97450)</f>
        <v>194150</v>
      </c>
      <c r="T75" s="41">
        <v>3</v>
      </c>
      <c r="U75" s="6">
        <f>(187000+311500+294500)</f>
        <v>793000</v>
      </c>
      <c r="V75" s="41"/>
      <c r="W75" s="6"/>
      <c r="X75" s="41">
        <v>2</v>
      </c>
      <c r="Y75" s="6">
        <f>175670+58500</f>
        <v>234170</v>
      </c>
      <c r="Z75" s="41">
        <v>1</v>
      </c>
      <c r="AA75" s="6">
        <v>49000</v>
      </c>
      <c r="AB75" s="104">
        <f>SUM(D75,F75,H75,J75,L75,N75,P75,R75,T75,V75,X75,Z75)</f>
        <v>15</v>
      </c>
      <c r="AC75" s="103">
        <f t="shared" ref="AC75:AC83" si="27">SUM(E75,G75,I75,K75,M75,O75,Q75,S75,U75,W75,Y75,AA75)</f>
        <v>1974794.6099999999</v>
      </c>
    </row>
    <row r="76" spans="1:33" x14ac:dyDescent="0.2">
      <c r="A76" s="21"/>
      <c r="B76" s="21"/>
      <c r="C76" s="20" t="s">
        <v>396</v>
      </c>
      <c r="D76" s="59"/>
      <c r="E76" s="16"/>
      <c r="F76" s="41">
        <v>1</v>
      </c>
      <c r="G76" s="6">
        <v>92933.33</v>
      </c>
      <c r="H76" s="41">
        <v>1</v>
      </c>
      <c r="I76" s="6">
        <v>85840</v>
      </c>
      <c r="J76" s="41"/>
      <c r="K76" s="6"/>
      <c r="L76" s="41">
        <v>3</v>
      </c>
      <c r="M76" s="6">
        <f>SUM(252000+1339316.67+76833.33)</f>
        <v>1668150</v>
      </c>
      <c r="N76" s="41"/>
      <c r="O76" s="6"/>
      <c r="P76" s="41">
        <v>1</v>
      </c>
      <c r="Q76" s="6">
        <v>140800</v>
      </c>
      <c r="R76" s="41">
        <v>1</v>
      </c>
      <c r="S76" s="6">
        <v>66300</v>
      </c>
      <c r="T76" s="41">
        <v>1</v>
      </c>
      <c r="U76" s="122">
        <v>112866.67</v>
      </c>
      <c r="V76" s="41">
        <v>1</v>
      </c>
      <c r="W76" s="6">
        <v>119361.11</v>
      </c>
      <c r="X76" s="41"/>
      <c r="Y76" s="92"/>
      <c r="Z76" s="41"/>
      <c r="AA76" s="6"/>
      <c r="AB76" s="97">
        <f t="shared" ref="AB76:AB83" si="28">SUM(D76,F76,H76,J76,L76,N76,P76,R76,T76,V76,X76,Z76)</f>
        <v>9</v>
      </c>
      <c r="AC76" s="103">
        <f t="shared" si="27"/>
        <v>2286251.11</v>
      </c>
    </row>
    <row r="77" spans="1:33" x14ac:dyDescent="0.2">
      <c r="A77" s="21"/>
      <c r="B77" s="22"/>
      <c r="C77" s="20" t="s">
        <v>8</v>
      </c>
      <c r="D77" s="59"/>
      <c r="E77" s="16"/>
      <c r="F77" s="41"/>
      <c r="G77" s="6"/>
      <c r="H77" s="41"/>
      <c r="I77" s="6"/>
      <c r="J77" s="41"/>
      <c r="K77" s="6"/>
      <c r="L77" s="41">
        <v>1</v>
      </c>
      <c r="M77" s="6">
        <v>116007.11</v>
      </c>
      <c r="N77" s="41">
        <v>2</v>
      </c>
      <c r="O77" s="6">
        <f>SUM(Total!I663:I664)</f>
        <v>214231.75</v>
      </c>
      <c r="P77" s="41"/>
      <c r="Q77" s="6"/>
      <c r="R77" s="41"/>
      <c r="S77" s="6"/>
      <c r="T77" s="41"/>
      <c r="U77" s="6"/>
      <c r="V77" s="41"/>
      <c r="W77" s="6"/>
      <c r="X77" s="41"/>
      <c r="Y77" s="6"/>
      <c r="Z77" s="41"/>
      <c r="AA77" s="6"/>
      <c r="AB77" s="97">
        <f t="shared" si="28"/>
        <v>3</v>
      </c>
      <c r="AC77" s="103">
        <f t="shared" si="27"/>
        <v>330238.86</v>
      </c>
    </row>
    <row r="78" spans="1:33" x14ac:dyDescent="0.2">
      <c r="A78" s="21"/>
      <c r="B78" s="19" t="s">
        <v>392</v>
      </c>
      <c r="C78" s="20" t="s">
        <v>701</v>
      </c>
      <c r="D78" s="59">
        <v>1</v>
      </c>
      <c r="E78" s="103">
        <v>52800</v>
      </c>
      <c r="F78" s="41">
        <v>1</v>
      </c>
      <c r="G78" s="6">
        <v>206000</v>
      </c>
      <c r="H78" s="41">
        <v>1</v>
      </c>
      <c r="I78" s="6">
        <v>120000</v>
      </c>
      <c r="J78" s="41"/>
      <c r="K78" s="6"/>
      <c r="L78" s="41"/>
      <c r="M78" s="6"/>
      <c r="N78" s="41"/>
      <c r="O78" s="6"/>
      <c r="P78" s="41"/>
      <c r="Q78" s="6"/>
      <c r="R78" s="41">
        <v>1</v>
      </c>
      <c r="S78" s="6">
        <v>96800</v>
      </c>
      <c r="T78" s="41">
        <v>1</v>
      </c>
      <c r="U78" s="6">
        <v>110000</v>
      </c>
      <c r="V78" s="41"/>
      <c r="W78" s="79"/>
      <c r="X78" s="41"/>
      <c r="Y78" s="6"/>
      <c r="Z78" s="41"/>
      <c r="AA78" s="6"/>
      <c r="AB78" s="97">
        <f t="shared" si="28"/>
        <v>5</v>
      </c>
      <c r="AC78" s="103">
        <f t="shared" si="27"/>
        <v>585600</v>
      </c>
    </row>
    <row r="79" spans="1:33" x14ac:dyDescent="0.2">
      <c r="A79" s="21"/>
      <c r="B79" s="21"/>
      <c r="C79" s="20" t="s">
        <v>9</v>
      </c>
      <c r="D79" s="59">
        <v>1</v>
      </c>
      <c r="E79" s="16">
        <v>102991.43</v>
      </c>
      <c r="F79" s="41">
        <v>2</v>
      </c>
      <c r="G79" s="6">
        <f>SUM(104134,155333)</f>
        <v>259467</v>
      </c>
      <c r="H79" s="41">
        <v>6</v>
      </c>
      <c r="I79" s="1">
        <v>1334478.25</v>
      </c>
      <c r="J79" s="41"/>
      <c r="K79" s="6"/>
      <c r="L79" s="41">
        <v>1</v>
      </c>
      <c r="M79" s="6">
        <v>87168</v>
      </c>
      <c r="N79" s="41">
        <v>1</v>
      </c>
      <c r="O79" s="6">
        <v>242255.7</v>
      </c>
      <c r="P79" s="41"/>
      <c r="Q79" s="6"/>
      <c r="R79" s="41"/>
      <c r="S79" s="6"/>
      <c r="T79" s="41">
        <v>4</v>
      </c>
      <c r="U79" s="6">
        <f>(410216+378240+343653+426077)</f>
        <v>1558186</v>
      </c>
      <c r="V79" s="41">
        <v>3</v>
      </c>
      <c r="W79" s="130">
        <f>185324+80883+724557</f>
        <v>990764</v>
      </c>
      <c r="X79" s="41"/>
      <c r="Y79" s="79"/>
      <c r="Z79" s="41">
        <v>2</v>
      </c>
      <c r="AA79" s="6">
        <f>856966+180881.94</f>
        <v>1037847.94</v>
      </c>
      <c r="AB79" s="97">
        <f t="shared" si="28"/>
        <v>20</v>
      </c>
      <c r="AC79" s="103">
        <f t="shared" si="27"/>
        <v>5613158.3200000003</v>
      </c>
    </row>
    <row r="80" spans="1:33" x14ac:dyDescent="0.2">
      <c r="A80" s="21"/>
      <c r="B80" s="21"/>
      <c r="C80" s="20" t="s">
        <v>396</v>
      </c>
      <c r="D80" s="59"/>
      <c r="E80" s="16"/>
      <c r="F80" s="41"/>
      <c r="G80" s="6"/>
      <c r="H80" s="41"/>
      <c r="I80" s="6"/>
      <c r="J80" s="41">
        <v>1</v>
      </c>
      <c r="K80" s="6">
        <v>76636.36</v>
      </c>
      <c r="L80" s="41"/>
      <c r="M80" s="6"/>
      <c r="N80" s="41"/>
      <c r="O80" s="6"/>
      <c r="P80" s="41"/>
      <c r="Q80" s="6"/>
      <c r="R80" s="41"/>
      <c r="S80" s="6"/>
      <c r="T80" s="41"/>
      <c r="U80" s="79"/>
      <c r="V80" s="41">
        <v>2</v>
      </c>
      <c r="W80" s="6">
        <f>75492.13+74750</f>
        <v>150242.13</v>
      </c>
      <c r="X80" s="41">
        <v>2</v>
      </c>
      <c r="Y80" s="6">
        <f>77115+284059</f>
        <v>361174</v>
      </c>
      <c r="Z80" s="41">
        <v>2</v>
      </c>
      <c r="AA80" s="6">
        <f>108504+203696</f>
        <v>312200</v>
      </c>
      <c r="AB80" s="97">
        <f t="shared" si="28"/>
        <v>7</v>
      </c>
      <c r="AC80" s="103">
        <f t="shared" si="27"/>
        <v>900252.49</v>
      </c>
    </row>
    <row r="81" spans="1:29" x14ac:dyDescent="0.2">
      <c r="A81" s="21"/>
      <c r="B81" s="21"/>
      <c r="C81" s="20" t="s">
        <v>393</v>
      </c>
      <c r="D81" s="59"/>
      <c r="E81" s="16"/>
      <c r="F81" s="41">
        <v>1</v>
      </c>
      <c r="G81" s="6">
        <v>134183</v>
      </c>
      <c r="H81" s="41">
        <v>1</v>
      </c>
      <c r="I81" s="113">
        <v>117480</v>
      </c>
      <c r="J81" s="41">
        <v>2</v>
      </c>
      <c r="K81" s="6">
        <f>SUM(111550+81164.88)</f>
        <v>192714.88</v>
      </c>
      <c r="L81" s="41">
        <v>1</v>
      </c>
      <c r="M81" s="113">
        <v>197826.5</v>
      </c>
      <c r="N81" s="41">
        <v>1</v>
      </c>
      <c r="O81" s="6">
        <v>93464</v>
      </c>
      <c r="P81" s="41"/>
      <c r="Q81" s="6"/>
      <c r="R81" s="41"/>
      <c r="S81" s="6"/>
      <c r="T81" s="41">
        <v>1</v>
      </c>
      <c r="U81" s="6">
        <v>175230</v>
      </c>
      <c r="V81" s="41">
        <v>4</v>
      </c>
      <c r="W81" s="6">
        <f>80038.81+102235+81776+74865</f>
        <v>338914.81</v>
      </c>
      <c r="X81" s="41">
        <v>2</v>
      </c>
      <c r="Y81" s="92">
        <f>77434.19+191408</f>
        <v>268842.19</v>
      </c>
      <c r="Z81" s="41">
        <v>1</v>
      </c>
      <c r="AA81" s="6">
        <v>85279</v>
      </c>
      <c r="AB81" s="97">
        <f t="shared" si="28"/>
        <v>14</v>
      </c>
      <c r="AC81" s="103">
        <f t="shared" si="27"/>
        <v>1603934.38</v>
      </c>
    </row>
    <row r="82" spans="1:29" x14ac:dyDescent="0.2">
      <c r="A82" s="21"/>
      <c r="B82" s="21"/>
      <c r="C82" s="20" t="s">
        <v>10</v>
      </c>
      <c r="D82" s="59"/>
      <c r="E82" s="16"/>
      <c r="F82" s="41"/>
      <c r="G82" s="6"/>
      <c r="H82" s="41"/>
      <c r="I82" s="6"/>
      <c r="J82" s="41"/>
      <c r="K82" s="6"/>
      <c r="L82" s="41"/>
      <c r="M82" s="6"/>
      <c r="N82" s="41"/>
      <c r="O82" s="6"/>
      <c r="P82" s="41"/>
      <c r="Q82" s="6"/>
      <c r="R82" s="41"/>
      <c r="S82" s="6"/>
      <c r="T82" s="41"/>
      <c r="U82" s="6"/>
      <c r="V82" s="41"/>
      <c r="W82" s="6"/>
      <c r="X82" s="41"/>
      <c r="Y82" s="6"/>
      <c r="Z82" s="41"/>
      <c r="AA82" s="6"/>
      <c r="AB82" s="97">
        <f t="shared" si="28"/>
        <v>0</v>
      </c>
      <c r="AC82" s="103">
        <f t="shared" si="27"/>
        <v>0</v>
      </c>
    </row>
    <row r="83" spans="1:29" x14ac:dyDescent="0.2">
      <c r="A83" s="21"/>
      <c r="B83" s="21"/>
      <c r="C83" s="20" t="s">
        <v>1101</v>
      </c>
      <c r="D83" s="59"/>
      <c r="E83" s="16"/>
      <c r="F83" s="41"/>
      <c r="G83" s="6"/>
      <c r="H83" s="41"/>
      <c r="I83" s="6"/>
      <c r="J83" s="41"/>
      <c r="K83" s="6"/>
      <c r="L83" s="41"/>
      <c r="M83" s="6"/>
      <c r="N83" s="41"/>
      <c r="O83" s="6"/>
      <c r="P83" s="41"/>
      <c r="Q83" s="6"/>
      <c r="R83" s="41"/>
      <c r="S83" s="6"/>
      <c r="T83" s="41"/>
      <c r="U83" s="6"/>
      <c r="V83" s="41"/>
      <c r="W83" s="6"/>
      <c r="X83" s="41"/>
      <c r="Y83" s="6"/>
      <c r="Z83" s="41"/>
      <c r="AA83" s="6"/>
      <c r="AB83" s="97">
        <f t="shared" si="28"/>
        <v>0</v>
      </c>
      <c r="AC83" s="103">
        <f t="shared" si="27"/>
        <v>0</v>
      </c>
    </row>
    <row r="84" spans="1:29" x14ac:dyDescent="0.2">
      <c r="A84" s="21"/>
      <c r="B84" s="21"/>
      <c r="C84" s="20" t="s">
        <v>8</v>
      </c>
      <c r="D84" s="59"/>
      <c r="E84" s="16"/>
      <c r="F84" s="41"/>
      <c r="G84" s="6"/>
      <c r="H84" s="41"/>
      <c r="I84" s="6"/>
      <c r="J84" s="41">
        <v>1</v>
      </c>
      <c r="K84" s="6">
        <v>73505.53</v>
      </c>
      <c r="L84" s="41"/>
      <c r="M84" s="6"/>
      <c r="N84" s="41"/>
      <c r="O84" s="6"/>
      <c r="P84" s="41"/>
      <c r="Q84" s="6"/>
      <c r="R84" s="41"/>
      <c r="S84" s="6"/>
      <c r="T84" s="41"/>
      <c r="U84" s="6"/>
      <c r="V84" s="41">
        <v>2</v>
      </c>
      <c r="W84" s="6">
        <f>51127.47+54806.5</f>
        <v>105933.97</v>
      </c>
      <c r="X84" s="41">
        <v>3</v>
      </c>
      <c r="Y84" s="99">
        <f>45590.58+50665.45+60371.66</f>
        <v>156627.69</v>
      </c>
      <c r="Z84" s="41">
        <v>1</v>
      </c>
      <c r="AA84" s="6">
        <v>67260.11</v>
      </c>
      <c r="AB84" s="97">
        <f t="shared" ref="AB84:AC86" si="29">SUM(D84,F84,H84,J84,L84,N84,P84,R84,T84,V84,X84,Z84)</f>
        <v>7</v>
      </c>
      <c r="AC84" s="103">
        <f t="shared" si="29"/>
        <v>403327.3</v>
      </c>
    </row>
    <row r="85" spans="1:29" x14ac:dyDescent="0.2">
      <c r="A85" s="22"/>
      <c r="B85" s="22"/>
      <c r="C85" s="21" t="s">
        <v>1426</v>
      </c>
      <c r="D85" s="119"/>
      <c r="E85" s="119"/>
      <c r="F85" s="119"/>
      <c r="G85" s="119"/>
      <c r="H85" s="119"/>
      <c r="I85" s="119"/>
      <c r="J85" s="119">
        <v>1</v>
      </c>
      <c r="K85" s="121">
        <v>934306.23</v>
      </c>
      <c r="L85" s="119"/>
      <c r="M85" s="119"/>
      <c r="N85" s="119"/>
      <c r="O85" s="119"/>
      <c r="P85" s="119"/>
      <c r="Q85" s="119"/>
      <c r="R85" s="119"/>
      <c r="S85" s="119"/>
      <c r="T85" s="119">
        <v>1</v>
      </c>
      <c r="U85" s="6">
        <v>1352200</v>
      </c>
      <c r="V85" s="119">
        <v>1</v>
      </c>
      <c r="W85" s="121">
        <v>775500</v>
      </c>
      <c r="X85" s="119"/>
      <c r="Y85" s="119"/>
      <c r="Z85" s="119"/>
      <c r="AA85" s="119"/>
      <c r="AB85" s="97">
        <f t="shared" si="29"/>
        <v>3</v>
      </c>
      <c r="AC85" s="103">
        <f t="shared" si="29"/>
        <v>3062006.23</v>
      </c>
    </row>
    <row r="86" spans="1:29" x14ac:dyDescent="0.2">
      <c r="A86" s="424" t="s">
        <v>12</v>
      </c>
      <c r="B86" s="425"/>
      <c r="C86" s="426"/>
      <c r="D86" s="131">
        <f t="shared" ref="D86:AA86" si="30">SUM(D75:D85)</f>
        <v>3</v>
      </c>
      <c r="E86" s="62">
        <f t="shared" si="30"/>
        <v>229391.43</v>
      </c>
      <c r="F86" s="61">
        <f t="shared" si="30"/>
        <v>8</v>
      </c>
      <c r="G86" s="62">
        <f t="shared" si="30"/>
        <v>1110261.33</v>
      </c>
      <c r="H86" s="61">
        <f t="shared" si="30"/>
        <v>9</v>
      </c>
      <c r="I86" s="62">
        <f t="shared" si="30"/>
        <v>1657798.25</v>
      </c>
      <c r="J86" s="61">
        <f t="shared" si="30"/>
        <v>5</v>
      </c>
      <c r="K86" s="62">
        <f t="shared" si="30"/>
        <v>1277163</v>
      </c>
      <c r="L86" s="61">
        <f t="shared" si="30"/>
        <v>9</v>
      </c>
      <c r="M86" s="62">
        <f t="shared" si="30"/>
        <v>2282348.2199999997</v>
      </c>
      <c r="N86" s="61">
        <f t="shared" si="30"/>
        <v>4</v>
      </c>
      <c r="O86" s="62">
        <f t="shared" si="30"/>
        <v>549951.44999999995</v>
      </c>
      <c r="P86" s="61">
        <f t="shared" si="30"/>
        <v>1</v>
      </c>
      <c r="Q86" s="62">
        <f t="shared" si="30"/>
        <v>140800</v>
      </c>
      <c r="R86" s="61">
        <f t="shared" si="30"/>
        <v>4</v>
      </c>
      <c r="S86" s="62">
        <f t="shared" si="30"/>
        <v>357250</v>
      </c>
      <c r="T86" s="61">
        <f t="shared" si="30"/>
        <v>11</v>
      </c>
      <c r="U86" s="62">
        <f t="shared" si="30"/>
        <v>4101482.67</v>
      </c>
      <c r="V86" s="61">
        <f t="shared" si="30"/>
        <v>13</v>
      </c>
      <c r="W86" s="62">
        <f t="shared" si="30"/>
        <v>2480716.0200000005</v>
      </c>
      <c r="X86" s="61">
        <f t="shared" si="30"/>
        <v>9</v>
      </c>
      <c r="Y86" s="62">
        <f t="shared" si="30"/>
        <v>1020813.8799999999</v>
      </c>
      <c r="Z86" s="61">
        <f t="shared" si="30"/>
        <v>7</v>
      </c>
      <c r="AA86" s="62">
        <f t="shared" si="30"/>
        <v>1551587.05</v>
      </c>
      <c r="AB86" s="107">
        <f t="shared" si="29"/>
        <v>83</v>
      </c>
      <c r="AC86" s="108">
        <f t="shared" si="29"/>
        <v>16759563.300000001</v>
      </c>
    </row>
    <row r="90" spans="1:29" x14ac:dyDescent="0.2">
      <c r="A90" s="71" t="s">
        <v>1472</v>
      </c>
      <c r="B90" s="71"/>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row>
    <row r="91" spans="1:29" x14ac:dyDescent="0.2">
      <c r="A91" s="10"/>
      <c r="B91" s="10"/>
      <c r="C91" s="10"/>
      <c r="D91" s="421" t="s">
        <v>635</v>
      </c>
      <c r="E91" s="421"/>
      <c r="F91" s="421" t="s">
        <v>853</v>
      </c>
      <c r="G91" s="421"/>
      <c r="H91" s="421" t="s">
        <v>860</v>
      </c>
      <c r="I91" s="421"/>
      <c r="J91" s="421" t="s">
        <v>863</v>
      </c>
      <c r="K91" s="421"/>
      <c r="L91" s="427" t="s">
        <v>1220</v>
      </c>
      <c r="M91" s="427"/>
      <c r="N91" s="428" t="s">
        <v>913</v>
      </c>
      <c r="O91" s="421"/>
      <c r="P91" s="428" t="s">
        <v>953</v>
      </c>
      <c r="Q91" s="421"/>
      <c r="R91" s="421" t="s">
        <v>955</v>
      </c>
      <c r="S91" s="421"/>
      <c r="T91" s="421" t="s">
        <v>970</v>
      </c>
      <c r="U91" s="421"/>
      <c r="V91" s="421" t="s">
        <v>989</v>
      </c>
      <c r="W91" s="421"/>
      <c r="X91" s="421" t="s">
        <v>1004</v>
      </c>
      <c r="Y91" s="421"/>
      <c r="Z91" s="421" t="s">
        <v>1031</v>
      </c>
      <c r="AA91" s="421"/>
      <c r="AB91" s="422" t="s">
        <v>1302</v>
      </c>
      <c r="AC91" s="423"/>
    </row>
    <row r="92" spans="1:29" x14ac:dyDescent="0.2">
      <c r="D92" s="8" t="s">
        <v>633</v>
      </c>
      <c r="E92" s="8" t="s">
        <v>843</v>
      </c>
      <c r="F92" s="8" t="s">
        <v>633</v>
      </c>
      <c r="G92" s="8" t="s">
        <v>843</v>
      </c>
      <c r="H92" s="8" t="s">
        <v>633</v>
      </c>
      <c r="I92" s="8" t="s">
        <v>843</v>
      </c>
      <c r="J92" s="8" t="s">
        <v>633</v>
      </c>
      <c r="K92" s="8" t="s">
        <v>843</v>
      </c>
      <c r="L92" s="8" t="s">
        <v>633</v>
      </c>
      <c r="M92" s="8" t="s">
        <v>843</v>
      </c>
      <c r="N92" s="8" t="s">
        <v>633</v>
      </c>
      <c r="O92" s="8" t="s">
        <v>843</v>
      </c>
      <c r="P92" s="8" t="s">
        <v>633</v>
      </c>
      <c r="Q92" s="8" t="s">
        <v>843</v>
      </c>
      <c r="R92" s="8" t="s">
        <v>633</v>
      </c>
      <c r="S92" s="8" t="s">
        <v>843</v>
      </c>
      <c r="T92" s="8" t="s">
        <v>633</v>
      </c>
      <c r="U92" s="8" t="s">
        <v>843</v>
      </c>
      <c r="V92" s="8" t="s">
        <v>633</v>
      </c>
      <c r="W92" s="8" t="s">
        <v>843</v>
      </c>
      <c r="X92" s="8" t="s">
        <v>633</v>
      </c>
      <c r="Y92" s="8" t="s">
        <v>843</v>
      </c>
      <c r="Z92" s="8" t="s">
        <v>633</v>
      </c>
      <c r="AA92" s="8" t="s">
        <v>843</v>
      </c>
      <c r="AB92" s="94" t="s">
        <v>633</v>
      </c>
      <c r="AC92" s="94" t="s">
        <v>843</v>
      </c>
    </row>
    <row r="93" spans="1:29" x14ac:dyDescent="0.2">
      <c r="A93" s="19" t="s">
        <v>1183</v>
      </c>
      <c r="B93" s="19" t="s">
        <v>422</v>
      </c>
      <c r="C93" s="20" t="s">
        <v>701</v>
      </c>
      <c r="D93" s="59"/>
      <c r="E93" s="16"/>
      <c r="F93" s="41">
        <v>3</v>
      </c>
      <c r="G93" s="6">
        <f>33000+70000+44000</f>
        <v>147000</v>
      </c>
      <c r="H93" s="41">
        <v>8</v>
      </c>
      <c r="I93" s="6">
        <f>41600+90000+145050+115960+186000+63560+97500+46500</f>
        <v>786170</v>
      </c>
      <c r="J93" s="41">
        <v>2</v>
      </c>
      <c r="K93" s="6">
        <f>410000+33300</f>
        <v>443300</v>
      </c>
      <c r="L93" s="41">
        <v>7</v>
      </c>
      <c r="M93" s="6">
        <f>55470+52854+37190.08+25500+25500+21000+78300</f>
        <v>295814.08</v>
      </c>
      <c r="N93" s="41">
        <v>1</v>
      </c>
      <c r="O93" s="6">
        <v>80000</v>
      </c>
      <c r="P93" s="41">
        <v>26</v>
      </c>
      <c r="Q93" s="6">
        <f>37500+76800+46700+19700+37500+110000+88850+30000+350000+360000+248500+54500+21500+31300+21600+142450+75000+40000+33400+33250+59200+170000+82800+148720+50000+30000</f>
        <v>2399270</v>
      </c>
      <c r="R93" s="41"/>
      <c r="S93" s="6"/>
      <c r="T93" s="41"/>
      <c r="U93" s="6"/>
      <c r="V93" s="41">
        <v>3</v>
      </c>
      <c r="W93" s="6">
        <f>78490+170051.7+60500</f>
        <v>309041.7</v>
      </c>
      <c r="X93" s="41">
        <v>3</v>
      </c>
      <c r="Y93" s="6">
        <f>117100+60000+31150</f>
        <v>208250</v>
      </c>
      <c r="Z93" s="41">
        <v>4</v>
      </c>
      <c r="AA93" s="6">
        <f>24000+32900+17820+17820</f>
        <v>92540</v>
      </c>
      <c r="AB93" s="104">
        <f>SUM(D93,F93,H93,J93,L93,N93,P93,R93,T93,V93,X93,Z93)</f>
        <v>57</v>
      </c>
      <c r="AC93" s="103">
        <f t="shared" ref="AC93:AC104" si="31">SUM(E93,G93,I93,K93,M93,O93,Q93,S93,U93,W93,Y93,AA93)</f>
        <v>4761385.78</v>
      </c>
    </row>
    <row r="94" spans="1:29" x14ac:dyDescent="0.2">
      <c r="A94" s="21"/>
      <c r="B94" s="21"/>
      <c r="C94" s="20" t="s">
        <v>396</v>
      </c>
      <c r="D94" s="59">
        <v>2</v>
      </c>
      <c r="E94" s="16">
        <f>20238.89+107244.44</f>
        <v>127483.33</v>
      </c>
      <c r="F94" s="41">
        <v>3</v>
      </c>
      <c r="G94" s="6">
        <f>251708.33+22388.89+17967</f>
        <v>292064.21999999997</v>
      </c>
      <c r="H94" s="41">
        <v>3</v>
      </c>
      <c r="I94" s="6">
        <f>21000+22200+79600</f>
        <v>122800</v>
      </c>
      <c r="J94" s="41">
        <v>2</v>
      </c>
      <c r="K94" s="6">
        <f>25705.55+144300</f>
        <v>170005.55</v>
      </c>
      <c r="L94" s="41">
        <v>9</v>
      </c>
      <c r="M94" s="6">
        <f>25322.22+24755.56+18488.89+98888.89+78222.22+223600+426666.67+427111.11+705733.33</f>
        <v>2028788.8900000001</v>
      </c>
      <c r="N94" s="41">
        <v>2</v>
      </c>
      <c r="O94" s="6">
        <f>99088.89+32740</f>
        <v>131828.89000000001</v>
      </c>
      <c r="P94" s="41">
        <v>6</v>
      </c>
      <c r="Q94" s="6">
        <f>371111.11+141200+71777.78+34422.22+33916.67+65000</f>
        <v>717427.78</v>
      </c>
      <c r="R94" s="41">
        <v>1</v>
      </c>
      <c r="S94" s="6">
        <v>281666.67</v>
      </c>
      <c r="T94" s="41">
        <v>6</v>
      </c>
      <c r="U94" s="122">
        <f>23527+60111.11+81138.89+23688.89+153750.01+88711.11</f>
        <v>430927.01</v>
      </c>
      <c r="V94" s="41">
        <v>1</v>
      </c>
      <c r="W94" s="6">
        <v>462422.22</v>
      </c>
      <c r="X94" s="41">
        <v>2</v>
      </c>
      <c r="Y94" s="92">
        <f>25351.11+55825</f>
        <v>81176.11</v>
      </c>
      <c r="Z94" s="41">
        <v>3</v>
      </c>
      <c r="AA94" s="6">
        <f>88500+20200+35000</f>
        <v>143700</v>
      </c>
      <c r="AB94" s="97">
        <f t="shared" ref="AB94:AB104" si="32">SUM(D94,F94,H94,J94,L94,N94,P94,R94,T94,V94,X94,Z94)</f>
        <v>40</v>
      </c>
      <c r="AC94" s="103">
        <f t="shared" si="31"/>
        <v>4990290.67</v>
      </c>
    </row>
    <row r="95" spans="1:29" x14ac:dyDescent="0.2">
      <c r="A95" s="21"/>
      <c r="B95" s="22"/>
      <c r="C95" s="20" t="s">
        <v>8</v>
      </c>
      <c r="D95" s="59"/>
      <c r="E95" s="16"/>
      <c r="F95" s="41"/>
      <c r="G95" s="6"/>
      <c r="H95" s="41">
        <v>3</v>
      </c>
      <c r="I95" s="6">
        <f>37443.29+72680.87+29341</f>
        <v>139465.16</v>
      </c>
      <c r="J95" s="41">
        <v>1</v>
      </c>
      <c r="K95" s="6">
        <v>40525.32</v>
      </c>
      <c r="L95" s="41"/>
      <c r="M95" s="6"/>
      <c r="N95" s="41">
        <v>7</v>
      </c>
      <c r="O95" s="6">
        <f>37637.83+41149.57+32320.39+102672.32+157544.51+95847.92+89535.09</f>
        <v>556707.63</v>
      </c>
      <c r="P95" s="41">
        <v>1</v>
      </c>
      <c r="Q95" s="6">
        <v>19855.990000000002</v>
      </c>
      <c r="R95" s="41"/>
      <c r="S95" s="6"/>
      <c r="T95" s="41">
        <v>2</v>
      </c>
      <c r="U95" s="6">
        <f>147028.21+73530.1</f>
        <v>220558.31</v>
      </c>
      <c r="V95" s="41"/>
      <c r="W95" s="6"/>
      <c r="X95" s="41">
        <v>1</v>
      </c>
      <c r="Y95" s="6">
        <v>81966.009999999995</v>
      </c>
      <c r="Z95" s="41"/>
      <c r="AA95" s="6"/>
      <c r="AB95" s="97">
        <f t="shared" si="32"/>
        <v>15</v>
      </c>
      <c r="AC95" s="103">
        <f t="shared" si="31"/>
        <v>1059078.42</v>
      </c>
    </row>
    <row r="96" spans="1:29" x14ac:dyDescent="0.2">
      <c r="A96" s="21"/>
      <c r="B96" s="19" t="s">
        <v>392</v>
      </c>
      <c r="C96" s="20" t="s">
        <v>701</v>
      </c>
      <c r="D96" s="59">
        <v>1</v>
      </c>
      <c r="E96" s="103">
        <v>32000</v>
      </c>
      <c r="F96" s="41"/>
      <c r="G96" s="6"/>
      <c r="H96" s="41"/>
      <c r="I96" s="6"/>
      <c r="J96" s="41"/>
      <c r="K96" s="6"/>
      <c r="L96" s="41"/>
      <c r="M96" s="6"/>
      <c r="N96" s="41"/>
      <c r="O96" s="6"/>
      <c r="P96" s="41">
        <v>2</v>
      </c>
      <c r="Q96" s="6">
        <f>80000+22250</f>
        <v>102250</v>
      </c>
      <c r="R96" s="41"/>
      <c r="S96" s="6"/>
      <c r="T96" s="41"/>
      <c r="U96" s="6"/>
      <c r="V96" s="41"/>
      <c r="W96" s="79"/>
      <c r="X96" s="41"/>
      <c r="Y96" s="6"/>
      <c r="Z96" s="41"/>
      <c r="AA96" s="6"/>
      <c r="AB96" s="97">
        <f t="shared" si="32"/>
        <v>3</v>
      </c>
      <c r="AC96" s="103">
        <f t="shared" si="31"/>
        <v>134250</v>
      </c>
    </row>
    <row r="97" spans="1:29" x14ac:dyDescent="0.2">
      <c r="A97" s="21"/>
      <c r="B97" s="21"/>
      <c r="C97" s="20" t="s">
        <v>9</v>
      </c>
      <c r="D97" s="59"/>
      <c r="E97" s="16"/>
      <c r="F97" s="41"/>
      <c r="G97" s="6"/>
      <c r="H97" s="41"/>
      <c r="I97" s="1"/>
      <c r="J97" s="41">
        <v>3</v>
      </c>
      <c r="K97" s="6">
        <f>335634+347270+405007</f>
        <v>1087911</v>
      </c>
      <c r="L97" s="41">
        <v>2</v>
      </c>
      <c r="M97" s="6">
        <f>1459089+329703</f>
        <v>1788792</v>
      </c>
      <c r="N97" s="41"/>
      <c r="O97" s="6"/>
      <c r="P97" s="41">
        <v>5</v>
      </c>
      <c r="Q97" s="6">
        <f>124441+92358+116844+186704+4157167.14</f>
        <v>4677514.1400000006</v>
      </c>
      <c r="R97" s="41">
        <v>1</v>
      </c>
      <c r="S97" s="6">
        <v>297505</v>
      </c>
      <c r="T97" s="41">
        <v>2</v>
      </c>
      <c r="U97" s="6">
        <f>400670+143702</f>
        <v>544372</v>
      </c>
      <c r="V97" s="41">
        <v>1</v>
      </c>
      <c r="W97" s="130">
        <v>106028</v>
      </c>
      <c r="X97" s="41"/>
      <c r="Y97" s="79"/>
      <c r="Z97" s="41">
        <v>2</v>
      </c>
      <c r="AA97" s="6">
        <f>280867+216321</f>
        <v>497188</v>
      </c>
      <c r="AB97" s="97">
        <f t="shared" si="32"/>
        <v>16</v>
      </c>
      <c r="AC97" s="103">
        <f t="shared" si="31"/>
        <v>8999310.1400000006</v>
      </c>
    </row>
    <row r="98" spans="1:29" x14ac:dyDescent="0.2">
      <c r="A98" s="21"/>
      <c r="B98" s="21"/>
      <c r="C98" s="20" t="s">
        <v>396</v>
      </c>
      <c r="D98" s="59"/>
      <c r="E98" s="16"/>
      <c r="F98" s="41">
        <v>1</v>
      </c>
      <c r="G98" s="6">
        <v>61389.48</v>
      </c>
      <c r="H98" s="41">
        <v>1</v>
      </c>
      <c r="I98" s="6">
        <v>85075</v>
      </c>
      <c r="J98" s="41">
        <v>3</v>
      </c>
      <c r="K98" s="6">
        <f>43500+124000+31612.2</f>
        <v>199112.2</v>
      </c>
      <c r="L98" s="41">
        <v>1</v>
      </c>
      <c r="M98" s="6">
        <v>39500</v>
      </c>
      <c r="N98" s="41"/>
      <c r="O98" s="6"/>
      <c r="P98" s="41">
        <v>3</v>
      </c>
      <c r="Q98" s="6">
        <f>33000+46612+21389</f>
        <v>101001</v>
      </c>
      <c r="R98" s="41"/>
      <c r="S98" s="6"/>
      <c r="T98" s="41"/>
      <c r="U98" s="79"/>
      <c r="V98" s="41"/>
      <c r="W98" s="6"/>
      <c r="X98" s="41">
        <v>1</v>
      </c>
      <c r="Y98" s="6">
        <v>50000</v>
      </c>
      <c r="Z98" s="41"/>
      <c r="AA98" s="6"/>
      <c r="AB98" s="97">
        <f t="shared" si="32"/>
        <v>10</v>
      </c>
      <c r="AC98" s="103">
        <f t="shared" si="31"/>
        <v>536077.68000000005</v>
      </c>
    </row>
    <row r="99" spans="1:29" x14ac:dyDescent="0.2">
      <c r="A99" s="21"/>
      <c r="B99" s="21"/>
      <c r="C99" s="20" t="s">
        <v>393</v>
      </c>
      <c r="D99" s="59">
        <v>3</v>
      </c>
      <c r="E99" s="16">
        <f>31807+38280+198700</f>
        <v>268787</v>
      </c>
      <c r="F99" s="41">
        <v>4</v>
      </c>
      <c r="G99" s="6">
        <f>60123+110848+63985.79+146299</f>
        <v>381255.79000000004</v>
      </c>
      <c r="H99" s="41">
        <v>5</v>
      </c>
      <c r="I99" s="113">
        <f>18500+29250+19600+80111+27850</f>
        <v>175311</v>
      </c>
      <c r="J99" s="41">
        <v>4</v>
      </c>
      <c r="K99" s="6">
        <f>23178+30322.5+36200+34552.87</f>
        <v>124253.37</v>
      </c>
      <c r="L99" s="41">
        <v>3</v>
      </c>
      <c r="M99" s="113">
        <f>50000+72727.88+39400</f>
        <v>162127.88</v>
      </c>
      <c r="N99" s="41"/>
      <c r="O99" s="6"/>
      <c r="P99" s="41">
        <v>7</v>
      </c>
      <c r="Q99" s="6">
        <f>50500+50948+60000+23378+25500+53500+26000</f>
        <v>289826</v>
      </c>
      <c r="R99" s="41">
        <v>1</v>
      </c>
      <c r="S99" s="6">
        <v>275000</v>
      </c>
      <c r="T99" s="41">
        <v>2</v>
      </c>
      <c r="U99" s="6">
        <f>32000+26000</f>
        <v>58000</v>
      </c>
      <c r="V99" s="41">
        <v>4</v>
      </c>
      <c r="W99" s="6">
        <f>32500+325000+17500+68200</f>
        <v>443200</v>
      </c>
      <c r="X99" s="41">
        <v>3</v>
      </c>
      <c r="Y99" s="92">
        <f>117839+75000+18750</f>
        <v>211589</v>
      </c>
      <c r="Z99" s="41">
        <v>1</v>
      </c>
      <c r="AA99" s="6">
        <v>82000</v>
      </c>
      <c r="AB99" s="97">
        <f t="shared" si="32"/>
        <v>37</v>
      </c>
      <c r="AC99" s="103">
        <f t="shared" si="31"/>
        <v>2471350.04</v>
      </c>
    </row>
    <row r="100" spans="1:29" x14ac:dyDescent="0.2">
      <c r="A100" s="21"/>
      <c r="B100" s="21"/>
      <c r="C100" s="20" t="s">
        <v>10</v>
      </c>
      <c r="D100" s="59"/>
      <c r="E100" s="16"/>
      <c r="F100" s="41"/>
      <c r="G100" s="6"/>
      <c r="H100" s="41"/>
      <c r="I100" s="6"/>
      <c r="J100" s="41"/>
      <c r="K100" s="6"/>
      <c r="L100" s="41"/>
      <c r="M100" s="6"/>
      <c r="N100" s="41"/>
      <c r="O100" s="6"/>
      <c r="P100" s="41"/>
      <c r="Q100" s="6"/>
      <c r="R100" s="41"/>
      <c r="S100" s="6"/>
      <c r="T100" s="41"/>
      <c r="U100" s="6"/>
      <c r="V100" s="41"/>
      <c r="W100" s="6"/>
      <c r="X100" s="41"/>
      <c r="Y100" s="6"/>
      <c r="Z100" s="41"/>
      <c r="AA100" s="6"/>
      <c r="AB100" s="97">
        <f t="shared" si="32"/>
        <v>0</v>
      </c>
      <c r="AC100" s="103">
        <f t="shared" si="31"/>
        <v>0</v>
      </c>
    </row>
    <row r="101" spans="1:29" x14ac:dyDescent="0.2">
      <c r="A101" s="21"/>
      <c r="B101" s="21"/>
      <c r="C101" s="20" t="s">
        <v>1101</v>
      </c>
      <c r="D101" s="59"/>
      <c r="E101" s="16"/>
      <c r="F101" s="41"/>
      <c r="G101" s="6"/>
      <c r="H101" s="41"/>
      <c r="I101" s="6"/>
      <c r="J101" s="41">
        <v>1</v>
      </c>
      <c r="K101" s="6">
        <v>20000</v>
      </c>
      <c r="L101" s="41"/>
      <c r="M101" s="6"/>
      <c r="N101" s="41"/>
      <c r="O101" s="6"/>
      <c r="P101" s="41"/>
      <c r="Q101" s="6"/>
      <c r="R101" s="41"/>
      <c r="S101" s="6"/>
      <c r="T101" s="41"/>
      <c r="U101" s="6"/>
      <c r="V101" s="41"/>
      <c r="W101" s="6"/>
      <c r="X101" s="41"/>
      <c r="Y101" s="6"/>
      <c r="Z101" s="41"/>
      <c r="AA101" s="6"/>
      <c r="AB101" s="97">
        <f t="shared" si="32"/>
        <v>1</v>
      </c>
      <c r="AC101" s="103">
        <f t="shared" si="31"/>
        <v>20000</v>
      </c>
    </row>
    <row r="102" spans="1:29" x14ac:dyDescent="0.2">
      <c r="A102" s="21"/>
      <c r="B102" s="21"/>
      <c r="C102" s="20" t="s">
        <v>8</v>
      </c>
      <c r="D102" s="59">
        <v>2</v>
      </c>
      <c r="E102" s="16">
        <f>60576.71+33372.01</f>
        <v>93948.72</v>
      </c>
      <c r="F102" s="41">
        <v>1</v>
      </c>
      <c r="G102" s="6">
        <v>68523.39</v>
      </c>
      <c r="H102" s="41">
        <v>4</v>
      </c>
      <c r="I102" s="6">
        <f>31421+42735.93+16990.07+38763.93</f>
        <v>129910.93</v>
      </c>
      <c r="J102" s="41">
        <v>1</v>
      </c>
      <c r="K102" s="6">
        <v>52985.919999999998</v>
      </c>
      <c r="L102" s="41">
        <v>4</v>
      </c>
      <c r="M102" s="6">
        <f>28835.37+36611.58+54607.45+19064.54</f>
        <v>139118.94</v>
      </c>
      <c r="N102" s="41">
        <v>1</v>
      </c>
      <c r="O102" s="6">
        <v>114259.51</v>
      </c>
      <c r="P102" s="41">
        <v>5</v>
      </c>
      <c r="Q102" s="6">
        <f>41018.26+25238.69+23957.34+34074.96+45892.51</f>
        <v>170181.76000000001</v>
      </c>
      <c r="R102" s="41"/>
      <c r="S102" s="6"/>
      <c r="T102" s="41">
        <v>1</v>
      </c>
      <c r="U102" s="6">
        <v>63815.56</v>
      </c>
      <c r="V102" s="41">
        <v>1</v>
      </c>
      <c r="W102" s="6">
        <v>34270.42</v>
      </c>
      <c r="X102" s="41">
        <v>1</v>
      </c>
      <c r="Y102" s="99">
        <v>43383.68</v>
      </c>
      <c r="Z102" s="41"/>
      <c r="AA102" s="6"/>
      <c r="AB102" s="97">
        <f t="shared" si="32"/>
        <v>21</v>
      </c>
      <c r="AC102" s="103">
        <f t="shared" si="31"/>
        <v>910398.83000000007</v>
      </c>
    </row>
    <row r="103" spans="1:29" x14ac:dyDescent="0.2">
      <c r="A103" s="22"/>
      <c r="B103" s="22"/>
      <c r="C103" s="21" t="s">
        <v>1426</v>
      </c>
      <c r="D103" s="119"/>
      <c r="E103" s="119"/>
      <c r="F103" s="119"/>
      <c r="G103" s="119"/>
      <c r="H103" s="119">
        <v>1</v>
      </c>
      <c r="I103" s="130">
        <v>135000</v>
      </c>
      <c r="J103" s="119"/>
      <c r="K103" s="119"/>
      <c r="L103" s="119"/>
      <c r="M103" s="119"/>
      <c r="N103" s="119"/>
      <c r="O103" s="119"/>
      <c r="P103" s="119"/>
      <c r="Q103" s="119"/>
      <c r="R103" s="119"/>
      <c r="S103" s="119"/>
      <c r="T103" s="119"/>
      <c r="U103" s="6"/>
      <c r="V103" s="119"/>
      <c r="W103" s="121"/>
      <c r="X103" s="119"/>
      <c r="Y103" s="119"/>
      <c r="Z103" s="119"/>
      <c r="AA103" s="119"/>
      <c r="AB103" s="97">
        <f t="shared" si="32"/>
        <v>1</v>
      </c>
      <c r="AC103" s="103">
        <f t="shared" si="31"/>
        <v>135000</v>
      </c>
    </row>
    <row r="104" spans="1:29" x14ac:dyDescent="0.2">
      <c r="A104" s="424" t="s">
        <v>12</v>
      </c>
      <c r="B104" s="425"/>
      <c r="C104" s="426"/>
      <c r="D104" s="131">
        <f t="shared" ref="D104:AA104" si="33">SUM(D93:D103)</f>
        <v>8</v>
      </c>
      <c r="E104" s="62">
        <f t="shared" si="33"/>
        <v>522219.05000000005</v>
      </c>
      <c r="F104" s="61">
        <f t="shared" si="33"/>
        <v>12</v>
      </c>
      <c r="G104" s="62">
        <f t="shared" si="33"/>
        <v>950232.88</v>
      </c>
      <c r="H104" s="61">
        <f t="shared" si="33"/>
        <v>25</v>
      </c>
      <c r="I104" s="62">
        <f>SUM(I93:I103)</f>
        <v>1573732.09</v>
      </c>
      <c r="J104" s="61">
        <f t="shared" si="33"/>
        <v>17</v>
      </c>
      <c r="K104" s="62">
        <f t="shared" si="33"/>
        <v>2138093.36</v>
      </c>
      <c r="L104" s="61">
        <f t="shared" si="33"/>
        <v>26</v>
      </c>
      <c r="M104" s="62">
        <f t="shared" si="33"/>
        <v>4454141.790000001</v>
      </c>
      <c r="N104" s="61">
        <f t="shared" si="33"/>
        <v>11</v>
      </c>
      <c r="O104" s="62">
        <f t="shared" si="33"/>
        <v>882796.03</v>
      </c>
      <c r="P104" s="61">
        <f t="shared" si="33"/>
        <v>55</v>
      </c>
      <c r="Q104" s="62">
        <f t="shared" si="33"/>
        <v>8477326.6700000018</v>
      </c>
      <c r="R104" s="61">
        <f t="shared" si="33"/>
        <v>3</v>
      </c>
      <c r="S104" s="62">
        <f t="shared" si="33"/>
        <v>854171.66999999993</v>
      </c>
      <c r="T104" s="61">
        <f t="shared" si="33"/>
        <v>13</v>
      </c>
      <c r="U104" s="62">
        <f t="shared" si="33"/>
        <v>1317672.8800000001</v>
      </c>
      <c r="V104" s="61">
        <f t="shared" si="33"/>
        <v>10</v>
      </c>
      <c r="W104" s="62">
        <f t="shared" si="33"/>
        <v>1354962.3399999999</v>
      </c>
      <c r="X104" s="61">
        <f t="shared" si="33"/>
        <v>11</v>
      </c>
      <c r="Y104" s="62">
        <f t="shared" si="33"/>
        <v>676364.80000000005</v>
      </c>
      <c r="Z104" s="61">
        <f t="shared" si="33"/>
        <v>10</v>
      </c>
      <c r="AA104" s="62">
        <f t="shared" si="33"/>
        <v>815428</v>
      </c>
      <c r="AB104" s="107">
        <f t="shared" si="32"/>
        <v>201</v>
      </c>
      <c r="AC104" s="108">
        <f t="shared" si="31"/>
        <v>24017141.560000006</v>
      </c>
    </row>
    <row r="108" spans="1:29" x14ac:dyDescent="0.2">
      <c r="A108" s="71" t="s">
        <v>1886</v>
      </c>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row>
    <row r="109" spans="1:29" x14ac:dyDescent="0.2">
      <c r="A109" s="10"/>
      <c r="B109" s="10"/>
      <c r="C109" s="10"/>
      <c r="D109" s="421" t="s">
        <v>635</v>
      </c>
      <c r="E109" s="421"/>
      <c r="F109" s="421" t="s">
        <v>853</v>
      </c>
      <c r="G109" s="421"/>
      <c r="H109" s="421" t="s">
        <v>860</v>
      </c>
      <c r="I109" s="421"/>
      <c r="J109" s="421" t="s">
        <v>863</v>
      </c>
      <c r="K109" s="421"/>
      <c r="L109" s="427" t="s">
        <v>1220</v>
      </c>
      <c r="M109" s="427"/>
      <c r="N109" s="428" t="s">
        <v>913</v>
      </c>
      <c r="O109" s="421"/>
      <c r="P109" s="428" t="s">
        <v>953</v>
      </c>
      <c r="Q109" s="421"/>
      <c r="R109" s="421" t="s">
        <v>955</v>
      </c>
      <c r="S109" s="421"/>
      <c r="T109" s="421" t="s">
        <v>970</v>
      </c>
      <c r="U109" s="421"/>
      <c r="V109" s="421" t="s">
        <v>989</v>
      </c>
      <c r="W109" s="421"/>
      <c r="X109" s="421" t="s">
        <v>1004</v>
      </c>
      <c r="Y109" s="421"/>
      <c r="Z109" s="421" t="s">
        <v>1031</v>
      </c>
      <c r="AA109" s="421"/>
      <c r="AB109" s="422" t="s">
        <v>1302</v>
      </c>
      <c r="AC109" s="423"/>
    </row>
    <row r="110" spans="1:29" x14ac:dyDescent="0.2">
      <c r="D110" s="8" t="s">
        <v>633</v>
      </c>
      <c r="E110" s="8" t="s">
        <v>843</v>
      </c>
      <c r="F110" s="8" t="s">
        <v>633</v>
      </c>
      <c r="G110" s="8" t="s">
        <v>843</v>
      </c>
      <c r="H110" s="8" t="s">
        <v>633</v>
      </c>
      <c r="I110" s="8" t="s">
        <v>843</v>
      </c>
      <c r="J110" s="8" t="s">
        <v>633</v>
      </c>
      <c r="K110" s="8" t="s">
        <v>843</v>
      </c>
      <c r="L110" s="8" t="s">
        <v>633</v>
      </c>
      <c r="M110" s="8" t="s">
        <v>843</v>
      </c>
      <c r="N110" s="8" t="s">
        <v>633</v>
      </c>
      <c r="O110" s="8" t="s">
        <v>843</v>
      </c>
      <c r="P110" s="8" t="s">
        <v>633</v>
      </c>
      <c r="Q110" s="8" t="s">
        <v>843</v>
      </c>
      <c r="R110" s="8" t="s">
        <v>633</v>
      </c>
      <c r="S110" s="8" t="s">
        <v>843</v>
      </c>
      <c r="T110" s="8" t="s">
        <v>633</v>
      </c>
      <c r="U110" s="8" t="s">
        <v>843</v>
      </c>
      <c r="V110" s="8" t="s">
        <v>633</v>
      </c>
      <c r="W110" s="8" t="s">
        <v>843</v>
      </c>
      <c r="X110" s="8" t="s">
        <v>633</v>
      </c>
      <c r="Y110" s="8" t="s">
        <v>843</v>
      </c>
      <c r="Z110" s="8" t="s">
        <v>633</v>
      </c>
      <c r="AA110" s="8" t="s">
        <v>843</v>
      </c>
      <c r="AB110" s="94" t="s">
        <v>633</v>
      </c>
      <c r="AC110" s="94" t="s">
        <v>843</v>
      </c>
    </row>
    <row r="111" spans="1:29" x14ac:dyDescent="0.2">
      <c r="A111" s="19" t="s">
        <v>1183</v>
      </c>
      <c r="B111" s="19" t="s">
        <v>422</v>
      </c>
      <c r="C111" s="20" t="s">
        <v>701</v>
      </c>
      <c r="D111" s="59">
        <v>5</v>
      </c>
      <c r="E111" s="16">
        <f>106370+1391000+50000+297690+30000</f>
        <v>1875060</v>
      </c>
      <c r="F111" s="59">
        <v>15</v>
      </c>
      <c r="G111" s="16">
        <f>25500+90300+20800+34200+110670+85820+91850+53400+37291.2+35305.6+56800+163600+21900+25500+25500</f>
        <v>878436.79999999993</v>
      </c>
      <c r="H111" s="59">
        <v>9</v>
      </c>
      <c r="I111" s="16">
        <f>37150+75450+482200+62500+40000+186000+37150+25500+171300</f>
        <v>1117250</v>
      </c>
      <c r="J111" s="59">
        <v>5</v>
      </c>
      <c r="K111" s="16">
        <f>29350+40000+36000+19500+21200</f>
        <v>146050</v>
      </c>
      <c r="L111" s="59">
        <v>3</v>
      </c>
      <c r="M111" s="16">
        <f>360500+285240+270000</f>
        <v>915740</v>
      </c>
      <c r="N111" s="59">
        <v>9</v>
      </c>
      <c r="O111" s="16">
        <f>29400+30950+33250+37200+30000+33050+65600+91500+25500</f>
        <v>376450</v>
      </c>
      <c r="P111" s="59">
        <v>7</v>
      </c>
      <c r="Q111" s="16">
        <f>70000+60000+75000+1631200+114900+159329+72500</f>
        <v>2182929</v>
      </c>
      <c r="R111" s="59">
        <v>7</v>
      </c>
      <c r="S111" s="16">
        <f>482300+295000+83800+109690+55000+25500+58450</f>
        <v>1109740</v>
      </c>
      <c r="T111" s="59">
        <v>5</v>
      </c>
      <c r="U111" s="16">
        <f>186000+78800+114909.54+275400+593826.25</f>
        <v>1248935.79</v>
      </c>
      <c r="V111" s="59">
        <v>4</v>
      </c>
      <c r="W111" s="16">
        <f>442500+60000+94500+78700</f>
        <v>675700</v>
      </c>
      <c r="X111" s="59">
        <v>4</v>
      </c>
      <c r="Y111" s="16">
        <f>100000+31160+160500+75856.76</f>
        <v>367516.76</v>
      </c>
      <c r="Z111" s="59">
        <v>2</v>
      </c>
      <c r="AA111" s="16">
        <f>40125+32000</f>
        <v>72125</v>
      </c>
      <c r="AB111" s="158">
        <f t="shared" ref="AB111:AB122" si="34">SUM(D111,F111,H111,J111,L111,N111,P111,R111,T111,V111,X111,Z111)</f>
        <v>75</v>
      </c>
      <c r="AC111" s="87">
        <f t="shared" ref="AC111:AC122" si="35">SUM(AA111,Y111,W111,U111,S111,Q111,O111,M111,K111,I111,G111,E111)</f>
        <v>10965933.35</v>
      </c>
    </row>
    <row r="112" spans="1:29" x14ac:dyDescent="0.2">
      <c r="A112" s="21"/>
      <c r="B112" s="21"/>
      <c r="C112" s="20" t="s">
        <v>396</v>
      </c>
      <c r="D112" s="59">
        <v>1</v>
      </c>
      <c r="E112" s="16">
        <v>147583.32999999999</v>
      </c>
      <c r="F112" s="59">
        <v>1</v>
      </c>
      <c r="G112" s="16">
        <v>103555.56</v>
      </c>
      <c r="H112" s="59"/>
      <c r="I112" s="16"/>
      <c r="J112" s="59">
        <v>3</v>
      </c>
      <c r="K112" s="16">
        <f>37200+863513.89+483000</f>
        <v>1383713.8900000001</v>
      </c>
      <c r="L112" s="59"/>
      <c r="M112" s="16"/>
      <c r="N112" s="59">
        <v>5</v>
      </c>
      <c r="O112" s="16">
        <f>75000+42740+21966.67+30360+74083.33</f>
        <v>244150</v>
      </c>
      <c r="P112" s="59"/>
      <c r="Q112" s="16"/>
      <c r="R112" s="59">
        <v>7</v>
      </c>
      <c r="S112" s="16">
        <f>17795.56+79888.89+45400+106133.33+18322.22+23688.89+22022.22</f>
        <v>313251.11</v>
      </c>
      <c r="T112" s="59">
        <v>1</v>
      </c>
      <c r="U112" s="16">
        <v>45400</v>
      </c>
      <c r="V112" s="59">
        <v>5</v>
      </c>
      <c r="W112" s="16">
        <f>27646.67+33450+181766.67+17768+45696</f>
        <v>306327.34000000003</v>
      </c>
      <c r="X112" s="59"/>
      <c r="Y112" s="16"/>
      <c r="Z112" s="59">
        <v>4</v>
      </c>
      <c r="AA112" s="16">
        <f>32200+53120.34+56465+174288.89</f>
        <v>316074.23</v>
      </c>
      <c r="AB112" s="158">
        <f t="shared" si="34"/>
        <v>27</v>
      </c>
      <c r="AC112" s="87">
        <f t="shared" si="35"/>
        <v>2860055.4600000004</v>
      </c>
    </row>
    <row r="113" spans="1:29" x14ac:dyDescent="0.2">
      <c r="A113" s="21"/>
      <c r="B113" s="22"/>
      <c r="C113" s="20" t="s">
        <v>8</v>
      </c>
      <c r="D113" s="59">
        <v>1</v>
      </c>
      <c r="E113" s="16">
        <v>24177.02</v>
      </c>
      <c r="F113" s="59">
        <v>2</v>
      </c>
      <c r="G113" s="16">
        <f>44037.45+17176.35</f>
        <v>61213.799999999996</v>
      </c>
      <c r="H113" s="59"/>
      <c r="I113" s="16"/>
      <c r="J113" s="59"/>
      <c r="K113" s="16"/>
      <c r="L113" s="59"/>
      <c r="M113" s="16"/>
      <c r="N113" s="59">
        <v>1</v>
      </c>
      <c r="O113" s="16">
        <v>85390.38</v>
      </c>
      <c r="P113" s="59"/>
      <c r="Q113" s="16"/>
      <c r="R113" s="59">
        <v>1</v>
      </c>
      <c r="S113" s="16">
        <v>52844.82</v>
      </c>
      <c r="T113" s="59">
        <v>1</v>
      </c>
      <c r="U113" s="16">
        <v>68992</v>
      </c>
      <c r="V113" s="59">
        <v>2</v>
      </c>
      <c r="W113" s="16">
        <f>67063.02+18912.22</f>
        <v>85975.24</v>
      </c>
      <c r="X113" s="59"/>
      <c r="Y113" s="16"/>
      <c r="Z113" s="59">
        <v>1</v>
      </c>
      <c r="AA113" s="83">
        <v>37028.550000000003</v>
      </c>
      <c r="AB113" s="158">
        <f t="shared" si="34"/>
        <v>9</v>
      </c>
      <c r="AC113" s="87">
        <f t="shared" si="35"/>
        <v>415621.81</v>
      </c>
    </row>
    <row r="114" spans="1:29" x14ac:dyDescent="0.2">
      <c r="A114" s="21"/>
      <c r="B114" s="19" t="s">
        <v>392</v>
      </c>
      <c r="C114" s="20" t="s">
        <v>701</v>
      </c>
      <c r="D114" s="59"/>
      <c r="E114" s="103"/>
      <c r="F114" s="59">
        <v>2</v>
      </c>
      <c r="G114" s="103">
        <f>32000+80000</f>
        <v>112000</v>
      </c>
      <c r="H114" s="59"/>
      <c r="I114" s="103"/>
      <c r="J114" s="59"/>
      <c r="K114" s="103"/>
      <c r="L114" s="59"/>
      <c r="M114" s="103"/>
      <c r="N114" s="59"/>
      <c r="O114" s="103"/>
      <c r="P114" s="59"/>
      <c r="Q114" s="103"/>
      <c r="R114" s="59"/>
      <c r="S114" s="103"/>
      <c r="T114" s="59">
        <v>1</v>
      </c>
      <c r="U114" s="103">
        <v>120000</v>
      </c>
      <c r="V114" s="59"/>
      <c r="W114" s="103"/>
      <c r="X114" s="59"/>
      <c r="Y114" s="103"/>
      <c r="Z114" s="59"/>
      <c r="AA114" s="103"/>
      <c r="AB114" s="158">
        <f t="shared" si="34"/>
        <v>3</v>
      </c>
      <c r="AC114" s="87">
        <f t="shared" si="35"/>
        <v>232000</v>
      </c>
    </row>
    <row r="115" spans="1:29" x14ac:dyDescent="0.2">
      <c r="A115" s="21"/>
      <c r="B115" s="21"/>
      <c r="C115" s="20" t="s">
        <v>9</v>
      </c>
      <c r="D115" s="59">
        <v>5</v>
      </c>
      <c r="E115" s="16">
        <f>375714.29+69410+97289+323203+326007</f>
        <v>1191623.29</v>
      </c>
      <c r="F115" s="59">
        <v>1</v>
      </c>
      <c r="G115" s="16">
        <v>206626</v>
      </c>
      <c r="H115" s="59">
        <v>1</v>
      </c>
      <c r="I115" s="16">
        <v>238341</v>
      </c>
      <c r="J115" s="59">
        <v>1</v>
      </c>
      <c r="K115" s="16">
        <v>704741</v>
      </c>
      <c r="L115" s="59"/>
      <c r="M115" s="16"/>
      <c r="N115" s="59"/>
      <c r="O115" s="16"/>
      <c r="P115" s="59">
        <v>8</v>
      </c>
      <c r="Q115" s="16">
        <f>63124+63733+81824+118243+334252+69625+40675+315562</f>
        <v>1087038</v>
      </c>
      <c r="R115" s="59"/>
      <c r="S115" s="16"/>
      <c r="T115" s="59">
        <v>1</v>
      </c>
      <c r="U115" s="16">
        <v>36979.65</v>
      </c>
      <c r="V115" s="59">
        <v>1</v>
      </c>
      <c r="W115" s="16">
        <v>251206</v>
      </c>
      <c r="X115" s="59"/>
      <c r="Y115" s="16"/>
      <c r="Z115" s="59">
        <v>1</v>
      </c>
      <c r="AA115" s="16">
        <v>78379</v>
      </c>
      <c r="AB115" s="158">
        <f t="shared" si="34"/>
        <v>19</v>
      </c>
      <c r="AC115" s="87">
        <f t="shared" si="35"/>
        <v>3794933.94</v>
      </c>
    </row>
    <row r="116" spans="1:29" x14ac:dyDescent="0.2">
      <c r="A116" s="21"/>
      <c r="B116" s="21"/>
      <c r="C116" s="159" t="s">
        <v>2224</v>
      </c>
      <c r="D116" s="161"/>
      <c r="E116" s="162"/>
      <c r="F116" s="161"/>
      <c r="G116" s="162"/>
      <c r="H116" s="161"/>
      <c r="I116" s="162"/>
      <c r="J116" s="161"/>
      <c r="K116" s="162"/>
      <c r="L116" s="161"/>
      <c r="M116" s="162"/>
      <c r="N116" s="161"/>
      <c r="O116" s="162"/>
      <c r="P116" s="161"/>
      <c r="Q116" s="162"/>
      <c r="R116" s="161"/>
      <c r="S116" s="162"/>
      <c r="T116" s="161"/>
      <c r="U116" s="162"/>
      <c r="V116" s="161">
        <v>14</v>
      </c>
      <c r="W116" s="162">
        <f>51051+36235.51+31059+51051+41769+31059+51051+41412+31059+51051+41769+31059+60333+31059</f>
        <v>581017.51</v>
      </c>
      <c r="X116" s="161"/>
      <c r="Y116" s="162"/>
      <c r="Z116" s="161">
        <v>29</v>
      </c>
      <c r="AA116" s="162">
        <f>23966.94+23966.94+35950.41+17975.21+28760.33+17975.21+23966.94+23966.94+23966.94+28760.33+26363.65+17975.21+17975.21+23966.94+23966.94+23966.94+35950.41+19173.55+16177.68+23966.94+28760.33+17975.21+28760.33+28760.33+17975.21+28760.33+28760.33+28760.33+47933.88</f>
        <v>735185.93999999983</v>
      </c>
      <c r="AB116" s="158">
        <f t="shared" si="34"/>
        <v>43</v>
      </c>
      <c r="AC116" s="87">
        <f t="shared" si="35"/>
        <v>1316203.4499999997</v>
      </c>
    </row>
    <row r="117" spans="1:29" x14ac:dyDescent="0.2">
      <c r="A117" s="21"/>
      <c r="B117" s="21"/>
      <c r="C117" s="20" t="s">
        <v>396</v>
      </c>
      <c r="D117" s="59"/>
      <c r="E117" s="16"/>
      <c r="F117" s="59">
        <v>2</v>
      </c>
      <c r="G117" s="16">
        <f>90341.99+108717.43</f>
        <v>199059.41999999998</v>
      </c>
      <c r="H117" s="59"/>
      <c r="I117" s="16"/>
      <c r="J117" s="59"/>
      <c r="K117" s="16"/>
      <c r="L117" s="59"/>
      <c r="M117" s="16"/>
      <c r="N117" s="59"/>
      <c r="O117" s="16"/>
      <c r="P117" s="59"/>
      <c r="Q117" s="16"/>
      <c r="R117" s="59"/>
      <c r="S117" s="16"/>
      <c r="T117" s="59">
        <v>1</v>
      </c>
      <c r="U117" s="16">
        <f>180495.81</f>
        <v>180495.81</v>
      </c>
      <c r="V117" s="59"/>
      <c r="W117" s="16"/>
      <c r="X117" s="59">
        <v>1</v>
      </c>
      <c r="Y117" s="16">
        <v>114919.25</v>
      </c>
      <c r="Z117" s="59"/>
      <c r="AA117" s="16"/>
      <c r="AB117" s="158">
        <f t="shared" si="34"/>
        <v>4</v>
      </c>
      <c r="AC117" s="87">
        <f t="shared" si="35"/>
        <v>494474.48</v>
      </c>
    </row>
    <row r="118" spans="1:29" x14ac:dyDescent="0.2">
      <c r="A118" s="21"/>
      <c r="B118" s="21"/>
      <c r="C118" s="20" t="s">
        <v>393</v>
      </c>
      <c r="D118" s="59">
        <v>2</v>
      </c>
      <c r="E118" s="160">
        <f>81635+81845</f>
        <v>163480</v>
      </c>
      <c r="F118" s="59">
        <v>7</v>
      </c>
      <c r="G118" s="16">
        <f>95680.38+16327+16369+19136.08+115141.64+28785.41+21500</f>
        <v>312939.51</v>
      </c>
      <c r="H118" s="59"/>
      <c r="I118" s="16"/>
      <c r="J118" s="59">
        <v>1</v>
      </c>
      <c r="K118" s="16">
        <v>25200</v>
      </c>
      <c r="L118" s="59">
        <v>1</v>
      </c>
      <c r="M118" s="16">
        <v>54500</v>
      </c>
      <c r="N118" s="59">
        <v>5</v>
      </c>
      <c r="O118" s="16">
        <f>103500+102805.59+25900+20561.12+23200</f>
        <v>275966.70999999996</v>
      </c>
      <c r="P118" s="59">
        <v>1</v>
      </c>
      <c r="Q118" s="16">
        <v>707400</v>
      </c>
      <c r="R118" s="59"/>
      <c r="S118" s="16"/>
      <c r="T118" s="59">
        <v>8</v>
      </c>
      <c r="U118" s="16">
        <f>26000+120090.62+147763.32+32000+141001.54+30000+135107.07+192228.04</f>
        <v>824190.59000000008</v>
      </c>
      <c r="V118" s="59">
        <v>5</v>
      </c>
      <c r="W118" s="16">
        <f>55900+19200+96014.5+27500+23000</f>
        <v>221614.5</v>
      </c>
      <c r="X118" s="59"/>
      <c r="Y118" s="16"/>
      <c r="Z118" s="59">
        <v>3</v>
      </c>
      <c r="AA118" s="16">
        <f>17500+88000+20000</f>
        <v>125500</v>
      </c>
      <c r="AB118" s="158">
        <f t="shared" si="34"/>
        <v>33</v>
      </c>
      <c r="AC118" s="87">
        <f t="shared" si="35"/>
        <v>2710791.3099999996</v>
      </c>
    </row>
    <row r="119" spans="1:29" x14ac:dyDescent="0.2">
      <c r="A119" s="21"/>
      <c r="B119" s="21"/>
      <c r="C119" s="20" t="s">
        <v>10</v>
      </c>
      <c r="D119" s="59"/>
      <c r="E119" s="16"/>
      <c r="F119" s="59"/>
      <c r="G119" s="16"/>
      <c r="H119" s="59"/>
      <c r="I119" s="16"/>
      <c r="J119" s="59"/>
      <c r="K119" s="16"/>
      <c r="L119" s="59"/>
      <c r="M119" s="16"/>
      <c r="N119" s="59"/>
      <c r="O119" s="16"/>
      <c r="P119" s="59"/>
      <c r="Q119" s="16"/>
      <c r="R119" s="59"/>
      <c r="S119" s="16"/>
      <c r="T119" s="59"/>
      <c r="U119" s="16"/>
      <c r="V119" s="59"/>
      <c r="W119" s="16"/>
      <c r="X119" s="59"/>
      <c r="Y119" s="16"/>
      <c r="Z119" s="59"/>
      <c r="AA119" s="16"/>
      <c r="AB119" s="158">
        <f t="shared" si="34"/>
        <v>0</v>
      </c>
      <c r="AC119" s="87">
        <f t="shared" si="35"/>
        <v>0</v>
      </c>
    </row>
    <row r="120" spans="1:29" x14ac:dyDescent="0.2">
      <c r="A120" s="21"/>
      <c r="B120" s="21"/>
      <c r="C120" s="20" t="s">
        <v>1101</v>
      </c>
      <c r="D120" s="59"/>
      <c r="E120" s="16"/>
      <c r="F120" s="59"/>
      <c r="G120" s="16"/>
      <c r="H120" s="59"/>
      <c r="I120" s="16"/>
      <c r="J120" s="59"/>
      <c r="K120" s="16"/>
      <c r="L120" s="59"/>
      <c r="M120" s="16"/>
      <c r="N120" s="59"/>
      <c r="O120" s="16"/>
      <c r="P120" s="59"/>
      <c r="Q120" s="16"/>
      <c r="R120" s="59">
        <v>1</v>
      </c>
      <c r="S120" s="16">
        <v>90000</v>
      </c>
      <c r="T120" s="59"/>
      <c r="U120" s="16"/>
      <c r="V120" s="59"/>
      <c r="W120" s="16"/>
      <c r="X120" s="59"/>
      <c r="Y120" s="16"/>
      <c r="Z120" s="59"/>
      <c r="AA120" s="16"/>
      <c r="AB120" s="158">
        <f t="shared" si="34"/>
        <v>1</v>
      </c>
      <c r="AC120" s="87">
        <f t="shared" si="35"/>
        <v>90000</v>
      </c>
    </row>
    <row r="121" spans="1:29" x14ac:dyDescent="0.2">
      <c r="A121" s="21"/>
      <c r="B121" s="21"/>
      <c r="C121" s="20" t="s">
        <v>8</v>
      </c>
      <c r="D121" s="59">
        <v>3</v>
      </c>
      <c r="E121" s="16">
        <f>40685.32+124138.17+42153.62</f>
        <v>206977.11</v>
      </c>
      <c r="F121" s="59">
        <v>2</v>
      </c>
      <c r="G121" s="16">
        <f>49686.54+70695.59</f>
        <v>120382.13</v>
      </c>
      <c r="H121" s="59">
        <v>1</v>
      </c>
      <c r="I121" s="16">
        <v>21071.37</v>
      </c>
      <c r="J121" s="59">
        <v>1</v>
      </c>
      <c r="K121" s="16">
        <v>17426.759999999998</v>
      </c>
      <c r="L121" s="59">
        <v>2</v>
      </c>
      <c r="M121" s="16">
        <f>115047.26+23056.4</f>
        <v>138103.66</v>
      </c>
      <c r="N121" s="59">
        <v>2</v>
      </c>
      <c r="O121" s="16">
        <f>45441.91+36238.34</f>
        <v>81680.25</v>
      </c>
      <c r="P121" s="59"/>
      <c r="Q121" s="16"/>
      <c r="R121" s="59">
        <v>4</v>
      </c>
      <c r="S121" s="16">
        <f>48106.85+41446.86+59201.94+51527.13</f>
        <v>200282.78</v>
      </c>
      <c r="T121" s="59">
        <v>3</v>
      </c>
      <c r="U121" s="16">
        <f>74467.97+55297.38+68016.09</f>
        <v>197781.44</v>
      </c>
      <c r="V121" s="59">
        <v>1</v>
      </c>
      <c r="W121" s="16">
        <v>30733.35</v>
      </c>
      <c r="X121" s="59"/>
      <c r="Y121" s="16"/>
      <c r="Z121" s="59">
        <v>1</v>
      </c>
      <c r="AA121" s="16">
        <v>31424.66</v>
      </c>
      <c r="AB121" s="158">
        <f t="shared" si="34"/>
        <v>20</v>
      </c>
      <c r="AC121" s="87">
        <f t="shared" si="35"/>
        <v>1045863.51</v>
      </c>
    </row>
    <row r="122" spans="1:29" x14ac:dyDescent="0.2">
      <c r="A122" s="22"/>
      <c r="B122" s="22"/>
      <c r="C122" s="21" t="s">
        <v>1426</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58">
        <f t="shared" si="34"/>
        <v>0</v>
      </c>
      <c r="AC122" s="87">
        <f t="shared" si="35"/>
        <v>0</v>
      </c>
    </row>
    <row r="123" spans="1:29" x14ac:dyDescent="0.2">
      <c r="A123" s="424" t="s">
        <v>12</v>
      </c>
      <c r="B123" s="425"/>
      <c r="C123" s="426"/>
      <c r="D123" s="131">
        <f t="shared" ref="D123:E123" si="36">SUM(D111:D122)</f>
        <v>17</v>
      </c>
      <c r="E123" s="62">
        <f t="shared" si="36"/>
        <v>3608900.75</v>
      </c>
      <c r="F123" s="131">
        <f t="shared" ref="F123:AA123" si="37">SUM(F111:F122)</f>
        <v>32</v>
      </c>
      <c r="G123" s="62">
        <f t="shared" si="37"/>
        <v>1994213.2199999997</v>
      </c>
      <c r="H123" s="131">
        <f t="shared" si="37"/>
        <v>11</v>
      </c>
      <c r="I123" s="62">
        <f t="shared" si="37"/>
        <v>1376662.37</v>
      </c>
      <c r="J123" s="131">
        <f t="shared" si="37"/>
        <v>11</v>
      </c>
      <c r="K123" s="62">
        <f t="shared" si="37"/>
        <v>2277131.65</v>
      </c>
      <c r="L123" s="131">
        <f t="shared" si="37"/>
        <v>6</v>
      </c>
      <c r="M123" s="62">
        <f t="shared" si="37"/>
        <v>1108343.6599999999</v>
      </c>
      <c r="N123" s="131">
        <f t="shared" si="37"/>
        <v>22</v>
      </c>
      <c r="O123" s="62">
        <f t="shared" si="37"/>
        <v>1063637.3399999999</v>
      </c>
      <c r="P123" s="131">
        <f t="shared" si="37"/>
        <v>16</v>
      </c>
      <c r="Q123" s="62">
        <f>SUM(Q111:Q122)</f>
        <v>3977367</v>
      </c>
      <c r="R123" s="131">
        <f t="shared" si="37"/>
        <v>20</v>
      </c>
      <c r="S123" s="62">
        <f t="shared" si="37"/>
        <v>1766118.71</v>
      </c>
      <c r="T123" s="131">
        <f t="shared" si="37"/>
        <v>21</v>
      </c>
      <c r="U123" s="62">
        <f t="shared" si="37"/>
        <v>2722775.28</v>
      </c>
      <c r="V123" s="131">
        <f t="shared" si="37"/>
        <v>32</v>
      </c>
      <c r="W123" s="62">
        <f t="shared" si="37"/>
        <v>2152573.94</v>
      </c>
      <c r="X123" s="131">
        <f t="shared" si="37"/>
        <v>5</v>
      </c>
      <c r="Y123" s="62">
        <f t="shared" si="37"/>
        <v>482436.01</v>
      </c>
      <c r="Z123" s="131">
        <f t="shared" si="37"/>
        <v>41</v>
      </c>
      <c r="AA123" s="62">
        <f t="shared" si="37"/>
        <v>1395717.3799999997</v>
      </c>
      <c r="AB123" s="131">
        <f>SUM(D123,F123,H123,J123,L123,N123,P123,R123,T123,V123,X123,Z123)</f>
        <v>234</v>
      </c>
      <c r="AC123" s="62">
        <f>SUM(AA123,Y123,W123,U123,S123,Q123,O123,M123,K123,I123,G123,E123)</f>
        <v>23925877.309999999</v>
      </c>
    </row>
    <row r="125" spans="1:29" ht="13.5" customHeight="1" x14ac:dyDescent="0.2"/>
    <row r="127" spans="1:29" x14ac:dyDescent="0.2">
      <c r="A127" s="71" t="s">
        <v>2351</v>
      </c>
      <c r="B127" s="71"/>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row>
    <row r="128" spans="1:29" x14ac:dyDescent="0.2">
      <c r="A128" s="10"/>
      <c r="B128" s="10"/>
      <c r="C128" s="10"/>
      <c r="D128" s="421" t="s">
        <v>635</v>
      </c>
      <c r="E128" s="421"/>
      <c r="F128" s="421" t="s">
        <v>853</v>
      </c>
      <c r="G128" s="421"/>
      <c r="H128" s="421" t="s">
        <v>860</v>
      </c>
      <c r="I128" s="421"/>
      <c r="J128" s="421" t="s">
        <v>863</v>
      </c>
      <c r="K128" s="421"/>
      <c r="L128" s="427" t="s">
        <v>1220</v>
      </c>
      <c r="M128" s="427"/>
      <c r="N128" s="428" t="s">
        <v>913</v>
      </c>
      <c r="O128" s="421"/>
      <c r="P128" s="428" t="s">
        <v>953</v>
      </c>
      <c r="Q128" s="421"/>
      <c r="R128" s="421" t="s">
        <v>955</v>
      </c>
      <c r="S128" s="421"/>
      <c r="T128" s="421" t="s">
        <v>970</v>
      </c>
      <c r="U128" s="421"/>
      <c r="V128" s="421" t="s">
        <v>989</v>
      </c>
      <c r="W128" s="421"/>
      <c r="X128" s="421" t="s">
        <v>1004</v>
      </c>
      <c r="Y128" s="421"/>
      <c r="Z128" s="421" t="s">
        <v>1031</v>
      </c>
      <c r="AA128" s="421"/>
      <c r="AB128" s="422" t="s">
        <v>1302</v>
      </c>
      <c r="AC128" s="423"/>
    </row>
    <row r="129" spans="1:29" x14ac:dyDescent="0.2">
      <c r="D129" s="8" t="s">
        <v>633</v>
      </c>
      <c r="E129" s="8" t="s">
        <v>843</v>
      </c>
      <c r="F129" s="8" t="s">
        <v>633</v>
      </c>
      <c r="G129" s="8" t="s">
        <v>843</v>
      </c>
      <c r="H129" s="8" t="s">
        <v>633</v>
      </c>
      <c r="I129" s="8" t="s">
        <v>843</v>
      </c>
      <c r="J129" s="8" t="s">
        <v>633</v>
      </c>
      <c r="K129" s="8" t="s">
        <v>843</v>
      </c>
      <c r="L129" s="8" t="s">
        <v>633</v>
      </c>
      <c r="M129" s="8" t="s">
        <v>843</v>
      </c>
      <c r="N129" s="8" t="s">
        <v>633</v>
      </c>
      <c r="O129" s="8" t="s">
        <v>843</v>
      </c>
      <c r="P129" s="8" t="s">
        <v>633</v>
      </c>
      <c r="Q129" s="8" t="s">
        <v>843</v>
      </c>
      <c r="R129" s="8" t="s">
        <v>633</v>
      </c>
      <c r="S129" s="8" t="s">
        <v>843</v>
      </c>
      <c r="T129" s="8" t="s">
        <v>633</v>
      </c>
      <c r="U129" s="8" t="s">
        <v>843</v>
      </c>
      <c r="V129" s="8" t="s">
        <v>633</v>
      </c>
      <c r="W129" s="8" t="s">
        <v>843</v>
      </c>
      <c r="X129" s="8" t="s">
        <v>633</v>
      </c>
      <c r="Y129" s="8" t="s">
        <v>843</v>
      </c>
      <c r="Z129" s="8" t="s">
        <v>633</v>
      </c>
      <c r="AA129" s="8" t="s">
        <v>843</v>
      </c>
      <c r="AB129" s="94" t="s">
        <v>633</v>
      </c>
      <c r="AC129" s="94" t="s">
        <v>843</v>
      </c>
    </row>
    <row r="130" spans="1:29" x14ac:dyDescent="0.2">
      <c r="A130" s="19" t="s">
        <v>1183</v>
      </c>
      <c r="B130" s="19" t="s">
        <v>422</v>
      </c>
      <c r="C130" s="20" t="s">
        <v>701</v>
      </c>
      <c r="D130" s="59">
        <v>6</v>
      </c>
      <c r="E130" s="16">
        <f>54000+19000+35300+25500+41000+206000</f>
        <v>380800</v>
      </c>
      <c r="F130" s="59">
        <v>11</v>
      </c>
      <c r="G130" s="16">
        <f>29100+40700+37600+81000+25500+150000+116700+116900+39100+29400+37200</f>
        <v>703200</v>
      </c>
      <c r="H130" s="59">
        <v>4</v>
      </c>
      <c r="I130" s="16">
        <f>45655+101117.7+109360+125000</f>
        <v>381132.7</v>
      </c>
      <c r="J130" s="59">
        <v>10</v>
      </c>
      <c r="K130" s="16">
        <f>23400+45000+20000+75000+83700+25500+33300+252000+25500+39300</f>
        <v>622700</v>
      </c>
      <c r="L130" s="59">
        <v>2</v>
      </c>
      <c r="M130" s="16">
        <f>25500+538250</f>
        <v>563750</v>
      </c>
      <c r="N130" s="59">
        <v>1</v>
      </c>
      <c r="O130" s="16">
        <v>142000</v>
      </c>
      <c r="P130" s="59">
        <v>9</v>
      </c>
      <c r="Q130" s="16">
        <f>103600+10082.65+12000+25000+30000+12000+19000+31300+28000</f>
        <v>270982.65000000002</v>
      </c>
      <c r="R130" s="59">
        <v>4</v>
      </c>
      <c r="S130" s="16">
        <f>122044.16+55000+102700+188700</f>
        <v>468444.16000000003</v>
      </c>
      <c r="T130" s="59">
        <v>8</v>
      </c>
      <c r="U130" s="16">
        <f>357950+256500+33300+25500+15712.15+26367.56+25500+19000</f>
        <v>759829.71000000008</v>
      </c>
      <c r="V130" s="59">
        <v>2</v>
      </c>
      <c r="W130" s="16">
        <f>76000+124000</f>
        <v>200000</v>
      </c>
      <c r="X130" s="59">
        <v>24</v>
      </c>
      <c r="Y130" s="16">
        <f>189000+19000+25000+61600+37100+29250+12000+19000+29400+25500+19000+15000+60000+60000+46000+65000+58500+58500+29400+82300+70300+45300+31700+33300</f>
        <v>1121150</v>
      </c>
      <c r="Z130" s="59">
        <v>23</v>
      </c>
      <c r="AA130" s="16">
        <f>48000+100000+19000+131500+38500+28500+23400+42100+123000+126500+11700+28000+25500+89400+88100+19000+97200+45600+19000+57500+60000+25500+33300</f>
        <v>1280300</v>
      </c>
      <c r="AB130" s="158">
        <f t="shared" ref="AB130:AB141" si="38">SUM(D130,F130,H130,J130,L130,N130,P130,R130,T130,V130,X130,Z130)</f>
        <v>104</v>
      </c>
      <c r="AC130" s="87">
        <f t="shared" ref="AC130:AC141" si="39">SUM(AA130,Y130,W130,U130,S130,Q130,O130,M130,K130,I130,G130,E130)</f>
        <v>6894289.2199999997</v>
      </c>
    </row>
    <row r="131" spans="1:29" x14ac:dyDescent="0.2">
      <c r="A131" s="21"/>
      <c r="B131" s="21"/>
      <c r="C131" s="20" t="s">
        <v>396</v>
      </c>
      <c r="D131" s="59">
        <v>7</v>
      </c>
      <c r="E131" s="16">
        <f>71711.11+27933.33+16422.22+104933.33+88055.56+19722.22+58066.67</f>
        <v>386844.44</v>
      </c>
      <c r="F131" s="59">
        <v>1</v>
      </c>
      <c r="G131" s="16">
        <v>67000</v>
      </c>
      <c r="H131" s="59">
        <v>2</v>
      </c>
      <c r="I131" s="16">
        <f>32177.78+1161944.44</f>
        <v>1194122.22</v>
      </c>
      <c r="J131" s="59">
        <v>1</v>
      </c>
      <c r="K131" s="16">
        <v>194000</v>
      </c>
      <c r="L131" s="59">
        <v>15</v>
      </c>
      <c r="M131" s="16">
        <f>999500+19188.89+4900+209088+2180+22711.11+32666.67+44511.11+6966.67+1500+257333.33+71922.22+38200+93792</f>
        <v>1804460.0000000002</v>
      </c>
      <c r="N131" s="59">
        <v>8</v>
      </c>
      <c r="O131" s="16">
        <f>9744.44+37444.44+1400+5866.67+6400+18322.22+9800+9700</f>
        <v>98677.77</v>
      </c>
      <c r="P131" s="59">
        <v>5</v>
      </c>
      <c r="Q131" s="16">
        <f>8000+3256+19188.89+4600+5600</f>
        <v>40644.89</v>
      </c>
      <c r="R131" s="59">
        <v>8</v>
      </c>
      <c r="S131" s="16">
        <f>1020222.22+153792+140000+4100+6975+26033.33+54950+916875</f>
        <v>2322947.5499999998</v>
      </c>
      <c r="T131" s="59">
        <v>10</v>
      </c>
      <c r="U131" s="16">
        <f>610+2409+7900+14500+4988.89+12844.44+13900+9911.11+23000+28000</f>
        <v>118063.44</v>
      </c>
      <c r="V131" s="59">
        <v>1</v>
      </c>
      <c r="W131" s="16">
        <v>34000</v>
      </c>
      <c r="X131" s="59">
        <v>19</v>
      </c>
      <c r="Y131" s="16">
        <f>48000+4400+23077.78+28488.89+11000+46244.44+137933.33+5600+28577.78+7700+15055.56+194277.78+5700+19188.89+206288.89+7400.39+5800+80000+29666.67</f>
        <v>904400.4</v>
      </c>
      <c r="Z131" s="59">
        <v>3</v>
      </c>
      <c r="AA131" s="16">
        <f>4800+112444.44+14400</f>
        <v>131644.44</v>
      </c>
      <c r="AB131" s="158">
        <f t="shared" si="38"/>
        <v>80</v>
      </c>
      <c r="AC131" s="87">
        <f t="shared" si="39"/>
        <v>7296805.1500000004</v>
      </c>
    </row>
    <row r="132" spans="1:29" x14ac:dyDescent="0.2">
      <c r="A132" s="21"/>
      <c r="B132" s="22"/>
      <c r="C132" s="20" t="s">
        <v>8</v>
      </c>
      <c r="D132" s="59">
        <v>3</v>
      </c>
      <c r="E132" s="16">
        <f>34838.84+28894.76+38065.26</f>
        <v>101798.85999999999</v>
      </c>
      <c r="F132" s="59"/>
      <c r="G132" s="16"/>
      <c r="H132" s="59">
        <v>1</v>
      </c>
      <c r="I132" s="16">
        <v>318597.12</v>
      </c>
      <c r="J132" s="59">
        <v>2</v>
      </c>
      <c r="K132" s="16">
        <f>20863.62+31847.38</f>
        <v>52711</v>
      </c>
      <c r="L132" s="59">
        <v>6</v>
      </c>
      <c r="M132" s="16">
        <f>100141.82+2304.44+3293.69+10692.03+2072+11355.4</f>
        <v>129859.38</v>
      </c>
      <c r="N132" s="59">
        <v>5</v>
      </c>
      <c r="O132" s="16">
        <f>1706.81+15249.53+4513.74+11368.03+5990.76</f>
        <v>38828.870000000003</v>
      </c>
      <c r="P132" s="59">
        <v>3</v>
      </c>
      <c r="Q132" s="16">
        <f>20380.39+2048.5+2070.84</f>
        <v>24499.73</v>
      </c>
      <c r="R132" s="59">
        <v>2</v>
      </c>
      <c r="S132" s="16">
        <f>230668.27+8800.04</f>
        <v>239468.31</v>
      </c>
      <c r="T132" s="59">
        <v>2</v>
      </c>
      <c r="U132" s="16">
        <f>578.39+73112.67</f>
        <v>73691.06</v>
      </c>
      <c r="V132" s="59"/>
      <c r="W132" s="16"/>
      <c r="X132" s="59">
        <v>13</v>
      </c>
      <c r="Y132" s="16">
        <f>4246.24+23171.85+14135.18+7932.1+56058.85+9526.52+1422.31+3023.42+6291.94+5491.56+6510.67+3224.95+27368.26</f>
        <v>168403.85000000003</v>
      </c>
      <c r="Z132" s="59">
        <v>1</v>
      </c>
      <c r="AA132" s="83">
        <v>52868.85</v>
      </c>
      <c r="AB132" s="158">
        <f t="shared" si="38"/>
        <v>38</v>
      </c>
      <c r="AC132" s="87">
        <f t="shared" si="39"/>
        <v>1200727.0299999998</v>
      </c>
    </row>
    <row r="133" spans="1:29" x14ac:dyDescent="0.2">
      <c r="A133" s="21"/>
      <c r="B133" s="19" t="s">
        <v>392</v>
      </c>
      <c r="C133" s="20" t="s">
        <v>701</v>
      </c>
      <c r="D133" s="59"/>
      <c r="E133" s="103"/>
      <c r="F133" s="59"/>
      <c r="G133" s="103"/>
      <c r="H133" s="59"/>
      <c r="I133" s="103"/>
      <c r="J133" s="59">
        <v>2</v>
      </c>
      <c r="K133" s="103">
        <f>144000+32000</f>
        <v>176000</v>
      </c>
      <c r="L133" s="59"/>
      <c r="M133" s="103"/>
      <c r="N133" s="59">
        <v>1</v>
      </c>
      <c r="O133" s="103">
        <v>15000</v>
      </c>
      <c r="P133" s="59">
        <v>1</v>
      </c>
      <c r="Q133" s="103">
        <v>15000</v>
      </c>
      <c r="R133" s="59"/>
      <c r="S133" s="103"/>
      <c r="T133" s="59"/>
      <c r="U133" s="103"/>
      <c r="V133" s="59"/>
      <c r="W133" s="103"/>
      <c r="X133" s="59"/>
      <c r="Y133" s="103"/>
      <c r="Z133" s="59"/>
      <c r="AA133" s="103"/>
      <c r="AB133" s="158">
        <f t="shared" si="38"/>
        <v>4</v>
      </c>
      <c r="AC133" s="87">
        <f t="shared" si="39"/>
        <v>206000</v>
      </c>
    </row>
    <row r="134" spans="1:29" x14ac:dyDescent="0.2">
      <c r="A134" s="21"/>
      <c r="B134" s="21"/>
      <c r="C134" s="20" t="s">
        <v>9</v>
      </c>
      <c r="D134" s="59">
        <v>5</v>
      </c>
      <c r="E134" s="16">
        <f>534348+107547+164564+132827+140849</f>
        <v>1080135</v>
      </c>
      <c r="F134" s="59">
        <v>4</v>
      </c>
      <c r="G134" s="16">
        <f>237984+240037+369717+511413.4</f>
        <v>1359151.4</v>
      </c>
      <c r="H134" s="59">
        <v>8</v>
      </c>
      <c r="I134" s="16">
        <f>1802444+248400.6+90691+176561+163086+426086+81758.96+59028.11</f>
        <v>3048055.67</v>
      </c>
      <c r="J134" s="59">
        <v>7</v>
      </c>
      <c r="K134" s="16">
        <f>46946+76508.24+53234.65+376316+277164+50936+52914</f>
        <v>934018.89</v>
      </c>
      <c r="L134" s="59">
        <v>3</v>
      </c>
      <c r="M134" s="16">
        <f>35590.91+38062.5+42017.05</f>
        <v>115670.46</v>
      </c>
      <c r="N134" s="59">
        <v>9</v>
      </c>
      <c r="O134" s="16">
        <f>104536+112981+198087+33271.25+63107+223672+42769+60826+106921.49</f>
        <v>946170.74</v>
      </c>
      <c r="P134" s="59">
        <v>3</v>
      </c>
      <c r="Q134" s="16">
        <f>73801+8889+245556</f>
        <v>328246</v>
      </c>
      <c r="R134" s="59">
        <v>1</v>
      </c>
      <c r="S134" s="16">
        <v>1218509</v>
      </c>
      <c r="T134" s="59">
        <v>4</v>
      </c>
      <c r="U134" s="16">
        <f>144891+255301+300717+231106</f>
        <v>932015</v>
      </c>
      <c r="V134" s="59"/>
      <c r="W134" s="16"/>
      <c r="X134" s="59">
        <v>1</v>
      </c>
      <c r="Y134" s="16">
        <v>53983.68</v>
      </c>
      <c r="Z134" s="59">
        <v>8</v>
      </c>
      <c r="AA134" s="16">
        <f>291179.1+554653.9+131187+118613.8+234323+788284+163696+145786</f>
        <v>2427722.7999999998</v>
      </c>
      <c r="AB134" s="158">
        <f t="shared" si="38"/>
        <v>53</v>
      </c>
      <c r="AC134" s="87">
        <f t="shared" si="39"/>
        <v>12443678.640000001</v>
      </c>
    </row>
    <row r="135" spans="1:29" x14ac:dyDescent="0.2">
      <c r="A135" s="21"/>
      <c r="B135" s="21"/>
      <c r="C135" s="159" t="s">
        <v>2224</v>
      </c>
      <c r="D135" s="161">
        <v>1</v>
      </c>
      <c r="E135" s="162">
        <v>28041.27</v>
      </c>
      <c r="F135" s="161">
        <v>1</v>
      </c>
      <c r="G135" s="162">
        <v>35351.25</v>
      </c>
      <c r="H135" s="161">
        <v>2</v>
      </c>
      <c r="I135" s="162">
        <f>41034.05+36669.42</f>
        <v>77703.47</v>
      </c>
      <c r="J135" s="161">
        <v>1</v>
      </c>
      <c r="K135" s="162">
        <v>44338.85</v>
      </c>
      <c r="L135" s="161">
        <v>3</v>
      </c>
      <c r="M135" s="162">
        <f>7513.03+1834.26+3047.94</f>
        <v>12395.23</v>
      </c>
      <c r="N135" s="161"/>
      <c r="O135" s="162"/>
      <c r="P135" s="161">
        <v>1</v>
      </c>
      <c r="Q135" s="162">
        <v>18484.849999999999</v>
      </c>
      <c r="R135" s="161"/>
      <c r="S135" s="162"/>
      <c r="T135" s="161"/>
      <c r="U135" s="162"/>
      <c r="V135" s="161"/>
      <c r="W135" s="162"/>
      <c r="X135" s="161">
        <v>25</v>
      </c>
      <c r="Y135" s="162">
        <f>29958.68+36612.5+17917.69+65909.08+20371.91+50570.25+70702.48+45537.2+26363.65+31300.83+33553.72+28760.33+43140.49+57520.67+52727.27+33553.72+57520.67+17975.21+43140.49+28760.33+49731.41+49132.22+57520.67+45681.53+38490.91</f>
        <v>1032453.9100000001</v>
      </c>
      <c r="Z135" s="161">
        <v>6</v>
      </c>
      <c r="AA135" s="162">
        <f>47933.88+61714.23+52727.27+71900.82+29958.68+52727.27</f>
        <v>316962.15000000002</v>
      </c>
      <c r="AB135" s="158">
        <f t="shared" si="38"/>
        <v>40</v>
      </c>
      <c r="AC135" s="87">
        <f t="shared" si="39"/>
        <v>1565730.9800000002</v>
      </c>
    </row>
    <row r="136" spans="1:29" x14ac:dyDescent="0.2">
      <c r="A136" s="21"/>
      <c r="B136" s="21"/>
      <c r="C136" s="20" t="s">
        <v>396</v>
      </c>
      <c r="D136" s="59">
        <v>2</v>
      </c>
      <c r="E136" s="16">
        <f>76000.89+140395.08</f>
        <v>216395.96999999997</v>
      </c>
      <c r="F136" s="59"/>
      <c r="G136" s="16"/>
      <c r="H136" s="59"/>
      <c r="I136" s="16"/>
      <c r="J136" s="59">
        <v>1</v>
      </c>
      <c r="K136" s="16">
        <v>22500</v>
      </c>
      <c r="L136" s="59"/>
      <c r="M136" s="16"/>
      <c r="N136" s="59"/>
      <c r="O136" s="16"/>
      <c r="P136" s="59"/>
      <c r="Q136" s="16"/>
      <c r="R136" s="59"/>
      <c r="S136" s="16"/>
      <c r="T136" s="59"/>
      <c r="U136" s="16"/>
      <c r="V136" s="59"/>
      <c r="W136" s="16"/>
      <c r="X136" s="59"/>
      <c r="Y136" s="16"/>
      <c r="Z136" s="59">
        <v>1</v>
      </c>
      <c r="AA136" s="16">
        <v>90314.07</v>
      </c>
      <c r="AB136" s="158">
        <f t="shared" si="38"/>
        <v>4</v>
      </c>
      <c r="AC136" s="87">
        <f t="shared" si="39"/>
        <v>329210.03999999998</v>
      </c>
    </row>
    <row r="137" spans="1:29" x14ac:dyDescent="0.2">
      <c r="A137" s="21"/>
      <c r="B137" s="21"/>
      <c r="C137" s="20" t="s">
        <v>393</v>
      </c>
      <c r="D137" s="59">
        <v>4</v>
      </c>
      <c r="E137" s="160">
        <f>51000+79648.93+20400+151626.69</f>
        <v>302675.62</v>
      </c>
      <c r="F137" s="59">
        <v>4</v>
      </c>
      <c r="G137" s="160">
        <f>54000+117500+116000+29375</f>
        <v>316875</v>
      </c>
      <c r="H137" s="59">
        <v>5</v>
      </c>
      <c r="I137" s="160">
        <f>25000+60000+25898.82+31500+140000</f>
        <v>282398.82</v>
      </c>
      <c r="J137" s="59">
        <v>2</v>
      </c>
      <c r="K137" s="160">
        <f>27200+26500</f>
        <v>53700</v>
      </c>
      <c r="L137" s="59">
        <v>6</v>
      </c>
      <c r="M137" s="160">
        <f>51000+14900+6200+3377.25+13509+40000</f>
        <v>128986.25</v>
      </c>
      <c r="N137" s="59">
        <v>2</v>
      </c>
      <c r="O137" s="160">
        <f>10000+29752.06</f>
        <v>39752.06</v>
      </c>
      <c r="P137" s="59">
        <v>2</v>
      </c>
      <c r="Q137" s="160">
        <f>7438.01+12750</f>
        <v>20188.010000000002</v>
      </c>
      <c r="R137" s="59"/>
      <c r="S137" s="160"/>
      <c r="T137" s="59">
        <v>3</v>
      </c>
      <c r="U137" s="160">
        <f>150760+34850+115000</f>
        <v>300610</v>
      </c>
      <c r="V137" s="59"/>
      <c r="W137" s="160"/>
      <c r="X137" s="59">
        <v>2</v>
      </c>
      <c r="Y137" s="160">
        <f>69600+16800</f>
        <v>86400</v>
      </c>
      <c r="Z137" s="59">
        <v>7</v>
      </c>
      <c r="AA137" s="16">
        <f>465000+75029+18757+15900+32000+88000+79546.44</f>
        <v>774232.44</v>
      </c>
      <c r="AB137" s="158">
        <f t="shared" si="38"/>
        <v>37</v>
      </c>
      <c r="AC137" s="87">
        <f t="shared" si="39"/>
        <v>2305818.2000000002</v>
      </c>
    </row>
    <row r="138" spans="1:29" x14ac:dyDescent="0.2">
      <c r="A138" s="21"/>
      <c r="B138" s="21"/>
      <c r="C138" s="20" t="s">
        <v>10</v>
      </c>
      <c r="D138" s="59"/>
      <c r="E138" s="16"/>
      <c r="F138" s="59"/>
      <c r="G138" s="16"/>
      <c r="H138" s="59"/>
      <c r="I138" s="16"/>
      <c r="J138" s="59"/>
      <c r="K138" s="16"/>
      <c r="L138" s="59"/>
      <c r="M138" s="16"/>
      <c r="N138" s="59"/>
      <c r="O138" s="16"/>
      <c r="P138" s="59"/>
      <c r="Q138" s="16"/>
      <c r="R138" s="59"/>
      <c r="S138" s="16"/>
      <c r="T138" s="59"/>
      <c r="U138" s="16"/>
      <c r="V138" s="59"/>
      <c r="W138" s="16"/>
      <c r="X138" s="59"/>
      <c r="Y138" s="16"/>
      <c r="Z138" s="59"/>
      <c r="AA138" s="16"/>
      <c r="AB138" s="158">
        <f t="shared" si="38"/>
        <v>0</v>
      </c>
      <c r="AC138" s="87">
        <f t="shared" si="39"/>
        <v>0</v>
      </c>
    </row>
    <row r="139" spans="1:29" x14ac:dyDescent="0.2">
      <c r="A139" s="21"/>
      <c r="B139" s="21"/>
      <c r="C139" s="20" t="s">
        <v>1101</v>
      </c>
      <c r="D139" s="59"/>
      <c r="E139" s="16"/>
      <c r="F139" s="59"/>
      <c r="G139" s="16"/>
      <c r="H139" s="59"/>
      <c r="I139" s="16"/>
      <c r="J139" s="59"/>
      <c r="K139" s="16"/>
      <c r="L139" s="59"/>
      <c r="M139" s="16"/>
      <c r="N139" s="59"/>
      <c r="O139" s="16"/>
      <c r="P139" s="59"/>
      <c r="Q139" s="16"/>
      <c r="R139" s="59"/>
      <c r="S139" s="16"/>
      <c r="T139" s="59"/>
      <c r="U139" s="16"/>
      <c r="V139" s="59"/>
      <c r="W139" s="16"/>
      <c r="X139" s="59"/>
      <c r="Y139" s="16"/>
      <c r="Z139" s="59"/>
      <c r="AA139" s="16"/>
      <c r="AB139" s="158">
        <f t="shared" si="38"/>
        <v>0</v>
      </c>
      <c r="AC139" s="87">
        <f t="shared" si="39"/>
        <v>0</v>
      </c>
    </row>
    <row r="140" spans="1:29" x14ac:dyDescent="0.2">
      <c r="A140" s="21"/>
      <c r="B140" s="21"/>
      <c r="C140" s="20" t="s">
        <v>8</v>
      </c>
      <c r="D140" s="59">
        <v>2</v>
      </c>
      <c r="E140" s="16">
        <f>25446.11+46867.4</f>
        <v>72313.510000000009</v>
      </c>
      <c r="F140" s="59">
        <v>3</v>
      </c>
      <c r="G140" s="16">
        <f>21412.79+52491.13+62769.78</f>
        <v>136673.70000000001</v>
      </c>
      <c r="H140" s="59">
        <v>5</v>
      </c>
      <c r="I140" s="16">
        <f>24756.45+15885.29+45812.91+47818.71+83362.59</f>
        <v>217635.95</v>
      </c>
      <c r="J140" s="59"/>
      <c r="K140" s="16"/>
      <c r="L140" s="59">
        <v>7</v>
      </c>
      <c r="M140" s="16">
        <f>1607.99+16047.13+2034.75+590.14+9477.2+3515.19+7912.83</f>
        <v>41185.230000000003</v>
      </c>
      <c r="N140" s="59">
        <v>14</v>
      </c>
      <c r="O140" s="16">
        <f>11967.24+1498.42+3968.04+5692.64+1797.28+566.7+46413.42+1845.38+2221.08+1136.79+1595.41+4005.96+1260.81+7608.62</f>
        <v>91577.79</v>
      </c>
      <c r="P140" s="59">
        <v>3</v>
      </c>
      <c r="Q140" s="16">
        <f>1928.01+347594.44+6636.9</f>
        <v>356159.35000000003</v>
      </c>
      <c r="R140" s="59"/>
      <c r="S140" s="16"/>
      <c r="T140" s="59">
        <v>1</v>
      </c>
      <c r="U140" s="16">
        <v>40214.33</v>
      </c>
      <c r="V140" s="59"/>
      <c r="W140" s="16"/>
      <c r="X140" s="59">
        <v>6</v>
      </c>
      <c r="Y140" s="16">
        <f>5613.3+361.92+109527+25396.07+36433.89+28580.82</f>
        <v>205913</v>
      </c>
      <c r="Z140" s="59">
        <v>1</v>
      </c>
      <c r="AA140" s="16">
        <v>53698.06</v>
      </c>
      <c r="AB140" s="158">
        <f t="shared" si="38"/>
        <v>42</v>
      </c>
      <c r="AC140" s="87">
        <f t="shared" si="39"/>
        <v>1215370.92</v>
      </c>
    </row>
    <row r="141" spans="1:29" x14ac:dyDescent="0.2">
      <c r="A141" s="22"/>
      <c r="B141" s="22"/>
      <c r="C141" s="21" t="s">
        <v>1426</v>
      </c>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19"/>
      <c r="AA141" s="119"/>
      <c r="AB141" s="158">
        <f t="shared" si="38"/>
        <v>0</v>
      </c>
      <c r="AC141" s="87">
        <f t="shared" si="39"/>
        <v>0</v>
      </c>
    </row>
    <row r="142" spans="1:29" x14ac:dyDescent="0.2">
      <c r="A142" s="424" t="s">
        <v>12</v>
      </c>
      <c r="B142" s="425"/>
      <c r="C142" s="426"/>
      <c r="D142" s="131">
        <f t="shared" ref="D142:E142" si="40">SUM(D130:D141)</f>
        <v>30</v>
      </c>
      <c r="E142" s="62">
        <f t="shared" si="40"/>
        <v>2569004.67</v>
      </c>
      <c r="F142" s="131">
        <f t="shared" ref="F142:P142" si="41">SUM(F130:F141)</f>
        <v>24</v>
      </c>
      <c r="G142" s="62">
        <f t="shared" si="41"/>
        <v>2618251.35</v>
      </c>
      <c r="H142" s="131">
        <f t="shared" si="41"/>
        <v>27</v>
      </c>
      <c r="I142" s="62">
        <f t="shared" si="41"/>
        <v>5519645.9500000002</v>
      </c>
      <c r="J142" s="131">
        <f t="shared" si="41"/>
        <v>26</v>
      </c>
      <c r="K142" s="62">
        <f t="shared" si="41"/>
        <v>2099968.7400000002</v>
      </c>
      <c r="L142" s="131">
        <f t="shared" si="41"/>
        <v>42</v>
      </c>
      <c r="M142" s="62">
        <f t="shared" si="41"/>
        <v>2796306.55</v>
      </c>
      <c r="N142" s="131">
        <f t="shared" si="41"/>
        <v>40</v>
      </c>
      <c r="O142" s="62">
        <f t="shared" si="41"/>
        <v>1372007.23</v>
      </c>
      <c r="P142" s="131">
        <f t="shared" si="41"/>
        <v>27</v>
      </c>
      <c r="Q142" s="62">
        <f>SUM(Q130:Q141)</f>
        <v>1074205.48</v>
      </c>
      <c r="R142" s="131">
        <f t="shared" ref="R142:AA142" si="42">SUM(R130:R141)</f>
        <v>15</v>
      </c>
      <c r="S142" s="62">
        <f t="shared" si="42"/>
        <v>4249369.0199999996</v>
      </c>
      <c r="T142" s="131">
        <f t="shared" si="42"/>
        <v>28</v>
      </c>
      <c r="U142" s="62">
        <f t="shared" si="42"/>
        <v>2224423.54</v>
      </c>
      <c r="V142" s="131">
        <f t="shared" si="42"/>
        <v>3</v>
      </c>
      <c r="W142" s="62">
        <f t="shared" si="42"/>
        <v>234000</v>
      </c>
      <c r="X142" s="131">
        <f t="shared" si="42"/>
        <v>90</v>
      </c>
      <c r="Y142" s="62">
        <f t="shared" si="42"/>
        <v>3572704.8400000003</v>
      </c>
      <c r="Z142" s="131">
        <f t="shared" si="42"/>
        <v>50</v>
      </c>
      <c r="AA142" s="62">
        <f t="shared" si="42"/>
        <v>5127742.8099999996</v>
      </c>
      <c r="AB142" s="131">
        <f>SUM(D142,F142,H142,J142,L142,N142,P142,R142,T142,V142,X142,Z142)</f>
        <v>402</v>
      </c>
      <c r="AC142" s="62">
        <f>SUM(AA142,Y142,W142,U142,S142,Q142,O142,M142,K142,I142,G142,E142)</f>
        <v>33457630.18</v>
      </c>
    </row>
    <row r="146" spans="1:29" x14ac:dyDescent="0.2">
      <c r="A146" s="71" t="s">
        <v>3169</v>
      </c>
      <c r="B146" s="71"/>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row>
    <row r="147" spans="1:29" x14ac:dyDescent="0.2">
      <c r="A147" s="10"/>
      <c r="B147" s="10"/>
      <c r="C147" s="10"/>
      <c r="D147" s="421" t="s">
        <v>635</v>
      </c>
      <c r="E147" s="421"/>
      <c r="F147" s="421" t="s">
        <v>853</v>
      </c>
      <c r="G147" s="421"/>
      <c r="H147" s="421" t="s">
        <v>860</v>
      </c>
      <c r="I147" s="421"/>
      <c r="J147" s="421" t="s">
        <v>863</v>
      </c>
      <c r="K147" s="421"/>
      <c r="L147" s="427" t="s">
        <v>1220</v>
      </c>
      <c r="M147" s="427"/>
      <c r="N147" s="428" t="s">
        <v>913</v>
      </c>
      <c r="O147" s="421"/>
      <c r="P147" s="428" t="s">
        <v>953</v>
      </c>
      <c r="Q147" s="421"/>
      <c r="R147" s="421" t="s">
        <v>955</v>
      </c>
      <c r="S147" s="421"/>
      <c r="T147" s="421" t="s">
        <v>970</v>
      </c>
      <c r="U147" s="421"/>
      <c r="V147" s="421" t="s">
        <v>989</v>
      </c>
      <c r="W147" s="421"/>
      <c r="X147" s="421" t="s">
        <v>1004</v>
      </c>
      <c r="Y147" s="421"/>
      <c r="Z147" s="421" t="s">
        <v>1031</v>
      </c>
      <c r="AA147" s="421"/>
      <c r="AB147" s="422" t="s">
        <v>1302</v>
      </c>
      <c r="AC147" s="423"/>
    </row>
    <row r="148" spans="1:29" x14ac:dyDescent="0.2">
      <c r="D148" s="8" t="s">
        <v>633</v>
      </c>
      <c r="E148" s="8" t="s">
        <v>843</v>
      </c>
      <c r="F148" s="8" t="s">
        <v>633</v>
      </c>
      <c r="G148" s="8" t="s">
        <v>843</v>
      </c>
      <c r="H148" s="8" t="s">
        <v>633</v>
      </c>
      <c r="I148" s="8" t="s">
        <v>843</v>
      </c>
      <c r="J148" s="8" t="s">
        <v>633</v>
      </c>
      <c r="K148" s="8" t="s">
        <v>843</v>
      </c>
      <c r="L148" s="8" t="s">
        <v>633</v>
      </c>
      <c r="M148" s="8" t="s">
        <v>843</v>
      </c>
      <c r="N148" s="8" t="s">
        <v>633</v>
      </c>
      <c r="O148" s="8" t="s">
        <v>843</v>
      </c>
      <c r="P148" s="8" t="s">
        <v>633</v>
      </c>
      <c r="Q148" s="8" t="s">
        <v>843</v>
      </c>
      <c r="R148" s="8" t="s">
        <v>633</v>
      </c>
      <c r="S148" s="8" t="s">
        <v>843</v>
      </c>
      <c r="T148" s="8" t="s">
        <v>633</v>
      </c>
      <c r="U148" s="8" t="s">
        <v>843</v>
      </c>
      <c r="V148" s="8" t="s">
        <v>633</v>
      </c>
      <c r="W148" s="8" t="s">
        <v>843</v>
      </c>
      <c r="X148" s="8" t="s">
        <v>633</v>
      </c>
      <c r="Y148" s="8" t="s">
        <v>843</v>
      </c>
      <c r="Z148" s="8" t="s">
        <v>633</v>
      </c>
      <c r="AA148" s="8" t="s">
        <v>843</v>
      </c>
      <c r="AB148" s="94" t="s">
        <v>633</v>
      </c>
      <c r="AC148" s="94" t="s">
        <v>843</v>
      </c>
    </row>
    <row r="149" spans="1:29" x14ac:dyDescent="0.2">
      <c r="A149" s="19" t="s">
        <v>1183</v>
      </c>
      <c r="B149" s="19" t="s">
        <v>422</v>
      </c>
      <c r="C149" s="20" t="s">
        <v>701</v>
      </c>
      <c r="D149" s="59">
        <v>9</v>
      </c>
      <c r="E149" s="16">
        <f>40000+13516.56+10000+10000+189600+12407.6+363000+13365+22000</f>
        <v>673889.15999999992</v>
      </c>
      <c r="F149" s="59">
        <v>6</v>
      </c>
      <c r="G149" s="16">
        <f>36000+25500+18000+19000+25000+25500</f>
        <v>149000</v>
      </c>
      <c r="H149" s="59">
        <v>6</v>
      </c>
      <c r="I149" s="16">
        <f>63300+11880+38000+22275+68500+28500</f>
        <v>232455</v>
      </c>
      <c r="J149" s="59"/>
      <c r="K149" s="16"/>
      <c r="L149" s="59"/>
      <c r="M149" s="16"/>
      <c r="N149" s="59">
        <v>2</v>
      </c>
      <c r="O149" s="16">
        <f>94679.2+100000</f>
        <v>194679.2</v>
      </c>
      <c r="P149" s="59"/>
      <c r="Q149" s="16"/>
      <c r="R149" s="59">
        <v>1</v>
      </c>
      <c r="S149" s="16">
        <v>311200</v>
      </c>
      <c r="T149" s="59"/>
      <c r="U149" s="16"/>
      <c r="V149" s="59">
        <v>1</v>
      </c>
      <c r="W149" s="16">
        <v>216300</v>
      </c>
      <c r="X149" s="59"/>
      <c r="Y149" s="16"/>
      <c r="Z149" s="59">
        <v>1</v>
      </c>
      <c r="AA149" s="16">
        <v>100000</v>
      </c>
      <c r="AB149" s="158">
        <f t="shared" ref="AB149:AB160" si="43">SUM(D149,F149,H149,J149,L149,N149,P149,R149,T149,V149,X149,Z149)</f>
        <v>26</v>
      </c>
      <c r="AC149" s="87">
        <f t="shared" ref="AC149:AC160" si="44">SUM(AA149,Y149,W149,U149,S149,Q149,O149,M149,K149,I149,G149,E149)</f>
        <v>1877523.3599999999</v>
      </c>
    </row>
    <row r="150" spans="1:29" x14ac:dyDescent="0.2">
      <c r="A150" s="21"/>
      <c r="B150" s="21"/>
      <c r="C150" s="20" t="s">
        <v>396</v>
      </c>
      <c r="D150" s="59">
        <v>3</v>
      </c>
      <c r="E150" s="16">
        <f>25600+146761.11+12888.89</f>
        <v>185250</v>
      </c>
      <c r="F150" s="59">
        <v>5</v>
      </c>
      <c r="G150" s="16">
        <f>4000+11022.22+19852.8+198083.33+28800</f>
        <v>261758.34999999998</v>
      </c>
      <c r="H150" s="59">
        <v>8</v>
      </c>
      <c r="I150" s="16">
        <f>9500+44450+27000+2116.67+25905+650+8400+208000</f>
        <v>326021.67</v>
      </c>
      <c r="J150" s="59"/>
      <c r="K150" s="16"/>
      <c r="L150" s="59"/>
      <c r="M150" s="16"/>
      <c r="N150" s="59">
        <v>1</v>
      </c>
      <c r="O150" s="16">
        <v>87200</v>
      </c>
      <c r="P150" s="59">
        <v>1</v>
      </c>
      <c r="Q150" s="16">
        <v>31944</v>
      </c>
      <c r="R150" s="59">
        <v>3</v>
      </c>
      <c r="S150" s="16">
        <f>62370+23466.67+34333.33</f>
        <v>120170</v>
      </c>
      <c r="T150" s="59">
        <v>5</v>
      </c>
      <c r="U150" s="16">
        <f>96166.67+23280+52093.33+25800+8640</f>
        <v>205980</v>
      </c>
      <c r="V150" s="59">
        <v>14</v>
      </c>
      <c r="W150" s="16">
        <f>9636+10200+49200+34200+37422+17040+51600+212953.33+30973.33+181280+38833.33+18000+11760+41166.67</f>
        <v>744264.65999999992</v>
      </c>
      <c r="X150" s="59">
        <v>9</v>
      </c>
      <c r="Y150" s="16">
        <f>6240+385450+2200.03+51946.67+41000+5340+16800+12474+38546.66</f>
        <v>559997.36</v>
      </c>
      <c r="Z150" s="59">
        <v>3</v>
      </c>
      <c r="AA150" s="177">
        <f>162895.56+10800+706000</f>
        <v>879695.56</v>
      </c>
      <c r="AB150" s="158">
        <f t="shared" si="43"/>
        <v>52</v>
      </c>
      <c r="AC150" s="87">
        <f t="shared" si="44"/>
        <v>3402281.6</v>
      </c>
    </row>
    <row r="151" spans="1:29" x14ac:dyDescent="0.2">
      <c r="A151" s="21"/>
      <c r="B151" s="22"/>
      <c r="C151" s="20" t="s">
        <v>8</v>
      </c>
      <c r="D151" s="59">
        <v>2</v>
      </c>
      <c r="E151" s="16">
        <f>4845.64+55407.71</f>
        <v>60253.35</v>
      </c>
      <c r="F151" s="59">
        <v>1</v>
      </c>
      <c r="G151" s="16">
        <v>96863.84</v>
      </c>
      <c r="H151" s="59">
        <v>3</v>
      </c>
      <c r="I151" s="16">
        <f>490.66+13243.28+1985</f>
        <v>15718.94</v>
      </c>
      <c r="J151" s="59"/>
      <c r="K151" s="16"/>
      <c r="L151" s="59"/>
      <c r="M151" s="16"/>
      <c r="N151" s="59"/>
      <c r="O151" s="16"/>
      <c r="P151" s="59">
        <v>1</v>
      </c>
      <c r="Q151" s="16">
        <v>18189.23</v>
      </c>
      <c r="R151" s="59">
        <v>2</v>
      </c>
      <c r="S151" s="16">
        <f>5007.11+4881.76</f>
        <v>9888.869999999999</v>
      </c>
      <c r="T151" s="59">
        <v>6</v>
      </c>
      <c r="U151" s="16">
        <f>32947.21+18359.35+16801.02+63105.32+6473.75+75558.11</f>
        <v>213244.76</v>
      </c>
      <c r="V151" s="59">
        <v>6</v>
      </c>
      <c r="W151" s="16">
        <f>152916.17+14382.45+12462.13+6469.65+851.7+15415.66</f>
        <v>202497.76000000004</v>
      </c>
      <c r="X151" s="59">
        <v>3</v>
      </c>
      <c r="Y151" s="16">
        <f>4558.85+12653.52+20701.45</f>
        <v>37913.820000000007</v>
      </c>
      <c r="Z151" s="59"/>
      <c r="AA151" s="83"/>
      <c r="AB151" s="158">
        <f t="shared" si="43"/>
        <v>24</v>
      </c>
      <c r="AC151" s="87">
        <f t="shared" si="44"/>
        <v>654570.57000000007</v>
      </c>
    </row>
    <row r="152" spans="1:29" x14ac:dyDescent="0.2">
      <c r="A152" s="21"/>
      <c r="B152" s="19" t="s">
        <v>392</v>
      </c>
      <c r="C152" s="20" t="s">
        <v>701</v>
      </c>
      <c r="D152" s="59"/>
      <c r="E152" s="103"/>
      <c r="F152" s="59"/>
      <c r="G152" s="103"/>
      <c r="H152" s="59"/>
      <c r="I152" s="103"/>
      <c r="J152" s="59"/>
      <c r="K152" s="103"/>
      <c r="L152" s="59"/>
      <c r="M152" s="103"/>
      <c r="N152" s="59"/>
      <c r="O152" s="103"/>
      <c r="P152" s="59"/>
      <c r="Q152" s="103"/>
      <c r="R152" s="59"/>
      <c r="S152" s="103"/>
      <c r="T152" s="59"/>
      <c r="U152" s="103"/>
      <c r="V152" s="59"/>
      <c r="W152" s="103"/>
      <c r="X152" s="59"/>
      <c r="Y152" s="103"/>
      <c r="Z152" s="59"/>
      <c r="AA152" s="103"/>
      <c r="AB152" s="158">
        <f t="shared" si="43"/>
        <v>0</v>
      </c>
      <c r="AC152" s="87">
        <f t="shared" si="44"/>
        <v>0</v>
      </c>
    </row>
    <row r="153" spans="1:29" x14ac:dyDescent="0.2">
      <c r="A153" s="21"/>
      <c r="B153" s="21"/>
      <c r="C153" s="20" t="s">
        <v>9</v>
      </c>
      <c r="D153" s="59">
        <v>4</v>
      </c>
      <c r="E153" s="16">
        <f>187561.2+335572.86+89071+146344</f>
        <v>758549.06</v>
      </c>
      <c r="F153" s="59">
        <v>3</v>
      </c>
      <c r="G153" s="16">
        <f>150842.86+250764+214486</f>
        <v>616092.86</v>
      </c>
      <c r="H153" s="59">
        <v>6</v>
      </c>
      <c r="I153" s="16">
        <f>348860+226355.71+289714+73988+219387+198871</f>
        <v>1357175.71</v>
      </c>
      <c r="J153" s="59"/>
      <c r="K153" s="16"/>
      <c r="L153" s="59"/>
      <c r="M153" s="16"/>
      <c r="N153" s="59"/>
      <c r="O153" s="16"/>
      <c r="P153" s="59"/>
      <c r="Q153" s="16"/>
      <c r="R153" s="59"/>
      <c r="S153" s="16"/>
      <c r="T153" s="59"/>
      <c r="U153" s="16"/>
      <c r="V153" s="59"/>
      <c r="W153" s="16"/>
      <c r="X153" s="59"/>
      <c r="Y153" s="16"/>
      <c r="Z153" s="59"/>
      <c r="AA153" s="16"/>
      <c r="AB153" s="158">
        <f t="shared" si="43"/>
        <v>13</v>
      </c>
      <c r="AC153" s="87">
        <f t="shared" si="44"/>
        <v>2731817.63</v>
      </c>
    </row>
    <row r="154" spans="1:29" x14ac:dyDescent="0.2">
      <c r="A154" s="21"/>
      <c r="B154" s="21"/>
      <c r="C154" s="159" t="s">
        <v>2224</v>
      </c>
      <c r="D154" s="161">
        <v>1</v>
      </c>
      <c r="E154" s="162">
        <v>35000</v>
      </c>
      <c r="F154" s="161">
        <v>6</v>
      </c>
      <c r="G154" s="162">
        <f>13000+14380.16+11983.47+15000+20000+28000</f>
        <v>102363.63</v>
      </c>
      <c r="H154" s="161">
        <v>4</v>
      </c>
      <c r="I154" s="162">
        <f>11000+11000+11000+8000</f>
        <v>41000</v>
      </c>
      <c r="J154" s="161"/>
      <c r="K154" s="162"/>
      <c r="L154" s="161"/>
      <c r="M154" s="162"/>
      <c r="N154" s="161"/>
      <c r="O154" s="162"/>
      <c r="P154" s="161"/>
      <c r="Q154" s="162"/>
      <c r="R154" s="161"/>
      <c r="S154" s="162"/>
      <c r="T154" s="161"/>
      <c r="U154" s="162"/>
      <c r="V154" s="161"/>
      <c r="W154" s="162"/>
      <c r="X154" s="161"/>
      <c r="Y154" s="162"/>
      <c r="Z154" s="161">
        <v>35</v>
      </c>
      <c r="AA154" s="174">
        <f>49731.41+41024.79+46735.53+45851.24+41586.77+43140.5+58719.02+35950.41+30165.29+47933.88+48264.47+27112.6+18760.13+20153.2+15681.82+32355.38+37537.69+45537.19+55123.97+31989.16+49132.23+41305.79+53925.62+27382.23+55723.14+46480.89+49471.08+55504.14+51884.3+51528.92+40743.8+29958.68+48595.04+16339.47+37148.76</f>
        <v>1428478.5399999998</v>
      </c>
      <c r="AB154" s="158">
        <f t="shared" si="43"/>
        <v>46</v>
      </c>
      <c r="AC154" s="87">
        <f t="shared" si="44"/>
        <v>1606842.17</v>
      </c>
    </row>
    <row r="155" spans="1:29" x14ac:dyDescent="0.2">
      <c r="A155" s="21"/>
      <c r="B155" s="21"/>
      <c r="C155" s="20" t="s">
        <v>396</v>
      </c>
      <c r="D155" s="59"/>
      <c r="E155" s="16"/>
      <c r="F155" s="59"/>
      <c r="G155" s="16"/>
      <c r="H155" s="59">
        <v>1</v>
      </c>
      <c r="I155" s="16">
        <v>39000</v>
      </c>
      <c r="J155" s="59"/>
      <c r="K155" s="16"/>
      <c r="L155" s="59"/>
      <c r="M155" s="16"/>
      <c r="N155" s="59"/>
      <c r="O155" s="16"/>
      <c r="P155" s="59"/>
      <c r="Q155" s="16"/>
      <c r="R155" s="59"/>
      <c r="S155" s="16"/>
      <c r="T155" s="59">
        <v>2</v>
      </c>
      <c r="U155" s="16">
        <f>120000+86000</f>
        <v>206000</v>
      </c>
      <c r="V155" s="59"/>
      <c r="W155" s="16"/>
      <c r="X155" s="59"/>
      <c r="Y155" s="16"/>
      <c r="Z155" s="59"/>
      <c r="AA155" s="16"/>
      <c r="AB155" s="158">
        <f t="shared" si="43"/>
        <v>3</v>
      </c>
      <c r="AC155" s="87">
        <f t="shared" si="44"/>
        <v>245000</v>
      </c>
    </row>
    <row r="156" spans="1:29" x14ac:dyDescent="0.2">
      <c r="A156" s="21"/>
      <c r="B156" s="21"/>
      <c r="C156" s="20" t="s">
        <v>393</v>
      </c>
      <c r="D156" s="59">
        <v>5</v>
      </c>
      <c r="E156" s="160">
        <f>51000+39680+132812.1+22000+9920</f>
        <v>255412.1</v>
      </c>
      <c r="F156" s="59"/>
      <c r="G156" s="160"/>
      <c r="H156" s="59">
        <v>2</v>
      </c>
      <c r="I156" s="160">
        <f>17670+70680</f>
        <v>88350</v>
      </c>
      <c r="J156" s="59"/>
      <c r="K156" s="160"/>
      <c r="L156" s="59"/>
      <c r="M156" s="160"/>
      <c r="N156" s="59"/>
      <c r="O156" s="160"/>
      <c r="P156" s="59"/>
      <c r="Q156" s="160"/>
      <c r="R156" s="59">
        <v>5</v>
      </c>
      <c r="S156" s="160">
        <f>30000+140000+24000+7200+52350</f>
        <v>253550</v>
      </c>
      <c r="T156" s="59">
        <v>3</v>
      </c>
      <c r="U156" s="160">
        <f>17160+15200+4560</f>
        <v>36920</v>
      </c>
      <c r="V156" s="59">
        <v>7</v>
      </c>
      <c r="W156" s="173">
        <f>9000+4800+34000+14865.91+63800+21000+8700</f>
        <v>156165.91</v>
      </c>
      <c r="X156" s="59">
        <v>20</v>
      </c>
      <c r="Y156" s="160">
        <f>96000+94200+10453.82+98754+15687+13665+45550+31000+8800+66950+5720.5+9000+16500+19475+34080+21000+9000+8200+28260+16000</f>
        <v>648295.32000000007</v>
      </c>
      <c r="Z156" s="59">
        <v>7</v>
      </c>
      <c r="AA156" s="16">
        <f>11928.25+26000+26334.4+4800+20286+122500+87781</f>
        <v>299629.65000000002</v>
      </c>
      <c r="AB156" s="158">
        <f t="shared" si="43"/>
        <v>49</v>
      </c>
      <c r="AC156" s="87">
        <f t="shared" si="44"/>
        <v>1738322.9800000002</v>
      </c>
    </row>
    <row r="157" spans="1:29" x14ac:dyDescent="0.2">
      <c r="A157" s="21"/>
      <c r="B157" s="21"/>
      <c r="C157" s="20" t="s">
        <v>10</v>
      </c>
      <c r="D157" s="59"/>
      <c r="E157" s="16"/>
      <c r="F157" s="59"/>
      <c r="G157" s="16"/>
      <c r="H157" s="59"/>
      <c r="I157" s="16"/>
      <c r="J157" s="59"/>
      <c r="K157" s="16"/>
      <c r="L157" s="59"/>
      <c r="M157" s="16"/>
      <c r="N157" s="59"/>
      <c r="O157" s="16"/>
      <c r="P157" s="59"/>
      <c r="Q157" s="16"/>
      <c r="R157" s="59"/>
      <c r="S157" s="16"/>
      <c r="T157" s="59"/>
      <c r="U157" s="16"/>
      <c r="V157" s="59"/>
      <c r="W157" s="16"/>
      <c r="X157" s="59"/>
      <c r="Y157" s="16"/>
      <c r="Z157" s="59"/>
      <c r="AA157" s="16"/>
      <c r="AB157" s="158">
        <f t="shared" si="43"/>
        <v>0</v>
      </c>
      <c r="AC157" s="87">
        <f t="shared" si="44"/>
        <v>0</v>
      </c>
    </row>
    <row r="158" spans="1:29" x14ac:dyDescent="0.2">
      <c r="A158" s="21"/>
      <c r="B158" s="21"/>
      <c r="C158" s="20" t="s">
        <v>1101</v>
      </c>
      <c r="D158" s="59"/>
      <c r="E158" s="16"/>
      <c r="F158" s="59"/>
      <c r="G158" s="16"/>
      <c r="H158" s="59"/>
      <c r="I158" s="16"/>
      <c r="J158" s="59"/>
      <c r="K158" s="16"/>
      <c r="L158" s="59"/>
      <c r="M158" s="16"/>
      <c r="N158" s="59"/>
      <c r="O158" s="16"/>
      <c r="P158" s="59"/>
      <c r="Q158" s="16"/>
      <c r="R158" s="59"/>
      <c r="S158" s="16"/>
      <c r="T158" s="59"/>
      <c r="U158" s="16"/>
      <c r="V158" s="59"/>
      <c r="W158" s="16"/>
      <c r="X158" s="59"/>
      <c r="Y158" s="16"/>
      <c r="Z158" s="59"/>
      <c r="AA158" s="16"/>
      <c r="AB158" s="158">
        <f t="shared" si="43"/>
        <v>0</v>
      </c>
      <c r="AC158" s="87">
        <f t="shared" si="44"/>
        <v>0</v>
      </c>
    </row>
    <row r="159" spans="1:29" x14ac:dyDescent="0.2">
      <c r="A159" s="21"/>
      <c r="B159" s="21"/>
      <c r="C159" s="20" t="s">
        <v>8</v>
      </c>
      <c r="D159" s="59">
        <v>3</v>
      </c>
      <c r="E159" s="16">
        <f>7176.31+34739.92+9941.68</f>
        <v>51857.909999999996</v>
      </c>
      <c r="F159" s="59">
        <v>1</v>
      </c>
      <c r="G159" s="16">
        <v>5395.33</v>
      </c>
      <c r="H159" s="59">
        <v>6</v>
      </c>
      <c r="I159" s="16">
        <f>1364.94+8089.34+5494.4+33342.47+100021.09+1433.32</f>
        <v>149745.56</v>
      </c>
      <c r="J159" s="59"/>
      <c r="K159" s="16"/>
      <c r="L159" s="59"/>
      <c r="M159" s="16"/>
      <c r="N159" s="59"/>
      <c r="O159" s="16"/>
      <c r="P159" s="59">
        <v>9</v>
      </c>
      <c r="Q159" s="16">
        <f>5400+23777.57+14254.05+673.99+7583.29+42705.89+33085.21+13842.71+8112</f>
        <v>149434.71</v>
      </c>
      <c r="R159" s="59">
        <v>5</v>
      </c>
      <c r="S159" s="16">
        <f>7469.11+214765.57+4200+54137.79+24027.15</f>
        <v>304599.62</v>
      </c>
      <c r="T159" s="59">
        <v>7</v>
      </c>
      <c r="U159" s="16">
        <f>18120.55+11407.59+2229.01+2668.36+33468.96+8418.9+1138.48</f>
        <v>77451.849999999991</v>
      </c>
      <c r="V159" s="59">
        <v>6</v>
      </c>
      <c r="W159" s="16">
        <f>769.14+22104.47+42372.2+1383.55+8180.2+1591.82</f>
        <v>76401.38</v>
      </c>
      <c r="X159" s="59">
        <v>3</v>
      </c>
      <c r="Y159" s="16">
        <f>91339.33+17130.57+4147.13</f>
        <v>112617.03</v>
      </c>
      <c r="Z159" s="59">
        <v>4</v>
      </c>
      <c r="AA159" s="16">
        <f>5920.14+35192.71+46772.93+7662.21</f>
        <v>95547.99</v>
      </c>
      <c r="AB159" s="158">
        <f t="shared" si="43"/>
        <v>44</v>
      </c>
      <c r="AC159" s="87">
        <f t="shared" si="44"/>
        <v>1023051.3799999999</v>
      </c>
    </row>
    <row r="160" spans="1:29" x14ac:dyDescent="0.2">
      <c r="A160" s="22"/>
      <c r="B160" s="22"/>
      <c r="C160" s="21" t="s">
        <v>1426</v>
      </c>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c r="AA160" s="119"/>
      <c r="AB160" s="158">
        <f t="shared" si="43"/>
        <v>0</v>
      </c>
      <c r="AC160" s="87">
        <f t="shared" si="44"/>
        <v>0</v>
      </c>
    </row>
    <row r="161" spans="1:29" x14ac:dyDescent="0.2">
      <c r="A161" s="424"/>
      <c r="B161" s="425"/>
      <c r="C161" s="426"/>
      <c r="D161" s="131">
        <f t="shared" ref="D161:E161" si="45">SUM(D149:D160)</f>
        <v>27</v>
      </c>
      <c r="E161" s="62">
        <f t="shared" si="45"/>
        <v>2020211.5799999998</v>
      </c>
      <c r="F161" s="131">
        <f t="shared" ref="F161:P161" si="46">SUM(F149:F160)</f>
        <v>22</v>
      </c>
      <c r="G161" s="62">
        <f t="shared" si="46"/>
        <v>1231474.0099999998</v>
      </c>
      <c r="H161" s="131">
        <f t="shared" si="46"/>
        <v>36</v>
      </c>
      <c r="I161" s="62">
        <f t="shared" si="46"/>
        <v>2249466.8799999999</v>
      </c>
      <c r="J161" s="131">
        <f t="shared" si="46"/>
        <v>0</v>
      </c>
      <c r="K161" s="62">
        <f t="shared" si="46"/>
        <v>0</v>
      </c>
      <c r="L161" s="131">
        <f t="shared" si="46"/>
        <v>0</v>
      </c>
      <c r="M161" s="62">
        <f t="shared" si="46"/>
        <v>0</v>
      </c>
      <c r="N161" s="131">
        <f t="shared" si="46"/>
        <v>3</v>
      </c>
      <c r="O161" s="62">
        <f t="shared" si="46"/>
        <v>281879.2</v>
      </c>
      <c r="P161" s="131">
        <f t="shared" si="46"/>
        <v>11</v>
      </c>
      <c r="Q161" s="62">
        <f>SUM(Q149:Q160)</f>
        <v>199567.94</v>
      </c>
      <c r="R161" s="131">
        <f t="shared" ref="R161:AA161" si="47">SUM(R149:R160)</f>
        <v>16</v>
      </c>
      <c r="S161" s="62">
        <f t="shared" si="47"/>
        <v>999408.49</v>
      </c>
      <c r="T161" s="131">
        <f t="shared" si="47"/>
        <v>23</v>
      </c>
      <c r="U161" s="62">
        <f t="shared" si="47"/>
        <v>739596.61</v>
      </c>
      <c r="V161" s="131">
        <f t="shared" si="47"/>
        <v>34</v>
      </c>
      <c r="W161" s="62">
        <f t="shared" si="47"/>
        <v>1395629.71</v>
      </c>
      <c r="X161" s="131">
        <f t="shared" si="47"/>
        <v>35</v>
      </c>
      <c r="Y161" s="62">
        <f t="shared" si="47"/>
        <v>1358823.53</v>
      </c>
      <c r="Z161" s="131">
        <f t="shared" si="47"/>
        <v>50</v>
      </c>
      <c r="AA161" s="62">
        <f t="shared" si="47"/>
        <v>2803351.7399999998</v>
      </c>
      <c r="AB161" s="131">
        <f>SUM(D161,F161,H161,J161,L161,N161,P161,R161,T161,V161,X161,Z161)</f>
        <v>257</v>
      </c>
      <c r="AC161" s="62">
        <f>SUM(AA161,Y161,W161,U161,S161,Q161,O161,M161,K161,I161,G161,E161)</f>
        <v>13279409.690000001</v>
      </c>
    </row>
    <row r="165" spans="1:29" x14ac:dyDescent="0.2">
      <c r="A165" s="71" t="s">
        <v>3725</v>
      </c>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row>
    <row r="166" spans="1:29" x14ac:dyDescent="0.2">
      <c r="A166" s="10"/>
      <c r="B166" s="10"/>
      <c r="C166" s="10"/>
      <c r="D166" s="421" t="s">
        <v>635</v>
      </c>
      <c r="E166" s="421"/>
      <c r="F166" s="421" t="s">
        <v>853</v>
      </c>
      <c r="G166" s="421"/>
      <c r="H166" s="421" t="s">
        <v>860</v>
      </c>
      <c r="I166" s="421"/>
      <c r="J166" s="421" t="s">
        <v>863</v>
      </c>
      <c r="K166" s="421"/>
      <c r="L166" s="427" t="s">
        <v>1220</v>
      </c>
      <c r="M166" s="427"/>
      <c r="N166" s="428" t="s">
        <v>913</v>
      </c>
      <c r="O166" s="421"/>
      <c r="P166" s="428" t="s">
        <v>953</v>
      </c>
      <c r="Q166" s="421"/>
      <c r="R166" s="421" t="s">
        <v>955</v>
      </c>
      <c r="S166" s="421"/>
      <c r="T166" s="421" t="s">
        <v>970</v>
      </c>
      <c r="U166" s="421"/>
      <c r="V166" s="421" t="s">
        <v>989</v>
      </c>
      <c r="W166" s="421"/>
      <c r="X166" s="421" t="s">
        <v>1004</v>
      </c>
      <c r="Y166" s="421"/>
      <c r="Z166" s="421" t="s">
        <v>1031</v>
      </c>
      <c r="AA166" s="421"/>
      <c r="AB166" s="422" t="s">
        <v>1302</v>
      </c>
      <c r="AC166" s="423"/>
    </row>
    <row r="167" spans="1:29" x14ac:dyDescent="0.2">
      <c r="D167" s="8" t="s">
        <v>633</v>
      </c>
      <c r="E167" s="8" t="s">
        <v>843</v>
      </c>
      <c r="F167" s="8" t="s">
        <v>633</v>
      </c>
      <c r="G167" s="8" t="s">
        <v>843</v>
      </c>
      <c r="H167" s="8" t="s">
        <v>633</v>
      </c>
      <c r="I167" s="8" t="s">
        <v>843</v>
      </c>
      <c r="J167" s="8" t="s">
        <v>633</v>
      </c>
      <c r="K167" s="8" t="s">
        <v>843</v>
      </c>
      <c r="L167" s="8" t="s">
        <v>633</v>
      </c>
      <c r="M167" s="8" t="s">
        <v>843</v>
      </c>
      <c r="N167" s="8" t="s">
        <v>633</v>
      </c>
      <c r="O167" s="8" t="s">
        <v>843</v>
      </c>
      <c r="P167" s="8" t="s">
        <v>633</v>
      </c>
      <c r="Q167" s="8" t="s">
        <v>843</v>
      </c>
      <c r="R167" s="8" t="s">
        <v>633</v>
      </c>
      <c r="S167" s="8" t="s">
        <v>843</v>
      </c>
      <c r="T167" s="8" t="s">
        <v>633</v>
      </c>
      <c r="U167" s="8" t="s">
        <v>843</v>
      </c>
      <c r="V167" s="8" t="s">
        <v>633</v>
      </c>
      <c r="W167" s="8" t="s">
        <v>843</v>
      </c>
      <c r="X167" s="8" t="s">
        <v>633</v>
      </c>
      <c r="Y167" s="8" t="s">
        <v>843</v>
      </c>
      <c r="Z167" s="8" t="s">
        <v>633</v>
      </c>
      <c r="AA167" s="8" t="s">
        <v>843</v>
      </c>
      <c r="AB167" s="94" t="s">
        <v>633</v>
      </c>
      <c r="AC167" s="94" t="s">
        <v>843</v>
      </c>
    </row>
    <row r="168" spans="1:29" x14ac:dyDescent="0.2">
      <c r="A168" s="19" t="s">
        <v>1183</v>
      </c>
      <c r="B168" s="19" t="s">
        <v>422</v>
      </c>
      <c r="C168" s="20" t="s">
        <v>701</v>
      </c>
      <c r="D168" s="59">
        <v>3</v>
      </c>
      <c r="E168" s="16">
        <f>114000+40000+25000</f>
        <v>179000</v>
      </c>
      <c r="F168" s="59">
        <v>17</v>
      </c>
      <c r="G168" s="16">
        <f>225075+74050+75500+33300+14620+35000+409100+113600+156000+56000+61900+156300+25500+33780+33000+644780+106400</f>
        <v>2253905</v>
      </c>
      <c r="H168" s="59">
        <v>8</v>
      </c>
      <c r="I168" s="16">
        <f>14390+39700+58500+115200+34000+48000+140720+160000</f>
        <v>610510</v>
      </c>
      <c r="J168" s="59">
        <v>9</v>
      </c>
      <c r="K168" s="16">
        <f>34500+80000+370000+23500+8350+37750+179917.37+99951+55500</f>
        <v>889468.37</v>
      </c>
      <c r="L168" s="59">
        <v>5</v>
      </c>
      <c r="M168" s="16">
        <f>209490.48+27000+37996.8+274000+349000</f>
        <v>897487.28</v>
      </c>
      <c r="N168" s="59">
        <v>2</v>
      </c>
      <c r="O168" s="16">
        <f>110800+76800</f>
        <v>187600</v>
      </c>
      <c r="P168" s="59">
        <v>11</v>
      </c>
      <c r="Q168" s="16">
        <f>13738.65+33329.69+19000+25000+55000+22000+3554397+25500+82800+71500+63920</f>
        <v>3966185.34</v>
      </c>
      <c r="R168" s="59">
        <v>5</v>
      </c>
      <c r="S168" s="16">
        <f>40000+14950+41754.24+72700+48100</f>
        <v>217504.24</v>
      </c>
      <c r="T168" s="59">
        <v>3</v>
      </c>
      <c r="U168" s="16">
        <f>29760+38900+170000</f>
        <v>238660</v>
      </c>
      <c r="V168" s="59">
        <v>7</v>
      </c>
      <c r="W168" s="16">
        <f>78900+25500+32500+140500+45000+14500+58000</f>
        <v>394900</v>
      </c>
      <c r="X168" s="59">
        <v>2</v>
      </c>
      <c r="Y168" s="16">
        <f>936405+20500</f>
        <v>956905</v>
      </c>
      <c r="Z168" s="59">
        <v>3</v>
      </c>
      <c r="AA168" s="16">
        <f>31621.44+26389.6+21118.95</f>
        <v>79129.989999999991</v>
      </c>
      <c r="AB168" s="158">
        <f t="shared" ref="AB168:AB179" si="48">SUM(D168,F168,H168,J168,L168,N168,P168,R168,T168,V168,X168,Z168)</f>
        <v>75</v>
      </c>
      <c r="AC168" s="87">
        <f t="shared" ref="AC168:AC179" si="49">SUM(AA168,Y168,W168,U168,S168,Q168,O168,M168,K168,I168,G168,E168)</f>
        <v>10871255.220000001</v>
      </c>
    </row>
    <row r="169" spans="1:29" x14ac:dyDescent="0.2">
      <c r="A169" s="21"/>
      <c r="B169" s="21"/>
      <c r="C169" s="20" t="s">
        <v>396</v>
      </c>
      <c r="D169" s="59">
        <v>8</v>
      </c>
      <c r="E169" s="16">
        <f>144000+12840+17160+23880+56496+8396.4+81320+14520</f>
        <v>358612.4</v>
      </c>
      <c r="F169" s="59">
        <v>8</v>
      </c>
      <c r="G169" s="16">
        <f>49766.66+33586.66+56733.34+17019.6+4356+14928+10896+36320</f>
        <v>223606.26</v>
      </c>
      <c r="H169" s="59">
        <v>5</v>
      </c>
      <c r="I169" s="16">
        <f>266040+48858+46933.33+8635+12600</f>
        <v>383066.33</v>
      </c>
      <c r="J169" s="59">
        <v>6</v>
      </c>
      <c r="K169" s="16">
        <f>4200+6693.34+13557.34+48562.8+487833.34+93600</f>
        <v>654446.82000000007</v>
      </c>
      <c r="L169" s="59">
        <v>11</v>
      </c>
      <c r="M169" s="16">
        <f>20560+5760+5400+21160+66528+89547.6+354000+10360+2880+15312+3780</f>
        <v>595287.6</v>
      </c>
      <c r="N169" s="59">
        <v>12</v>
      </c>
      <c r="O169" s="16">
        <f>3720+13413.34+38984+10920+154800+30960+11880+24358.4+3240+4800+127982.2+63000</f>
        <v>488057.94</v>
      </c>
      <c r="P169" s="59">
        <v>4</v>
      </c>
      <c r="Q169" s="16">
        <f>195840+39000+110466.67+27000</f>
        <v>372306.67</v>
      </c>
      <c r="R169" s="59">
        <v>2</v>
      </c>
      <c r="S169" s="16">
        <f>26040+113306.66</f>
        <v>139346.66</v>
      </c>
      <c r="T169" s="59"/>
      <c r="U169" s="16"/>
      <c r="V169" s="59">
        <v>5</v>
      </c>
      <c r="W169" s="16">
        <f>4092+4500+10316.66+193200+38400</f>
        <v>250508.66</v>
      </c>
      <c r="X169" s="59">
        <v>3</v>
      </c>
      <c r="Y169" s="16">
        <f>87600+84084+728080</f>
        <v>899764</v>
      </c>
      <c r="Z169" s="59">
        <v>9</v>
      </c>
      <c r="AA169" s="16">
        <f>1394666.66+42787.86+132792+23697.9+203520+107448+126000+739200+45000</f>
        <v>2815112.42</v>
      </c>
      <c r="AB169" s="158">
        <f t="shared" si="48"/>
        <v>73</v>
      </c>
      <c r="AC169" s="87">
        <f t="shared" si="49"/>
        <v>7180115.7600000007</v>
      </c>
    </row>
    <row r="170" spans="1:29" x14ac:dyDescent="0.2">
      <c r="A170" s="21"/>
      <c r="B170" s="22"/>
      <c r="C170" s="20" t="s">
        <v>8</v>
      </c>
      <c r="D170" s="59">
        <v>3</v>
      </c>
      <c r="E170" s="16">
        <f>144420.17+8329.24+13266.66</f>
        <v>166016.07</v>
      </c>
      <c r="F170" s="59">
        <v>3</v>
      </c>
      <c r="G170" s="16">
        <f>5617.7+8590.26+7906.89</f>
        <v>22114.85</v>
      </c>
      <c r="H170" s="59">
        <v>2</v>
      </c>
      <c r="I170" s="16">
        <f>66786.61+18527.95</f>
        <v>85314.559999999998</v>
      </c>
      <c r="J170" s="59">
        <v>4</v>
      </c>
      <c r="K170" s="16">
        <f>1740.07+2412.56+67632.81+2753.18</f>
        <v>74538.62</v>
      </c>
      <c r="L170" s="59">
        <v>6</v>
      </c>
      <c r="M170" s="16">
        <f>4245.41+6493.2+6282.68+149296.2+4123.95+3111.22</f>
        <v>173552.66000000003</v>
      </c>
      <c r="N170" s="59">
        <v>5</v>
      </c>
      <c r="O170" s="16">
        <f>3531.4+2800+28451.79+4249.39+4467.61</f>
        <v>43500.19</v>
      </c>
      <c r="P170" s="59">
        <v>3</v>
      </c>
      <c r="Q170" s="16">
        <f>26074.41+69341.68+1151.7</f>
        <v>96567.79</v>
      </c>
      <c r="R170" s="59">
        <v>1</v>
      </c>
      <c r="S170" s="16">
        <v>40189.31</v>
      </c>
      <c r="T170" s="59"/>
      <c r="U170" s="16"/>
      <c r="V170" s="59">
        <v>2</v>
      </c>
      <c r="W170" s="16">
        <f>4235.78+37126.07</f>
        <v>41361.85</v>
      </c>
      <c r="X170" s="59">
        <v>1</v>
      </c>
      <c r="Y170" s="16">
        <v>71999.63</v>
      </c>
      <c r="Z170" s="59">
        <v>2</v>
      </c>
      <c r="AA170" s="16">
        <f>252768.95+208084.02</f>
        <v>460852.97</v>
      </c>
      <c r="AB170" s="158">
        <f t="shared" si="48"/>
        <v>32</v>
      </c>
      <c r="AC170" s="87">
        <f t="shared" si="49"/>
        <v>1276008.5000000002</v>
      </c>
    </row>
    <row r="171" spans="1:29" x14ac:dyDescent="0.2">
      <c r="A171" s="21"/>
      <c r="B171" s="19" t="s">
        <v>392</v>
      </c>
      <c r="C171" s="20" t="s">
        <v>701</v>
      </c>
      <c r="D171" s="59"/>
      <c r="E171" s="16"/>
      <c r="F171" s="59"/>
      <c r="G171" s="16"/>
      <c r="H171" s="59">
        <v>1</v>
      </c>
      <c r="I171" s="16">
        <v>99937.52</v>
      </c>
      <c r="J171" s="59">
        <v>2</v>
      </c>
      <c r="K171" s="103">
        <f>10971+96000</f>
        <v>106971</v>
      </c>
      <c r="L171" s="59"/>
      <c r="M171" s="103"/>
      <c r="N171" s="59"/>
      <c r="O171" s="16"/>
      <c r="P171" s="59">
        <v>1</v>
      </c>
      <c r="Q171" s="16">
        <v>206200</v>
      </c>
      <c r="R171" s="59"/>
      <c r="S171" s="16"/>
      <c r="T171" s="59"/>
      <c r="U171" s="16"/>
      <c r="V171" s="59"/>
      <c r="W171" s="16"/>
      <c r="X171" s="59">
        <v>1</v>
      </c>
      <c r="Y171" s="16">
        <v>62157.34</v>
      </c>
      <c r="Z171" s="59">
        <v>1</v>
      </c>
      <c r="AA171" s="16">
        <v>50400</v>
      </c>
      <c r="AB171" s="158">
        <f t="shared" si="48"/>
        <v>6</v>
      </c>
      <c r="AC171" s="87">
        <f t="shared" si="49"/>
        <v>525665.86</v>
      </c>
    </row>
    <row r="172" spans="1:29" x14ac:dyDescent="0.2">
      <c r="A172" s="21"/>
      <c r="B172" s="21"/>
      <c r="C172" s="20" t="s">
        <v>9</v>
      </c>
      <c r="D172" s="59">
        <v>3</v>
      </c>
      <c r="E172" s="16">
        <f>275573.95+112607+285990.17</f>
        <v>674171.12</v>
      </c>
      <c r="F172" s="59">
        <v>0</v>
      </c>
      <c r="G172" s="16"/>
      <c r="H172" s="59"/>
      <c r="I172" s="16"/>
      <c r="J172" s="59">
        <v>5</v>
      </c>
      <c r="K172" s="16">
        <f>160860.51+175178.91+101228.74+147659.3+56159.72</f>
        <v>641087.17999999993</v>
      </c>
      <c r="L172" s="59"/>
      <c r="M172" s="16"/>
      <c r="N172" s="59">
        <v>2</v>
      </c>
      <c r="O172" s="16">
        <f>202788.09+464696</f>
        <v>667484.09</v>
      </c>
      <c r="P172" s="59">
        <v>4</v>
      </c>
      <c r="Q172" s="16">
        <f>62181.8+1170701+85300.6+1700484.26</f>
        <v>3018667.66</v>
      </c>
      <c r="R172" s="59"/>
      <c r="S172" s="16"/>
      <c r="T172" s="59">
        <v>2</v>
      </c>
      <c r="U172" s="16">
        <f>160860.51+175178.91</f>
        <v>336039.42000000004</v>
      </c>
      <c r="V172" s="59"/>
      <c r="W172" s="16"/>
      <c r="X172" s="59"/>
      <c r="Y172" s="16"/>
      <c r="Z172" s="59">
        <v>1</v>
      </c>
      <c r="AA172" s="16">
        <v>174765.6</v>
      </c>
      <c r="AB172" s="158">
        <f t="shared" si="48"/>
        <v>17</v>
      </c>
      <c r="AC172" s="87">
        <f t="shared" si="49"/>
        <v>5512215.0700000003</v>
      </c>
    </row>
    <row r="173" spans="1:29" x14ac:dyDescent="0.2">
      <c r="A173" s="21"/>
      <c r="B173" s="21"/>
      <c r="C173" s="159" t="s">
        <v>2224</v>
      </c>
      <c r="D173" s="59"/>
      <c r="E173" s="16"/>
      <c r="F173" s="59">
        <v>10</v>
      </c>
      <c r="G173" s="16">
        <f>26883.11+10846.74+33603.89+9151.94+32142.86+18597.05+29958.68+16031.95+6779.23+14380.17</f>
        <v>198375.62000000002</v>
      </c>
      <c r="H173" s="59">
        <v>1</v>
      </c>
      <c r="I173" s="16">
        <v>22894.04</v>
      </c>
      <c r="J173" s="161"/>
      <c r="K173" s="162"/>
      <c r="L173" s="161"/>
      <c r="M173" s="162"/>
      <c r="N173" s="59"/>
      <c r="O173" s="16"/>
      <c r="P173" s="59">
        <v>1</v>
      </c>
      <c r="Q173" s="16">
        <v>21212.12</v>
      </c>
      <c r="R173" s="59"/>
      <c r="S173" s="16"/>
      <c r="T173" s="59"/>
      <c r="U173" s="16"/>
      <c r="V173" s="59"/>
      <c r="W173" s="16"/>
      <c r="X173" s="59">
        <v>18</v>
      </c>
      <c r="Y173" s="16">
        <f>27952.92+10785.12+45537.2+59557.85+47095.04+31152.69+58719.02+59917.35+23966.94+43080.58+43140.5+55123.97+59677.68+26643.29+41702.48+27561.98+28760.33+41230.3</f>
        <v>731605.24000000011</v>
      </c>
      <c r="Z173" s="59">
        <v>21</v>
      </c>
      <c r="AA173" s="16">
        <f>38347.11+29958.68+58838.85+37148.76+56322.32+45657.03+58958.68+37747.94+47933.88+19772.73+36549.59+41942.15+57520.66+30078.52+33553.71+52727.27+19173.55+46735.53+53286.56+49132.23+23367.77</f>
        <v>874753.52</v>
      </c>
      <c r="AB173" s="158">
        <f t="shared" si="48"/>
        <v>51</v>
      </c>
      <c r="AC173" s="87">
        <f t="shared" si="49"/>
        <v>1848840.5400000005</v>
      </c>
    </row>
    <row r="174" spans="1:29" x14ac:dyDescent="0.2">
      <c r="A174" s="21"/>
      <c r="B174" s="21"/>
      <c r="C174" s="20" t="s">
        <v>396</v>
      </c>
      <c r="D174" s="59">
        <v>3</v>
      </c>
      <c r="E174" s="16">
        <f>11640+97200+25200</f>
        <v>134040</v>
      </c>
      <c r="F174" s="59">
        <v>0</v>
      </c>
      <c r="G174" s="16">
        <v>0</v>
      </c>
      <c r="H174" s="59"/>
      <c r="I174" s="16"/>
      <c r="J174" s="59">
        <v>1</v>
      </c>
      <c r="K174" s="16">
        <v>57013.33</v>
      </c>
      <c r="L174" s="59"/>
      <c r="M174" s="16"/>
      <c r="N174" s="59">
        <v>1</v>
      </c>
      <c r="O174" s="16">
        <v>11776.86</v>
      </c>
      <c r="P174" s="59"/>
      <c r="Q174" s="16"/>
      <c r="R174" s="59">
        <v>1</v>
      </c>
      <c r="S174" s="16">
        <v>41041.199999999997</v>
      </c>
      <c r="T174" s="59">
        <v>1</v>
      </c>
      <c r="U174" s="16">
        <v>147659.29999999999</v>
      </c>
      <c r="V174" s="59"/>
      <c r="W174" s="16"/>
      <c r="X174" s="59">
        <v>1</v>
      </c>
      <c r="Y174" s="16">
        <v>21490.799999999999</v>
      </c>
      <c r="Z174" s="59"/>
      <c r="AA174" s="16"/>
      <c r="AB174" s="158">
        <f t="shared" si="48"/>
        <v>8</v>
      </c>
      <c r="AC174" s="87">
        <f t="shared" si="49"/>
        <v>413021.49</v>
      </c>
    </row>
    <row r="175" spans="1:29" x14ac:dyDescent="0.2">
      <c r="A175" s="21"/>
      <c r="B175" s="21"/>
      <c r="C175" s="20" t="s">
        <v>393</v>
      </c>
      <c r="D175" s="59">
        <v>8</v>
      </c>
      <c r="E175" s="16">
        <f>2910+16000+12500+5100+19000+36750+12000+6300</f>
        <v>110560</v>
      </c>
      <c r="F175" s="59">
        <v>8</v>
      </c>
      <c r="G175" s="16">
        <f>3750+21810+7800+27050+45400+23030+8000+28644</f>
        <v>165484</v>
      </c>
      <c r="H175" s="59">
        <v>7</v>
      </c>
      <c r="I175" s="16">
        <f>141700+42504+11490+38300+37400+31050+20535</f>
        <v>322979</v>
      </c>
      <c r="J175" s="59">
        <v>12</v>
      </c>
      <c r="K175" s="160">
        <f>21660+72200+11400+18000+52000+50654.4+15600+2790+9300+14000+169604+12000</f>
        <v>449208.4</v>
      </c>
      <c r="L175" s="59">
        <v>4</v>
      </c>
      <c r="M175" s="160">
        <f>3470+2160+37556.56+11266.97</f>
        <v>54453.53</v>
      </c>
      <c r="N175" s="59">
        <v>4</v>
      </c>
      <c r="O175" s="16">
        <f>24400+17600+7320+5280</f>
        <v>54600</v>
      </c>
      <c r="P175" s="59">
        <v>4</v>
      </c>
      <c r="Q175" s="16">
        <f>186000+55800+28200+94000</f>
        <v>364000</v>
      </c>
      <c r="R175" s="59">
        <v>2</v>
      </c>
      <c r="S175" s="16">
        <f>11716.8+39059.24</f>
        <v>50776.039999999994</v>
      </c>
      <c r="T175" s="59">
        <v>6</v>
      </c>
      <c r="U175" s="16">
        <f>16000+4800+55614.22+16684.8+90048.53+27014.4</f>
        <v>210161.94999999998</v>
      </c>
      <c r="V175" s="59">
        <v>4</v>
      </c>
      <c r="W175" s="16">
        <f>55614.22+6800+16684.8+2100</f>
        <v>81199.02</v>
      </c>
      <c r="X175" s="59">
        <v>5</v>
      </c>
      <c r="Y175" s="16">
        <f>62684.69+58267.77+26250+7440+71639.64</f>
        <v>226282.09999999998</v>
      </c>
      <c r="Z175" s="59">
        <v>6</v>
      </c>
      <c r="AA175" s="16">
        <f>24177.6+80594.6+21490.8+42982.8+143279.29+120432.89</f>
        <v>432957.98000000004</v>
      </c>
      <c r="AB175" s="158">
        <f t="shared" si="48"/>
        <v>70</v>
      </c>
      <c r="AC175" s="87">
        <f t="shared" si="49"/>
        <v>2522662.02</v>
      </c>
    </row>
    <row r="176" spans="1:29" x14ac:dyDescent="0.2">
      <c r="A176" s="21"/>
      <c r="B176" s="21"/>
      <c r="C176" s="20" t="s">
        <v>10</v>
      </c>
      <c r="D176" s="59">
        <v>1</v>
      </c>
      <c r="E176" s="16">
        <v>9700</v>
      </c>
      <c r="F176" s="59"/>
      <c r="G176" s="16"/>
      <c r="H176" s="59"/>
      <c r="I176" s="16"/>
      <c r="J176" s="59"/>
      <c r="K176" s="16"/>
      <c r="L176" s="59"/>
      <c r="M176" s="16"/>
      <c r="N176" s="59"/>
      <c r="O176" s="16"/>
      <c r="P176" s="59"/>
      <c r="Q176" s="16"/>
      <c r="R176" s="59"/>
      <c r="S176" s="16"/>
      <c r="T176" s="59"/>
      <c r="U176" s="16"/>
      <c r="V176" s="59"/>
      <c r="W176" s="16"/>
      <c r="X176" s="59"/>
      <c r="Y176" s="16"/>
      <c r="Z176" s="59"/>
      <c r="AA176" s="16"/>
      <c r="AB176" s="158">
        <f t="shared" si="48"/>
        <v>1</v>
      </c>
      <c r="AC176" s="87">
        <f t="shared" si="49"/>
        <v>9700</v>
      </c>
    </row>
    <row r="177" spans="1:29" x14ac:dyDescent="0.2">
      <c r="A177" s="21"/>
      <c r="B177" s="21"/>
      <c r="C177" s="20" t="s">
        <v>1101</v>
      </c>
      <c r="D177" s="59"/>
      <c r="E177" s="16"/>
      <c r="F177" s="59"/>
      <c r="G177" s="16"/>
      <c r="H177" s="59"/>
      <c r="I177" s="16"/>
      <c r="J177" s="59"/>
      <c r="K177" s="16"/>
      <c r="L177" s="59"/>
      <c r="M177" s="16"/>
      <c r="N177" s="59"/>
      <c r="O177" s="16"/>
      <c r="P177" s="59"/>
      <c r="Q177" s="16"/>
      <c r="R177" s="59"/>
      <c r="S177" s="16"/>
      <c r="T177" s="59"/>
      <c r="U177" s="16"/>
      <c r="V177" s="59"/>
      <c r="W177" s="16"/>
      <c r="X177" s="59"/>
      <c r="Y177" s="16"/>
      <c r="Z177" s="59"/>
      <c r="AA177" s="16"/>
      <c r="AB177" s="158">
        <f t="shared" si="48"/>
        <v>0</v>
      </c>
      <c r="AC177" s="87">
        <f t="shared" si="49"/>
        <v>0</v>
      </c>
    </row>
    <row r="178" spans="1:29" x14ac:dyDescent="0.2">
      <c r="A178" s="21"/>
      <c r="B178" s="21"/>
      <c r="C178" s="20" t="s">
        <v>8</v>
      </c>
      <c r="D178" s="59">
        <v>4</v>
      </c>
      <c r="E178" s="16">
        <f>473.91+6007+6462.61+5529.26</f>
        <v>18472.78</v>
      </c>
      <c r="F178" s="59">
        <v>4</v>
      </c>
      <c r="G178" s="16">
        <f>15758.59+86934.18+23767.96+11519.76</f>
        <v>137980.49</v>
      </c>
      <c r="H178" s="59">
        <v>6</v>
      </c>
      <c r="I178" s="16">
        <f>65011.16+1548.52+1874.12+19769.06+20564.99+13815.4</f>
        <v>122583.25</v>
      </c>
      <c r="J178" s="59">
        <v>11</v>
      </c>
      <c r="K178" s="16">
        <f>33698.1+9854.23+2892.11+10026.72+70513.61+20298.24+3070.56+3792.57+1999.19+52499.5+50881.2</f>
        <v>259526.03000000003</v>
      </c>
      <c r="L178" s="59">
        <v>3</v>
      </c>
      <c r="M178" s="16">
        <f>1965.84+1760+12594.55</f>
        <v>16320.39</v>
      </c>
      <c r="N178" s="59">
        <v>4</v>
      </c>
      <c r="O178" s="16">
        <f>9391.04+6289.62+9588.3+5819.86</f>
        <v>31088.82</v>
      </c>
      <c r="P178" s="59">
        <v>1</v>
      </c>
      <c r="Q178" s="16">
        <v>87792.41</v>
      </c>
      <c r="R178" s="59">
        <v>1</v>
      </c>
      <c r="S178" s="16">
        <v>20891.03</v>
      </c>
      <c r="T178" s="59">
        <v>4</v>
      </c>
      <c r="U178" s="16">
        <f>5899.89+28114.97+39134.18+26806.29</f>
        <v>99955.330000000016</v>
      </c>
      <c r="V178" s="59">
        <v>3</v>
      </c>
      <c r="W178" s="16">
        <f>9034.87+18871.59+1492.98</f>
        <v>29399.439999999999</v>
      </c>
      <c r="X178" s="59">
        <v>5</v>
      </c>
      <c r="Y178" s="16">
        <f>15534.39+1936.91+1014.15+5481.46+21055.89</f>
        <v>45022.8</v>
      </c>
      <c r="Z178" s="59">
        <v>9</v>
      </c>
      <c r="AA178" s="16">
        <f>20877.69+39181.34+59710.6+54892.16+4530.13+1759.19+3252.01+3196.55+140000</f>
        <v>327399.67000000004</v>
      </c>
      <c r="AB178" s="158">
        <f t="shared" si="48"/>
        <v>55</v>
      </c>
      <c r="AC178" s="87">
        <f t="shared" si="49"/>
        <v>1196432.4400000002</v>
      </c>
    </row>
    <row r="179" spans="1:29" x14ac:dyDescent="0.2">
      <c r="A179" s="22"/>
      <c r="B179" s="22"/>
      <c r="C179" s="21" t="s">
        <v>1426</v>
      </c>
      <c r="D179" s="59"/>
      <c r="E179" s="16"/>
      <c r="F179" s="59"/>
      <c r="G179" s="16"/>
      <c r="H179" s="59"/>
      <c r="I179" s="16"/>
      <c r="J179" s="119"/>
      <c r="K179" s="119"/>
      <c r="L179" s="119"/>
      <c r="M179" s="119"/>
      <c r="N179" s="59"/>
      <c r="O179" s="16"/>
      <c r="P179" s="59"/>
      <c r="Q179" s="16"/>
      <c r="R179" s="59"/>
      <c r="S179" s="16"/>
      <c r="T179" s="59"/>
      <c r="U179" s="16"/>
      <c r="V179" s="59"/>
      <c r="W179" s="16"/>
      <c r="X179" s="59"/>
      <c r="Y179" s="16"/>
      <c r="Z179" s="59"/>
      <c r="AA179" s="16"/>
      <c r="AB179" s="158">
        <f t="shared" si="48"/>
        <v>0</v>
      </c>
      <c r="AC179" s="87">
        <f t="shared" si="49"/>
        <v>0</v>
      </c>
    </row>
    <row r="180" spans="1:29" x14ac:dyDescent="0.2">
      <c r="A180" s="424"/>
      <c r="B180" s="425"/>
      <c r="C180" s="426"/>
      <c r="D180" s="131">
        <f t="shared" ref="D180" si="50">SUM(D168:D179)</f>
        <v>33</v>
      </c>
      <c r="E180" s="62">
        <f t="shared" ref="E180" si="51">SUM(E168:E179)</f>
        <v>1650572.3699999999</v>
      </c>
      <c r="F180" s="131">
        <f t="shared" ref="F180:P180" si="52">SUM(F168:F179)</f>
        <v>50</v>
      </c>
      <c r="G180" s="62">
        <f t="shared" si="52"/>
        <v>3001466.2199999997</v>
      </c>
      <c r="H180" s="131">
        <f t="shared" si="52"/>
        <v>30</v>
      </c>
      <c r="I180" s="62">
        <f t="shared" si="52"/>
        <v>1647284.7000000002</v>
      </c>
      <c r="J180" s="131">
        <f t="shared" si="52"/>
        <v>50</v>
      </c>
      <c r="K180" s="62">
        <f t="shared" si="52"/>
        <v>3132259.75</v>
      </c>
      <c r="L180" s="131">
        <f t="shared" si="52"/>
        <v>29</v>
      </c>
      <c r="M180" s="62">
        <f t="shared" si="52"/>
        <v>1737101.46</v>
      </c>
      <c r="N180" s="131">
        <f t="shared" si="52"/>
        <v>30</v>
      </c>
      <c r="O180" s="62">
        <f t="shared" si="52"/>
        <v>1484107.9</v>
      </c>
      <c r="P180" s="131">
        <f t="shared" si="52"/>
        <v>29</v>
      </c>
      <c r="Q180" s="62">
        <f>SUM(Q168:Q179)</f>
        <v>8132931.9900000002</v>
      </c>
      <c r="R180" s="131">
        <f t="shared" ref="R180:AA180" si="53">SUM(R168:R179)</f>
        <v>12</v>
      </c>
      <c r="S180" s="62">
        <f t="shared" si="53"/>
        <v>509748.47999999998</v>
      </c>
      <c r="T180" s="131">
        <f t="shared" si="53"/>
        <v>16</v>
      </c>
      <c r="U180" s="62">
        <f t="shared" si="53"/>
        <v>1032476</v>
      </c>
      <c r="V180" s="131">
        <f t="shared" si="53"/>
        <v>21</v>
      </c>
      <c r="W180" s="62">
        <f t="shared" si="53"/>
        <v>797368.97</v>
      </c>
      <c r="X180" s="131">
        <f t="shared" si="53"/>
        <v>36</v>
      </c>
      <c r="Y180" s="62">
        <f t="shared" si="53"/>
        <v>3015226.9099999997</v>
      </c>
      <c r="Z180" s="131">
        <f t="shared" si="53"/>
        <v>52</v>
      </c>
      <c r="AA180" s="62">
        <f t="shared" si="53"/>
        <v>5215372.1500000004</v>
      </c>
      <c r="AB180" s="131">
        <f>SUM(D180,F180,H180,J180,L180,N180,P180,R180,T180,V180,X180,Z180)</f>
        <v>388</v>
      </c>
      <c r="AC180" s="62">
        <f>SUM(AA180,Y180,W180,U180,S180,Q180,O180,M180,K180,I180,G180,E180)</f>
        <v>31355916.899999999</v>
      </c>
    </row>
    <row r="184" spans="1:29" x14ac:dyDescent="0.2">
      <c r="A184" s="71" t="s">
        <v>4517</v>
      </c>
      <c r="B184" s="71"/>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row>
    <row r="185" spans="1:29" x14ac:dyDescent="0.2">
      <c r="A185" s="10"/>
      <c r="B185" s="10"/>
      <c r="C185" s="10"/>
      <c r="D185" s="421" t="s">
        <v>635</v>
      </c>
      <c r="E185" s="421"/>
      <c r="F185" s="421" t="s">
        <v>853</v>
      </c>
      <c r="G185" s="421"/>
      <c r="H185" s="421" t="s">
        <v>860</v>
      </c>
      <c r="I185" s="421"/>
      <c r="J185" s="421" t="s">
        <v>863</v>
      </c>
      <c r="K185" s="421"/>
      <c r="L185" s="427" t="s">
        <v>1220</v>
      </c>
      <c r="M185" s="427"/>
      <c r="N185" s="428" t="s">
        <v>913</v>
      </c>
      <c r="O185" s="421"/>
      <c r="P185" s="428" t="s">
        <v>953</v>
      </c>
      <c r="Q185" s="421"/>
      <c r="R185" s="421" t="s">
        <v>955</v>
      </c>
      <c r="S185" s="421"/>
      <c r="T185" s="421" t="s">
        <v>970</v>
      </c>
      <c r="U185" s="421"/>
      <c r="V185" s="421" t="s">
        <v>989</v>
      </c>
      <c r="W185" s="421"/>
      <c r="X185" s="421" t="s">
        <v>1004</v>
      </c>
      <c r="Y185" s="421"/>
      <c r="Z185" s="421" t="s">
        <v>1031</v>
      </c>
      <c r="AA185" s="421"/>
      <c r="AB185" s="422" t="s">
        <v>1302</v>
      </c>
      <c r="AC185" s="423"/>
    </row>
    <row r="186" spans="1:29" x14ac:dyDescent="0.2">
      <c r="D186" s="8" t="s">
        <v>633</v>
      </c>
      <c r="E186" s="8" t="s">
        <v>843</v>
      </c>
      <c r="F186" s="8" t="s">
        <v>633</v>
      </c>
      <c r="G186" s="8" t="s">
        <v>843</v>
      </c>
      <c r="H186" s="8" t="s">
        <v>633</v>
      </c>
      <c r="I186" s="8" t="s">
        <v>843</v>
      </c>
      <c r="J186" s="8" t="s">
        <v>633</v>
      </c>
      <c r="K186" s="8" t="s">
        <v>843</v>
      </c>
      <c r="L186" s="8" t="s">
        <v>633</v>
      </c>
      <c r="M186" s="8" t="s">
        <v>843</v>
      </c>
      <c r="N186" s="8" t="s">
        <v>633</v>
      </c>
      <c r="O186" s="8" t="s">
        <v>843</v>
      </c>
      <c r="P186" s="8" t="s">
        <v>633</v>
      </c>
      <c r="Q186" s="8" t="s">
        <v>843</v>
      </c>
      <c r="R186" s="8" t="s">
        <v>633</v>
      </c>
      <c r="S186" s="8" t="s">
        <v>843</v>
      </c>
      <c r="T186" s="8" t="s">
        <v>633</v>
      </c>
      <c r="U186" s="8" t="s">
        <v>843</v>
      </c>
      <c r="V186" s="8" t="s">
        <v>633</v>
      </c>
      <c r="W186" s="8" t="s">
        <v>843</v>
      </c>
      <c r="X186" s="8" t="s">
        <v>633</v>
      </c>
      <c r="Y186" s="8" t="s">
        <v>843</v>
      </c>
      <c r="Z186" s="8" t="s">
        <v>633</v>
      </c>
      <c r="AA186" s="8" t="s">
        <v>843</v>
      </c>
      <c r="AB186" s="94" t="s">
        <v>633</v>
      </c>
      <c r="AC186" s="94" t="s">
        <v>843</v>
      </c>
    </row>
    <row r="187" spans="1:29" x14ac:dyDescent="0.2">
      <c r="A187" s="19" t="s">
        <v>1183</v>
      </c>
      <c r="B187" s="19" t="s">
        <v>422</v>
      </c>
      <c r="C187" s="20" t="s">
        <v>701</v>
      </c>
      <c r="D187" s="59">
        <v>1</v>
      </c>
      <c r="E187" s="16">
        <v>31500</v>
      </c>
      <c r="F187" s="59">
        <v>17</v>
      </c>
      <c r="G187" s="16">
        <f>29500+217178+24500+22600+36900+55200+186500+45100+57252+28800+45500+47000+58100+14500+866224+47000+31500</f>
        <v>1813354</v>
      </c>
      <c r="H187" s="59">
        <v>5</v>
      </c>
      <c r="I187" s="16">
        <f>44800+19500+35500+245300+19880</f>
        <v>364980</v>
      </c>
      <c r="J187" s="59">
        <v>50</v>
      </c>
      <c r="K187" s="16">
        <f>31500+25500+26200+27600+31500+67900+98000+39200+25000+31500+47000+43200+57500+86900+35400+31500+36500+13500+31500+84700+37300+35500+37500+385800+11970+48500+67900+64500+35500+43100+20900+30000+56400+79000+25000+44400+22500+81400+22800+31000+72800+13000+37800+184100+75000+250000+39200+48500+31500+23281</f>
        <v>2827751</v>
      </c>
      <c r="L187" s="59">
        <v>26</v>
      </c>
      <c r="M187" s="16">
        <f>169000+340000+382500+457000+25800+409100+20300+30130+103500+18500+29200+14800+32300+60000+31500+50600+154000+43130+123881+15950+185485+153400+139000+92100+82660</f>
        <v>3163836</v>
      </c>
      <c r="N187" s="59">
        <v>6</v>
      </c>
      <c r="O187" s="16">
        <f>153040+1099300+289900+153040+101679+96878</f>
        <v>1893837</v>
      </c>
      <c r="P187" s="59">
        <v>8</v>
      </c>
      <c r="Q187" s="16">
        <f>20200+43801.65+43801.65+14450+24380.17+30578.51+28925.62+43388.43</f>
        <v>249526.03</v>
      </c>
      <c r="R187" s="59">
        <v>9</v>
      </c>
      <c r="S187" s="16">
        <f>247639+69000+34500+37300+60000+140000+300000+450000+1220500</f>
        <v>2558939</v>
      </c>
      <c r="T187" s="59">
        <v>4</v>
      </c>
      <c r="U187" s="16">
        <f>54000+152010+13800+160000</f>
        <v>379810</v>
      </c>
      <c r="V187" s="59">
        <v>4</v>
      </c>
      <c r="W187" s="16">
        <f>14200+300000+19000+400000</f>
        <v>733200</v>
      </c>
      <c r="X187" s="59">
        <v>5</v>
      </c>
      <c r="Y187" s="16">
        <f>97470+565000+100000+30000+14000</f>
        <v>806470</v>
      </c>
      <c r="Z187" s="59">
        <v>22</v>
      </c>
      <c r="AA187" s="16">
        <f>31500+94200+40000+97470+42000+95520+64450+94550+31500+44450+81000+35500+31500+49586.78+28925.62+28925.62+59504.13+43801.65+41322.31+19331.6+31500+16300</f>
        <v>1102837.7100000002</v>
      </c>
      <c r="AB187" s="158">
        <f t="shared" ref="AB187:AB198" si="54">SUM(D187,F187,H187,J187,L187,N187,P187,R187,T187,V187,X187,Z187)</f>
        <v>157</v>
      </c>
      <c r="AC187" s="87">
        <f t="shared" ref="AC187:AC198" si="55">SUM(AA187,Y187,W187,U187,S187,Q187,O187,M187,K187,I187,G187,E187)</f>
        <v>15926040.74</v>
      </c>
    </row>
    <row r="188" spans="1:29" x14ac:dyDescent="0.2">
      <c r="A188" s="21"/>
      <c r="B188" s="21"/>
      <c r="C188" s="20" t="s">
        <v>396</v>
      </c>
      <c r="D188" s="59">
        <v>7</v>
      </c>
      <c r="E188" s="16">
        <f>48356+58200+365026.67+6406.67+45306.67+10248+25400.88</f>
        <v>558944.89</v>
      </c>
      <c r="F188" s="59">
        <v>16</v>
      </c>
      <c r="G188" s="16">
        <f>28320+6600+16280+4884+3840+8640+49933.33+43066.67+9000+25908+17424+133520+113000+23880+6600+33674.65</f>
        <v>524570.65</v>
      </c>
      <c r="H188" s="59"/>
      <c r="I188" s="16"/>
      <c r="J188" s="59">
        <v>11</v>
      </c>
      <c r="K188" s="16">
        <f>140650+12480+20146.67+41066.66+5760+88480+20280+133320+26160+99466.67+20160</f>
        <v>607970</v>
      </c>
      <c r="L188" s="59">
        <v>6</v>
      </c>
      <c r="M188" s="16">
        <f>3240+11088+3600+13860+7320+30800</f>
        <v>69908</v>
      </c>
      <c r="N188" s="59">
        <v>2</v>
      </c>
      <c r="O188" s="16">
        <f>172333.33+30600</f>
        <v>202933.33</v>
      </c>
      <c r="P188" s="59">
        <v>5</v>
      </c>
      <c r="Q188" s="16">
        <f>60000+414133.33+23540+22000+4200</f>
        <v>523873.33</v>
      </c>
      <c r="R188" s="59"/>
      <c r="S188" s="16"/>
      <c r="T188" s="59">
        <v>9</v>
      </c>
      <c r="U188" s="16">
        <f>32600+7560+6600+26133.34+24600+122666.66+13404+59720+14124</f>
        <v>307408</v>
      </c>
      <c r="V188" s="59">
        <v>2</v>
      </c>
      <c r="W188" s="16">
        <f>15360+76426.67</f>
        <v>91786.67</v>
      </c>
      <c r="X188" s="59">
        <v>5</v>
      </c>
      <c r="Y188" s="16">
        <f>45106.67+11400+51333.34+10800+15000</f>
        <v>133640.01</v>
      </c>
      <c r="Z188" s="59">
        <v>12</v>
      </c>
      <c r="AA188" s="16">
        <f>62172+612480+103200+44506.67+1680+11400+6522.35+73200+402760+62172+404653.33+33600</f>
        <v>1818346.35</v>
      </c>
      <c r="AB188" s="158">
        <f t="shared" si="54"/>
        <v>75</v>
      </c>
      <c r="AC188" s="87">
        <f t="shared" si="55"/>
        <v>4839381.2300000004</v>
      </c>
    </row>
    <row r="189" spans="1:29" x14ac:dyDescent="0.2">
      <c r="A189" s="21"/>
      <c r="B189" s="22"/>
      <c r="C189" s="20" t="s">
        <v>8</v>
      </c>
      <c r="D189" s="59">
        <v>3</v>
      </c>
      <c r="E189" s="16">
        <f>95414.83+1960.04+14688.33</f>
        <v>112063.2</v>
      </c>
      <c r="F189" s="59">
        <v>6</v>
      </c>
      <c r="G189" s="16">
        <f>2116.98+16504.91+12525.08+31831.46+45857.94+8531.44</f>
        <v>117367.81</v>
      </c>
      <c r="H189" s="59"/>
      <c r="I189" s="16"/>
      <c r="J189" s="59">
        <v>5</v>
      </c>
      <c r="K189" s="16">
        <f>4349.22+14664.79+15544.61+50772.3+31783.12</f>
        <v>117114.04000000001</v>
      </c>
      <c r="L189" s="59">
        <v>2</v>
      </c>
      <c r="M189" s="16">
        <f>1443.72+6763.95</f>
        <v>8207.67</v>
      </c>
      <c r="N189" s="59">
        <v>3</v>
      </c>
      <c r="O189" s="16">
        <f>1920+20250+208822.7</f>
        <v>230992.7</v>
      </c>
      <c r="P189" s="59">
        <v>2</v>
      </c>
      <c r="Q189" s="16">
        <f>62427.32+6795.16</f>
        <v>69222.48</v>
      </c>
      <c r="R189" s="59"/>
      <c r="S189" s="16"/>
      <c r="T189" s="59">
        <v>4</v>
      </c>
      <c r="U189" s="16">
        <f>9730.69+9944.93+49174.71+15376.99</f>
        <v>84227.32</v>
      </c>
      <c r="V189" s="59">
        <v>1</v>
      </c>
      <c r="W189" s="16">
        <v>32040.07</v>
      </c>
      <c r="X189" s="59">
        <v>3</v>
      </c>
      <c r="Y189" s="16">
        <f>10055.71+12987.34+7293.87</f>
        <v>30336.92</v>
      </c>
      <c r="Z189" s="59">
        <v>5</v>
      </c>
      <c r="AA189" s="16">
        <f>178725+10876.11+4296.02+111730.36+76800</f>
        <v>382427.49</v>
      </c>
      <c r="AB189" s="158">
        <f t="shared" si="54"/>
        <v>34</v>
      </c>
      <c r="AC189" s="87">
        <f t="shared" si="55"/>
        <v>1183999.7</v>
      </c>
    </row>
    <row r="190" spans="1:29" x14ac:dyDescent="0.2">
      <c r="A190" s="21"/>
      <c r="B190" s="19" t="s">
        <v>392</v>
      </c>
      <c r="C190" s="20" t="s">
        <v>701</v>
      </c>
      <c r="D190" s="59">
        <v>2</v>
      </c>
      <c r="E190" s="16">
        <f>99937.52+58500</f>
        <v>158437.52000000002</v>
      </c>
      <c r="F190" s="59"/>
      <c r="G190" s="16"/>
      <c r="H190" s="59">
        <v>1</v>
      </c>
      <c r="I190" s="16">
        <v>20450</v>
      </c>
      <c r="J190" s="59">
        <v>2</v>
      </c>
      <c r="K190" s="16">
        <f>299900+59100</f>
        <v>359000</v>
      </c>
      <c r="L190" s="59">
        <v>3</v>
      </c>
      <c r="M190" s="16">
        <f>19500+23450+482000</f>
        <v>524950</v>
      </c>
      <c r="N190" s="59"/>
      <c r="O190" s="16"/>
      <c r="P190" s="59"/>
      <c r="Q190" s="16"/>
      <c r="R190" s="59"/>
      <c r="S190" s="16"/>
      <c r="T190" s="59"/>
      <c r="U190" s="16"/>
      <c r="V190" s="59">
        <v>3</v>
      </c>
      <c r="W190" s="16">
        <f>52980+94450+55100</f>
        <v>202530</v>
      </c>
      <c r="X190" s="59">
        <v>1</v>
      </c>
      <c r="Y190" s="16">
        <v>100000</v>
      </c>
      <c r="Z190" s="59">
        <v>3</v>
      </c>
      <c r="AA190" s="16">
        <f>142000+133200+135300</f>
        <v>410500</v>
      </c>
      <c r="AB190" s="158">
        <f t="shared" si="54"/>
        <v>15</v>
      </c>
      <c r="AC190" s="87">
        <f t="shared" si="55"/>
        <v>1775867.52</v>
      </c>
    </row>
    <row r="191" spans="1:29" x14ac:dyDescent="0.2">
      <c r="A191" s="21"/>
      <c r="B191" s="21"/>
      <c r="C191" s="20" t="s">
        <v>9</v>
      </c>
      <c r="D191" s="59">
        <v>2</v>
      </c>
      <c r="E191" s="16">
        <f>64816.45+114302.05</f>
        <v>179118.5</v>
      </c>
      <c r="F191" s="59"/>
      <c r="G191" s="16"/>
      <c r="H191" s="59">
        <v>10</v>
      </c>
      <c r="I191" s="16">
        <f>121943.55+149332.81+130524.65+145008.7+165273.92+218906.59+373982.35+366453.12+97173.6+237299.65</f>
        <v>2005898.94</v>
      </c>
      <c r="J191" s="59">
        <v>5</v>
      </c>
      <c r="K191" s="16">
        <f>111580.86+122652.63+91998.15+97641.13+89501.69</f>
        <v>513374.46</v>
      </c>
      <c r="L191" s="59">
        <v>5</v>
      </c>
      <c r="M191" s="16">
        <f>143862.33+93515.83+88703.75+54895.97+23778.55</f>
        <v>404756.43</v>
      </c>
      <c r="N191" s="59">
        <v>1</v>
      </c>
      <c r="O191" s="16">
        <v>227035.89</v>
      </c>
      <c r="P191" s="59">
        <v>3</v>
      </c>
      <c r="Q191" s="16">
        <f>968194+423784.25+1242338.25</f>
        <v>2634316.5</v>
      </c>
      <c r="R191" s="59">
        <v>2</v>
      </c>
      <c r="S191" s="16">
        <f>195686.68+309679.98</f>
        <v>505366.66</v>
      </c>
      <c r="T191" s="59">
        <v>3</v>
      </c>
      <c r="U191" s="16">
        <f>439796.6+558917+548642.4</f>
        <v>1547356</v>
      </c>
      <c r="V191" s="59">
        <v>1</v>
      </c>
      <c r="W191" s="16">
        <v>96172.7</v>
      </c>
      <c r="X191" s="59">
        <v>1</v>
      </c>
      <c r="Y191" s="16">
        <v>279526.37</v>
      </c>
      <c r="Z191" s="59">
        <v>1</v>
      </c>
      <c r="AA191" s="16">
        <v>282340.78999999998</v>
      </c>
      <c r="AB191" s="158">
        <f t="shared" si="54"/>
        <v>34</v>
      </c>
      <c r="AC191" s="87">
        <f t="shared" si="55"/>
        <v>8675263.2399999984</v>
      </c>
    </row>
    <row r="192" spans="1:29" x14ac:dyDescent="0.2">
      <c r="A192" s="21"/>
      <c r="B192" s="21"/>
      <c r="C192" s="159" t="s">
        <v>2224</v>
      </c>
      <c r="D192" s="59">
        <v>1</v>
      </c>
      <c r="E192" s="16">
        <v>38960.6</v>
      </c>
      <c r="F192" s="59">
        <v>2</v>
      </c>
      <c r="G192" s="16">
        <f>900000+54513.65</f>
        <v>954513.65</v>
      </c>
      <c r="H192" s="59"/>
      <c r="I192" s="16"/>
      <c r="J192" s="59">
        <v>1</v>
      </c>
      <c r="K192" s="16">
        <v>45500</v>
      </c>
      <c r="L192" s="59"/>
      <c r="M192" s="16"/>
      <c r="N192" s="59"/>
      <c r="O192" s="16"/>
      <c r="P192" s="59"/>
      <c r="Q192" s="16"/>
      <c r="R192" s="59"/>
      <c r="S192" s="16"/>
      <c r="T192" s="59"/>
      <c r="U192" s="16"/>
      <c r="V192" s="59">
        <v>1</v>
      </c>
      <c r="W192" s="16">
        <v>50575</v>
      </c>
      <c r="X192" s="59"/>
      <c r="Y192" s="16"/>
      <c r="Z192" s="59"/>
      <c r="AA192" s="16"/>
      <c r="AB192" s="158">
        <f t="shared" si="54"/>
        <v>5</v>
      </c>
      <c r="AC192" s="87">
        <f t="shared" si="55"/>
        <v>1089549.25</v>
      </c>
    </row>
    <row r="193" spans="1:29" x14ac:dyDescent="0.2">
      <c r="A193" s="21"/>
      <c r="B193" s="21"/>
      <c r="C193" s="20" t="s">
        <v>396</v>
      </c>
      <c r="D193" s="59">
        <v>1</v>
      </c>
      <c r="E193" s="16">
        <v>14393.94</v>
      </c>
      <c r="F193" s="59"/>
      <c r="G193" s="16"/>
      <c r="H193" s="59"/>
      <c r="I193" s="16"/>
      <c r="J193" s="59"/>
      <c r="K193" s="16"/>
      <c r="L193" s="59"/>
      <c r="M193" s="16"/>
      <c r="N193" s="59"/>
      <c r="O193" s="16"/>
      <c r="P193" s="59"/>
      <c r="Q193" s="16"/>
      <c r="R193" s="59"/>
      <c r="S193" s="16"/>
      <c r="T193" s="59"/>
      <c r="U193" s="16"/>
      <c r="V193" s="59">
        <v>1</v>
      </c>
      <c r="W193" s="16">
        <v>13946.66</v>
      </c>
      <c r="X193" s="59">
        <v>1</v>
      </c>
      <c r="Y193" s="16">
        <v>14400</v>
      </c>
      <c r="Z193" s="59"/>
      <c r="AA193" s="16"/>
      <c r="AB193" s="158">
        <f t="shared" si="54"/>
        <v>3</v>
      </c>
      <c r="AC193" s="87">
        <f t="shared" si="55"/>
        <v>42740.6</v>
      </c>
    </row>
    <row r="194" spans="1:29" x14ac:dyDescent="0.2">
      <c r="A194" s="21"/>
      <c r="B194" s="21"/>
      <c r="C194" s="20" t="s">
        <v>393</v>
      </c>
      <c r="D194" s="59">
        <v>2</v>
      </c>
      <c r="E194" s="16">
        <f>7900+2160</f>
        <v>10060</v>
      </c>
      <c r="F194" s="59">
        <v>4</v>
      </c>
      <c r="G194" s="16">
        <f>27014.4+90048.53+6240+22770</f>
        <v>146072.93</v>
      </c>
      <c r="H194" s="59"/>
      <c r="I194" s="16"/>
      <c r="J194" s="59">
        <v>2</v>
      </c>
      <c r="K194" s="16">
        <f>17000+5100</f>
        <v>22100</v>
      </c>
      <c r="L194" s="59">
        <v>1</v>
      </c>
      <c r="M194" s="16">
        <v>50000</v>
      </c>
      <c r="N194" s="59">
        <v>4</v>
      </c>
      <c r="O194" s="16">
        <f>126454.53+37920+13530+45100</f>
        <v>223004.53</v>
      </c>
      <c r="P194" s="59"/>
      <c r="Q194" s="16"/>
      <c r="R194" s="59"/>
      <c r="S194" s="16"/>
      <c r="T194" s="59">
        <v>6</v>
      </c>
      <c r="U194" s="16">
        <f>173697.56+52080+6200+2880+28200+94027.03</f>
        <v>357084.58999999997</v>
      </c>
      <c r="V194" s="59">
        <v>17</v>
      </c>
      <c r="W194" s="16">
        <f>2340+23520+78792.5+112357.2+33706.8+19933.2+66444.89+11400+14400+38000+62000+26272.8+87574.67+42000+11400+18600+48000</f>
        <v>696742.06</v>
      </c>
      <c r="X194" s="59">
        <v>6</v>
      </c>
      <c r="Y194" s="16">
        <f>172800+576036.18+26760+89406.64+601081.23+180324.37</f>
        <v>1646408.42</v>
      </c>
      <c r="Z194" s="59">
        <v>5</v>
      </c>
      <c r="AA194" s="16">
        <f>13800+46157.87+9960+69236.8+20760</f>
        <v>159914.66999999998</v>
      </c>
      <c r="AB194" s="158">
        <f t="shared" si="54"/>
        <v>47</v>
      </c>
      <c r="AC194" s="87">
        <f t="shared" si="55"/>
        <v>3311387.1999999997</v>
      </c>
    </row>
    <row r="195" spans="1:29" x14ac:dyDescent="0.2">
      <c r="A195" s="21"/>
      <c r="B195" s="21"/>
      <c r="C195" s="20" t="s">
        <v>10</v>
      </c>
      <c r="D195" s="59"/>
      <c r="E195" s="16"/>
      <c r="F195" s="59"/>
      <c r="G195" s="16"/>
      <c r="H195" s="59"/>
      <c r="I195" s="16"/>
      <c r="J195" s="59"/>
      <c r="K195" s="16"/>
      <c r="L195" s="59"/>
      <c r="M195" s="16"/>
      <c r="N195" s="59"/>
      <c r="O195" s="16"/>
      <c r="P195" s="59"/>
      <c r="Q195" s="16"/>
      <c r="R195" s="59"/>
      <c r="S195" s="16"/>
      <c r="T195" s="59"/>
      <c r="U195" s="16"/>
      <c r="V195" s="59"/>
      <c r="W195" s="16"/>
      <c r="X195" s="59">
        <v>36</v>
      </c>
      <c r="Y195" s="16">
        <f>50578.51+45743.8+51322.32+41838.85+48595.04+37148.76+48099.17+31157.02+50082.64+42396.69+34752.06+43512.4+55537.19+41942.15+41280.99+43140.5+16776.86+45185.95+49090.91+40743.8+41342.98+59504.13+35950.41+59752.07+53553.72+36549.59+59801.65+44628.1+48533.06+42954.55+59702.48+50206.61+49586.78+40723.14+42541.32+47975.21</f>
        <v>1632231.4100000001</v>
      </c>
      <c r="Z195" s="59">
        <v>1</v>
      </c>
      <c r="AA195" s="16">
        <v>43560</v>
      </c>
      <c r="AB195" s="158">
        <f t="shared" si="54"/>
        <v>37</v>
      </c>
      <c r="AC195" s="87">
        <f t="shared" si="55"/>
        <v>1675791.4100000001</v>
      </c>
    </row>
    <row r="196" spans="1:29" x14ac:dyDescent="0.2">
      <c r="A196" s="21"/>
      <c r="B196" s="21"/>
      <c r="C196" s="20" t="s">
        <v>1101</v>
      </c>
      <c r="D196" s="59"/>
      <c r="E196" s="16"/>
      <c r="F196" s="59"/>
      <c r="G196" s="16"/>
      <c r="H196" s="59"/>
      <c r="I196" s="16"/>
      <c r="J196" s="59"/>
      <c r="K196" s="16"/>
      <c r="L196" s="59"/>
      <c r="M196" s="16"/>
      <c r="N196" s="59"/>
      <c r="O196" s="16"/>
      <c r="P196" s="59"/>
      <c r="Q196" s="16"/>
      <c r="R196" s="59"/>
      <c r="S196" s="16"/>
      <c r="T196" s="59"/>
      <c r="U196" s="16"/>
      <c r="V196" s="59"/>
      <c r="W196" s="16"/>
      <c r="X196" s="59"/>
      <c r="Y196" s="16"/>
      <c r="Z196" s="59"/>
      <c r="AA196" s="16"/>
      <c r="AB196" s="158">
        <f t="shared" si="54"/>
        <v>0</v>
      </c>
      <c r="AC196" s="87">
        <f t="shared" si="55"/>
        <v>0</v>
      </c>
    </row>
    <row r="197" spans="1:29" x14ac:dyDescent="0.2">
      <c r="A197" s="21"/>
      <c r="B197" s="21"/>
      <c r="C197" s="20" t="s">
        <v>8</v>
      </c>
      <c r="D197" s="59">
        <v>6</v>
      </c>
      <c r="E197" s="16">
        <f>1528.27+995.32+1358.72+2708.21+1706.35+1346.7</f>
        <v>9643.5700000000015</v>
      </c>
      <c r="F197" s="59">
        <v>4</v>
      </c>
      <c r="G197" s="16">
        <f>2876.28+50898.28+89360.38+8400</f>
        <v>151534.94</v>
      </c>
      <c r="H197" s="59">
        <v>1</v>
      </c>
      <c r="I197" s="16">
        <v>1800</v>
      </c>
      <c r="J197" s="59">
        <v>2</v>
      </c>
      <c r="K197" s="16">
        <f>4350+4800</f>
        <v>9150</v>
      </c>
      <c r="L197" s="59"/>
      <c r="M197" s="16"/>
      <c r="N197" s="59">
        <v>2</v>
      </c>
      <c r="O197" s="16">
        <f>45307.61+15415.44</f>
        <v>60723.05</v>
      </c>
      <c r="P197" s="59">
        <v>2</v>
      </c>
      <c r="Q197" s="16">
        <f>1878.12+4087.76</f>
        <v>5965.88</v>
      </c>
      <c r="R197" s="59"/>
      <c r="S197" s="16"/>
      <c r="T197" s="59">
        <v>3</v>
      </c>
      <c r="U197" s="16">
        <f>38841.07+3204.5+28617.91</f>
        <v>70663.48</v>
      </c>
      <c r="V197" s="59">
        <v>10</v>
      </c>
      <c r="W197" s="16">
        <f>3967.77+40051.67+3075+28222.37+25993.11+22999.15+19561.94+9584.9+21515.13+33261.28</f>
        <v>208232.32000000001</v>
      </c>
      <c r="X197" s="59">
        <v>3</v>
      </c>
      <c r="Y197" s="16">
        <f>159907.23+60427.76+141254.91</f>
        <v>361589.9</v>
      </c>
      <c r="Z197" s="59">
        <v>3</v>
      </c>
      <c r="AA197" s="16">
        <f>20251.32+10824.44+20281.47</f>
        <v>51357.23</v>
      </c>
      <c r="AB197" s="158">
        <f t="shared" si="54"/>
        <v>36</v>
      </c>
      <c r="AC197" s="87">
        <f t="shared" si="55"/>
        <v>930660.37</v>
      </c>
    </row>
    <row r="198" spans="1:29" x14ac:dyDescent="0.2">
      <c r="A198" s="22"/>
      <c r="B198" s="22"/>
      <c r="C198" s="21" t="s">
        <v>1426</v>
      </c>
      <c r="D198" s="59"/>
      <c r="E198" s="16"/>
      <c r="F198" s="59"/>
      <c r="G198" s="16"/>
      <c r="H198" s="59"/>
      <c r="I198" s="16"/>
      <c r="J198" s="59"/>
      <c r="K198" s="16"/>
      <c r="L198" s="59"/>
      <c r="M198" s="16"/>
      <c r="N198" s="59"/>
      <c r="O198" s="16"/>
      <c r="P198" s="59"/>
      <c r="Q198" s="16"/>
      <c r="R198" s="59"/>
      <c r="S198" s="16"/>
      <c r="T198" s="59"/>
      <c r="U198" s="16"/>
      <c r="V198" s="59"/>
      <c r="W198" s="16"/>
      <c r="X198" s="59"/>
      <c r="Y198" s="16"/>
      <c r="Z198" s="59"/>
      <c r="AA198" s="16"/>
      <c r="AB198" s="158">
        <f t="shared" si="54"/>
        <v>0</v>
      </c>
      <c r="AC198" s="87">
        <f t="shared" si="55"/>
        <v>0</v>
      </c>
    </row>
    <row r="199" spans="1:29" x14ac:dyDescent="0.2">
      <c r="A199" s="424"/>
      <c r="B199" s="425"/>
      <c r="C199" s="426"/>
      <c r="D199" s="131">
        <f t="shared" ref="D199" si="56">SUM(D187:D198)</f>
        <v>25</v>
      </c>
      <c r="E199" s="62">
        <f t="shared" ref="E199:P199" si="57">SUM(E187:E198)</f>
        <v>1113122.22</v>
      </c>
      <c r="F199" s="131">
        <f t="shared" si="57"/>
        <v>49</v>
      </c>
      <c r="G199" s="62">
        <f t="shared" si="57"/>
        <v>3707413.98</v>
      </c>
      <c r="H199" s="131">
        <f t="shared" si="57"/>
        <v>17</v>
      </c>
      <c r="I199" s="62">
        <f t="shared" si="57"/>
        <v>2393128.94</v>
      </c>
      <c r="J199" s="131">
        <f t="shared" si="57"/>
        <v>78</v>
      </c>
      <c r="K199" s="62">
        <f t="shared" si="57"/>
        <v>4501959.5</v>
      </c>
      <c r="L199" s="131">
        <f t="shared" si="57"/>
        <v>43</v>
      </c>
      <c r="M199" s="62">
        <f t="shared" si="57"/>
        <v>4221658.0999999996</v>
      </c>
      <c r="N199" s="131">
        <f t="shared" si="57"/>
        <v>18</v>
      </c>
      <c r="O199" s="62">
        <f t="shared" si="57"/>
        <v>2838526.5</v>
      </c>
      <c r="P199" s="131">
        <f t="shared" si="57"/>
        <v>20</v>
      </c>
      <c r="Q199" s="62">
        <f>SUM(Q187:Q198)</f>
        <v>3482904.2199999997</v>
      </c>
      <c r="R199" s="131">
        <f t="shared" ref="R199:AA199" si="58">SUM(R187:R198)</f>
        <v>11</v>
      </c>
      <c r="S199" s="62">
        <f t="shared" si="58"/>
        <v>3064305.66</v>
      </c>
      <c r="T199" s="131">
        <f t="shared" si="58"/>
        <v>29</v>
      </c>
      <c r="U199" s="62">
        <f t="shared" si="58"/>
        <v>2746549.39</v>
      </c>
      <c r="V199" s="131">
        <f t="shared" si="58"/>
        <v>40</v>
      </c>
      <c r="W199" s="62">
        <f t="shared" si="58"/>
        <v>2125225.48</v>
      </c>
      <c r="X199" s="131">
        <f t="shared" si="58"/>
        <v>61</v>
      </c>
      <c r="Y199" s="62">
        <f t="shared" si="58"/>
        <v>5004603.0300000012</v>
      </c>
      <c r="Z199" s="131">
        <f t="shared" si="58"/>
        <v>52</v>
      </c>
      <c r="AA199" s="62">
        <f t="shared" si="58"/>
        <v>4251284.2400000012</v>
      </c>
      <c r="AB199" s="131">
        <f>SUM(D199,F199,H199,J199,L199,N199,P199,R199,T199,V199,X199,Z199)</f>
        <v>443</v>
      </c>
      <c r="AC199" s="62">
        <f>SUM(AA199,Y199,W199,U199,S199,Q199,O199,M199,K199,I199,G199,E199)</f>
        <v>39450681.259999998</v>
      </c>
    </row>
    <row r="203" spans="1:29" x14ac:dyDescent="0.2">
      <c r="A203" s="71" t="s">
        <v>5427</v>
      </c>
      <c r="B203" s="71"/>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row>
    <row r="204" spans="1:29" x14ac:dyDescent="0.2">
      <c r="A204" s="10"/>
      <c r="B204" s="10"/>
      <c r="C204" s="10"/>
      <c r="D204" s="421" t="s">
        <v>635</v>
      </c>
      <c r="E204" s="421"/>
      <c r="F204" s="421" t="s">
        <v>853</v>
      </c>
      <c r="G204" s="421"/>
      <c r="H204" s="421" t="s">
        <v>860</v>
      </c>
      <c r="I204" s="421"/>
      <c r="J204" s="421" t="s">
        <v>863</v>
      </c>
      <c r="K204" s="421"/>
      <c r="L204" s="427" t="s">
        <v>1220</v>
      </c>
      <c r="M204" s="427"/>
      <c r="N204" s="428" t="s">
        <v>913</v>
      </c>
      <c r="O204" s="421"/>
      <c r="P204" s="428" t="s">
        <v>953</v>
      </c>
      <c r="Q204" s="421"/>
      <c r="R204" s="421" t="s">
        <v>955</v>
      </c>
      <c r="S204" s="421"/>
      <c r="T204" s="421" t="s">
        <v>970</v>
      </c>
      <c r="U204" s="421"/>
      <c r="V204" s="421" t="s">
        <v>989</v>
      </c>
      <c r="W204" s="421"/>
      <c r="X204" s="421" t="s">
        <v>1004</v>
      </c>
      <c r="Y204" s="421"/>
      <c r="Z204" s="421" t="s">
        <v>1031</v>
      </c>
      <c r="AA204" s="421"/>
      <c r="AB204" s="422" t="s">
        <v>1302</v>
      </c>
      <c r="AC204" s="423"/>
    </row>
    <row r="205" spans="1:29" x14ac:dyDescent="0.2">
      <c r="D205" s="8" t="s">
        <v>633</v>
      </c>
      <c r="E205" s="8" t="s">
        <v>843</v>
      </c>
      <c r="F205" s="8" t="s">
        <v>633</v>
      </c>
      <c r="G205" s="8" t="s">
        <v>843</v>
      </c>
      <c r="H205" s="8" t="s">
        <v>633</v>
      </c>
      <c r="I205" s="8" t="s">
        <v>843</v>
      </c>
      <c r="J205" s="8" t="s">
        <v>633</v>
      </c>
      <c r="K205" s="8" t="s">
        <v>843</v>
      </c>
      <c r="L205" s="8" t="s">
        <v>633</v>
      </c>
      <c r="M205" s="8" t="s">
        <v>843</v>
      </c>
      <c r="N205" s="8" t="s">
        <v>633</v>
      </c>
      <c r="O205" s="8" t="s">
        <v>843</v>
      </c>
      <c r="P205" s="8" t="s">
        <v>633</v>
      </c>
      <c r="Q205" s="8" t="s">
        <v>843</v>
      </c>
      <c r="R205" s="8" t="s">
        <v>633</v>
      </c>
      <c r="S205" s="8" t="s">
        <v>843</v>
      </c>
      <c r="T205" s="8" t="s">
        <v>633</v>
      </c>
      <c r="U205" s="8" t="s">
        <v>843</v>
      </c>
      <c r="V205" s="8" t="s">
        <v>633</v>
      </c>
      <c r="W205" s="8" t="s">
        <v>843</v>
      </c>
      <c r="X205" s="8" t="s">
        <v>633</v>
      </c>
      <c r="Y205" s="8" t="s">
        <v>843</v>
      </c>
      <c r="Z205" s="8" t="s">
        <v>633</v>
      </c>
      <c r="AA205" s="8" t="s">
        <v>843</v>
      </c>
      <c r="AB205" s="94" t="s">
        <v>633</v>
      </c>
      <c r="AC205" s="94" t="s">
        <v>843</v>
      </c>
    </row>
    <row r="206" spans="1:29" x14ac:dyDescent="0.2">
      <c r="A206" s="19" t="s">
        <v>1183</v>
      </c>
      <c r="B206" s="19" t="s">
        <v>422</v>
      </c>
      <c r="C206" s="20" t="s">
        <v>701</v>
      </c>
      <c r="D206" s="59">
        <v>16</v>
      </c>
      <c r="E206" s="16">
        <f>43342.56+23852.1+48000+23952.9+26541.2+42148.76+37190.08+43801.65+47107.44+32231.4+48760.33+357280+89000+135920+76500+32100</f>
        <v>1107728.4200000002</v>
      </c>
      <c r="F206" s="59">
        <v>8</v>
      </c>
      <c r="G206" s="16">
        <f>223600+72940+12500+32783.76+18410+300000+40000+180000</f>
        <v>880233.76</v>
      </c>
      <c r="H206" s="59">
        <v>10</v>
      </c>
      <c r="I206" s="16">
        <f>153060+153040+153600+25000+12425+60000+26600+250000+46130+29000</f>
        <v>908855</v>
      </c>
      <c r="J206" s="59">
        <v>4</v>
      </c>
      <c r="K206" s="16">
        <f>27000+100300+38619.32+18500</f>
        <v>184419.32</v>
      </c>
      <c r="L206" s="59">
        <v>21</v>
      </c>
      <c r="M206" s="16">
        <f>225000+50500+31500+139042.41+251624.72+40000+216550.45+216550.45+229508.91+389876.78+28700+99400+5400+5400+91900+5400+3780+204139.8+216906+582738.4+930527.2+195200+8100+21487.6+25000+20661.16+100000+45300+12536.4</f>
        <v>4392730.2800000012</v>
      </c>
      <c r="N206" s="59">
        <v>7</v>
      </c>
      <c r="O206" s="16">
        <f>100000+16528.93+160000+40000+122120+500000+114980</f>
        <v>1053628.93</v>
      </c>
      <c r="P206" s="59">
        <v>6</v>
      </c>
      <c r="Q206" s="16">
        <f>130720+55260+56088+45000+380000+107050</f>
        <v>774118</v>
      </c>
      <c r="R206" s="59">
        <v>4</v>
      </c>
      <c r="S206" s="16">
        <f>140200+58400+31500+25500</f>
        <v>255600</v>
      </c>
      <c r="T206" s="59">
        <v>15</v>
      </c>
      <c r="U206" s="16">
        <f>40100+227170+40000+18000+42000+49700+45000+24000+100000+39800+16200+42030+55800+132222.65+35350</f>
        <v>907372.65</v>
      </c>
      <c r="V206" s="59">
        <v>20</v>
      </c>
      <c r="W206" s="16">
        <f>35500+50500+40500+29500+325280.17+27500+270960+225800+31500+339500+82000+270130+31500+46200+67450+36840+190000+46000+46850+60840</f>
        <v>2254350.17</v>
      </c>
      <c r="X206" s="59">
        <v>18</v>
      </c>
      <c r="Y206" s="16">
        <f>216500+99906.1+99906.1+99906.1+99906.1+99906.1+99906.1+74700+70250+203420+178081.5+37500+196746.92+37290+341900+249400+139970+32131.04</f>
        <v>2377326.0599999996</v>
      </c>
      <c r="Z206" s="59">
        <v>14</v>
      </c>
      <c r="AA206" s="16">
        <f>84190+52375+52500+14350+16750+31000+108000+42440+14500+32900+44890+53645.8+14721.94+251432</f>
        <v>813694.74</v>
      </c>
      <c r="AB206" s="158">
        <f t="shared" ref="AB206:AB217" si="59">SUM(D206,F206,H206,J206,L206,N206,P206,R206,T206,V206,X206,Z206)</f>
        <v>143</v>
      </c>
      <c r="AC206" s="87">
        <f t="shared" ref="AC206:AC217" si="60">SUM(AA206,Y206,W206,U206,S206,Q206,O206,M206,K206,I206,G206,E206)</f>
        <v>15910057.330000002</v>
      </c>
    </row>
    <row r="207" spans="1:29" x14ac:dyDescent="0.2">
      <c r="A207" s="21"/>
      <c r="B207" s="21"/>
      <c r="C207" s="20" t="s">
        <v>396</v>
      </c>
      <c r="D207" s="59">
        <v>4</v>
      </c>
      <c r="E207" s="16">
        <f>140000+24600+1497866.66+98400</f>
        <v>1760866.66</v>
      </c>
      <c r="F207" s="59">
        <v>8</v>
      </c>
      <c r="G207" s="16">
        <f>28560+9000+1320+3633.35+38115.67+9684+154874.57+30936</f>
        <v>276123.58999999997</v>
      </c>
      <c r="H207" s="59">
        <v>2</v>
      </c>
      <c r="I207" s="16">
        <f>20064+22187.22</f>
        <v>42251.22</v>
      </c>
      <c r="J207" s="59">
        <v>14</v>
      </c>
      <c r="K207" s="16">
        <f>6288+26869.4+178724.69+17554.68+20160+3956.42+11400+132729.38+14229.96+36306.36+44912.4+367373.76+44545.92+14256</f>
        <v>919306.97000000009</v>
      </c>
      <c r="L207" s="59">
        <v>20</v>
      </c>
      <c r="M207" s="16">
        <f>11703.12+12396.69+32144.42+9038.4+20022.83+17448+28962.29+39762.67+75602.8+29620.51+99000</f>
        <v>375701.73</v>
      </c>
      <c r="N207" s="59">
        <v>7</v>
      </c>
      <c r="O207" s="16">
        <f>185122.24+34620+991735.54+31900+17478.92+4703438.6+1149823.44</f>
        <v>7114118.7400000002</v>
      </c>
      <c r="P207" s="59">
        <v>12</v>
      </c>
      <c r="Q207" s="16">
        <f>4285.2+18577.62+14755.79+4128+29037.86+91500+11333.4+100000+26278.48+7368+62649.08+15982.74</f>
        <v>385896.17</v>
      </c>
      <c r="R207" s="59">
        <v>7</v>
      </c>
      <c r="S207" s="16">
        <f>243391.84+39992.4+12837.87+8124.83+31416+39762.67+33690.88</f>
        <v>409216.49</v>
      </c>
      <c r="T207" s="59">
        <v>5</v>
      </c>
      <c r="U207" s="16">
        <f>44374.44+46874.4+286378.32+4014.46+15185.6</f>
        <v>396827.22000000003</v>
      </c>
      <c r="V207" s="59">
        <v>7</v>
      </c>
      <c r="W207" s="16">
        <f>14785.6+4014.46+242594.9+36306.36+46398.64+8870.59+6687.22</f>
        <v>359657.77</v>
      </c>
      <c r="X207" s="59">
        <v>7</v>
      </c>
      <c r="Y207" s="16">
        <f>2632.8+7781.12+430000+39598.87+3303.11+11431.06+29730.67</f>
        <v>524477.63</v>
      </c>
      <c r="Z207" s="59">
        <v>11</v>
      </c>
      <c r="AA207" s="16">
        <f>10654.25+70540.3+288413.6+41247.11+11241.62+29528+98940.46+71646.54+10046.71+351343.33+53943.73</f>
        <v>1037545.6499999999</v>
      </c>
      <c r="AB207" s="158">
        <f t="shared" si="59"/>
        <v>104</v>
      </c>
      <c r="AC207" s="87">
        <f t="shared" si="60"/>
        <v>13601989.840000002</v>
      </c>
    </row>
    <row r="208" spans="1:29" x14ac:dyDescent="0.2">
      <c r="A208" s="21"/>
      <c r="B208" s="22"/>
      <c r="C208" s="20" t="s">
        <v>8</v>
      </c>
      <c r="D208" s="59">
        <v>2</v>
      </c>
      <c r="E208" s="16">
        <f>43844.79+182400</f>
        <v>226244.79</v>
      </c>
      <c r="F208" s="59">
        <v>3</v>
      </c>
      <c r="G208" s="16">
        <f>9383.37+12659.55+42336.71</f>
        <v>64379.63</v>
      </c>
      <c r="H208" s="59"/>
      <c r="I208" s="16"/>
      <c r="J208" s="59">
        <v>6</v>
      </c>
      <c r="K208" s="16">
        <f>7402.03+43870.19+1621.07+30552.93+79842.19+13994.85</f>
        <v>177283.26</v>
      </c>
      <c r="L208" s="59">
        <v>5</v>
      </c>
      <c r="M208" s="16">
        <f>2414.12+11793.83+64596+127401.33+68843.23</f>
        <v>275048.51</v>
      </c>
      <c r="N208" s="59">
        <v>2</v>
      </c>
      <c r="O208" s="16">
        <f>39335.63+6495.19</f>
        <v>45830.82</v>
      </c>
      <c r="P208" s="59">
        <v>5</v>
      </c>
      <c r="Q208" s="16">
        <f>3420.68+5311.84+10085.52+7092.17+24676.74</f>
        <v>50586.95</v>
      </c>
      <c r="R208" s="59">
        <v>4</v>
      </c>
      <c r="S208" s="16">
        <f>20089.35+2154.96+11434+8001.35</f>
        <v>41679.659999999996</v>
      </c>
      <c r="T208" s="59">
        <v>2</v>
      </c>
      <c r="U208" s="16">
        <f>79160.27+2342.9</f>
        <v>81503.17</v>
      </c>
      <c r="V208" s="59">
        <v>4</v>
      </c>
      <c r="W208" s="16">
        <f>2301.65+90214.16+2119.15+9488.01</f>
        <v>104122.96999999999</v>
      </c>
      <c r="X208" s="59">
        <v>3</v>
      </c>
      <c r="Y208" s="16">
        <f>2523.23+1204.49+14638.48</f>
        <v>18366.2</v>
      </c>
      <c r="Z208" s="59">
        <v>3</v>
      </c>
      <c r="AA208" s="16">
        <f>21305.99+8439.06+11964.3</f>
        <v>41709.350000000006</v>
      </c>
      <c r="AB208" s="158">
        <f t="shared" si="59"/>
        <v>39</v>
      </c>
      <c r="AC208" s="87">
        <f t="shared" si="60"/>
        <v>1126755.31</v>
      </c>
    </row>
    <row r="209" spans="1:29" x14ac:dyDescent="0.2">
      <c r="A209" s="21"/>
      <c r="B209" s="19" t="s">
        <v>392</v>
      </c>
      <c r="C209" s="20" t="s">
        <v>701</v>
      </c>
      <c r="D209" s="59">
        <v>1</v>
      </c>
      <c r="E209" s="16">
        <v>130000</v>
      </c>
      <c r="F209" s="59">
        <v>3</v>
      </c>
      <c r="G209" s="16">
        <f>104290+47300+27200</f>
        <v>178790</v>
      </c>
      <c r="H209" s="59">
        <v>3</v>
      </c>
      <c r="I209" s="16">
        <f>43000+45500+21500</f>
        <v>110000</v>
      </c>
      <c r="J209" s="59">
        <v>1</v>
      </c>
      <c r="K209" s="16">
        <v>33500</v>
      </c>
      <c r="L209" s="59"/>
      <c r="M209" s="16">
        <v>0</v>
      </c>
      <c r="N209" s="59">
        <v>1</v>
      </c>
      <c r="O209" s="16">
        <v>49280</v>
      </c>
      <c r="P209" s="59">
        <v>1</v>
      </c>
      <c r="Q209" s="16">
        <v>27580</v>
      </c>
      <c r="R209" s="59"/>
      <c r="S209" s="16"/>
      <c r="T209" s="59">
        <v>1</v>
      </c>
      <c r="U209" s="16">
        <v>515000</v>
      </c>
      <c r="V209" s="59"/>
      <c r="W209" s="16"/>
      <c r="X209" s="59">
        <v>1</v>
      </c>
      <c r="Y209" s="16">
        <v>100000</v>
      </c>
      <c r="Z209" s="59">
        <v>1</v>
      </c>
      <c r="AA209" s="16">
        <v>21780</v>
      </c>
      <c r="AB209" s="158">
        <f t="shared" si="59"/>
        <v>13</v>
      </c>
      <c r="AC209" s="87">
        <f t="shared" si="60"/>
        <v>1165930</v>
      </c>
    </row>
    <row r="210" spans="1:29" x14ac:dyDescent="0.2">
      <c r="A210" s="21"/>
      <c r="B210" s="21"/>
      <c r="C210" s="20" t="s">
        <v>9</v>
      </c>
      <c r="D210" s="59"/>
      <c r="E210" s="16"/>
      <c r="F210" s="59">
        <v>1</v>
      </c>
      <c r="G210" s="16">
        <v>216303.38</v>
      </c>
      <c r="H210" s="59">
        <v>1</v>
      </c>
      <c r="I210" s="16">
        <f>510083.19</f>
        <v>510083.19</v>
      </c>
      <c r="J210" s="59">
        <v>1</v>
      </c>
      <c r="K210" s="16">
        <v>826077.32</v>
      </c>
      <c r="L210" s="59">
        <v>2</v>
      </c>
      <c r="M210" s="16">
        <f>366412.83+260400.02</f>
        <v>626812.85</v>
      </c>
      <c r="N210" s="59">
        <v>2</v>
      </c>
      <c r="O210" s="16">
        <f>610450.27+3901319.98</f>
        <v>4511770.25</v>
      </c>
      <c r="P210" s="59">
        <v>2</v>
      </c>
      <c r="Q210" s="16">
        <f>433419.69+390453.4</f>
        <v>823873.09000000008</v>
      </c>
      <c r="R210" s="59"/>
      <c r="S210" s="16"/>
      <c r="T210" s="59">
        <v>1</v>
      </c>
      <c r="U210" s="16">
        <v>784684.73</v>
      </c>
      <c r="V210" s="59"/>
      <c r="W210" s="16"/>
      <c r="X210" s="59"/>
      <c r="Y210" s="16"/>
      <c r="Z210" s="59"/>
      <c r="AA210" s="16"/>
      <c r="AB210" s="158">
        <f t="shared" si="59"/>
        <v>10</v>
      </c>
      <c r="AC210" s="87">
        <f t="shared" si="60"/>
        <v>8299604.8100000005</v>
      </c>
    </row>
    <row r="211" spans="1:29" x14ac:dyDescent="0.2">
      <c r="A211" s="21"/>
      <c r="B211" s="21"/>
      <c r="C211" s="159" t="s">
        <v>2224</v>
      </c>
      <c r="D211" s="59"/>
      <c r="E211" s="16"/>
      <c r="F211" s="59">
        <v>1</v>
      </c>
      <c r="G211" s="16">
        <v>30000</v>
      </c>
      <c r="H211" s="59">
        <v>3</v>
      </c>
      <c r="I211" s="16">
        <f>19363.22+68181.82+48685.53</f>
        <v>136230.57</v>
      </c>
      <c r="J211" s="59">
        <v>1</v>
      </c>
      <c r="K211" s="16">
        <v>11000</v>
      </c>
      <c r="L211" s="59">
        <v>1</v>
      </c>
      <c r="M211" s="16">
        <v>56196.35</v>
      </c>
      <c r="N211" s="59">
        <v>2</v>
      </c>
      <c r="O211" s="16">
        <f>29429.19+54545.45</f>
        <v>83974.64</v>
      </c>
      <c r="P211" s="59"/>
      <c r="Q211" s="16"/>
      <c r="R211" s="59"/>
      <c r="S211" s="16"/>
      <c r="T211" s="59">
        <v>1</v>
      </c>
      <c r="U211" s="16">
        <v>28760.33</v>
      </c>
      <c r="V211" s="59"/>
      <c r="W211" s="16"/>
      <c r="X211" s="59"/>
      <c r="Y211" s="16"/>
      <c r="Z211" s="59">
        <v>3</v>
      </c>
      <c r="AA211" s="16">
        <f>1477951.6+68000+49980</f>
        <v>1595931.6</v>
      </c>
      <c r="AB211" s="158">
        <f t="shared" si="59"/>
        <v>12</v>
      </c>
      <c r="AC211" s="87">
        <f t="shared" si="60"/>
        <v>1942093.4900000002</v>
      </c>
    </row>
    <row r="212" spans="1:29" x14ac:dyDescent="0.2">
      <c r="A212" s="21"/>
      <c r="B212" s="21"/>
      <c r="C212" s="20" t="s">
        <v>396</v>
      </c>
      <c r="D212" s="59"/>
      <c r="E212" s="16"/>
      <c r="F212" s="59">
        <v>1</v>
      </c>
      <c r="G212" s="16">
        <v>26300.880000000001</v>
      </c>
      <c r="H212" s="59">
        <v>1</v>
      </c>
      <c r="I212" s="16">
        <v>20760</v>
      </c>
      <c r="J212" s="59">
        <v>3</v>
      </c>
      <c r="K212" s="16">
        <f>19200+12300+439629.37</f>
        <v>471129.37</v>
      </c>
      <c r="L212" s="59">
        <v>1</v>
      </c>
      <c r="M212" s="16">
        <v>22342.34</v>
      </c>
      <c r="N212" s="59">
        <v>1</v>
      </c>
      <c r="O212" s="16">
        <v>243288</v>
      </c>
      <c r="P212" s="59">
        <v>2</v>
      </c>
      <c r="Q212" s="16">
        <f>44000+357125.09</f>
        <v>401125.09</v>
      </c>
      <c r="R212" s="59"/>
      <c r="S212" s="16"/>
      <c r="T212" s="59"/>
      <c r="U212" s="16"/>
      <c r="V212" s="59">
        <v>2</v>
      </c>
      <c r="W212" s="16">
        <f>74479.15+24769.33</f>
        <v>99248.48</v>
      </c>
      <c r="X212" s="59"/>
      <c r="Y212" s="16"/>
      <c r="Z212" s="59">
        <v>1</v>
      </c>
      <c r="AA212" s="16">
        <v>91553.47</v>
      </c>
      <c r="AB212" s="158">
        <f t="shared" si="59"/>
        <v>12</v>
      </c>
      <c r="AC212" s="87">
        <f t="shared" si="60"/>
        <v>1375747.63</v>
      </c>
    </row>
    <row r="213" spans="1:29" x14ac:dyDescent="0.2">
      <c r="A213" s="21"/>
      <c r="B213" s="21"/>
      <c r="C213" s="20" t="s">
        <v>393</v>
      </c>
      <c r="D213" s="59"/>
      <c r="E213" s="16"/>
      <c r="F213" s="59">
        <v>7</v>
      </c>
      <c r="G213" s="16">
        <f>9422+47160+157715.56+12252+40853.2+98139.56+29400</f>
        <v>394942.32</v>
      </c>
      <c r="H213" s="59">
        <v>5</v>
      </c>
      <c r="I213" s="16">
        <f>23078.93+6912+83136.8+24000+7200</f>
        <v>144327.73000000001</v>
      </c>
      <c r="J213" s="59">
        <v>8</v>
      </c>
      <c r="K213" s="16">
        <f>16000+41000+98504.51+29544+61157.02+22152+28000+8244</f>
        <v>304601.53000000003</v>
      </c>
      <c r="L213" s="59">
        <v>1</v>
      </c>
      <c r="M213" s="16">
        <v>4508.3999999999996</v>
      </c>
      <c r="N213" s="59"/>
      <c r="O213" s="16"/>
      <c r="P213" s="59">
        <v>5</v>
      </c>
      <c r="Q213" s="16">
        <f>98000+29400+90048.53+26118+45156.14</f>
        <v>288722.67</v>
      </c>
      <c r="R213" s="59">
        <v>2</v>
      </c>
      <c r="S213" s="16">
        <f>201125.59+40214.4</f>
        <v>241339.99</v>
      </c>
      <c r="T213" s="59">
        <v>2</v>
      </c>
      <c r="U213" s="16">
        <f>7350+24500</f>
        <v>31850</v>
      </c>
      <c r="V213" s="59">
        <v>8</v>
      </c>
      <c r="W213" s="16">
        <f>36400+8381.4+23105.94+91735.61+29982.27+8434.5+48000+10966.58</f>
        <v>257006.3</v>
      </c>
      <c r="X213" s="59">
        <v>5</v>
      </c>
      <c r="Y213" s="16">
        <f>99136.71+24091.92+29281.74+131377.7+29500</f>
        <v>313388.07</v>
      </c>
      <c r="Z213" s="59">
        <v>2</v>
      </c>
      <c r="AA213" s="16">
        <f>610000+135360.78</f>
        <v>745360.78</v>
      </c>
      <c r="AB213" s="158">
        <f t="shared" si="59"/>
        <v>45</v>
      </c>
      <c r="AC213" s="87">
        <f t="shared" si="60"/>
        <v>2726047.79</v>
      </c>
    </row>
    <row r="214" spans="1:29" x14ac:dyDescent="0.2">
      <c r="A214" s="21"/>
      <c r="B214" s="21"/>
      <c r="C214" s="20" t="s">
        <v>10</v>
      </c>
      <c r="D214" s="59"/>
      <c r="E214" s="16"/>
      <c r="F214" s="59"/>
      <c r="G214" s="16"/>
      <c r="H214" s="59"/>
      <c r="I214" s="16"/>
      <c r="J214" s="59"/>
      <c r="K214" s="16"/>
      <c r="L214" s="59"/>
      <c r="M214" s="16"/>
      <c r="N214" s="59"/>
      <c r="O214" s="16"/>
      <c r="P214" s="59"/>
      <c r="Q214" s="16"/>
      <c r="R214" s="59"/>
      <c r="S214" s="16"/>
      <c r="T214" s="59"/>
      <c r="U214" s="16"/>
      <c r="V214" s="59"/>
      <c r="W214" s="16"/>
      <c r="X214" s="59"/>
      <c r="Y214" s="16"/>
      <c r="Z214" s="59"/>
      <c r="AA214" s="16"/>
      <c r="AB214" s="158">
        <f t="shared" si="59"/>
        <v>0</v>
      </c>
      <c r="AC214" s="87">
        <f t="shared" si="60"/>
        <v>0</v>
      </c>
    </row>
    <row r="215" spans="1:29" x14ac:dyDescent="0.2">
      <c r="A215" s="21"/>
      <c r="B215" s="21"/>
      <c r="C215" s="20" t="s">
        <v>1101</v>
      </c>
      <c r="D215" s="59"/>
      <c r="E215" s="16"/>
      <c r="F215" s="59"/>
      <c r="G215" s="16"/>
      <c r="H215" s="59"/>
      <c r="I215" s="16"/>
      <c r="J215" s="59"/>
      <c r="K215" s="16"/>
      <c r="L215" s="59"/>
      <c r="M215" s="16"/>
      <c r="N215" s="59"/>
      <c r="O215" s="16"/>
      <c r="P215" s="59"/>
      <c r="Q215" s="16"/>
      <c r="R215" s="59"/>
      <c r="S215" s="16"/>
      <c r="T215" s="59"/>
      <c r="U215" s="16"/>
      <c r="V215" s="59"/>
      <c r="W215" s="16"/>
      <c r="X215" s="59"/>
      <c r="Y215" s="16"/>
      <c r="Z215" s="59"/>
      <c r="AA215" s="16"/>
      <c r="AB215" s="158">
        <f t="shared" si="59"/>
        <v>0</v>
      </c>
      <c r="AC215" s="87">
        <f t="shared" si="60"/>
        <v>0</v>
      </c>
    </row>
    <row r="216" spans="1:29" x14ac:dyDescent="0.2">
      <c r="A216" s="21"/>
      <c r="B216" s="21"/>
      <c r="C216" s="20" t="s">
        <v>8</v>
      </c>
      <c r="D216" s="59"/>
      <c r="E216" s="16"/>
      <c r="F216" s="59">
        <v>4</v>
      </c>
      <c r="G216" s="16">
        <f>19024.77+17072.76+83269.68+65853.31</f>
        <v>185220.52</v>
      </c>
      <c r="H216" s="59">
        <v>3</v>
      </c>
      <c r="I216" s="16">
        <f>7709.16+21278.42+13805</f>
        <v>42792.58</v>
      </c>
      <c r="J216" s="59">
        <v>6</v>
      </c>
      <c r="K216" s="16">
        <f>16908.3+5572.06+30681.29+3951.67+35503.62+6097.01</f>
        <v>98713.95</v>
      </c>
      <c r="L216" s="59">
        <v>1</v>
      </c>
      <c r="M216" s="16">
        <v>6719.28</v>
      </c>
      <c r="N216" s="59"/>
      <c r="O216" s="16"/>
      <c r="P216" s="59">
        <v>3</v>
      </c>
      <c r="Q216" s="16">
        <f>41648.09+31271.4+60308.03</f>
        <v>133227.51999999999</v>
      </c>
      <c r="R216" s="59">
        <v>1</v>
      </c>
      <c r="S216" s="16">
        <v>240292.59</v>
      </c>
      <c r="T216" s="59"/>
      <c r="U216" s="16"/>
      <c r="V216" s="59">
        <v>4</v>
      </c>
      <c r="W216" s="16">
        <f>13345.09+54959.86+17303.39+17702.68</f>
        <v>103311.01999999999</v>
      </c>
      <c r="X216" s="59">
        <v>2</v>
      </c>
      <c r="Y216" s="16">
        <f>56073.27+71871.45</f>
        <v>127944.72</v>
      </c>
      <c r="Z216" s="59">
        <v>1</v>
      </c>
      <c r="AA216" s="16">
        <v>276467.67</v>
      </c>
      <c r="AB216" s="158">
        <f t="shared" si="59"/>
        <v>25</v>
      </c>
      <c r="AC216" s="87">
        <f t="shared" si="60"/>
        <v>1214689.8499999999</v>
      </c>
    </row>
    <row r="217" spans="1:29" x14ac:dyDescent="0.2">
      <c r="A217" s="22"/>
      <c r="B217" s="22"/>
      <c r="C217" s="21" t="s">
        <v>1426</v>
      </c>
      <c r="D217" s="59"/>
      <c r="E217" s="16"/>
      <c r="F217" s="59"/>
      <c r="G217" s="16"/>
      <c r="H217" s="59"/>
      <c r="I217" s="16"/>
      <c r="J217" s="59"/>
      <c r="K217" s="16"/>
      <c r="L217" s="59"/>
      <c r="M217" s="16"/>
      <c r="N217" s="59"/>
      <c r="O217" s="16"/>
      <c r="P217" s="59"/>
      <c r="Q217" s="16"/>
      <c r="R217" s="59"/>
      <c r="S217" s="16"/>
      <c r="T217" s="59"/>
      <c r="U217" s="16"/>
      <c r="V217" s="59"/>
      <c r="W217" s="16"/>
      <c r="X217" s="59"/>
      <c r="Y217" s="16"/>
      <c r="Z217" s="59"/>
      <c r="AA217" s="16"/>
      <c r="AB217" s="158">
        <f t="shared" si="59"/>
        <v>0</v>
      </c>
      <c r="AC217" s="87">
        <f t="shared" si="60"/>
        <v>0</v>
      </c>
    </row>
    <row r="218" spans="1:29" x14ac:dyDescent="0.2">
      <c r="A218" s="424"/>
      <c r="B218" s="425"/>
      <c r="C218" s="426"/>
      <c r="D218" s="131">
        <f t="shared" ref="D218" si="61">SUM(D206:D217)</f>
        <v>23</v>
      </c>
      <c r="E218" s="62">
        <f t="shared" ref="E218:P218" si="62">SUM(E206:E217)</f>
        <v>3224839.87</v>
      </c>
      <c r="F218" s="131">
        <f t="shared" si="62"/>
        <v>36</v>
      </c>
      <c r="G218" s="62">
        <f t="shared" si="62"/>
        <v>2252294.0799999996</v>
      </c>
      <c r="H218" s="131">
        <f t="shared" si="62"/>
        <v>28</v>
      </c>
      <c r="I218" s="62">
        <f t="shared" si="62"/>
        <v>1915300.29</v>
      </c>
      <c r="J218" s="131">
        <f t="shared" si="62"/>
        <v>44</v>
      </c>
      <c r="K218" s="62">
        <f t="shared" si="62"/>
        <v>3026031.7200000007</v>
      </c>
      <c r="L218" s="131">
        <f t="shared" si="62"/>
        <v>52</v>
      </c>
      <c r="M218" s="62">
        <f t="shared" si="62"/>
        <v>5760059.7400000012</v>
      </c>
      <c r="N218" s="131">
        <f t="shared" si="62"/>
        <v>22</v>
      </c>
      <c r="O218" s="62">
        <f t="shared" si="62"/>
        <v>13101891.380000001</v>
      </c>
      <c r="P218" s="131">
        <f t="shared" si="62"/>
        <v>36</v>
      </c>
      <c r="Q218" s="62">
        <f>SUM(Q206:Q217)</f>
        <v>2885129.4899999998</v>
      </c>
      <c r="R218" s="131">
        <f t="shared" ref="R218:AA218" si="63">SUM(R206:R217)</f>
        <v>18</v>
      </c>
      <c r="S218" s="62">
        <f t="shared" si="63"/>
        <v>1188128.73</v>
      </c>
      <c r="T218" s="131">
        <f t="shared" si="63"/>
        <v>27</v>
      </c>
      <c r="U218" s="62">
        <f t="shared" si="63"/>
        <v>2745998.1</v>
      </c>
      <c r="V218" s="131">
        <f t="shared" si="63"/>
        <v>45</v>
      </c>
      <c r="W218" s="62">
        <f t="shared" si="63"/>
        <v>3177696.71</v>
      </c>
      <c r="X218" s="131">
        <f t="shared" si="63"/>
        <v>36</v>
      </c>
      <c r="Y218" s="62">
        <f t="shared" si="63"/>
        <v>3461502.6799999997</v>
      </c>
      <c r="Z218" s="131">
        <f t="shared" si="63"/>
        <v>36</v>
      </c>
      <c r="AA218" s="62">
        <f t="shared" si="63"/>
        <v>4624043.26</v>
      </c>
      <c r="AB218" s="131">
        <f>SUM(D218,F218,H218,J218,L218,N218,P218,R218,T218,V218,X218,Z218)</f>
        <v>403</v>
      </c>
      <c r="AC218" s="62">
        <f>SUM(AA218,Y218,W218,U218,S218,Q218,O218,M218,K218,I218,G218,E218)</f>
        <v>47362916.049999997</v>
      </c>
    </row>
    <row r="222" spans="1:29" x14ac:dyDescent="0.2">
      <c r="A222" s="71" t="s">
        <v>6249</v>
      </c>
      <c r="B222" s="71"/>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row>
    <row r="223" spans="1:29" x14ac:dyDescent="0.2">
      <c r="A223" s="10"/>
      <c r="B223" s="10"/>
      <c r="C223" s="10"/>
      <c r="D223" s="421" t="s">
        <v>635</v>
      </c>
      <c r="E223" s="421"/>
      <c r="F223" s="421" t="s">
        <v>853</v>
      </c>
      <c r="G223" s="421"/>
      <c r="H223" s="421" t="s">
        <v>860</v>
      </c>
      <c r="I223" s="421"/>
      <c r="J223" s="421" t="s">
        <v>863</v>
      </c>
      <c r="K223" s="421"/>
      <c r="L223" s="427" t="s">
        <v>1220</v>
      </c>
      <c r="M223" s="427"/>
      <c r="N223" s="428" t="s">
        <v>913</v>
      </c>
      <c r="O223" s="421"/>
      <c r="P223" s="428" t="s">
        <v>953</v>
      </c>
      <c r="Q223" s="421"/>
      <c r="R223" s="421" t="s">
        <v>955</v>
      </c>
      <c r="S223" s="421"/>
      <c r="T223" s="421" t="s">
        <v>970</v>
      </c>
      <c r="U223" s="421"/>
      <c r="V223" s="421" t="s">
        <v>989</v>
      </c>
      <c r="W223" s="421"/>
      <c r="X223" s="421" t="s">
        <v>1004</v>
      </c>
      <c r="Y223" s="421"/>
      <c r="Z223" s="421" t="s">
        <v>1031</v>
      </c>
      <c r="AA223" s="421"/>
      <c r="AB223" s="422" t="s">
        <v>1302</v>
      </c>
      <c r="AC223" s="423"/>
    </row>
    <row r="224" spans="1:29" x14ac:dyDescent="0.2">
      <c r="D224" s="8" t="s">
        <v>633</v>
      </c>
      <c r="E224" s="8" t="s">
        <v>843</v>
      </c>
      <c r="F224" s="8" t="s">
        <v>633</v>
      </c>
      <c r="G224" s="8" t="s">
        <v>843</v>
      </c>
      <c r="H224" s="8" t="s">
        <v>633</v>
      </c>
      <c r="I224" s="8" t="s">
        <v>843</v>
      </c>
      <c r="J224" s="8" t="s">
        <v>633</v>
      </c>
      <c r="K224" s="8" t="s">
        <v>843</v>
      </c>
      <c r="L224" s="8" t="s">
        <v>633</v>
      </c>
      <c r="M224" s="8" t="s">
        <v>843</v>
      </c>
      <c r="N224" s="8" t="s">
        <v>633</v>
      </c>
      <c r="O224" s="8" t="s">
        <v>843</v>
      </c>
      <c r="P224" s="8" t="s">
        <v>633</v>
      </c>
      <c r="Q224" s="8" t="s">
        <v>843</v>
      </c>
      <c r="R224" s="8" t="s">
        <v>633</v>
      </c>
      <c r="S224" s="8" t="s">
        <v>843</v>
      </c>
      <c r="T224" s="8" t="s">
        <v>633</v>
      </c>
      <c r="U224" s="8" t="s">
        <v>843</v>
      </c>
      <c r="V224" s="8" t="s">
        <v>633</v>
      </c>
      <c r="W224" s="8" t="s">
        <v>843</v>
      </c>
      <c r="X224" s="8" t="s">
        <v>633</v>
      </c>
      <c r="Y224" s="8" t="s">
        <v>843</v>
      </c>
      <c r="Z224" s="8" t="s">
        <v>633</v>
      </c>
      <c r="AA224" s="8" t="s">
        <v>843</v>
      </c>
      <c r="AB224" s="94" t="s">
        <v>633</v>
      </c>
      <c r="AC224" s="94" t="s">
        <v>843</v>
      </c>
    </row>
    <row r="225" spans="1:29" x14ac:dyDescent="0.2">
      <c r="A225" s="19" t="s">
        <v>1183</v>
      </c>
      <c r="B225" s="19" t="s">
        <v>422</v>
      </c>
      <c r="C225" s="20" t="s">
        <v>701</v>
      </c>
      <c r="D225" s="59">
        <v>1</v>
      </c>
      <c r="E225" s="16">
        <v>100000</v>
      </c>
      <c r="F225" s="59">
        <v>12</v>
      </c>
      <c r="G225" s="16">
        <f>132100+28000+81500+250840+25591.94+23580.2+23480.07+35875.09+25827.96+42861.42+2193885+38400</f>
        <v>2901941.6799999997</v>
      </c>
      <c r="H225" s="59">
        <v>23</v>
      </c>
      <c r="I225" s="16">
        <f>94875+84750+41400+48500+129180+49350+264300+203100+199938+175660+16000+15030+203100+167200+17420+35908.33+21132.4+526100+14960+99669+15450+31500+18565.52</f>
        <v>2473088.25</v>
      </c>
      <c r="J225" s="59">
        <v>4</v>
      </c>
      <c r="K225" s="16">
        <f>409100+18900+216147.27+49350</f>
        <v>693497.27</v>
      </c>
      <c r="L225" s="59">
        <v>8</v>
      </c>
      <c r="M225" s="16">
        <f>31000+85695+73700+173861+53000+106700+66800+139580</f>
        <v>730336</v>
      </c>
      <c r="N225" s="59">
        <v>9</v>
      </c>
      <c r="O225" s="16">
        <f>94270+7037.4+14400+13220+154268.7+22802.5+207234.91+9000000+68310</f>
        <v>9581543.5099999998</v>
      </c>
      <c r="P225" s="59">
        <v>2</v>
      </c>
      <c r="Q225" s="16">
        <f>31610+768751</f>
        <v>800361</v>
      </c>
      <c r="R225" s="59">
        <v>1</v>
      </c>
      <c r="S225" s="16">
        <v>97100</v>
      </c>
      <c r="T225" s="59">
        <v>4</v>
      </c>
      <c r="U225" s="16">
        <f>25635.98+99800+110600+201000</f>
        <v>437035.98</v>
      </c>
      <c r="V225" s="59">
        <v>2</v>
      </c>
      <c r="W225" s="16">
        <f>15400+13220</f>
        <v>28620</v>
      </c>
      <c r="X225" s="59">
        <v>7</v>
      </c>
      <c r="Y225" s="16">
        <f>33500+160000+117300+45300+13220+274950+8777.28</f>
        <v>653047.28</v>
      </c>
      <c r="Z225" s="59">
        <v>11</v>
      </c>
      <c r="AA225" s="16">
        <f>93455+37300+41200+36750+57700+48092+29900+64800+73450+60930+38500</f>
        <v>582077</v>
      </c>
      <c r="AB225" s="158">
        <f t="shared" ref="AB225:AB236" si="64">SUM(D225,F225,H225,J225,L225,N225,P225,R225,T225,V225,X225,Z225)</f>
        <v>84</v>
      </c>
      <c r="AC225" s="87">
        <f t="shared" ref="AC225:AC236" si="65">SUM(AA225,Y225,W225,U225,S225,Q225,O225,M225,K225,I225,G225,E225)</f>
        <v>19078647.969999999</v>
      </c>
    </row>
    <row r="226" spans="1:29" x14ac:dyDescent="0.2">
      <c r="A226" s="21"/>
      <c r="B226" s="21"/>
      <c r="C226" s="20" t="s">
        <v>396</v>
      </c>
      <c r="D226" s="59">
        <v>5</v>
      </c>
      <c r="E226" s="16">
        <f>35666.41+148948.91+8618.62+36750.83+9598.42</f>
        <v>239583.19000000003</v>
      </c>
      <c r="F226" s="59">
        <v>3</v>
      </c>
      <c r="G226" s="16">
        <f>6253.2+17890.43+930841.38</f>
        <v>954985.01</v>
      </c>
      <c r="H226" s="59">
        <v>4</v>
      </c>
      <c r="I226" s="16">
        <f>2342155.2+116365.3+6379.82+13919.64+4320.54</f>
        <v>2483140.5</v>
      </c>
      <c r="J226" s="59">
        <v>4</v>
      </c>
      <c r="K226" s="16">
        <f>5866.63+31992.22+3819.52+15604.16</f>
        <v>57282.53</v>
      </c>
      <c r="L226" s="59">
        <v>8</v>
      </c>
      <c r="M226" s="16">
        <f>722132+5899.3+15561.4+13409.99+3480.47+4093.73+4024.04+39057.17</f>
        <v>807658.10000000009</v>
      </c>
      <c r="N226" s="59">
        <v>6</v>
      </c>
      <c r="O226" s="16">
        <f>31147.93+8989.37+138585.56+1117922+55467.84+10967.74</f>
        <v>1363080.44</v>
      </c>
      <c r="P226" s="59"/>
      <c r="Q226" s="16"/>
      <c r="R226" s="59">
        <v>8</v>
      </c>
      <c r="S226" s="16">
        <f>52752.71+139199.9+21278.18+56818.33+7135.87+84847.62+4248+571297.13</f>
        <v>937577.74</v>
      </c>
      <c r="T226" s="59">
        <v>12</v>
      </c>
      <c r="U226" s="16">
        <f>14487.68+2955.16+6807.72+35072.66+3412.8+11171.68+81371.1+7770.1+31589.39+8188.22+35444.18+6389.11</f>
        <v>244659.80000000002</v>
      </c>
      <c r="V226" s="59">
        <v>19</v>
      </c>
      <c r="W226" s="16">
        <f>8684.8+1988.38+8571.88+31322.72+15413.84+4709.72+40388.89+23009.02+27646.81+6357.68+3260.99+6309.62+38851.03+1833.28+50536.24+7660.72+13382.11+144626.6+20851.65</f>
        <v>455405.98</v>
      </c>
      <c r="X226" s="59">
        <v>6</v>
      </c>
      <c r="Y226" s="16">
        <f>8375.17+40807.18+21278.4+835992.11+115934.51+6791714.18</f>
        <v>7814101.5499999998</v>
      </c>
      <c r="Z226" s="59">
        <v>18</v>
      </c>
      <c r="AA226" s="16">
        <f>5484.4+36994+102442.93+48064.43+6618.37+15323.5+69502.03+100540.56+25794.07+5176.01+33803.02+9549.6+4543.8+47100+11305.15+19200+42870.19+9039.01</f>
        <v>593351.07000000007</v>
      </c>
      <c r="AB226" s="158">
        <f t="shared" si="64"/>
        <v>93</v>
      </c>
      <c r="AC226" s="87">
        <f t="shared" si="65"/>
        <v>15950825.909999998</v>
      </c>
    </row>
    <row r="227" spans="1:29" x14ac:dyDescent="0.2">
      <c r="A227" s="21"/>
      <c r="B227" s="22"/>
      <c r="C227" s="20" t="s">
        <v>8</v>
      </c>
      <c r="D227" s="59">
        <v>3</v>
      </c>
      <c r="E227" s="16">
        <f>106460.79+33773.9+8233.42</f>
        <v>148468.11000000002</v>
      </c>
      <c r="F227" s="59">
        <v>1</v>
      </c>
      <c r="G227" s="16">
        <v>7230.67</v>
      </c>
      <c r="H227" s="59">
        <v>2</v>
      </c>
      <c r="I227" s="16">
        <f>16129.77+2195.63</f>
        <v>18325.400000000001</v>
      </c>
      <c r="J227" s="59">
        <v>2</v>
      </c>
      <c r="K227" s="16">
        <f>12529.77+3714.98</f>
        <v>16244.75</v>
      </c>
      <c r="L227" s="59">
        <v>4</v>
      </c>
      <c r="M227" s="16">
        <f>5595.99+5378.16+6119.47+6043.49</f>
        <v>23137.11</v>
      </c>
      <c r="N227" s="59">
        <v>4</v>
      </c>
      <c r="O227" s="16">
        <f>10374.9+263699.44+76962.19+12517.38</f>
        <v>363553.91000000003</v>
      </c>
      <c r="P227" s="59"/>
      <c r="Q227" s="16"/>
      <c r="R227" s="59">
        <v>3</v>
      </c>
      <c r="S227" s="16">
        <f>13022.07+3944.15+3780.99</f>
        <v>20747.21</v>
      </c>
      <c r="T227" s="59">
        <v>8</v>
      </c>
      <c r="U227" s="16">
        <f>3678.48+13735.86+9393.87+3442.27+21393.87+13116.17+116945.61+14732.28</f>
        <v>196438.41</v>
      </c>
      <c r="V227" s="59">
        <v>9</v>
      </c>
      <c r="W227" s="16">
        <f>2423.99+15136.15+5401.94+7603.08+1792+11552.23+1467.31+6238.59+33748.13</f>
        <v>85363.419999999984</v>
      </c>
      <c r="X227" s="59">
        <v>2</v>
      </c>
      <c r="Y227" s="16">
        <f>15838.51+322968.91</f>
        <v>338807.42</v>
      </c>
      <c r="Z227" s="59">
        <v>8</v>
      </c>
      <c r="AA227" s="16">
        <f>6320.41+15071.62+5880+23495.46+4967.79+7707.99+22062.31+15395</f>
        <v>100900.58</v>
      </c>
      <c r="AB227" s="158">
        <f t="shared" si="64"/>
        <v>46</v>
      </c>
      <c r="AC227" s="87">
        <f t="shared" si="65"/>
        <v>1319216.99</v>
      </c>
    </row>
    <row r="228" spans="1:29" x14ac:dyDescent="0.2">
      <c r="A228" s="21"/>
      <c r="B228" s="19" t="s">
        <v>392</v>
      </c>
      <c r="C228" s="20" t="s">
        <v>701</v>
      </c>
      <c r="D228" s="59">
        <v>2</v>
      </c>
      <c r="E228" s="16">
        <f>321019+56000</f>
        <v>377019</v>
      </c>
      <c r="F228" s="59"/>
      <c r="G228" s="16"/>
      <c r="H228" s="59">
        <v>1</v>
      </c>
      <c r="I228" s="16">
        <v>21780</v>
      </c>
      <c r="J228" s="59"/>
      <c r="K228" s="16"/>
      <c r="L228" s="59"/>
      <c r="M228" s="16"/>
      <c r="N228" s="59"/>
      <c r="O228" s="16"/>
      <c r="P228" s="59"/>
      <c r="Q228" s="16"/>
      <c r="R228" s="59"/>
      <c r="S228" s="16"/>
      <c r="T228" s="59">
        <v>1</v>
      </c>
      <c r="U228" s="16">
        <v>200000</v>
      </c>
      <c r="V228" s="59">
        <v>2</v>
      </c>
      <c r="W228" s="16">
        <f>30000+120000</f>
        <v>150000</v>
      </c>
      <c r="X228" s="59"/>
      <c r="Y228" s="16"/>
      <c r="Z228" s="59">
        <v>3</v>
      </c>
      <c r="AA228" s="16">
        <f>34500+44900+48300</f>
        <v>127700</v>
      </c>
      <c r="AB228" s="158">
        <f t="shared" si="64"/>
        <v>9</v>
      </c>
      <c r="AC228" s="87">
        <f t="shared" si="65"/>
        <v>876499</v>
      </c>
    </row>
    <row r="229" spans="1:29" x14ac:dyDescent="0.2">
      <c r="A229" s="21"/>
      <c r="B229" s="21"/>
      <c r="C229" s="20" t="s">
        <v>9</v>
      </c>
      <c r="D229" s="59"/>
      <c r="E229" s="16"/>
      <c r="F229" s="59">
        <v>2</v>
      </c>
      <c r="G229" s="16">
        <f>655608.41+212956.04</f>
        <v>868564.45000000007</v>
      </c>
      <c r="H229" s="59">
        <v>3</v>
      </c>
      <c r="I229" s="16">
        <f>94827.58+4583330.51+446077.44</f>
        <v>5124235.53</v>
      </c>
      <c r="J229" s="59">
        <v>1</v>
      </c>
      <c r="K229" s="16">
        <v>109131.45</v>
      </c>
      <c r="L229" s="59">
        <v>4</v>
      </c>
      <c r="M229" s="16">
        <f>113022.93+271565.93+342304.45+305441.72</f>
        <v>1032335.03</v>
      </c>
      <c r="N229" s="59">
        <v>2</v>
      </c>
      <c r="O229" s="16">
        <f>377801.34+351167.57</f>
        <v>728968.91</v>
      </c>
      <c r="P229" s="59">
        <v>35</v>
      </c>
      <c r="Q229" s="16">
        <f>457818.09+465509.83+106671.9+92747.81+102274.8+48904.4+105939.06+46713.96+94946.35+83958.53+444326.92+709406.69+213846.95+154966.32+333705.96+385663.06+411669.05+34602.27+665667.22+157579.47+161220.92+161911.44+79642.06+141761.83+1362486.28+341593.54+355817.61+141901.45+68850.92+177839.2+196243.4+298228.72+183965.55+237675.49+321024.38</f>
        <v>9347081.4300000016</v>
      </c>
      <c r="R229" s="59"/>
      <c r="S229" s="16"/>
      <c r="T229" s="59">
        <v>22</v>
      </c>
      <c r="U229" s="16">
        <f>280978.62+52230.88+718803.01+616301.36+501420.07+525205.15+979762.42+231501.67+2098308.8+138614.28+138614.28+229565.41+854008.21+854008.21+189174.14+684428.67+854008.2+349588.72+287732.01+647924.28+63746.32+48663.31</f>
        <v>11344588.02</v>
      </c>
      <c r="V229" s="59">
        <v>4</v>
      </c>
      <c r="W229" s="16">
        <f>69052.74+402120.07+138614.28+438579.56</f>
        <v>1048366.6499999999</v>
      </c>
      <c r="X229" s="59">
        <v>6</v>
      </c>
      <c r="Y229" s="16">
        <f>91200+91110.03+326625.2+310650+138614.28+138614.28</f>
        <v>1096813.79</v>
      </c>
      <c r="Z229" s="59">
        <v>2</v>
      </c>
      <c r="AA229" s="16">
        <f>780293.68+559125.39</f>
        <v>1339419.07</v>
      </c>
      <c r="AB229" s="158">
        <f t="shared" si="64"/>
        <v>81</v>
      </c>
      <c r="AC229" s="87">
        <f t="shared" si="65"/>
        <v>32039504.330000002</v>
      </c>
    </row>
    <row r="230" spans="1:29" x14ac:dyDescent="0.2">
      <c r="A230" s="21"/>
      <c r="B230" s="21"/>
      <c r="C230" s="159" t="s">
        <v>2224</v>
      </c>
      <c r="D230" s="59">
        <v>1</v>
      </c>
      <c r="E230" s="16">
        <v>43388.42</v>
      </c>
      <c r="F230" s="59"/>
      <c r="G230" s="16"/>
      <c r="H230" s="59">
        <v>1</v>
      </c>
      <c r="I230" s="16">
        <v>43500</v>
      </c>
      <c r="J230" s="59"/>
      <c r="K230" s="16"/>
      <c r="L230" s="59">
        <v>1</v>
      </c>
      <c r="M230" s="16">
        <v>71371.44</v>
      </c>
      <c r="N230" s="59"/>
      <c r="O230" s="16"/>
      <c r="P230" s="59"/>
      <c r="Q230" s="16"/>
      <c r="R230" s="59"/>
      <c r="S230" s="16"/>
      <c r="T230" s="59"/>
      <c r="U230" s="16"/>
      <c r="V230" s="59"/>
      <c r="W230" s="16"/>
      <c r="X230" s="59"/>
      <c r="Y230" s="16"/>
      <c r="Z230" s="59"/>
      <c r="AA230" s="16"/>
      <c r="AB230" s="158">
        <f t="shared" si="64"/>
        <v>3</v>
      </c>
      <c r="AC230" s="87">
        <f t="shared" si="65"/>
        <v>158259.85999999999</v>
      </c>
    </row>
    <row r="231" spans="1:29" x14ac:dyDescent="0.2">
      <c r="A231" s="21"/>
      <c r="B231" s="21"/>
      <c r="C231" s="20" t="s">
        <v>396</v>
      </c>
      <c r="D231" s="59"/>
      <c r="E231" s="16"/>
      <c r="F231" s="59"/>
      <c r="G231" s="16"/>
      <c r="H231" s="59"/>
      <c r="I231" s="16"/>
      <c r="J231" s="59">
        <v>1</v>
      </c>
      <c r="K231" s="16">
        <v>55157.05</v>
      </c>
      <c r="L231" s="59"/>
      <c r="M231" s="16"/>
      <c r="N231" s="59">
        <v>2</v>
      </c>
      <c r="O231" s="16">
        <f>9109.82+2760</f>
        <v>11869.82</v>
      </c>
      <c r="P231" s="59"/>
      <c r="Q231" s="16"/>
      <c r="R231" s="59"/>
      <c r="S231" s="16"/>
      <c r="T231" s="59">
        <v>2</v>
      </c>
      <c r="U231" s="16">
        <f>75841.35+73820.77</f>
        <v>149662.12</v>
      </c>
      <c r="V231" s="59">
        <v>8</v>
      </c>
      <c r="W231" s="16">
        <f>78429.8+45531.19+90904.91+176273.13+176273.13+176273.13+176273.13+176273.13</f>
        <v>1096231.55</v>
      </c>
      <c r="X231" s="59">
        <v>3</v>
      </c>
      <c r="Y231" s="16">
        <f>39065.13+21340+88982.03</f>
        <v>149387.16</v>
      </c>
      <c r="Z231" s="59">
        <v>5</v>
      </c>
      <c r="AA231" s="16">
        <f>78361.67+170226.77+28499.38+11156.96+27918.55</f>
        <v>316163.33</v>
      </c>
      <c r="AB231" s="158">
        <f t="shared" si="64"/>
        <v>21</v>
      </c>
      <c r="AC231" s="87">
        <f t="shared" si="65"/>
        <v>1778471.0300000003</v>
      </c>
    </row>
    <row r="232" spans="1:29" x14ac:dyDescent="0.2">
      <c r="A232" s="21"/>
      <c r="B232" s="21"/>
      <c r="C232" s="20" t="s">
        <v>393</v>
      </c>
      <c r="D232" s="59"/>
      <c r="E232" s="16"/>
      <c r="F232" s="59"/>
      <c r="G232" s="16"/>
      <c r="H232" s="59">
        <v>6</v>
      </c>
      <c r="I232" s="16">
        <f>27000+8100+10868.03+7200+64944+22337.5</f>
        <v>140449.53</v>
      </c>
      <c r="J232" s="59">
        <v>4</v>
      </c>
      <c r="K232" s="16">
        <f>67162.17+15669.92+14514.61+66958.7</f>
        <v>164305.4</v>
      </c>
      <c r="L232" s="59">
        <v>3</v>
      </c>
      <c r="M232" s="16">
        <f>80594.6+20148.65+30000</f>
        <v>130743.25</v>
      </c>
      <c r="N232" s="59">
        <v>6</v>
      </c>
      <c r="O232" s="16">
        <f>9615.92+42000+10500+3600+9000+36000</f>
        <v>110715.92</v>
      </c>
      <c r="P232" s="59">
        <v>5</v>
      </c>
      <c r="Q232" s="16">
        <f>7250+29000+15000+29274.62+3750</f>
        <v>84274.62</v>
      </c>
      <c r="R232" s="59">
        <v>1</v>
      </c>
      <c r="S232" s="16">
        <v>7301.1</v>
      </c>
      <c r="T232" s="59">
        <v>6</v>
      </c>
      <c r="U232" s="16">
        <f>42000+10500+81540.72+17913.42+77586.2+16758.62</f>
        <v>246298.96000000002</v>
      </c>
      <c r="V232" s="59">
        <v>17</v>
      </c>
      <c r="W232" s="16">
        <f>18064.93+84380.17+91465.17+139256.2+19245.77+47109.8+11871.67+20000+9227.5+36909.94+50814.89+50814.89+50814.89+50814.89+50814.89+19086.67+5726</f>
        <v>756418.27000000014</v>
      </c>
      <c r="X232" s="59">
        <v>10</v>
      </c>
      <c r="Y232" s="16">
        <f>11434.78+35600+8900+5172.61+20690.44+50652.3+26800+17939.32+93677.02+5763</f>
        <v>276629.47000000003</v>
      </c>
      <c r="Z232" s="59">
        <v>7</v>
      </c>
      <c r="AA232" s="16">
        <f>18698.81+79686.27+27300+23773.01+2466.04+10149.06+35752</f>
        <v>197825.19</v>
      </c>
      <c r="AB232" s="158">
        <f t="shared" si="64"/>
        <v>65</v>
      </c>
      <c r="AC232" s="87">
        <f t="shared" si="65"/>
        <v>2114961.71</v>
      </c>
    </row>
    <row r="233" spans="1:29" x14ac:dyDescent="0.2">
      <c r="A233" s="21"/>
      <c r="B233" s="21"/>
      <c r="C233" s="20" t="s">
        <v>10</v>
      </c>
      <c r="D233" s="59"/>
      <c r="E233" s="16"/>
      <c r="F233" s="59"/>
      <c r="G233" s="16"/>
      <c r="H233" s="59"/>
      <c r="I233" s="16"/>
      <c r="J233" s="59"/>
      <c r="K233" s="16"/>
      <c r="L233" s="59"/>
      <c r="M233" s="16"/>
      <c r="N233" s="59"/>
      <c r="O233" s="16"/>
      <c r="P233" s="59"/>
      <c r="Q233" s="16"/>
      <c r="R233" s="59"/>
      <c r="S233" s="16"/>
      <c r="T233" s="59"/>
      <c r="U233" s="16"/>
      <c r="V233" s="59"/>
      <c r="W233" s="16"/>
      <c r="X233" s="59"/>
      <c r="Y233" s="16"/>
      <c r="Z233" s="59"/>
      <c r="AA233" s="16"/>
      <c r="AB233" s="158">
        <f t="shared" si="64"/>
        <v>0</v>
      </c>
      <c r="AC233" s="87">
        <f t="shared" si="65"/>
        <v>0</v>
      </c>
    </row>
    <row r="234" spans="1:29" x14ac:dyDescent="0.2">
      <c r="A234" s="21"/>
      <c r="B234" s="21"/>
      <c r="C234" s="20" t="s">
        <v>1101</v>
      </c>
      <c r="D234" s="59"/>
      <c r="E234" s="16"/>
      <c r="F234" s="59"/>
      <c r="G234" s="16"/>
      <c r="H234" s="59"/>
      <c r="I234" s="16"/>
      <c r="J234" s="59"/>
      <c r="K234" s="16"/>
      <c r="L234" s="59"/>
      <c r="M234" s="16"/>
      <c r="N234" s="59"/>
      <c r="O234" s="16"/>
      <c r="P234" s="59"/>
      <c r="Q234" s="16"/>
      <c r="R234" s="59"/>
      <c r="S234" s="16"/>
      <c r="T234" s="59"/>
      <c r="U234" s="16"/>
      <c r="V234" s="59"/>
      <c r="W234" s="16"/>
      <c r="X234" s="59"/>
      <c r="Y234" s="16"/>
      <c r="Z234" s="59"/>
      <c r="AA234" s="16"/>
      <c r="AB234" s="158">
        <f t="shared" si="64"/>
        <v>0</v>
      </c>
      <c r="AC234" s="87">
        <f t="shared" si="65"/>
        <v>0</v>
      </c>
    </row>
    <row r="235" spans="1:29" x14ac:dyDescent="0.2">
      <c r="A235" s="21"/>
      <c r="B235" s="21"/>
      <c r="C235" s="20" t="s">
        <v>8</v>
      </c>
      <c r="D235" s="59"/>
      <c r="E235" s="16"/>
      <c r="F235" s="59">
        <v>1</v>
      </c>
      <c r="G235" s="16">
        <v>75612.289999999994</v>
      </c>
      <c r="H235" s="59">
        <v>3</v>
      </c>
      <c r="I235" s="16">
        <f>11129.56+8675.9+22202.78</f>
        <v>42008.24</v>
      </c>
      <c r="J235" s="59">
        <v>3</v>
      </c>
      <c r="K235" s="16">
        <f>27343.8+34538.35+467000</f>
        <v>528882.15</v>
      </c>
      <c r="L235" s="59">
        <v>2</v>
      </c>
      <c r="M235" s="16">
        <f>63013.73+3391.84</f>
        <v>66405.570000000007</v>
      </c>
      <c r="N235" s="59">
        <v>6</v>
      </c>
      <c r="O235" s="16">
        <f>1206+18520.77+646.31+2559.2+5971.92+7334.12</f>
        <v>36238.320000000007</v>
      </c>
      <c r="P235" s="59">
        <v>2</v>
      </c>
      <c r="Q235" s="16">
        <f>8170.56+6271</f>
        <v>14441.560000000001</v>
      </c>
      <c r="R235" s="59"/>
      <c r="S235" s="16"/>
      <c r="T235" s="59">
        <v>4</v>
      </c>
      <c r="U235" s="16">
        <f>530.68+14032.87+31962+30427.27</f>
        <v>76952.820000000007</v>
      </c>
      <c r="V235" s="59">
        <v>10</v>
      </c>
      <c r="W235" s="16">
        <f>37886.41+33401.82+33186+17393.64+5705.64+9207.72+2051.71+1506.18+9838.82+291941.36</f>
        <v>442119.3</v>
      </c>
      <c r="X235" s="59">
        <v>6</v>
      </c>
      <c r="Y235" s="16">
        <f>25204.2+11673.6+6408.22+99500+37687.64+9085.68</f>
        <v>189559.34000000003</v>
      </c>
      <c r="Z235" s="59">
        <v>4</v>
      </c>
      <c r="AA235" s="16">
        <f>32736+24930.8+2457.35+16202.33</f>
        <v>76326.48</v>
      </c>
      <c r="AB235" s="158">
        <f t="shared" si="64"/>
        <v>41</v>
      </c>
      <c r="AC235" s="87">
        <f t="shared" si="65"/>
        <v>1548546.07</v>
      </c>
    </row>
    <row r="236" spans="1:29" x14ac:dyDescent="0.2">
      <c r="A236" s="22"/>
      <c r="B236" s="22"/>
      <c r="C236" s="21" t="s">
        <v>1426</v>
      </c>
      <c r="D236" s="59"/>
      <c r="E236" s="16"/>
      <c r="F236" s="59"/>
      <c r="G236" s="16"/>
      <c r="H236" s="59"/>
      <c r="I236" s="16"/>
      <c r="J236" s="59"/>
      <c r="K236" s="16"/>
      <c r="L236" s="59"/>
      <c r="M236" s="16"/>
      <c r="N236" s="59"/>
      <c r="O236" s="16"/>
      <c r="P236" s="59"/>
      <c r="Q236" s="16"/>
      <c r="R236" s="59"/>
      <c r="S236" s="16"/>
      <c r="T236" s="59"/>
      <c r="U236" s="16"/>
      <c r="V236" s="59"/>
      <c r="W236" s="16"/>
      <c r="X236" s="59"/>
      <c r="Y236" s="16"/>
      <c r="Z236" s="59"/>
      <c r="AA236" s="16"/>
      <c r="AB236" s="158">
        <f t="shared" si="64"/>
        <v>0</v>
      </c>
      <c r="AC236" s="87">
        <f t="shared" si="65"/>
        <v>0</v>
      </c>
    </row>
    <row r="237" spans="1:29" x14ac:dyDescent="0.2">
      <c r="A237" s="424"/>
      <c r="B237" s="425"/>
      <c r="C237" s="426"/>
      <c r="D237" s="131">
        <f t="shared" ref="D237" si="66">SUM(D225:D236)</f>
        <v>12</v>
      </c>
      <c r="E237" s="62">
        <f t="shared" ref="E237:P237" si="67">SUM(E225:E236)</f>
        <v>908458.72000000009</v>
      </c>
      <c r="F237" s="131">
        <f t="shared" si="67"/>
        <v>19</v>
      </c>
      <c r="G237" s="62">
        <f t="shared" si="67"/>
        <v>4808334.0999999996</v>
      </c>
      <c r="H237" s="131">
        <f t="shared" si="67"/>
        <v>43</v>
      </c>
      <c r="I237" s="62">
        <f t="shared" si="67"/>
        <v>10346527.449999999</v>
      </c>
      <c r="J237" s="131">
        <f t="shared" si="67"/>
        <v>19</v>
      </c>
      <c r="K237" s="62">
        <f t="shared" si="67"/>
        <v>1624500.6</v>
      </c>
      <c r="L237" s="131">
        <f t="shared" si="67"/>
        <v>30</v>
      </c>
      <c r="M237" s="62">
        <f t="shared" si="67"/>
        <v>2861986.5</v>
      </c>
      <c r="N237" s="131">
        <f t="shared" si="67"/>
        <v>35</v>
      </c>
      <c r="O237" s="62">
        <f t="shared" si="67"/>
        <v>12195970.83</v>
      </c>
      <c r="P237" s="131">
        <f t="shared" si="67"/>
        <v>44</v>
      </c>
      <c r="Q237" s="62">
        <f>SUM(Q225:Q236)</f>
        <v>10246158.610000001</v>
      </c>
      <c r="R237" s="131">
        <f t="shared" ref="R237:AA237" si="68">SUM(R225:R236)</f>
        <v>13</v>
      </c>
      <c r="S237" s="62">
        <f t="shared" si="68"/>
        <v>1062726.05</v>
      </c>
      <c r="T237" s="131">
        <f t="shared" si="68"/>
        <v>59</v>
      </c>
      <c r="U237" s="62">
        <f t="shared" si="68"/>
        <v>12895636.109999999</v>
      </c>
      <c r="V237" s="131">
        <f t="shared" si="68"/>
        <v>71</v>
      </c>
      <c r="W237" s="62">
        <f t="shared" si="68"/>
        <v>4062525.1699999995</v>
      </c>
      <c r="X237" s="131">
        <f t="shared" si="68"/>
        <v>40</v>
      </c>
      <c r="Y237" s="62">
        <f t="shared" si="68"/>
        <v>10518346.01</v>
      </c>
      <c r="Z237" s="131">
        <f t="shared" si="68"/>
        <v>58</v>
      </c>
      <c r="AA237" s="62">
        <f t="shared" si="68"/>
        <v>3333762.72</v>
      </c>
      <c r="AB237" s="131">
        <f>SUM(D237,F237,H237,J237,L237,N237,P237,R237,T237,V237,X237,Z237)</f>
        <v>443</v>
      </c>
      <c r="AC237" s="62">
        <f>SUM(AA237,Y237,W237,U237,S237,Q237,O237,M237,K237,I237,G237,E237)</f>
        <v>74864932.86999999</v>
      </c>
    </row>
    <row r="241" spans="1:29" x14ac:dyDescent="0.2">
      <c r="A241" s="71" t="s">
        <v>7144</v>
      </c>
      <c r="B241" s="71"/>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row>
    <row r="242" spans="1:29" x14ac:dyDescent="0.2">
      <c r="A242" s="10"/>
      <c r="B242" s="10"/>
      <c r="C242" s="10"/>
      <c r="D242" s="421" t="s">
        <v>635</v>
      </c>
      <c r="E242" s="421"/>
      <c r="F242" s="421" t="s">
        <v>853</v>
      </c>
      <c r="G242" s="421"/>
      <c r="H242" s="421" t="s">
        <v>860</v>
      </c>
      <c r="I242" s="421"/>
      <c r="J242" s="421" t="s">
        <v>863</v>
      </c>
      <c r="K242" s="421"/>
      <c r="L242" s="427" t="s">
        <v>1220</v>
      </c>
      <c r="M242" s="427"/>
      <c r="N242" s="428" t="s">
        <v>913</v>
      </c>
      <c r="O242" s="421"/>
      <c r="P242" s="428" t="s">
        <v>953</v>
      </c>
      <c r="Q242" s="421"/>
      <c r="R242" s="421" t="s">
        <v>955</v>
      </c>
      <c r="S242" s="421"/>
      <c r="T242" s="421" t="s">
        <v>970</v>
      </c>
      <c r="U242" s="421"/>
      <c r="V242" s="421" t="s">
        <v>989</v>
      </c>
      <c r="W242" s="421"/>
      <c r="X242" s="421" t="s">
        <v>1004</v>
      </c>
      <c r="Y242" s="421"/>
      <c r="Z242" s="421" t="s">
        <v>1031</v>
      </c>
      <c r="AA242" s="421"/>
      <c r="AB242" s="422" t="s">
        <v>1302</v>
      </c>
      <c r="AC242" s="423"/>
    </row>
    <row r="243" spans="1:29" x14ac:dyDescent="0.2">
      <c r="D243" s="8" t="s">
        <v>633</v>
      </c>
      <c r="E243" s="8" t="s">
        <v>843</v>
      </c>
      <c r="F243" s="8" t="s">
        <v>633</v>
      </c>
      <c r="G243" s="8" t="s">
        <v>843</v>
      </c>
      <c r="H243" s="8" t="s">
        <v>633</v>
      </c>
      <c r="I243" s="8" t="s">
        <v>843</v>
      </c>
      <c r="J243" s="8" t="s">
        <v>633</v>
      </c>
      <c r="K243" s="8" t="s">
        <v>843</v>
      </c>
      <c r="L243" s="8" t="s">
        <v>633</v>
      </c>
      <c r="M243" s="8" t="s">
        <v>843</v>
      </c>
      <c r="N243" s="8" t="s">
        <v>633</v>
      </c>
      <c r="O243" s="8" t="s">
        <v>843</v>
      </c>
      <c r="P243" s="8" t="s">
        <v>633</v>
      </c>
      <c r="Q243" s="8" t="s">
        <v>843</v>
      </c>
      <c r="R243" s="8" t="s">
        <v>633</v>
      </c>
      <c r="S243" s="8" t="s">
        <v>843</v>
      </c>
      <c r="T243" s="8" t="s">
        <v>633</v>
      </c>
      <c r="U243" s="8" t="s">
        <v>843</v>
      </c>
      <c r="V243" s="8" t="s">
        <v>633</v>
      </c>
      <c r="W243" s="8" t="s">
        <v>843</v>
      </c>
      <c r="X243" s="8" t="s">
        <v>633</v>
      </c>
      <c r="Y243" s="8" t="s">
        <v>843</v>
      </c>
      <c r="Z243" s="8" t="s">
        <v>633</v>
      </c>
      <c r="AA243" s="8" t="s">
        <v>843</v>
      </c>
      <c r="AB243" s="94" t="s">
        <v>633</v>
      </c>
      <c r="AC243" s="94" t="s">
        <v>843</v>
      </c>
    </row>
    <row r="244" spans="1:29" x14ac:dyDescent="0.2">
      <c r="A244" s="19" t="s">
        <v>1183</v>
      </c>
      <c r="B244" s="19" t="s">
        <v>422</v>
      </c>
      <c r="C244" s="20" t="s">
        <v>701</v>
      </c>
      <c r="D244" s="59">
        <v>7</v>
      </c>
      <c r="E244" s="16">
        <f>30000+58800+2998618.35+142325+148900+319900+8551.76</f>
        <v>3707095.11</v>
      </c>
      <c r="F244" s="59">
        <v>11</v>
      </c>
      <c r="G244" s="16">
        <f>25648.82+107100+200000+177660+40900+14000+33500+16957.5+40000+49201.11+31500</f>
        <v>736467.43</v>
      </c>
      <c r="H244" s="59">
        <v>4</v>
      </c>
      <c r="I244" s="16">
        <f>29120.17+39534.72+28047.18+27821.23</f>
        <v>124523.3</v>
      </c>
      <c r="J244" s="59">
        <v>7</v>
      </c>
      <c r="K244" s="16">
        <f>14000+47924.24+34924.24+49352.16+79100+84500+151400</f>
        <v>461200.64000000001</v>
      </c>
      <c r="L244" s="59">
        <v>13</v>
      </c>
      <c r="M244" s="16">
        <f>381370+100000+182750+64429.27+84830+43513+42000+19300+99600+49520+90430+68100+36000</f>
        <v>1261842.27</v>
      </c>
      <c r="N244" s="59"/>
      <c r="O244" s="16"/>
      <c r="P244" s="59"/>
      <c r="Q244" s="16"/>
      <c r="R244" s="59"/>
      <c r="S244" s="16"/>
      <c r="T244" s="59"/>
      <c r="U244" s="16"/>
      <c r="V244" s="59"/>
      <c r="W244" s="16"/>
      <c r="X244" s="59"/>
      <c r="Y244" s="16"/>
      <c r="Z244" s="59"/>
      <c r="AA244" s="16"/>
      <c r="AB244" s="158">
        <f t="shared" ref="AB244:AB255" si="69">SUM(D244,F244,H244,J244,L244,N244,P244,R244,T244,V244,X244,Z244)</f>
        <v>42</v>
      </c>
      <c r="AC244" s="87">
        <f t="shared" ref="AC244:AC255" si="70">SUM(AA244,Y244,W244,U244,S244,Q244,O244,M244,K244,I244,G244,E244)</f>
        <v>6291128.75</v>
      </c>
    </row>
    <row r="245" spans="1:29" x14ac:dyDescent="0.2">
      <c r="A245" s="21"/>
      <c r="B245" s="21"/>
      <c r="C245" s="20" t="s">
        <v>396</v>
      </c>
      <c r="D245" s="59">
        <v>11</v>
      </c>
      <c r="E245" s="16">
        <f>92098.93+51665.16+11122.56+75515.81+42851.02+7190.89+13438095.5+456727.96+1468179.52+14540.16+13461.6</f>
        <v>15671449.109999999</v>
      </c>
      <c r="F245" s="59">
        <v>10</v>
      </c>
      <c r="G245" s="16">
        <f>44483.02+12793.32+12720+3589.3+14075.08+2294523.55+30720.48+101072.4+4980.07+3731114</f>
        <v>6250071.2199999997</v>
      </c>
      <c r="H245" s="59">
        <v>2</v>
      </c>
      <c r="I245" s="16">
        <f>45176.75+6028.13</f>
        <v>51204.88</v>
      </c>
      <c r="J245" s="59">
        <v>18</v>
      </c>
      <c r="K245" s="16">
        <f>27284.2+11338.34+229223.64+2300.15+49300+25635.05+18865.33+3480+507361.8+8997.04+125539.46+178616.96+19464.89+182750+13403.59+23406.16+156558.72+234588.6</f>
        <v>1818113.93</v>
      </c>
      <c r="L245" s="59">
        <v>33</v>
      </c>
      <c r="M245" s="16">
        <f>276123.97+7561.99+27777.2+27069.86+4165.78+51178+85714.32+42590.27+54113.04+36109.3+169392.16+35674.75+18349.81+83569.79+20528.59+15985.7+37691.26+38304.74+132932.36+56104.51+25889.44+15363.11+63303.28+966070+345793.39+306567.5+93936.92+13848.37+14372.59+35923.54+31610.89+28665.55+88400</f>
        <v>3250681.9800000004</v>
      </c>
      <c r="N245" s="59">
        <v>1</v>
      </c>
      <c r="O245" s="16">
        <v>2984.52</v>
      </c>
      <c r="P245" s="59"/>
      <c r="Q245" s="16"/>
      <c r="R245" s="59"/>
      <c r="S245" s="16"/>
      <c r="T245" s="59"/>
      <c r="U245" s="16"/>
      <c r="V245" s="59"/>
      <c r="W245" s="16"/>
      <c r="X245" s="59"/>
      <c r="Y245" s="16"/>
      <c r="Z245" s="59"/>
      <c r="AA245" s="16"/>
      <c r="AB245" s="158">
        <f t="shared" si="69"/>
        <v>75</v>
      </c>
      <c r="AC245" s="87">
        <f t="shared" si="70"/>
        <v>27044505.640000001</v>
      </c>
    </row>
    <row r="246" spans="1:29" x14ac:dyDescent="0.2">
      <c r="A246" s="21"/>
      <c r="B246" s="22"/>
      <c r="C246" s="20" t="s">
        <v>8</v>
      </c>
      <c r="D246" s="59">
        <v>7</v>
      </c>
      <c r="E246" s="16">
        <f>24472.38+11826.2+20532.88+14136.58+4300510.98+55995.29+28957.2</f>
        <v>4456431.5100000007</v>
      </c>
      <c r="F246" s="59">
        <v>2</v>
      </c>
      <c r="G246" s="16">
        <f>3274.49+893.36</f>
        <v>4167.8499999999995</v>
      </c>
      <c r="H246" s="59">
        <v>2</v>
      </c>
      <c r="I246" s="16">
        <f>7956.25+93772.26</f>
        <v>101728.51</v>
      </c>
      <c r="J246" s="59">
        <v>6</v>
      </c>
      <c r="K246" s="16">
        <f>98269.4+3310.54+3511.36+29780.61+48354.98+33645.68</f>
        <v>216872.56999999998</v>
      </c>
      <c r="L246" s="59">
        <v>8</v>
      </c>
      <c r="M246" s="16">
        <f>90685.48+10138.83+5243.77+58863.92+35243.53+21506.97+164457.27+21011.53</f>
        <v>407151.30000000005</v>
      </c>
      <c r="N246" s="59">
        <v>1</v>
      </c>
      <c r="O246" s="16">
        <v>3662.42</v>
      </c>
      <c r="P246" s="59"/>
      <c r="Q246" s="16"/>
      <c r="R246" s="59"/>
      <c r="S246" s="16"/>
      <c r="T246" s="59"/>
      <c r="U246" s="16"/>
      <c r="V246" s="59"/>
      <c r="W246" s="16"/>
      <c r="X246" s="59"/>
      <c r="Y246" s="16"/>
      <c r="Z246" s="59"/>
      <c r="AA246" s="16"/>
      <c r="AB246" s="158">
        <f t="shared" si="69"/>
        <v>26</v>
      </c>
      <c r="AC246" s="87">
        <f t="shared" si="70"/>
        <v>5190014.1600000011</v>
      </c>
    </row>
    <row r="247" spans="1:29" x14ac:dyDescent="0.2">
      <c r="A247" s="21"/>
      <c r="B247" s="19" t="s">
        <v>392</v>
      </c>
      <c r="C247" s="20" t="s">
        <v>701</v>
      </c>
      <c r="D247" s="59"/>
      <c r="E247" s="16"/>
      <c r="F247" s="59">
        <v>1</v>
      </c>
      <c r="G247" s="16">
        <v>45000</v>
      </c>
      <c r="H247" s="59">
        <v>1</v>
      </c>
      <c r="I247" s="16">
        <v>68096</v>
      </c>
      <c r="J247" s="59">
        <v>1</v>
      </c>
      <c r="K247" s="16">
        <v>25000</v>
      </c>
      <c r="L247" s="59">
        <v>1</v>
      </c>
      <c r="M247" s="16">
        <v>100000</v>
      </c>
      <c r="N247" s="59"/>
      <c r="O247" s="16"/>
      <c r="P247" s="59"/>
      <c r="Q247" s="16"/>
      <c r="R247" s="59"/>
      <c r="S247" s="16"/>
      <c r="T247" s="59"/>
      <c r="U247" s="16"/>
      <c r="V247" s="59"/>
      <c r="W247" s="16"/>
      <c r="X247" s="59"/>
      <c r="Y247" s="16"/>
      <c r="Z247" s="59"/>
      <c r="AA247" s="16"/>
      <c r="AB247" s="158">
        <f t="shared" si="69"/>
        <v>4</v>
      </c>
      <c r="AC247" s="87">
        <f t="shared" si="70"/>
        <v>238096</v>
      </c>
    </row>
    <row r="248" spans="1:29" x14ac:dyDescent="0.2">
      <c r="A248" s="21"/>
      <c r="B248" s="21"/>
      <c r="C248" s="20" t="s">
        <v>9</v>
      </c>
      <c r="D248" s="59">
        <v>3</v>
      </c>
      <c r="E248" s="16">
        <f>138614.28+154578.95+53667.37</f>
        <v>346860.6</v>
      </c>
      <c r="F248" s="59">
        <v>6</v>
      </c>
      <c r="G248" s="16">
        <f>70536.76+160000+700963.59+567163.92+410306.38+273935.26</f>
        <v>2182905.91</v>
      </c>
      <c r="H248" s="59"/>
      <c r="I248" s="16"/>
      <c r="J248" s="59">
        <v>3</v>
      </c>
      <c r="K248" s="16">
        <f>759095.34+328800.61+78099.64</f>
        <v>1165995.5899999999</v>
      </c>
      <c r="L248" s="59"/>
      <c r="M248" s="16"/>
      <c r="N248" s="59"/>
      <c r="O248" s="16"/>
      <c r="P248" s="59"/>
      <c r="Q248" s="16"/>
      <c r="R248" s="59"/>
      <c r="S248" s="16"/>
      <c r="T248" s="59"/>
      <c r="U248" s="16"/>
      <c r="V248" s="59"/>
      <c r="W248" s="16"/>
      <c r="X248" s="59"/>
      <c r="Y248" s="16"/>
      <c r="Z248" s="59"/>
      <c r="AA248" s="16"/>
      <c r="AB248" s="158">
        <f t="shared" si="69"/>
        <v>12</v>
      </c>
      <c r="AC248" s="87">
        <f t="shared" si="70"/>
        <v>3695762.1</v>
      </c>
    </row>
    <row r="249" spans="1:29" x14ac:dyDescent="0.2">
      <c r="A249" s="21"/>
      <c r="B249" s="21"/>
      <c r="C249" s="159" t="s">
        <v>2224</v>
      </c>
      <c r="D249" s="59"/>
      <c r="E249" s="16"/>
      <c r="F249" s="59"/>
      <c r="G249" s="16"/>
      <c r="H249" s="59">
        <v>1</v>
      </c>
      <c r="I249" s="16">
        <v>19550000</v>
      </c>
      <c r="J249" s="59"/>
      <c r="K249" s="16"/>
      <c r="L249" s="59"/>
      <c r="M249" s="16"/>
      <c r="N249" s="59"/>
      <c r="O249" s="16"/>
      <c r="P249" s="59"/>
      <c r="Q249" s="16"/>
      <c r="R249" s="59"/>
      <c r="S249" s="16"/>
      <c r="T249" s="59"/>
      <c r="U249" s="16"/>
      <c r="V249" s="59"/>
      <c r="W249" s="16"/>
      <c r="X249" s="59"/>
      <c r="Y249" s="16"/>
      <c r="Z249" s="59"/>
      <c r="AA249" s="16"/>
      <c r="AB249" s="158">
        <f t="shared" si="69"/>
        <v>1</v>
      </c>
      <c r="AC249" s="87">
        <f t="shared" si="70"/>
        <v>19550000</v>
      </c>
    </row>
    <row r="250" spans="1:29" x14ac:dyDescent="0.2">
      <c r="A250" s="21"/>
      <c r="B250" s="21"/>
      <c r="C250" s="20" t="s">
        <v>396</v>
      </c>
      <c r="D250" s="59"/>
      <c r="E250" s="16"/>
      <c r="F250" s="59"/>
      <c r="G250" s="16"/>
      <c r="H250" s="59">
        <v>1</v>
      </c>
      <c r="I250" s="16">
        <v>7200</v>
      </c>
      <c r="J250" s="59">
        <v>2</v>
      </c>
      <c r="K250" s="16">
        <f>27252.1+51480</f>
        <v>78732.100000000006</v>
      </c>
      <c r="L250" s="59">
        <v>3</v>
      </c>
      <c r="M250" s="16">
        <f>595766.23+70538.44+283579.93</f>
        <v>949884.59999999986</v>
      </c>
      <c r="N250" s="59"/>
      <c r="O250" s="16"/>
      <c r="P250" s="59"/>
      <c r="Q250" s="16"/>
      <c r="R250" s="59"/>
      <c r="S250" s="16"/>
      <c r="T250" s="59"/>
      <c r="U250" s="16"/>
      <c r="V250" s="59"/>
      <c r="W250" s="16"/>
      <c r="X250" s="59"/>
      <c r="Y250" s="16"/>
      <c r="Z250" s="59"/>
      <c r="AA250" s="16"/>
      <c r="AB250" s="158">
        <f t="shared" si="69"/>
        <v>6</v>
      </c>
      <c r="AC250" s="87">
        <f t="shared" si="70"/>
        <v>1035816.6999999998</v>
      </c>
    </row>
    <row r="251" spans="1:29" x14ac:dyDescent="0.2">
      <c r="A251" s="21"/>
      <c r="B251" s="21"/>
      <c r="C251" s="20" t="s">
        <v>393</v>
      </c>
      <c r="D251" s="59"/>
      <c r="E251" s="16"/>
      <c r="F251" s="59"/>
      <c r="G251" s="16"/>
      <c r="H251" s="59">
        <v>3</v>
      </c>
      <c r="I251" s="16">
        <f>9300+695060.6+162289.3</f>
        <v>866649.89999999991</v>
      </c>
      <c r="J251" s="59">
        <v>2</v>
      </c>
      <c r="K251" s="16">
        <f>5155.49+6110.24</f>
        <v>11265.73</v>
      </c>
      <c r="L251" s="59">
        <v>6</v>
      </c>
      <c r="M251" s="16">
        <f>45820+223200+31671.49+17182.5+26000+6500</f>
        <v>350373.99</v>
      </c>
      <c r="N251" s="59"/>
      <c r="O251" s="16"/>
      <c r="P251" s="59"/>
      <c r="Q251" s="16"/>
      <c r="R251" s="59"/>
      <c r="S251" s="16"/>
      <c r="T251" s="59"/>
      <c r="U251" s="16"/>
      <c r="V251" s="59"/>
      <c r="W251" s="16"/>
      <c r="X251" s="59"/>
      <c r="Y251" s="16"/>
      <c r="Z251" s="59"/>
      <c r="AA251" s="16"/>
      <c r="AB251" s="158">
        <f t="shared" si="69"/>
        <v>11</v>
      </c>
      <c r="AC251" s="87">
        <f t="shared" si="70"/>
        <v>1228289.6199999999</v>
      </c>
    </row>
    <row r="252" spans="1:29" x14ac:dyDescent="0.2">
      <c r="A252" s="21"/>
      <c r="B252" s="21"/>
      <c r="C252" s="20" t="s">
        <v>10</v>
      </c>
      <c r="D252" s="59"/>
      <c r="E252" s="16"/>
      <c r="F252" s="59"/>
      <c r="G252" s="16"/>
      <c r="H252" s="59"/>
      <c r="I252" s="16"/>
      <c r="J252" s="59"/>
      <c r="K252" s="16"/>
      <c r="L252" s="59"/>
      <c r="M252" s="16"/>
      <c r="N252" s="59"/>
      <c r="O252" s="16"/>
      <c r="P252" s="59"/>
      <c r="Q252" s="16"/>
      <c r="R252" s="59"/>
      <c r="S252" s="16"/>
      <c r="T252" s="59"/>
      <c r="U252" s="16"/>
      <c r="V252" s="59"/>
      <c r="W252" s="16"/>
      <c r="X252" s="59"/>
      <c r="Y252" s="16"/>
      <c r="Z252" s="59"/>
      <c r="AA252" s="16"/>
      <c r="AB252" s="158">
        <f t="shared" si="69"/>
        <v>0</v>
      </c>
      <c r="AC252" s="87">
        <f t="shared" si="70"/>
        <v>0</v>
      </c>
    </row>
    <row r="253" spans="1:29" x14ac:dyDescent="0.2">
      <c r="A253" s="21"/>
      <c r="B253" s="21"/>
      <c r="C253" s="20" t="s">
        <v>1101</v>
      </c>
      <c r="D253" s="59"/>
      <c r="E253" s="16"/>
      <c r="F253" s="59"/>
      <c r="G253" s="16"/>
      <c r="H253" s="59"/>
      <c r="I253" s="16"/>
      <c r="J253" s="59"/>
      <c r="K253" s="16"/>
      <c r="L253" s="59"/>
      <c r="M253" s="16"/>
      <c r="N253" s="59"/>
      <c r="O253" s="16"/>
      <c r="P253" s="59"/>
      <c r="Q253" s="16"/>
      <c r="R253" s="59"/>
      <c r="S253" s="16"/>
      <c r="T253" s="59"/>
      <c r="U253" s="16"/>
      <c r="V253" s="59"/>
      <c r="W253" s="16"/>
      <c r="X253" s="59"/>
      <c r="Y253" s="16"/>
      <c r="Z253" s="59"/>
      <c r="AA253" s="16"/>
      <c r="AB253" s="158">
        <f t="shared" si="69"/>
        <v>0</v>
      </c>
      <c r="AC253" s="87">
        <f t="shared" si="70"/>
        <v>0</v>
      </c>
    </row>
    <row r="254" spans="1:29" x14ac:dyDescent="0.2">
      <c r="A254" s="21"/>
      <c r="B254" s="21"/>
      <c r="C254" s="20" t="s">
        <v>8</v>
      </c>
      <c r="D254" s="59"/>
      <c r="E254" s="16"/>
      <c r="F254" s="59">
        <v>2</v>
      </c>
      <c r="G254" s="16">
        <f>8376.19+4351.5</f>
        <v>12727.69</v>
      </c>
      <c r="H254" s="59">
        <v>1</v>
      </c>
      <c r="I254" s="16">
        <v>2400</v>
      </c>
      <c r="J254" s="59">
        <v>2</v>
      </c>
      <c r="K254" s="16">
        <f>7042.4+7816.52</f>
        <v>14858.92</v>
      </c>
      <c r="L254" s="59">
        <v>10</v>
      </c>
      <c r="M254" s="16">
        <f>58474.98+82355.37+3777.75+304044.98+17121.5+2058.29+4738.25+10027.13+9216.22+2122.03</f>
        <v>493936.49999999994</v>
      </c>
      <c r="N254" s="59"/>
      <c r="O254" s="16"/>
      <c r="P254" s="59"/>
      <c r="Q254" s="16"/>
      <c r="R254" s="59"/>
      <c r="S254" s="16"/>
      <c r="T254" s="59"/>
      <c r="U254" s="16"/>
      <c r="V254" s="59"/>
      <c r="W254" s="16"/>
      <c r="X254" s="59"/>
      <c r="Y254" s="16"/>
      <c r="Z254" s="59"/>
      <c r="AA254" s="16"/>
      <c r="AB254" s="158">
        <f t="shared" si="69"/>
        <v>15</v>
      </c>
      <c r="AC254" s="87">
        <f t="shared" si="70"/>
        <v>523923.10999999993</v>
      </c>
    </row>
    <row r="255" spans="1:29" x14ac:dyDescent="0.2">
      <c r="A255" s="22"/>
      <c r="B255" s="22"/>
      <c r="C255" s="21" t="s">
        <v>1426</v>
      </c>
      <c r="D255" s="59"/>
      <c r="E255" s="16"/>
      <c r="F255" s="59"/>
      <c r="G255" s="16"/>
      <c r="H255" s="59"/>
      <c r="I255" s="16"/>
      <c r="J255" s="59"/>
      <c r="K255" s="16"/>
      <c r="L255" s="59"/>
      <c r="M255" s="16"/>
      <c r="N255" s="59"/>
      <c r="O255" s="16"/>
      <c r="P255" s="59"/>
      <c r="Q255" s="16"/>
      <c r="R255" s="59"/>
      <c r="S255" s="16"/>
      <c r="T255" s="59"/>
      <c r="U255" s="16"/>
      <c r="V255" s="59"/>
      <c r="W255" s="16"/>
      <c r="X255" s="59"/>
      <c r="Y255" s="16"/>
      <c r="Z255" s="59"/>
      <c r="AA255" s="16"/>
      <c r="AB255" s="158">
        <f t="shared" si="69"/>
        <v>0</v>
      </c>
      <c r="AC255" s="87">
        <f t="shared" si="70"/>
        <v>0</v>
      </c>
    </row>
    <row r="256" spans="1:29" x14ac:dyDescent="0.2">
      <c r="A256" s="424"/>
      <c r="B256" s="425"/>
      <c r="C256" s="426"/>
      <c r="D256" s="131">
        <f t="shared" ref="D256:P256" si="71">SUM(D244:D255)</f>
        <v>28</v>
      </c>
      <c r="E256" s="62">
        <f t="shared" si="71"/>
        <v>24181836.330000002</v>
      </c>
      <c r="F256" s="131">
        <f t="shared" si="71"/>
        <v>32</v>
      </c>
      <c r="G256" s="62">
        <f t="shared" si="71"/>
        <v>9231340.0999999996</v>
      </c>
      <c r="H256" s="131">
        <f t="shared" si="71"/>
        <v>15</v>
      </c>
      <c r="I256" s="62">
        <f t="shared" si="71"/>
        <v>20771802.59</v>
      </c>
      <c r="J256" s="131">
        <f t="shared" si="71"/>
        <v>41</v>
      </c>
      <c r="K256" s="62">
        <f t="shared" si="71"/>
        <v>3792039.4799999995</v>
      </c>
      <c r="L256" s="131">
        <f t="shared" si="71"/>
        <v>74</v>
      </c>
      <c r="M256" s="62">
        <f t="shared" si="71"/>
        <v>6813870.6399999997</v>
      </c>
      <c r="N256" s="131">
        <f t="shared" si="71"/>
        <v>2</v>
      </c>
      <c r="O256" s="62">
        <f t="shared" si="71"/>
        <v>6646.9400000000005</v>
      </c>
      <c r="P256" s="131">
        <f t="shared" si="71"/>
        <v>0</v>
      </c>
      <c r="Q256" s="62">
        <f>SUM(Q244:Q255)</f>
        <v>0</v>
      </c>
      <c r="R256" s="131">
        <f t="shared" ref="R256:AA256" si="72">SUM(R244:R255)</f>
        <v>0</v>
      </c>
      <c r="S256" s="62">
        <f t="shared" si="72"/>
        <v>0</v>
      </c>
      <c r="T256" s="131">
        <f t="shared" si="72"/>
        <v>0</v>
      </c>
      <c r="U256" s="62">
        <f t="shared" si="72"/>
        <v>0</v>
      </c>
      <c r="V256" s="131">
        <f t="shared" si="72"/>
        <v>0</v>
      </c>
      <c r="W256" s="62">
        <f t="shared" si="72"/>
        <v>0</v>
      </c>
      <c r="X256" s="131">
        <f t="shared" si="72"/>
        <v>0</v>
      </c>
      <c r="Y256" s="62">
        <f t="shared" si="72"/>
        <v>0</v>
      </c>
      <c r="Z256" s="131">
        <f t="shared" si="72"/>
        <v>0</v>
      </c>
      <c r="AA256" s="62">
        <f t="shared" si="72"/>
        <v>0</v>
      </c>
      <c r="AB256" s="131">
        <f>SUM(D256,F256,H256,J256,L256,N256,P256,R256,T256,V256,X256,Z256)</f>
        <v>192</v>
      </c>
      <c r="AC256" s="62">
        <f>SUM(AA256,Y256,W256,U256,S256,Q256,O256,M256,K256,I256,G256,E256)</f>
        <v>64797536.079999998</v>
      </c>
    </row>
    <row r="259" spans="1:1" x14ac:dyDescent="0.2">
      <c r="A259" s="84" t="s">
        <v>7538</v>
      </c>
    </row>
  </sheetData>
  <mergeCells count="196">
    <mergeCell ref="X128:Y128"/>
    <mergeCell ref="Z128:AA128"/>
    <mergeCell ref="AB128:AC128"/>
    <mergeCell ref="A142:C142"/>
    <mergeCell ref="N128:O128"/>
    <mergeCell ref="P128:Q128"/>
    <mergeCell ref="R128:S128"/>
    <mergeCell ref="T128:U128"/>
    <mergeCell ref="V128:W128"/>
    <mergeCell ref="D128:E128"/>
    <mergeCell ref="F128:G128"/>
    <mergeCell ref="H128:I128"/>
    <mergeCell ref="J128:K128"/>
    <mergeCell ref="L128:M128"/>
    <mergeCell ref="X109:Y109"/>
    <mergeCell ref="Z109:AA109"/>
    <mergeCell ref="AB109:AC109"/>
    <mergeCell ref="A123:C123"/>
    <mergeCell ref="N109:O109"/>
    <mergeCell ref="P109:Q109"/>
    <mergeCell ref="R109:S109"/>
    <mergeCell ref="T109:U109"/>
    <mergeCell ref="V109:W109"/>
    <mergeCell ref="D109:E109"/>
    <mergeCell ref="F109:G109"/>
    <mergeCell ref="H109:I109"/>
    <mergeCell ref="J109:K109"/>
    <mergeCell ref="L109:M109"/>
    <mergeCell ref="AB2:AC2"/>
    <mergeCell ref="AB19:AC19"/>
    <mergeCell ref="AB36:AC36"/>
    <mergeCell ref="AB56:AC56"/>
    <mergeCell ref="AB73:AC73"/>
    <mergeCell ref="Z2:AA2"/>
    <mergeCell ref="Z19:AA19"/>
    <mergeCell ref="X2:Y2"/>
    <mergeCell ref="X19:Y19"/>
    <mergeCell ref="Z36:AA36"/>
    <mergeCell ref="X56:Y56"/>
    <mergeCell ref="Z56:AA56"/>
    <mergeCell ref="X73:Y73"/>
    <mergeCell ref="Z73:AA73"/>
    <mergeCell ref="A33:C33"/>
    <mergeCell ref="D19:E19"/>
    <mergeCell ref="D2:E2"/>
    <mergeCell ref="A16:C16"/>
    <mergeCell ref="H2:I2"/>
    <mergeCell ref="H19:I19"/>
    <mergeCell ref="F2:G2"/>
    <mergeCell ref="F19:G19"/>
    <mergeCell ref="N2:O2"/>
    <mergeCell ref="N19:O19"/>
    <mergeCell ref="L2:M2"/>
    <mergeCell ref="L19:M19"/>
    <mergeCell ref="J2:K2"/>
    <mergeCell ref="J19:K19"/>
    <mergeCell ref="V2:W2"/>
    <mergeCell ref="V19:W19"/>
    <mergeCell ref="T2:U2"/>
    <mergeCell ref="T19:U19"/>
    <mergeCell ref="P2:Q2"/>
    <mergeCell ref="P19:Q19"/>
    <mergeCell ref="R19:S19"/>
    <mergeCell ref="R2:S2"/>
    <mergeCell ref="X36:Y36"/>
    <mergeCell ref="A51:C51"/>
    <mergeCell ref="N36:O36"/>
    <mergeCell ref="P36:Q36"/>
    <mergeCell ref="R36:S36"/>
    <mergeCell ref="T36:U36"/>
    <mergeCell ref="V36:W36"/>
    <mergeCell ref="D36:E36"/>
    <mergeCell ref="F36:G36"/>
    <mergeCell ref="H36:I36"/>
    <mergeCell ref="J36:K36"/>
    <mergeCell ref="L36:M36"/>
    <mergeCell ref="A68:C68"/>
    <mergeCell ref="N56:O56"/>
    <mergeCell ref="P56:Q56"/>
    <mergeCell ref="R56:S56"/>
    <mergeCell ref="T56:U56"/>
    <mergeCell ref="V56:W56"/>
    <mergeCell ref="D56:E56"/>
    <mergeCell ref="F56:G56"/>
    <mergeCell ref="H56:I56"/>
    <mergeCell ref="J56:K56"/>
    <mergeCell ref="L56:M56"/>
    <mergeCell ref="A86:C86"/>
    <mergeCell ref="N73:O73"/>
    <mergeCell ref="P73:Q73"/>
    <mergeCell ref="R73:S73"/>
    <mergeCell ref="T73:U73"/>
    <mergeCell ref="V73:W73"/>
    <mergeCell ref="D73:E73"/>
    <mergeCell ref="F73:G73"/>
    <mergeCell ref="H73:I73"/>
    <mergeCell ref="J73:K73"/>
    <mergeCell ref="L73:M73"/>
    <mergeCell ref="AB91:AC91"/>
    <mergeCell ref="A104:C104"/>
    <mergeCell ref="D91:E91"/>
    <mergeCell ref="F91:G91"/>
    <mergeCell ref="H91:I91"/>
    <mergeCell ref="J91:K91"/>
    <mergeCell ref="L91:M91"/>
    <mergeCell ref="N91:O91"/>
    <mergeCell ref="P91:Q91"/>
    <mergeCell ref="R91:S91"/>
    <mergeCell ref="T91:U91"/>
    <mergeCell ref="V91:W91"/>
    <mergeCell ref="X91:Y91"/>
    <mergeCell ref="Z91:AA91"/>
    <mergeCell ref="V147:W147"/>
    <mergeCell ref="X147:Y147"/>
    <mergeCell ref="Z147:AA147"/>
    <mergeCell ref="AB147:AC147"/>
    <mergeCell ref="A161:C161"/>
    <mergeCell ref="D147:E147"/>
    <mergeCell ref="F147:G147"/>
    <mergeCell ref="H147:I147"/>
    <mergeCell ref="J147:K147"/>
    <mergeCell ref="L147:M147"/>
    <mergeCell ref="N147:O147"/>
    <mergeCell ref="P147:Q147"/>
    <mergeCell ref="R147:S147"/>
    <mergeCell ref="T147:U147"/>
    <mergeCell ref="V166:W166"/>
    <mergeCell ref="X166:Y166"/>
    <mergeCell ref="Z166:AA166"/>
    <mergeCell ref="AB166:AC166"/>
    <mergeCell ref="A180:C180"/>
    <mergeCell ref="D166:E166"/>
    <mergeCell ref="F166:G166"/>
    <mergeCell ref="H166:I166"/>
    <mergeCell ref="J166:K166"/>
    <mergeCell ref="L166:M166"/>
    <mergeCell ref="N166:O166"/>
    <mergeCell ref="P166:Q166"/>
    <mergeCell ref="R166:S166"/>
    <mergeCell ref="T166:U166"/>
    <mergeCell ref="V185:W185"/>
    <mergeCell ref="X185:Y185"/>
    <mergeCell ref="Z185:AA185"/>
    <mergeCell ref="AB185:AC185"/>
    <mergeCell ref="A199:C199"/>
    <mergeCell ref="D185:E185"/>
    <mergeCell ref="F185:G185"/>
    <mergeCell ref="H185:I185"/>
    <mergeCell ref="J185:K185"/>
    <mergeCell ref="L185:M185"/>
    <mergeCell ref="N185:O185"/>
    <mergeCell ref="P185:Q185"/>
    <mergeCell ref="R185:S185"/>
    <mergeCell ref="T185:U185"/>
    <mergeCell ref="V204:W204"/>
    <mergeCell ref="X204:Y204"/>
    <mergeCell ref="Z204:AA204"/>
    <mergeCell ref="AB204:AC204"/>
    <mergeCell ref="A218:C218"/>
    <mergeCell ref="D204:E204"/>
    <mergeCell ref="F204:G204"/>
    <mergeCell ref="H204:I204"/>
    <mergeCell ref="J204:K204"/>
    <mergeCell ref="L204:M204"/>
    <mergeCell ref="N204:O204"/>
    <mergeCell ref="P204:Q204"/>
    <mergeCell ref="R204:S204"/>
    <mergeCell ref="T204:U204"/>
    <mergeCell ref="V223:W223"/>
    <mergeCell ref="X223:Y223"/>
    <mergeCell ref="Z223:AA223"/>
    <mergeCell ref="AB223:AC223"/>
    <mergeCell ref="A237:C237"/>
    <mergeCell ref="D223:E223"/>
    <mergeCell ref="F223:G223"/>
    <mergeCell ref="H223:I223"/>
    <mergeCell ref="J223:K223"/>
    <mergeCell ref="L223:M223"/>
    <mergeCell ref="N223:O223"/>
    <mergeCell ref="P223:Q223"/>
    <mergeCell ref="R223:S223"/>
    <mergeCell ref="T223:U223"/>
    <mergeCell ref="V242:W242"/>
    <mergeCell ref="X242:Y242"/>
    <mergeCell ref="Z242:AA242"/>
    <mergeCell ref="AB242:AC242"/>
    <mergeCell ref="A256:C256"/>
    <mergeCell ref="D242:E242"/>
    <mergeCell ref="F242:G242"/>
    <mergeCell ref="H242:I242"/>
    <mergeCell ref="J242:K242"/>
    <mergeCell ref="L242:M242"/>
    <mergeCell ref="N242:O242"/>
    <mergeCell ref="P242:Q242"/>
    <mergeCell ref="R242:S242"/>
    <mergeCell ref="T242:U242"/>
  </mergeCells>
  <phoneticPr fontId="2" type="noConversion"/>
  <pageMargins left="0.75" right="0.75" top="1" bottom="1"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6"/>
  <sheetViews>
    <sheetView topLeftCell="A13" workbookViewId="0">
      <selection activeCell="A2" sqref="A2:A45"/>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Total!B3115</f>
        <v>44623</v>
      </c>
      <c r="C2" s="101">
        <f>Total!C3115</f>
        <v>44641</v>
      </c>
      <c r="D2" s="112" t="s">
        <v>1092</v>
      </c>
      <c r="E2" s="332" t="str">
        <f>Total!E3115</f>
        <v>Obra Civil</v>
      </c>
      <c r="F2" s="96" t="str">
        <f>Total!F3115</f>
        <v>Projectes</v>
      </c>
      <c r="G2" s="112" t="str">
        <f>Total!G3115</f>
        <v>PC. PC-CGL-21061</v>
      </c>
      <c r="H2" s="112" t="str">
        <f>Total!H3115</f>
        <v>Contracte de serveis per a l'assistència tècnica per a la redacció del projecte constructiu "Estabilització i protecció contra despreniments a la C-28 del PK 37+980 al 42+000. Naut Aran".</v>
      </c>
      <c r="I2" s="157">
        <f>Total!I3115</f>
        <v>94875</v>
      </c>
    </row>
    <row r="3" spans="1:9" x14ac:dyDescent="0.2">
      <c r="A3" s="8">
        <v>2</v>
      </c>
      <c r="B3" s="101">
        <f>Total!B3116</f>
        <v>44624</v>
      </c>
      <c r="C3" s="101">
        <f>Total!C3116</f>
        <v>44643</v>
      </c>
      <c r="D3" s="112" t="s">
        <v>1092</v>
      </c>
      <c r="E3" s="332" t="str">
        <f>Total!E3116</f>
        <v>Obra Civil</v>
      </c>
      <c r="F3" s="96" t="str">
        <f>Total!F3116</f>
        <v>Projectes</v>
      </c>
      <c r="G3" s="112" t="str">
        <f>Total!G3116</f>
        <v>PC. PC-CGL-21063</v>
      </c>
      <c r="H3" s="112" t="str">
        <f>Total!H3116</f>
        <v>Contracte de serveis per a l'assistència tècnica per a la redacció del projecte constructiu. Estabilització de talussos i protecció contra despreniments a la C-13 del PK 45+000 al 46+471. Camarasa.</v>
      </c>
      <c r="I3" s="157">
        <f>Total!I3116</f>
        <v>84750</v>
      </c>
    </row>
    <row r="4" spans="1:9" x14ac:dyDescent="0.2">
      <c r="A4" s="8">
        <v>3</v>
      </c>
      <c r="B4" s="101">
        <f>Total!B3117</f>
        <v>44624</v>
      </c>
      <c r="C4" s="101">
        <f>Total!C3117</f>
        <v>44641</v>
      </c>
      <c r="D4" s="112" t="s">
        <v>1092</v>
      </c>
      <c r="E4" s="332" t="str">
        <f>Total!E3117</f>
        <v>Obra Civil</v>
      </c>
      <c r="F4" s="96" t="str">
        <f>Total!F3117</f>
        <v>Projectes</v>
      </c>
      <c r="G4" s="112" t="str">
        <f>Total!G3117</f>
        <v>PC. PC-CGL-21064</v>
      </c>
      <c r="H4" s="112" t="str">
        <f>Total!H3117</f>
        <v>Contracte de serveis per a l'assistència tècnica per a la redacció del projecte constructiu "Estabilització de talussos i protecció contra despreniments a la C-13 del PK 68+360 al 70+060. Terradets - Font de les Bagasses (Castell de Mur)".</v>
      </c>
      <c r="I4" s="157">
        <f>Total!I3117</f>
        <v>41400</v>
      </c>
    </row>
    <row r="5" spans="1:9" x14ac:dyDescent="0.2">
      <c r="A5" s="8">
        <v>4</v>
      </c>
      <c r="B5" s="101">
        <f>Total!B3119</f>
        <v>44624</v>
      </c>
      <c r="C5" s="101">
        <f>Total!C3119</f>
        <v>44643</v>
      </c>
      <c r="D5" s="112" t="s">
        <v>1092</v>
      </c>
      <c r="E5" s="332" t="str">
        <f>Total!E3119</f>
        <v>Obra Civil</v>
      </c>
      <c r="F5" s="96" t="str">
        <f>Total!F3119</f>
        <v>Projectes</v>
      </c>
      <c r="G5" s="112" t="str">
        <f>Total!G3119</f>
        <v>EA. REG-22206 i PC. REG-22206</v>
      </c>
      <c r="H5" s="112" t="str">
        <f>Total!H3119</f>
        <v>Contracte de serveis per a l'assistència tècnica per a la redacció de l'Estudi Ambiental i Projecte constructiu. Recuperació ecològica i ambiental de la zona humida de les terreres de Vaca Morta a Corçà. Baix Empordà.</v>
      </c>
      <c r="I5" s="157">
        <f>Total!I3119</f>
        <v>48500</v>
      </c>
    </row>
    <row r="6" spans="1:9" x14ac:dyDescent="0.2">
      <c r="A6" s="8">
        <v>5</v>
      </c>
      <c r="B6" s="101">
        <f>Total!B3120</f>
        <v>44627</v>
      </c>
      <c r="C6" s="101">
        <f>Total!C3120</f>
        <v>44655</v>
      </c>
      <c r="D6" s="112" t="s">
        <v>1092</v>
      </c>
      <c r="E6" s="332" t="str">
        <f>Total!E3120</f>
        <v>Obra Civil</v>
      </c>
      <c r="F6" s="96" t="str">
        <f>Total!F3120</f>
        <v>Direccions d'Obra</v>
      </c>
      <c r="G6" s="112" t="str">
        <f>Total!G3120</f>
        <v>DO.TM-00509.4E</v>
      </c>
      <c r="H6" s="112" t="str">
        <f>Total!H3120</f>
        <v>Direcció de les obres del projecte constructiu de la Línia 9 del Metro de Barcelona. Tram 3r. Zona Uni versitària - Sagrera Meridiana. Complements d'estructura interior, via i catenària del túnel 3. Tram: Zona Universitària - Sagrera - Meridiana.</v>
      </c>
      <c r="I6" s="157">
        <f>Total!I3120</f>
        <v>2342155.2000000002</v>
      </c>
    </row>
    <row r="7" spans="1:9" x14ac:dyDescent="0.2">
      <c r="A7" s="8">
        <v>6</v>
      </c>
      <c r="B7" s="101">
        <f>Total!B3121</f>
        <v>44627</v>
      </c>
      <c r="C7" s="101">
        <f>Total!C3121</f>
        <v>44648</v>
      </c>
      <c r="D7" s="112" t="s">
        <v>1092</v>
      </c>
      <c r="E7" s="332" t="str">
        <f>Total!E3121</f>
        <v>Edificació</v>
      </c>
      <c r="F7" s="96" t="str">
        <f>Total!F3121</f>
        <v>Projectes</v>
      </c>
      <c r="G7" s="112" t="str">
        <f>Total!G3121</f>
        <v>E1. JJV-18325</v>
      </c>
      <c r="H7" s="112" t="str">
        <f>Total!H3121</f>
        <v>Contracte de serveis per a l'assistència tècnica per a la redacció de l'estudi de l'assegurament de la qualitat del projecte executiu de nova construcció edifici judicial de Martorell.</v>
      </c>
      <c r="I7" s="157">
        <f>Total!I3121</f>
        <v>21780</v>
      </c>
    </row>
    <row r="8" spans="1:9" x14ac:dyDescent="0.2">
      <c r="A8" s="8">
        <v>7</v>
      </c>
      <c r="B8" s="101">
        <f>Total!B3122</f>
        <v>44630</v>
      </c>
      <c r="C8" s="101">
        <f>Total!C3122</f>
        <v>44648</v>
      </c>
      <c r="D8" s="112" t="s">
        <v>1092</v>
      </c>
      <c r="E8" s="332" t="str">
        <f>Total!E3122</f>
        <v>Obra Civil</v>
      </c>
      <c r="F8" s="96" t="str">
        <f>Total!F3122</f>
        <v>Projectes</v>
      </c>
      <c r="G8" s="112" t="str">
        <f>Total!G3122</f>
        <v>PC. PC-BNT-21098</v>
      </c>
      <c r="H8" s="112" t="str">
        <f>Total!H3122</f>
        <v>Contracte de serveis per a l'assistència tècnica per a la redacció del projecte constructiu. Via ciclista Reus-Vila-seca-Salou pels corredors de la C-14 i la T-315.</v>
      </c>
      <c r="I8" s="157">
        <f>Total!I3122</f>
        <v>129180</v>
      </c>
    </row>
    <row r="9" spans="1:9" x14ac:dyDescent="0.2">
      <c r="A9" s="8">
        <v>8</v>
      </c>
      <c r="B9" s="101">
        <f>Total!B3123</f>
        <v>44630</v>
      </c>
      <c r="C9" s="101">
        <f>Total!C3123</f>
        <v>44648</v>
      </c>
      <c r="D9" s="112" t="s">
        <v>1092</v>
      </c>
      <c r="E9" s="332" t="str">
        <f>Total!E3123</f>
        <v>Obra Civil</v>
      </c>
      <c r="F9" s="96" t="str">
        <f>Total!F3123</f>
        <v>Control de Qualitat</v>
      </c>
      <c r="G9" s="112" t="str">
        <f>Total!G3123</f>
        <v>CQ. JC-19255</v>
      </c>
      <c r="H9" s="112" t="str">
        <f>Total!H3123</f>
        <v>Contracte de serveis per a l'assistència tècnica de control de qualitat de les obres del projecte de rehabilitació i millora del col·lector en alta de Can Xercavins del sistema de sanejament de Rubí.</v>
      </c>
      <c r="I9" s="157">
        <f>Total!I3123</f>
        <v>16129.77</v>
      </c>
    </row>
    <row r="10" spans="1:9" x14ac:dyDescent="0.2">
      <c r="A10" s="8">
        <v>9</v>
      </c>
      <c r="B10" s="101">
        <f>Total!B3124</f>
        <v>44630</v>
      </c>
      <c r="C10" s="101">
        <f>Total!C3124</f>
        <v>44648</v>
      </c>
      <c r="D10" s="112" t="s">
        <v>1092</v>
      </c>
      <c r="E10" s="332" t="str">
        <f>Total!E3124</f>
        <v>Obra Civil</v>
      </c>
      <c r="F10" s="96" t="str">
        <f>Total!F3124</f>
        <v>Direccions d'Obra</v>
      </c>
      <c r="G10" s="112" t="str">
        <f>Total!G3124</f>
        <v>DO. JC-19255</v>
      </c>
      <c r="H10" s="112" t="str">
        <f>Total!H3124</f>
        <v>Contracte de serveis per a la direcció de les obres del projecte de rehabilitació i millora del col·lector en alta de Can Xercavins del sistema de sanejament de Rubí.</v>
      </c>
      <c r="I10" s="157">
        <f>Total!I3124</f>
        <v>116365.3</v>
      </c>
    </row>
    <row r="11" spans="1:9" x14ac:dyDescent="0.2">
      <c r="A11" s="8">
        <v>10</v>
      </c>
      <c r="B11" s="101">
        <f>Total!B3125</f>
        <v>44630</v>
      </c>
      <c r="C11" s="101">
        <f>Total!C3125</f>
        <v>44648</v>
      </c>
      <c r="D11" s="112" t="s">
        <v>1092</v>
      </c>
      <c r="E11" s="332" t="str">
        <f>Total!E3125</f>
        <v>Obra Civil</v>
      </c>
      <c r="F11" s="96" t="str">
        <f>Total!F3125</f>
        <v>Projectes</v>
      </c>
      <c r="G11" s="112" t="str">
        <f>Total!G3125</f>
        <v>EV. EA-VR-22209</v>
      </c>
      <c r="H11" s="112" t="str">
        <f>Total!H3125</f>
        <v>Contracte de serveis per a l'assistència tècnica per a la redacció de l'estudi d'alternatives de la consolidació de la xarxa de reg de la conca del Riu Siurana.</v>
      </c>
      <c r="I11" s="157">
        <f>Total!I3125</f>
        <v>49350</v>
      </c>
    </row>
    <row r="12" spans="1:9" x14ac:dyDescent="0.2">
      <c r="A12" s="8">
        <v>11</v>
      </c>
      <c r="B12" s="101">
        <f>Total!B3126</f>
        <v>44631</v>
      </c>
      <c r="C12" s="101">
        <f>Total!C3126</f>
        <v>44648</v>
      </c>
      <c r="D12" s="112" t="s">
        <v>1092</v>
      </c>
      <c r="E12" s="332" t="str">
        <f>Total!E3126</f>
        <v>Edificació</v>
      </c>
      <c r="F12" s="96" t="str">
        <f>Total!F3126</f>
        <v>Direccions d'Execució</v>
      </c>
      <c r="G12" s="112" t="str">
        <f>Total!G3126</f>
        <v>DE. CCG-19261</v>
      </c>
      <c r="H12" s="112" t="str">
        <f>Total!H3126</f>
        <v>Contracte de serveis per a l'assistència tècnica de direcció d'execució de les obres RAM de renovació de càmeres i millores en els sistemes de videovigilància en RP Metropolitana Sud, Camp de Tarragona i Terres de l'Ebre.</v>
      </c>
      <c r="I12" s="157">
        <f>Total!I3126</f>
        <v>27000</v>
      </c>
    </row>
    <row r="13" spans="1:9" x14ac:dyDescent="0.2">
      <c r="A13" s="8">
        <v>12</v>
      </c>
      <c r="B13" s="101">
        <f>Total!B3127</f>
        <v>44631</v>
      </c>
      <c r="C13" s="101">
        <f>Total!C3127</f>
        <v>44648</v>
      </c>
      <c r="D13" s="112" t="s">
        <v>1092</v>
      </c>
      <c r="E13" s="332" t="str">
        <f>Total!E3127</f>
        <v>Edificació</v>
      </c>
      <c r="F13" s="96" t="str">
        <f>Total!F3127</f>
        <v>Direccions d'Execució</v>
      </c>
      <c r="G13" s="112" t="str">
        <f>Total!G3127</f>
        <v>CSS. CCG-19261</v>
      </c>
      <c r="H13" s="112" t="str">
        <f>Total!H3127</f>
        <v>Contracte de serveis per a l'assistència tècnica de coordinació de seguretat i salut de les obres RAM de renovació de càmeres i millores en els sistemes de videovigilància en RP Metropolitana Sud, Camp de Tarragona i Terres de l'Ebre.</v>
      </c>
      <c r="I13" s="157">
        <f>Total!I3127</f>
        <v>8100</v>
      </c>
    </row>
    <row r="14" spans="1:9" x14ac:dyDescent="0.2">
      <c r="A14" s="8">
        <v>13</v>
      </c>
      <c r="B14" s="101">
        <f>Total!B3128</f>
        <v>44631</v>
      </c>
      <c r="C14" s="101">
        <f>Total!C3128</f>
        <v>44676</v>
      </c>
      <c r="D14" s="112" t="s">
        <v>1092</v>
      </c>
      <c r="E14" s="332" t="str">
        <f>Total!E3128</f>
        <v>Edificació</v>
      </c>
      <c r="F14" s="96" t="str">
        <f>Total!F3128</f>
        <v>Control de Qualitat</v>
      </c>
      <c r="G14" s="112" t="str">
        <f>Total!G3128</f>
        <v>CQ. CCG-19261</v>
      </c>
      <c r="H14" s="112" t="str">
        <f>Total!H3128</f>
        <v>Contracte de serveis per a l'assistència tècnica de control de qualitat de les Obres RAM de renovació de càmeres i millores en els sistemes de videovigilància en RP Metropolitana Sud, Camp de Tarragona i Terres de l'Ebre.</v>
      </c>
      <c r="I14" s="157">
        <f>Total!I3128</f>
        <v>11129.56</v>
      </c>
    </row>
    <row r="15" spans="1:9" x14ac:dyDescent="0.2">
      <c r="A15" s="8">
        <v>14</v>
      </c>
      <c r="B15" s="101">
        <f>Total!B3129</f>
        <v>44635</v>
      </c>
      <c r="C15" s="101">
        <f>Total!C3129</f>
        <v>44664</v>
      </c>
      <c r="D15" s="112" t="s">
        <v>1092</v>
      </c>
      <c r="E15" s="332" t="str">
        <f>Total!E3129</f>
        <v>Obra Civil</v>
      </c>
      <c r="F15" s="96" t="str">
        <f>Total!F3129</f>
        <v>Projectes</v>
      </c>
      <c r="G15" s="112" t="str">
        <f>Total!G3129</f>
        <v>PC. PC-ANG-18023</v>
      </c>
      <c r="H15" s="112" t="str">
        <f>Total!H3129</f>
        <v>Contracte de serveis per a l'assistència tècnica per a la redacció del projecte constructiu. Corredor BRCat Blanes - Lloret de Mar.</v>
      </c>
      <c r="I15" s="157">
        <f>Total!I3129</f>
        <v>264300</v>
      </c>
    </row>
    <row r="16" spans="1:9" x14ac:dyDescent="0.2">
      <c r="A16" s="8">
        <v>15</v>
      </c>
      <c r="B16" s="101">
        <f>Total!B3130</f>
        <v>44635</v>
      </c>
      <c r="C16" s="101">
        <f>Total!C3130</f>
        <v>44655</v>
      </c>
      <c r="D16" s="112" t="s">
        <v>1092</v>
      </c>
      <c r="E16" s="332" t="str">
        <f>Total!E3130</f>
        <v>Obra Civil</v>
      </c>
      <c r="F16" s="96" t="str">
        <f>Total!F3130</f>
        <v>Direccions d'Obra</v>
      </c>
      <c r="G16" s="112" t="str">
        <f>Total!G3130</f>
        <v>CSS. JC-19255</v>
      </c>
      <c r="H16" s="112" t="str">
        <f>Total!H3130</f>
        <v>Contracte de serveis per a l'assistència tècnica de coordinació de seguretat i salut de les obres del projecte de rehabilitació i millora del col·lector en alta de Can Xercavins del sistema de sanejament de Rubí.</v>
      </c>
      <c r="I16" s="157">
        <f>Total!I3130</f>
        <v>6379.82</v>
      </c>
    </row>
    <row r="17" spans="1:9" x14ac:dyDescent="0.2">
      <c r="A17" s="8">
        <v>16</v>
      </c>
      <c r="B17" s="101">
        <f>Total!B3131</f>
        <v>44636</v>
      </c>
      <c r="C17" s="101">
        <f>Total!C3131</f>
        <v>44655</v>
      </c>
      <c r="D17" s="112" t="s">
        <v>1092</v>
      </c>
      <c r="E17" s="332" t="str">
        <f>Total!E3131</f>
        <v>Obra Civil</v>
      </c>
      <c r="F17" s="96" t="str">
        <f>Total!F3131</f>
        <v>Projectes</v>
      </c>
      <c r="G17" s="112" t="str">
        <f>Total!G3131</f>
        <v>PC. PC-ANB-21093</v>
      </c>
      <c r="H17" s="112" t="str">
        <f>Total!H3131</f>
        <v>Contracte de serveis per a l'assistència tècnica per a la redacció del projecte constructiu "Corredor BRCAT Terrassa - Sabadell".</v>
      </c>
      <c r="I17" s="157">
        <f>Total!I3131</f>
        <v>203100</v>
      </c>
    </row>
    <row r="18" spans="1:9" x14ac:dyDescent="0.2">
      <c r="A18" s="8">
        <v>17</v>
      </c>
      <c r="B18" s="101">
        <f>Total!B3132</f>
        <v>44637</v>
      </c>
      <c r="C18" s="101">
        <f>Total!C3132</f>
        <v>44655</v>
      </c>
      <c r="D18" s="112" t="s">
        <v>1092</v>
      </c>
      <c r="E18" s="332" t="str">
        <f>Total!E3132</f>
        <v>Obra Civil</v>
      </c>
      <c r="F18" s="96" t="str">
        <f>Total!F3132</f>
        <v>Projectes</v>
      </c>
      <c r="G18" s="112" t="str">
        <f>Total!G3132</f>
        <v>PC. PR-22211</v>
      </c>
      <c r="H18" s="112" t="str">
        <f>Total!H3132</f>
        <v>Contracte de serveis per a l'assistència tècnica per a la redacció del projecte constructiu "Projecte de Modernització del canal de Pinyana. Projecte constructiu del Sector 5. TM de Lleida i Alcarràs".</v>
      </c>
      <c r="I18" s="157">
        <f>Total!I3132</f>
        <v>199938</v>
      </c>
    </row>
    <row r="19" spans="1:9" x14ac:dyDescent="0.2">
      <c r="A19" s="8">
        <v>18</v>
      </c>
      <c r="B19" s="101">
        <f>Total!B3133</f>
        <v>44638</v>
      </c>
      <c r="C19" s="101">
        <f>Total!C3133</f>
        <v>44657</v>
      </c>
      <c r="D19" s="112" t="s">
        <v>1092</v>
      </c>
      <c r="E19" s="332" t="str">
        <f>Total!E3133</f>
        <v>Edificació</v>
      </c>
      <c r="F19" s="96" t="str">
        <f>Total!F3133</f>
        <v>Projectes i Direccions d'Obra</v>
      </c>
      <c r="G19" s="112" t="str">
        <f>Total!G3133</f>
        <v>PE+DO. JVX-19285</v>
      </c>
      <c r="H19" s="112" t="str">
        <f>Total!H3133</f>
        <v>Assistència tècnica per a la redacció del projecte bàsic i executiu i la posterior direcció de les obres RAM per la resolució de les patologies de filtracions d'aigua, i substitució del sistema de sanejament de l'Edifici Judicial Ramon Folch.</v>
      </c>
      <c r="I19" s="157">
        <f>Total!I3133</f>
        <v>94827.58</v>
      </c>
    </row>
    <row r="20" spans="1:9" x14ac:dyDescent="0.2">
      <c r="A20" s="8">
        <v>19</v>
      </c>
      <c r="B20" s="101">
        <f>Total!B3134</f>
        <v>44642</v>
      </c>
      <c r="C20" s="101">
        <f>Total!C3134</f>
        <v>44671</v>
      </c>
      <c r="D20" s="112" t="s">
        <v>1092</v>
      </c>
      <c r="E20" s="332" t="str">
        <f>Total!E3134</f>
        <v>Obra Civil</v>
      </c>
      <c r="F20" s="96" t="str">
        <f>Total!F3134</f>
        <v>Direccions d'Obra</v>
      </c>
      <c r="G20" s="112" t="str">
        <f>Total!G3134</f>
        <v>DO. AL-05020.2-C1</v>
      </c>
      <c r="H20" s="112" t="str">
        <f>Total!H3134</f>
        <v>Contracte de serveis per a la direcció de les obres del projecte de mesures correctores d'impacte ambiental del condicionament de la C-28 del PK 41+920 al 45+850. Naut Aran.</v>
      </c>
      <c r="I20" s="157">
        <f>Total!I3134</f>
        <v>13919.64</v>
      </c>
    </row>
    <row r="21" spans="1:9" x14ac:dyDescent="0.2">
      <c r="A21" s="8">
        <v>20</v>
      </c>
      <c r="B21" s="101">
        <f>Total!B3135</f>
        <v>44642</v>
      </c>
      <c r="C21" s="101">
        <f>Total!C3135</f>
        <v>44671</v>
      </c>
      <c r="D21" s="112" t="s">
        <v>1092</v>
      </c>
      <c r="E21" s="332" t="str">
        <f>Total!E3135</f>
        <v>Obra Civil</v>
      </c>
      <c r="F21" s="96" t="str">
        <f>Total!F3135</f>
        <v>Control de Qualitat</v>
      </c>
      <c r="G21" s="112" t="str">
        <f>Total!G3135</f>
        <v>CQ. AL-05020.2-C1</v>
      </c>
      <c r="H21" s="112" t="str">
        <f>Total!H3135</f>
        <v>Contracte de serveis per a l'assistència tècnica de control de qualitat de les obres de mesures correctores d'impacte ambiental del condicionament de la C-28 del PK 41+920 al 45+850. Naut Aran.</v>
      </c>
      <c r="I21" s="157">
        <f>Total!I3135</f>
        <v>2195.63</v>
      </c>
    </row>
    <row r="22" spans="1:9" x14ac:dyDescent="0.2">
      <c r="A22" s="8">
        <v>21</v>
      </c>
      <c r="B22" s="101">
        <f>Total!B3136</f>
        <v>44642</v>
      </c>
      <c r="C22" s="101">
        <f>Total!C3136</f>
        <v>44671</v>
      </c>
      <c r="D22" s="112" t="s">
        <v>1092</v>
      </c>
      <c r="E22" s="332" t="str">
        <f>Total!E3136</f>
        <v>Obra Civil</v>
      </c>
      <c r="F22" s="96" t="str">
        <f>Total!F3136</f>
        <v>Direccions d'Obra</v>
      </c>
      <c r="G22" s="112" t="str">
        <f>Total!G3136</f>
        <v>CSS. AL-05020.2-C1</v>
      </c>
      <c r="H22" s="112" t="str">
        <f>Total!H3136</f>
        <v>Contracte de serveis per a l'assistència tècnica de coordinació de seguretat i salut de les obres del projecte de mesures correctores d'impacte ambiental del condicionament de la C-28 del PK 41+920 al 45+850. Naut Aran.</v>
      </c>
      <c r="I22" s="157">
        <f>Total!I3136</f>
        <v>4320.54</v>
      </c>
    </row>
    <row r="23" spans="1:9" x14ac:dyDescent="0.2">
      <c r="A23" s="8">
        <v>22</v>
      </c>
      <c r="B23" s="101">
        <f>Total!B3137</f>
        <v>44643</v>
      </c>
      <c r="C23" s="101">
        <f>Total!C3137</f>
        <v>44662</v>
      </c>
      <c r="D23" s="112" t="s">
        <v>1092</v>
      </c>
      <c r="E23" s="332" t="str">
        <f>Total!E3137</f>
        <v>Obra Civil</v>
      </c>
      <c r="F23" s="96" t="str">
        <f>Total!F3137</f>
        <v>Projectes</v>
      </c>
      <c r="G23" s="112" t="str">
        <f>Total!G3137</f>
        <v>PC. PC-ANB-21088</v>
      </c>
      <c r="H23" s="112" t="str">
        <f>Total!H3137</f>
        <v>Contracte de serveis per a l'assistència tècnica per a la redacció del projecte constructiu "Corredor BRCAT i via ciclista a la C-59 (eix Riera de Caldes). Palau-solità i Plegamans - Caldes de Montbui".</v>
      </c>
      <c r="I23" s="157">
        <f>Total!I3137</f>
        <v>175660</v>
      </c>
    </row>
    <row r="24" spans="1:9" x14ac:dyDescent="0.2">
      <c r="A24" s="8">
        <v>23</v>
      </c>
      <c r="B24" s="101">
        <f>Total!B3138</f>
        <v>44644</v>
      </c>
      <c r="C24" s="101">
        <f>Total!C3138</f>
        <v>44671</v>
      </c>
      <c r="D24" s="112" t="s">
        <v>1092</v>
      </c>
      <c r="E24" s="332" t="str">
        <f>Total!E3138</f>
        <v>Obra Civil</v>
      </c>
      <c r="F24" s="96" t="str">
        <f>Total!F3138</f>
        <v>Projectes</v>
      </c>
      <c r="G24" s="112" t="str">
        <f>Total!G3138</f>
        <v>EV. EX-CIE-20014</v>
      </c>
      <c r="H24" s="112" t="str">
        <f>Total!H3138</f>
        <v>Contracte de serveis per a l'assistència tècnica per a la redacció del document ambiental de la millora de les característiques superficials i reestudi de secció transversal a la C-12 del PK 63+470 al 68+400. Móra la Nova-Garcia.</v>
      </c>
      <c r="I24" s="157">
        <f>Total!I3138</f>
        <v>16000</v>
      </c>
    </row>
    <row r="25" spans="1:9" x14ac:dyDescent="0.2">
      <c r="A25" s="8">
        <v>24</v>
      </c>
      <c r="B25" s="101">
        <f>Total!B3139</f>
        <v>44644</v>
      </c>
      <c r="C25" s="101">
        <f>Total!C3139</f>
        <v>44671</v>
      </c>
      <c r="D25" s="112" t="s">
        <v>1092</v>
      </c>
      <c r="E25" s="332" t="str">
        <f>Total!E3139</f>
        <v>Obra Civil</v>
      </c>
      <c r="F25" s="96" t="str">
        <f>Total!F3139</f>
        <v>Projectes</v>
      </c>
      <c r="G25" s="112" t="str">
        <f>Total!G3139</f>
        <v>EV. EX-CIE-20093</v>
      </c>
      <c r="H25" s="112" t="str">
        <f>Total!H3139</f>
        <v>Contracte de serveis per a l'assistència tècnica per a la redacció del document ambiental de la millora de les característiques superficials i reestudi de secció transversal a la C-12 del PK 56+400 al 61+500. Ginestar-Móra la Nova.</v>
      </c>
      <c r="I25" s="157">
        <f>Total!I3139</f>
        <v>15030</v>
      </c>
    </row>
    <row r="26" spans="1:9" x14ac:dyDescent="0.2">
      <c r="A26" s="8">
        <v>25</v>
      </c>
      <c r="B26" s="101">
        <f>Total!B3140</f>
        <v>44644</v>
      </c>
      <c r="C26" s="101">
        <f>Total!C3140</f>
        <v>44662</v>
      </c>
      <c r="D26" s="112" t="s">
        <v>1092</v>
      </c>
      <c r="E26" s="332" t="str">
        <f>Total!E3140</f>
        <v>Obra Civil</v>
      </c>
      <c r="F26" s="96" t="str">
        <f>Total!F3140</f>
        <v>Projectes</v>
      </c>
      <c r="G26" s="112" t="str">
        <f>Total!G3140</f>
        <v>PC. PC-ANB-21106</v>
      </c>
      <c r="H26" s="112" t="str">
        <f>Total!H3140</f>
        <v>Contracte de serveis per a l'assistència tècnica per a la redacció del projecte constructiu "Corredor BRCat Sabadell - Castellar del Vallès".</v>
      </c>
      <c r="I26" s="157">
        <f>Total!I3140</f>
        <v>203100</v>
      </c>
    </row>
    <row r="27" spans="1:9" x14ac:dyDescent="0.2">
      <c r="A27" s="8">
        <v>26</v>
      </c>
      <c r="B27" s="101">
        <f>Total!B3141</f>
        <v>44644</v>
      </c>
      <c r="C27" s="101">
        <f>Total!C3141</f>
        <v>44664</v>
      </c>
      <c r="D27" s="112" t="s">
        <v>1092</v>
      </c>
      <c r="E27" s="332" t="str">
        <f>Total!E3141</f>
        <v>Obra Civil</v>
      </c>
      <c r="F27" s="96" t="str">
        <f>Total!F3141</f>
        <v>Projectes</v>
      </c>
      <c r="G27" s="112" t="str">
        <f>Total!G3141</f>
        <v>EV. EP-ANB-21041</v>
      </c>
      <c r="H27" s="112" t="str">
        <f>Total!H3141</f>
        <v>Contracte de serveis per a l'assistència tècnica per a la redacció de l'estudi previ dels Corredors BRCat UAB - La Llagosta; Rubí - Cerdanyola del Vallès; Sabadell - Cerdanyola del Vallès; La Vall de Tenes - Mollet del Vallès.</v>
      </c>
      <c r="I27" s="157">
        <f>Total!I3141</f>
        <v>167200</v>
      </c>
    </row>
    <row r="28" spans="1:9" x14ac:dyDescent="0.2">
      <c r="A28" s="8">
        <v>27</v>
      </c>
      <c r="B28" s="101">
        <f>Total!B3142</f>
        <v>44644</v>
      </c>
      <c r="C28" s="101">
        <f>Total!C3142</f>
        <v>44671</v>
      </c>
      <c r="D28" s="112" t="s">
        <v>1092</v>
      </c>
      <c r="E28" s="332" t="str">
        <f>Total!E3142</f>
        <v>Obra Civil</v>
      </c>
      <c r="F28" s="96" t="str">
        <f>Total!F3142</f>
        <v>Projectes</v>
      </c>
      <c r="G28" s="112" t="str">
        <f>Total!G3142</f>
        <v>EV. EX-CIE-20092</v>
      </c>
      <c r="H28" s="112" t="str">
        <f>Total!H3142</f>
        <v>Contracte de serveis per a l'assistència tècnica per a la redacció del document ambiental de la millora de les característiques superficials i reestudi de secció transversal a la C-12 del PK 34+500 al 40+900. Xerta-Benifallet.</v>
      </c>
      <c r="I28" s="157">
        <f>Total!I3142</f>
        <v>17420</v>
      </c>
    </row>
    <row r="29" spans="1:9" x14ac:dyDescent="0.2">
      <c r="A29" s="8">
        <v>28</v>
      </c>
      <c r="B29" s="101">
        <f>Total!B3143</f>
        <v>44644</v>
      </c>
      <c r="C29" s="101">
        <f>Total!C3143</f>
        <v>44662</v>
      </c>
      <c r="D29" s="112" t="s">
        <v>1092</v>
      </c>
      <c r="E29" s="332" t="str">
        <f>Total!E3143</f>
        <v>Obra Civil</v>
      </c>
      <c r="F29" s="96" t="str">
        <f>Total!F3143</f>
        <v>Projectes</v>
      </c>
      <c r="G29" s="112" t="str">
        <f>Total!G3143</f>
        <v>PC. MCG-20280</v>
      </c>
      <c r="H29" s="112" t="str">
        <f>Total!H3143</f>
        <v>Contracte de serveis per a l'assistència tècnica per a la redacció del "Projecte constructiu de Millora de la connectivitat de les poblacions del turó a l'Empordà". C</v>
      </c>
      <c r="I29" s="157">
        <f>Total!I3143</f>
        <v>35908.33</v>
      </c>
    </row>
    <row r="30" spans="1:9" x14ac:dyDescent="0.2">
      <c r="A30" s="8">
        <v>29</v>
      </c>
      <c r="B30" s="101">
        <f>Total!B3144</f>
        <v>44644</v>
      </c>
      <c r="C30" s="101">
        <f>Total!C3144</f>
        <v>44662</v>
      </c>
      <c r="D30" s="112" t="s">
        <v>1092</v>
      </c>
      <c r="E30" s="332" t="str">
        <f>Total!E3144</f>
        <v>Edificació</v>
      </c>
      <c r="F30" s="96" t="str">
        <f>Total!F3144</f>
        <v>Projectes i Direccions Facultatives</v>
      </c>
      <c r="G30" s="112" t="str">
        <f>Total!G3144</f>
        <v>PE+DF PCM-21300</v>
      </c>
      <c r="H30" s="112" t="str">
        <f>Total!H3144</f>
        <v>Redacció del projecte bàsic, el projecte executiu i la posterior direcció facultativa de les obres "Adequació dels Projectes de remodelació de la planta baixa del Centre d'Interpretació del Parc Natural del Cadí-Moixeró a Bagà".</v>
      </c>
      <c r="I30" s="157">
        <f>Total!I3144</f>
        <v>43500</v>
      </c>
    </row>
    <row r="31" spans="1:9" x14ac:dyDescent="0.2">
      <c r="A31" s="8">
        <v>30</v>
      </c>
      <c r="B31" s="101">
        <f>Total!B3145</f>
        <v>44645</v>
      </c>
      <c r="C31" s="101">
        <f>Total!C3145</f>
        <v>44664</v>
      </c>
      <c r="D31" s="112" t="s">
        <v>1092</v>
      </c>
      <c r="E31" s="332" t="str">
        <f>Total!E3145</f>
        <v>Edificació</v>
      </c>
      <c r="F31" s="96" t="str">
        <f>Total!F3145</f>
        <v>Direccions d'Execució</v>
      </c>
      <c r="G31" s="112" t="str">
        <f>Total!G3145</f>
        <v>CSS.JJV-18286.3</v>
      </c>
      <c r="H31" s="112" t="str">
        <f>Total!H3145</f>
        <v>Serveis per a l'assistència tècnica de coordinació de seguretat i salut de les obres d'adequació i reforma d'ascensors d'edificis judicials de Sabadell, Arenys de Mar, Blanes, Sant Feliu de Guíxols, Gavà, Vic, Reus, Valls.</v>
      </c>
      <c r="I31" s="157">
        <f>Total!I3145</f>
        <v>10868.03</v>
      </c>
    </row>
    <row r="32" spans="1:9" x14ac:dyDescent="0.2">
      <c r="A32" s="8">
        <v>31</v>
      </c>
      <c r="B32" s="101">
        <f>Total!B3146</f>
        <v>44645</v>
      </c>
      <c r="C32" s="101">
        <f>Total!C3146</f>
        <v>44664</v>
      </c>
      <c r="D32" s="112" t="s">
        <v>1092</v>
      </c>
      <c r="E32" s="332" t="str">
        <f>Total!E3146</f>
        <v>Edificació</v>
      </c>
      <c r="F32" s="96" t="str">
        <f>Total!F3146</f>
        <v>Direccions d'Execució</v>
      </c>
      <c r="G32" s="112" t="str">
        <f>Total!G3146</f>
        <v>CSS. JJV-18286.2</v>
      </c>
      <c r="H32" s="112" t="str">
        <f>Total!H3146</f>
        <v>Contracte de serveis per a l'assistència tècnica de coordinació de seguretat i salut de les obres d'adequació i reforma dels ascensors dels edificis judicials de Gandesa, Amposta, Cervera, La Seu d'Urgell, Figueres i Puigcerdà.</v>
      </c>
      <c r="I32" s="157">
        <f>Total!I3146</f>
        <v>7200</v>
      </c>
    </row>
    <row r="33" spans="1:9" x14ac:dyDescent="0.2">
      <c r="A33" s="8">
        <v>32</v>
      </c>
      <c r="B33" s="101">
        <f>Total!B3147</f>
        <v>44645</v>
      </c>
      <c r="C33" s="101">
        <f>Total!C3147</f>
        <v>44664</v>
      </c>
      <c r="D33" s="112" t="s">
        <v>1092</v>
      </c>
      <c r="E33" s="332" t="str">
        <f>Total!E3147</f>
        <v>Edificació</v>
      </c>
      <c r="F33" s="96" t="str">
        <f>Total!F3147</f>
        <v>Control de Qualitat</v>
      </c>
      <c r="G33" s="112" t="str">
        <f>Total!G3147</f>
        <v>CQ. JJV-18286.2</v>
      </c>
      <c r="H33" s="112" t="str">
        <f>Total!H3147</f>
        <v>Contracte de serveis per a l'assistència tècnica de Control de Qualitat de les obres d'adequació i reforma dels ascensors dels edificis judicials de Gandesa, Amposta, Cervera, La Seu d'Urgell, Figueres i Puigcerdà.</v>
      </c>
      <c r="I33" s="157">
        <f>Total!I3147</f>
        <v>8675.9</v>
      </c>
    </row>
    <row r="34" spans="1:9" x14ac:dyDescent="0.2">
      <c r="A34" s="8">
        <v>33</v>
      </c>
      <c r="B34" s="101">
        <f>Total!B3148</f>
        <v>44645</v>
      </c>
      <c r="C34" s="101">
        <f>Total!C3148</f>
        <v>44664</v>
      </c>
      <c r="D34" s="112" t="s">
        <v>1092</v>
      </c>
      <c r="E34" s="332" t="str">
        <f>Total!E3148</f>
        <v>Edificació</v>
      </c>
      <c r="F34" s="96" t="str">
        <f>Total!F3148</f>
        <v>Control de Qualitat</v>
      </c>
      <c r="G34" s="112" t="str">
        <f>Total!G3148</f>
        <v>CQ. JJV-18286.3</v>
      </c>
      <c r="H34" s="112" t="str">
        <f>Total!H3148</f>
        <v>Contracte de serveis per a l'assistència tècnica de Control de Qualitat de les obres d'adequació i reforma d'ascensors d'edificis judicials de Sabadell, Arenys de Mar, Blanes, Sant Feliu de Guíxols, Gavà, Vic, Reus, Valls.</v>
      </c>
      <c r="I34" s="157">
        <f>Total!I3148</f>
        <v>22202.78</v>
      </c>
    </row>
    <row r="35" spans="1:9" x14ac:dyDescent="0.2">
      <c r="A35" s="8">
        <v>34</v>
      </c>
      <c r="B35" s="101">
        <f>Total!B3149</f>
        <v>44645</v>
      </c>
      <c r="C35" s="101">
        <f>Total!C3149</f>
        <v>44655</v>
      </c>
      <c r="D35" s="112" t="s">
        <v>1092</v>
      </c>
      <c r="E35" s="332" t="str">
        <f>Total!E3149</f>
        <v>Edificació</v>
      </c>
      <c r="F35" s="96" t="str">
        <f>Total!F3149</f>
        <v>Projectes i Direccions d'Obra</v>
      </c>
      <c r="G35" s="112" t="str">
        <f>Total!G3149</f>
        <v>AMPD. EDU-21902</v>
      </c>
      <c r="H35" s="112" t="str">
        <f>Total!H3149</f>
        <v>Acord Marc per a la contractació dels serveis de redacció de projectes executius i posterior direcció facultativa de les obres RAM d 'equipaments públics finançats amb fons REACT-EU. 4 LOTS.</v>
      </c>
      <c r="I35" s="157">
        <f>Total!I3149</f>
        <v>4583330.51</v>
      </c>
    </row>
    <row r="36" spans="1:9" x14ac:dyDescent="0.2">
      <c r="A36" s="8">
        <v>35</v>
      </c>
      <c r="B36" s="101">
        <f>Total!B3150</f>
        <v>44645</v>
      </c>
      <c r="C36" s="101">
        <f>Total!C3150</f>
        <v>44664</v>
      </c>
      <c r="D36" s="112" t="s">
        <v>1092</v>
      </c>
      <c r="E36" s="332" t="str">
        <f>Total!E3150</f>
        <v>Edificació</v>
      </c>
      <c r="F36" s="96" t="str">
        <f>Total!F3150</f>
        <v>Direccions d'Execució</v>
      </c>
      <c r="G36" s="112" t="str">
        <f>Total!G3150</f>
        <v>DE. JJV-18286.3</v>
      </c>
      <c r="H36" s="112" t="str">
        <f>Total!H3150</f>
        <v>Contracte de serveis per a l'assistència tècnica de direcció d'execució de les obres d'adequació i reforma d'ascensors d'edificis judicials de Sabadell, Arenys de Mar, Blanes, Sant Feliu de Guíxols, Gavà, Vic, Reus, Valls.</v>
      </c>
      <c r="I36" s="157">
        <f>Total!I3150</f>
        <v>64944</v>
      </c>
    </row>
    <row r="37" spans="1:9" x14ac:dyDescent="0.2">
      <c r="A37" s="8">
        <v>36</v>
      </c>
      <c r="B37" s="101">
        <f>Total!B3151</f>
        <v>44645</v>
      </c>
      <c r="C37" s="101">
        <f>Total!C3151</f>
        <v>44664</v>
      </c>
      <c r="D37" s="112" t="s">
        <v>1092</v>
      </c>
      <c r="E37" s="332" t="str">
        <f>Total!E3151</f>
        <v>Edificació</v>
      </c>
      <c r="F37" s="96" t="str">
        <f>Total!F3151</f>
        <v>Direccions d'Execució</v>
      </c>
      <c r="G37" s="112" t="str">
        <f>Total!G3151</f>
        <v>DE. JJV-18286.2</v>
      </c>
      <c r="H37" s="112" t="str">
        <f>Total!H3151</f>
        <v>Contracte de serveis per a l'assistència tècnica per la Direcció d'execució de les obres d'adequació i reforma dels ascensors dels e dificis judicials de Gandesa, Amposta, Cervera, La Seu d'Urgell, Figueres i Puigcerdà.</v>
      </c>
      <c r="I37" s="157">
        <f>Total!I3151</f>
        <v>22337.5</v>
      </c>
    </row>
    <row r="38" spans="1:9" x14ac:dyDescent="0.2">
      <c r="A38" s="8">
        <v>37</v>
      </c>
      <c r="B38" s="101">
        <f>Total!B3152</f>
        <v>44645</v>
      </c>
      <c r="C38" s="101">
        <f>Total!C3152</f>
        <v>44662</v>
      </c>
      <c r="D38" s="112" t="s">
        <v>1092</v>
      </c>
      <c r="E38" s="332" t="str">
        <f>Total!E3152</f>
        <v>Obra Civil</v>
      </c>
      <c r="F38" s="96" t="str">
        <f>Total!F3152</f>
        <v>Projectes</v>
      </c>
      <c r="G38" s="112" t="str">
        <f>Total!G3152</f>
        <v>EV. EA. VR-22216</v>
      </c>
      <c r="H38" s="112" t="str">
        <f>Total!H3152</f>
        <v>Contracte de serveis per a l'assistència tècnica per a la redacció del "Document Ambiental de l'avantprojecte de Millora i modernització de la comunitat de regants del marge esquerre del riu Muga."</v>
      </c>
      <c r="I38" s="157">
        <f>Total!I3152</f>
        <v>21132.400000000001</v>
      </c>
    </row>
    <row r="39" spans="1:9" x14ac:dyDescent="0.2">
      <c r="A39" s="8">
        <v>38</v>
      </c>
      <c r="B39" s="101">
        <f>Total!B3153</f>
        <v>44648</v>
      </c>
      <c r="C39" s="101">
        <f>Total!C3153</f>
        <v>44683</v>
      </c>
      <c r="D39" s="112" t="s">
        <v>1092</v>
      </c>
      <c r="E39" s="332" t="str">
        <f>Total!E3153</f>
        <v>Edificació</v>
      </c>
      <c r="F39" s="96" t="str">
        <f>Total!F3153</f>
        <v>Projectes i Direccions d'Obra</v>
      </c>
      <c r="G39" s="112" t="str">
        <f>Total!G3153</f>
        <v>PE+DO. JVX-21262</v>
      </c>
      <c r="H39" s="112" t="str">
        <f>Total!H3153</f>
        <v>Redacció del projecte bàsic i executiu i la posterior direcció de les obres de la reforma per a la substitució del sistema de climatització, ventilació i obtenció de la llicència d'activitat de l'edifici Judicial Ramon Folch de Girona.</v>
      </c>
      <c r="I39" s="157">
        <f>Total!I3153</f>
        <v>446077.44</v>
      </c>
    </row>
    <row r="40" spans="1:9" x14ac:dyDescent="0.2">
      <c r="A40" s="8">
        <v>39</v>
      </c>
      <c r="B40" s="101">
        <f>Total!B3154</f>
        <v>44648</v>
      </c>
      <c r="C40" s="101">
        <f>Total!C3154</f>
        <v>44676</v>
      </c>
      <c r="D40" s="112" t="s">
        <v>1092</v>
      </c>
      <c r="E40" s="332" t="str">
        <f>Total!E3154</f>
        <v>Obra Civil</v>
      </c>
      <c r="F40" s="96" t="str">
        <f>Total!F3154</f>
        <v>Projectes</v>
      </c>
      <c r="G40" s="112" t="str">
        <f>Total!G3154</f>
        <v>PC. PC-CIB-21094</v>
      </c>
      <c r="H40" s="112" t="str">
        <f>Total!H3154</f>
        <v>Redacció del projecte constructiu de pacificació de l'N-II al Mig i Alt Maresme del pk 650,950 al 655,200, del pk 655,750 al 661,000 i del pk 666,300 al 682,050. Sant Andreu de Llavaneres - Arenys de Mar, Areny de Mar-Canet de Mar, Calella-Tordera.</v>
      </c>
      <c r="I40" s="157">
        <f>Total!I3154</f>
        <v>526100</v>
      </c>
    </row>
    <row r="41" spans="1:9" x14ac:dyDescent="0.2">
      <c r="A41" s="8">
        <v>40</v>
      </c>
      <c r="B41" s="101">
        <f>Total!B3155</f>
        <v>44651</v>
      </c>
      <c r="C41" s="101">
        <f>Total!C3155</f>
        <v>44671</v>
      </c>
      <c r="D41" s="112" t="s">
        <v>1092</v>
      </c>
      <c r="E41" s="332" t="str">
        <f>Total!E3155</f>
        <v>Obra Civil</v>
      </c>
      <c r="F41" s="96" t="str">
        <f>Total!F3155</f>
        <v>Projectes</v>
      </c>
      <c r="G41" s="112" t="str">
        <f>Total!G3155</f>
        <v>EV. EX-CIE-20012</v>
      </c>
      <c r="H41" s="112" t="str">
        <f>Total!H3155</f>
        <v>Contracte de serveis per a l'assistència tècnica per a la redacció del "Document ambiental de la millora de les característiques superficials i reestudi de secció transversal a la C-12 del PK 5+000 al 13+200. Amposta-Tortosa".</v>
      </c>
      <c r="I41" s="157">
        <f>Total!I3155</f>
        <v>14960</v>
      </c>
    </row>
    <row r="42" spans="1:9" x14ac:dyDescent="0.2">
      <c r="A42" s="8">
        <v>41</v>
      </c>
      <c r="B42" s="101">
        <f>Total!B3156</f>
        <v>44651</v>
      </c>
      <c r="C42" s="101">
        <f>Total!C3156</f>
        <v>44671</v>
      </c>
      <c r="D42" s="112" t="s">
        <v>1092</v>
      </c>
      <c r="E42" s="332" t="str">
        <f>Total!E3156</f>
        <v>Obra Civil</v>
      </c>
      <c r="F42" s="96" t="str">
        <f>Total!F3156</f>
        <v>Projectes</v>
      </c>
      <c r="G42" s="112" t="str">
        <f>Total!G3156</f>
        <v>PC. PC-BNC-18128.1</v>
      </c>
      <c r="H42" s="112" t="str">
        <f>Total!H3156</f>
        <v>Contracte de serveis per a l'assistència tècnica per a la redacció del projecte constructiu. Via ciclista paral·lela a les BV-5301 i C-35. Vilalba Sasserra - Santa Maria de Palautordera - Sant Celoni. Vilalba Sasserra - Sant Celoni.</v>
      </c>
      <c r="I42" s="157">
        <f>Total!I3156</f>
        <v>99669</v>
      </c>
    </row>
    <row r="43" spans="1:9" x14ac:dyDescent="0.2">
      <c r="A43" s="8">
        <v>42</v>
      </c>
      <c r="B43" s="101">
        <f>Total!B3157</f>
        <v>44651</v>
      </c>
      <c r="C43" s="101">
        <f>Total!C3157</f>
        <v>44671</v>
      </c>
      <c r="D43" s="112" t="s">
        <v>1092</v>
      </c>
      <c r="E43" s="332" t="str">
        <f>Total!E3157</f>
        <v>Obra Civil</v>
      </c>
      <c r="F43" s="96" t="str">
        <f>Total!F3157</f>
        <v>Projectes</v>
      </c>
      <c r="G43" s="112" t="str">
        <f>Total!G3157</f>
        <v>EV. EX-CIE-20094</v>
      </c>
      <c r="H43" s="112" t="str">
        <f>Total!H3157</f>
        <v>Contracte de serveis per a l'assistència tècnica per a la redacció del "Document ambiental de la millora de les característiques superficials i reestudi de secció transversal a la C-12 del PK 79+600 al 86+100. Ascó-Flix".</v>
      </c>
      <c r="I43" s="157">
        <f>Total!I3157</f>
        <v>15450</v>
      </c>
    </row>
    <row r="44" spans="1:9" x14ac:dyDescent="0.2">
      <c r="A44" s="8">
        <v>43</v>
      </c>
      <c r="B44" s="101">
        <f>Total!B3158</f>
        <v>44651</v>
      </c>
      <c r="C44" s="101">
        <f>Total!C3158</f>
        <v>44671</v>
      </c>
      <c r="D44" s="112" t="s">
        <v>1092</v>
      </c>
      <c r="E44" s="332" t="str">
        <f>Total!E3158</f>
        <v>Obra Civil</v>
      </c>
      <c r="F44" s="96" t="str">
        <f>Total!F3158</f>
        <v>Projectes</v>
      </c>
      <c r="G44" s="112" t="str">
        <f>Total!G3158</f>
        <v>PC. PC-CGL-21039</v>
      </c>
      <c r="H44" s="112" t="str">
        <f>Total!H3158</f>
        <v>Contracte de serveis per a l'assistència tècnica per a la redacció del projecte constructiu. Instal·lació d'enllumenat i sistemes semafòrics als túnels de la Llosa del Cavall.</v>
      </c>
      <c r="I44" s="157">
        <f>Total!I3158</f>
        <v>31500</v>
      </c>
    </row>
    <row r="45" spans="1:9" x14ac:dyDescent="0.2">
      <c r="A45" s="8">
        <v>44</v>
      </c>
      <c r="B45" s="101">
        <f>Total!B3159</f>
        <v>44651</v>
      </c>
      <c r="C45" s="101">
        <f>Total!C3159</f>
        <v>44676</v>
      </c>
      <c r="D45" s="112" t="s">
        <v>1092</v>
      </c>
      <c r="E45" s="332" t="str">
        <f>Total!E3159</f>
        <v>Obra Civil</v>
      </c>
      <c r="F45" s="96" t="str">
        <f>Total!F3159</f>
        <v>Projectes</v>
      </c>
      <c r="G45" s="112" t="str">
        <f>Total!G3159</f>
        <v>ES-AG-03020.3.1</v>
      </c>
      <c r="H45" s="112" t="str">
        <f>Total!H3159</f>
        <v>Assistència tècnica per a la redacció de l'estudi d'auditoria de seguretat de les obres de millora general. Condicionament. Corredor Brugent - Ter. Variant d'Anglès. De la carretera C-63, PK 38+000, a la carretera N-141e, PK 101+150. Tram: Anglès.</v>
      </c>
      <c r="I45" s="157">
        <f>Total!I3159</f>
        <v>18565.52</v>
      </c>
    </row>
    <row r="46" spans="1:9" x14ac:dyDescent="0.2">
      <c r="I46" s="126">
        <f>SUM(I2:I45)</f>
        <v>10346527.449999999</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1"/>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Total!B3096</f>
        <v>44595</v>
      </c>
      <c r="C2" s="101">
        <f>Total!C3096</f>
        <v>44613</v>
      </c>
      <c r="D2" s="112" t="s">
        <v>1092</v>
      </c>
      <c r="E2" s="332" t="str">
        <f>Total!E3096</f>
        <v>Obra Civil</v>
      </c>
      <c r="F2" s="96" t="str">
        <f>Total!F3096</f>
        <v>Control de Qualitat</v>
      </c>
      <c r="G2" s="112" t="str">
        <f>Total!G3096</f>
        <v>CQ. MG-09041.1</v>
      </c>
      <c r="H2" s="112" t="str">
        <f>Total!H3096</f>
        <v>Contracte de serveis per a l'assistència tècnica de control de qualitat de les obres de "Formació de carril central de gir a l'accés a la urbanització els Pinars".</v>
      </c>
      <c r="I2" s="157">
        <f>Total!I3096</f>
        <v>7230.67</v>
      </c>
    </row>
    <row r="3" spans="1:9" x14ac:dyDescent="0.2">
      <c r="A3" s="8">
        <v>2</v>
      </c>
      <c r="B3" s="101">
        <f>Total!B3097</f>
        <v>44595</v>
      </c>
      <c r="C3" s="101">
        <f>Total!C3097</f>
        <v>44613</v>
      </c>
      <c r="D3" s="112" t="s">
        <v>1092</v>
      </c>
      <c r="E3" s="332" t="str">
        <f>Total!E3097</f>
        <v>Obra Civil</v>
      </c>
      <c r="F3" s="96" t="str">
        <f>Total!F3097</f>
        <v>Direccions d'Obra</v>
      </c>
      <c r="G3" s="112" t="str">
        <f>Total!G3097</f>
        <v>CSS. MG-09041.1</v>
      </c>
      <c r="H3" s="112" t="str">
        <f>Total!H3097</f>
        <v>Contracte de serveis per a l'assistència tècnica de coordinació de seguretat i salut de les obres de "Formació de carril central de gir a l'accés a la urbanització els Pinars".</v>
      </c>
      <c r="I3" s="157">
        <f>Total!I3097</f>
        <v>6253.2</v>
      </c>
    </row>
    <row r="4" spans="1:9" x14ac:dyDescent="0.2">
      <c r="A4" s="8">
        <v>3</v>
      </c>
      <c r="B4" s="101">
        <f>Total!B3098</f>
        <v>44595</v>
      </c>
      <c r="C4" s="101">
        <f>Total!C3098</f>
        <v>44613</v>
      </c>
      <c r="D4" s="112" t="s">
        <v>1092</v>
      </c>
      <c r="E4" s="332" t="str">
        <f>Total!E3098</f>
        <v>Obra Civil</v>
      </c>
      <c r="F4" s="96" t="str">
        <f>Total!F3098</f>
        <v>Direccions d'Obra</v>
      </c>
      <c r="G4" s="112" t="str">
        <f>Total!G3098</f>
        <v>DO. MG-09041.1</v>
      </c>
      <c r="H4" s="112" t="str">
        <f>Total!H3098</f>
        <v>Contracte de serveis per a la direcció de les obres de "Formació de carril central de gir a l'accés a la urbanització els Pinars".</v>
      </c>
      <c r="I4" s="157">
        <f>Total!I3098</f>
        <v>17890.43</v>
      </c>
    </row>
    <row r="5" spans="1:9" x14ac:dyDescent="0.2">
      <c r="A5" s="8">
        <v>4</v>
      </c>
      <c r="B5" s="101">
        <f>Total!B3099</f>
        <v>44599</v>
      </c>
      <c r="C5" s="101">
        <f>Total!C3099</f>
        <v>44627</v>
      </c>
      <c r="D5" s="112" t="s">
        <v>1092</v>
      </c>
      <c r="E5" s="332" t="str">
        <f>Total!E3099</f>
        <v>Edificació</v>
      </c>
      <c r="F5" s="96" t="str">
        <f>Total!F3099</f>
        <v>Projectes i Direccions d'Obra</v>
      </c>
      <c r="G5" s="112" t="str">
        <f>Total!G3099</f>
        <v>PE+DO INM-19247</v>
      </c>
      <c r="H5" s="112" t="str">
        <f>Total!H3099</f>
        <v>Concurs de projectes per a la redacció del projecte bàsic i executiu i la posterior direcció de les obres de nova construcció Institut Les Cinc Sènies a Mataró.</v>
      </c>
      <c r="I5" s="157">
        <f>Total!I3099</f>
        <v>655608.41</v>
      </c>
    </row>
    <row r="6" spans="1:9" x14ac:dyDescent="0.2">
      <c r="A6" s="8">
        <v>5</v>
      </c>
      <c r="B6" s="101">
        <f>Total!B3100</f>
        <v>44600</v>
      </c>
      <c r="C6" s="101">
        <f>Total!C3100</f>
        <v>44634</v>
      </c>
      <c r="D6" s="112" t="s">
        <v>1092</v>
      </c>
      <c r="E6" s="332" t="str">
        <f>Total!E3100</f>
        <v>Obra Civil</v>
      </c>
      <c r="F6" s="96" t="str">
        <f>Total!F3100</f>
        <v>Direccions d'Obra</v>
      </c>
      <c r="G6" s="112" t="str">
        <f>Total!G3100</f>
        <v>CSS. TM-00509.4F</v>
      </c>
      <c r="H6" s="112" t="str">
        <f>Total!H3100</f>
        <v>Assist. tèc. conjunta coord. S.S. de les obres dels projectes constructius del túnel i de les obres addicionals del tram Zona Universitària - Sagrera Meridiana de la línia 9 de Metro de Barcelona. Claus: TM-00509.4F1 i TM-00509.4F2 i modificats.</v>
      </c>
      <c r="I6" s="157">
        <f>Total!I3100</f>
        <v>930841.38</v>
      </c>
    </row>
    <row r="7" spans="1:9" x14ac:dyDescent="0.2">
      <c r="A7" s="8">
        <v>6</v>
      </c>
      <c r="B7" s="101">
        <f>Total!B3101</f>
        <v>44603</v>
      </c>
      <c r="C7" s="101">
        <f>Total!C3101</f>
        <v>44622</v>
      </c>
      <c r="D7" s="112" t="s">
        <v>1092</v>
      </c>
      <c r="E7" s="332" t="str">
        <f>Total!E3101</f>
        <v>Obra Civil</v>
      </c>
      <c r="F7" s="96" t="str">
        <f>Total!F3101</f>
        <v>Projectes</v>
      </c>
      <c r="G7" s="112" t="str">
        <f>Total!G3101</f>
        <v>PC. RL-08010-A1</v>
      </c>
      <c r="H7" s="112" t="str">
        <f>Total!H3101</f>
        <v>Serveis per a l'assistècnia tècnica per a la redacció del projecte constructiu de reforçament del ferm i millora del drenatge longitudinal a la C-462 del pk 50,905 al 68,810. Tuixén - Adraén (La Vansa i Fórnols).</v>
      </c>
      <c r="I7" s="157">
        <f>Total!I3101</f>
        <v>132100</v>
      </c>
    </row>
    <row r="8" spans="1:9" x14ac:dyDescent="0.2">
      <c r="A8" s="8">
        <v>7</v>
      </c>
      <c r="B8" s="101">
        <f>Total!B3102</f>
        <v>44603</v>
      </c>
      <c r="C8" s="101">
        <f>Total!C3102</f>
        <v>44620</v>
      </c>
      <c r="D8" s="112" t="s">
        <v>1092</v>
      </c>
      <c r="E8" s="332" t="str">
        <f>Total!E3102</f>
        <v>Obra Civil</v>
      </c>
      <c r="F8" s="96" t="str">
        <f>Total!F3102</f>
        <v>Projectes</v>
      </c>
      <c r="G8" s="112" t="str">
        <f>Total!G3102</f>
        <v>EV. EA. JC-19233</v>
      </c>
      <c r="H8" s="112" t="str">
        <f>Total!H3102</f>
        <v>Redacció del document ambiental del proj. constructiu modificat del col·lector de salmorres Conca de Llobregat. Ramal Cardener. Tram: Cardona-Castellgalí amb la incorporació de la canonada d'impulsió de l'aigua regenerada de l'EDAR de Manresa.</v>
      </c>
      <c r="I8" s="157">
        <f>Total!I3102</f>
        <v>28000</v>
      </c>
    </row>
    <row r="9" spans="1:9" x14ac:dyDescent="0.2">
      <c r="A9" s="8">
        <v>8</v>
      </c>
      <c r="B9" s="101">
        <f>Total!B3103</f>
        <v>44607</v>
      </c>
      <c r="C9" s="101">
        <f>Total!C3103</f>
        <v>44627</v>
      </c>
      <c r="D9" s="112" t="s">
        <v>1092</v>
      </c>
      <c r="E9" s="332" t="str">
        <f>Total!E3103</f>
        <v>Obra Civil</v>
      </c>
      <c r="F9" s="96" t="str">
        <f>Total!F3103</f>
        <v>Projectes</v>
      </c>
      <c r="G9" s="112" t="str">
        <f>Total!G3103</f>
        <v>PC-BNB-21099</v>
      </c>
      <c r="H9" s="112" t="str">
        <f>Total!H3103</f>
        <v>Contracte de serveis per a l'asssitència tècnica per a la redacció del projecte constructiu "Via ciclista a la C-58. Terrassa-Viladecavalls".</v>
      </c>
      <c r="I9" s="157">
        <f>Total!I3103</f>
        <v>81500</v>
      </c>
    </row>
    <row r="10" spans="1:9" x14ac:dyDescent="0.2">
      <c r="A10" s="8">
        <v>9</v>
      </c>
      <c r="B10" s="101">
        <f>Total!B3104</f>
        <v>44613</v>
      </c>
      <c r="C10" s="101">
        <f>Total!C3104</f>
        <v>44629</v>
      </c>
      <c r="D10" s="112" t="s">
        <v>1092</v>
      </c>
      <c r="E10" s="332" t="str">
        <f>Total!E3104</f>
        <v>Edificació</v>
      </c>
      <c r="F10" s="96" t="str">
        <f>Total!F3104</f>
        <v>Control de Qualitat</v>
      </c>
      <c r="G10" s="112" t="str">
        <f>Total!G3104</f>
        <v>CQ. RAM-22900</v>
      </c>
      <c r="H10" s="112" t="str">
        <f>Total!H3104</f>
        <v>Contracte de serveis de control de qualitat de les obres RAM d'equipaments públics del Departament d'Educació (2022). 4 LOTS.</v>
      </c>
      <c r="I10" s="157">
        <f>Total!I3104</f>
        <v>75612.289999999994</v>
      </c>
    </row>
    <row r="11" spans="1:9" x14ac:dyDescent="0.2">
      <c r="A11" s="8">
        <v>10</v>
      </c>
      <c r="B11" s="101">
        <f>Total!B3105</f>
        <v>44613</v>
      </c>
      <c r="C11" s="101">
        <f>Total!C3105</f>
        <v>44641</v>
      </c>
      <c r="D11" s="112" t="s">
        <v>1092</v>
      </c>
      <c r="E11" s="332" t="str">
        <f>Total!E3105</f>
        <v>Obra Civil</v>
      </c>
      <c r="F11" s="96" t="str">
        <f>Total!F3105</f>
        <v>Projectes</v>
      </c>
      <c r="G11" s="112" t="str">
        <f>Total!G3105</f>
        <v>PC. AL-02134.2-A1</v>
      </c>
      <c r="H11" s="112" t="str">
        <f>Total!H3105</f>
        <v>Contracte de serveis per a l'assistència tècnica per a la redacció del projecte constructiu "Condicionament del pas de Comiols a la C-1412b. Artesa de Segre (Folquer) - Isona i Conca Dellà".</v>
      </c>
      <c r="I11" s="157">
        <f>Total!I3105</f>
        <v>250840</v>
      </c>
    </row>
    <row r="12" spans="1:9" x14ac:dyDescent="0.2">
      <c r="A12" s="8">
        <v>11</v>
      </c>
      <c r="B12" s="101">
        <f>Total!B3106</f>
        <v>44614</v>
      </c>
      <c r="C12" s="101">
        <f>Total!C3106</f>
        <v>44634</v>
      </c>
      <c r="D12" s="112" t="s">
        <v>1092</v>
      </c>
      <c r="E12" s="332" t="str">
        <f>Total!E3106</f>
        <v>Obra Civil</v>
      </c>
      <c r="F12" s="96" t="str">
        <f>Total!F3106</f>
        <v>Projectes</v>
      </c>
      <c r="G12" s="112" t="str">
        <f>Total!G3106</f>
        <v>EV. E4-MA-22900</v>
      </c>
      <c r="H12" s="112" t="str">
        <f>Total!H3106</f>
        <v>Assistència tècnica per a l'estudi i seguiment de la població de xoriguer petit de la Plana de Lleida, anàlisi de l'ocupació de torres i caixes niu. Mesures correctores i compensatòries del regadiu del sistema Segarra-Garrigues. Campanya 2022-2023.</v>
      </c>
      <c r="I12" s="157">
        <f>Total!I3106</f>
        <v>25591.94</v>
      </c>
    </row>
    <row r="13" spans="1:9" x14ac:dyDescent="0.2">
      <c r="A13" s="8">
        <v>12</v>
      </c>
      <c r="B13" s="101">
        <f>Total!B3107</f>
        <v>44614</v>
      </c>
      <c r="C13" s="101">
        <f>Total!C3107</f>
        <v>44634</v>
      </c>
      <c r="D13" s="112" t="s">
        <v>1092</v>
      </c>
      <c r="E13" s="332" t="str">
        <f>Total!E3107</f>
        <v>Obra Civil</v>
      </c>
      <c r="F13" s="96" t="str">
        <f>Total!F3107</f>
        <v>Projectes</v>
      </c>
      <c r="G13" s="112" t="str">
        <f>Total!G3107</f>
        <v>EV. E3-MA-22900</v>
      </c>
      <c r="H13" s="112" t="str">
        <f>Total!H3107</f>
        <v>Serveis per a l'estudi i seguiment. Cens de mascles de sisó en Àrees pilot dels secans orientals i en els regs històrics del Canalet de Tàrrega. Mesures correctores i compensatòries del regadiu del sistema Segarra-Garrigues. Campanya 2022-2023.</v>
      </c>
      <c r="I13" s="157">
        <f>Total!I3107</f>
        <v>23580.2</v>
      </c>
    </row>
    <row r="14" spans="1:9" x14ac:dyDescent="0.2">
      <c r="A14" s="8">
        <v>13</v>
      </c>
      <c r="B14" s="101">
        <f>Total!B3108</f>
        <v>44614</v>
      </c>
      <c r="C14" s="101">
        <f>Total!C3108</f>
        <v>44634</v>
      </c>
      <c r="D14" s="112" t="s">
        <v>1092</v>
      </c>
      <c r="E14" s="332" t="str">
        <f>Total!E3108</f>
        <v>Obra Civil</v>
      </c>
      <c r="F14" s="96" t="str">
        <f>Total!F3108</f>
        <v>Projectes</v>
      </c>
      <c r="G14" s="112" t="str">
        <f>Total!G3108</f>
        <v>EV. E2-MA-22900</v>
      </c>
      <c r="H14" s="112" t="str">
        <f>Total!H3108</f>
        <v>Contracte de serveis per a l'assistència tècnica pel seguiment de les finques gestionades als secans Occidentals. Mesures correctores i compensatòries del regadiu del sistema Segarra-Garrigues. Campanya 2022-2023.</v>
      </c>
      <c r="I14" s="157">
        <f>Total!I3108</f>
        <v>23480.07</v>
      </c>
    </row>
    <row r="15" spans="1:9" x14ac:dyDescent="0.2">
      <c r="A15" s="8">
        <v>14</v>
      </c>
      <c r="B15" s="101">
        <f>Total!B3109</f>
        <v>44614</v>
      </c>
      <c r="C15" s="101">
        <f>Total!C3109</f>
        <v>44634</v>
      </c>
      <c r="D15" s="112" t="s">
        <v>1092</v>
      </c>
      <c r="E15" s="332" t="str">
        <f>Total!E3109</f>
        <v>Obra Civil</v>
      </c>
      <c r="F15" s="96" t="str">
        <f>Total!F3109</f>
        <v>Projectes</v>
      </c>
      <c r="G15" s="112" t="str">
        <f>Total!G3109</f>
        <v>EV. E5-MA-22900</v>
      </c>
      <c r="H15" s="112" t="str">
        <f>Total!H3109</f>
        <v>Contracte de serveis d'estudi i seguiment de la població d'esparver cendrós a la Plana de Lleida, localització de nius. Mesures correctores i compensatòries del regadiu del sistema Segarra-Garrigues. Campanya 2022-2023.</v>
      </c>
      <c r="I15" s="157">
        <f>Total!I3109</f>
        <v>35875.089999999997</v>
      </c>
    </row>
    <row r="16" spans="1:9" x14ac:dyDescent="0.2">
      <c r="A16" s="8">
        <v>15</v>
      </c>
      <c r="B16" s="101">
        <f>Total!B3110</f>
        <v>44614</v>
      </c>
      <c r="C16" s="101">
        <f>Total!C3110</f>
        <v>44634</v>
      </c>
      <c r="D16" s="112" t="s">
        <v>1092</v>
      </c>
      <c r="E16" s="332" t="str">
        <f>Total!E3110</f>
        <v>Obra Civil</v>
      </c>
      <c r="F16" s="96" t="str">
        <f>Total!F3110</f>
        <v>Projectes</v>
      </c>
      <c r="G16" s="112" t="str">
        <f>Total!G3110</f>
        <v>EV. E6-MA-22900</v>
      </c>
      <c r="H16" s="112" t="str">
        <f>Total!H3110</f>
        <v>Contracte de serveis per a l'assistència tècnica per la planificació de la gestió la campanya 2022-2023 en les finques de compensació de l'àmbit del Regadiu Segarra-Garrigues.</v>
      </c>
      <c r="I16" s="157">
        <f>Total!I3110</f>
        <v>25827.96</v>
      </c>
    </row>
    <row r="17" spans="1:9" x14ac:dyDescent="0.2">
      <c r="A17" s="8">
        <v>16</v>
      </c>
      <c r="B17" s="101">
        <f>Total!B3111</f>
        <v>44614</v>
      </c>
      <c r="C17" s="101">
        <f>Total!C3111</f>
        <v>44634</v>
      </c>
      <c r="D17" s="112" t="s">
        <v>1092</v>
      </c>
      <c r="E17" s="332" t="str">
        <f>Total!E3111</f>
        <v>Obra Civil</v>
      </c>
      <c r="F17" s="96" t="str">
        <f>Total!F3111</f>
        <v>Projectes</v>
      </c>
      <c r="G17" s="112" t="str">
        <f>Total!G3111</f>
        <v>EV. E1-MA-22900</v>
      </c>
      <c r="H17" s="112" t="str">
        <f>Total!H3111</f>
        <v>Contracte de serveis de redacció dels treballs d'assistència tècnica pel seguiment de les finques gestionades als Secans Orientals. Mesures correctores i compensatòries del regadiu del sistema Segarra-Garrigues. Campanya 2022-2023.</v>
      </c>
      <c r="I17" s="157">
        <f>Total!I3111</f>
        <v>42861.42</v>
      </c>
    </row>
    <row r="18" spans="1:9" x14ac:dyDescent="0.2">
      <c r="A18" s="8">
        <v>17</v>
      </c>
      <c r="B18" s="101">
        <f>Total!B3112</f>
        <v>44615</v>
      </c>
      <c r="C18" s="101">
        <f>Total!C3112</f>
        <v>44641</v>
      </c>
      <c r="D18" s="112" t="s">
        <v>1092</v>
      </c>
      <c r="E18" s="332" t="str">
        <f>Total!E3112</f>
        <v>Obra Civil</v>
      </c>
      <c r="F18" s="96" t="str">
        <f>Total!F3112</f>
        <v>Projectes</v>
      </c>
      <c r="G18" s="112" t="str">
        <f>Total!G3112</f>
        <v>PC. NG-02083</v>
      </c>
      <c r="H18" s="112" t="str">
        <f>Total!H3112</f>
        <v>Contracte de serveis per a l'assistència tècnica per a la redacció del projecte constructiu de variants de les Preses i d'Olot. Des del PK 172+200 de la C-37 fins a la connexió amb l'A-26. La Vall d'en Bas - les Preses - Olot.</v>
      </c>
      <c r="I18" s="157">
        <f>Total!I3112</f>
        <v>2193885</v>
      </c>
    </row>
    <row r="19" spans="1:9" x14ac:dyDescent="0.2">
      <c r="A19" s="8">
        <v>18</v>
      </c>
      <c r="B19" s="101">
        <f>Total!B3113</f>
        <v>44617</v>
      </c>
      <c r="C19" s="101">
        <f>Total!C3113</f>
        <v>44634</v>
      </c>
      <c r="D19" s="112" t="s">
        <v>1092</v>
      </c>
      <c r="E19" s="332" t="str">
        <f>Total!E3113</f>
        <v>Obra Civil</v>
      </c>
      <c r="F19" s="96" t="str">
        <f>Total!F3113</f>
        <v>Projectes</v>
      </c>
      <c r="G19" s="112" t="str">
        <f>Total!G3113</f>
        <v>PC. PC-CFB-21040</v>
      </c>
      <c r="H19" s="112" t="str">
        <f>Total!H3113</f>
        <v>Contracte de serveis per a l'assistècnia tècnica per a la redacció del projecte constructiu "Reforçament del ferm i obres complementàries a la C-154 del PK 11+795 al 14+136. Sant Bartomeu del Grau".</v>
      </c>
      <c r="I19" s="157">
        <f>Total!I3113</f>
        <v>38400</v>
      </c>
    </row>
    <row r="20" spans="1:9" x14ac:dyDescent="0.2">
      <c r="A20" s="8">
        <v>19</v>
      </c>
      <c r="B20" s="101">
        <f>Total!B3114</f>
        <v>44620</v>
      </c>
      <c r="C20" s="101">
        <f>Total!C3114</f>
        <v>44650</v>
      </c>
      <c r="D20" s="112" t="s">
        <v>1092</v>
      </c>
      <c r="E20" s="332" t="str">
        <f>Total!E3114</f>
        <v>Edificació</v>
      </c>
      <c r="F20" s="96" t="str">
        <f>Total!F3114</f>
        <v>Projectes i Direccions d'Obra</v>
      </c>
      <c r="G20" s="112" t="str">
        <f>Total!G3114</f>
        <v>PE+DO. CAP-19286</v>
      </c>
      <c r="H20" s="112" t="str">
        <f>Total!H3114</f>
        <v>Concurs de projectes per a la redacció del projecte bàsic i executiu i la posterior direcció de les obres de reparació i millora de l'envolvent del Centre d'Atenció Primària Manso, de Barcelona.</v>
      </c>
      <c r="I20" s="157">
        <f>Total!I3114</f>
        <v>212956.04</v>
      </c>
    </row>
    <row r="21" spans="1:9" x14ac:dyDescent="0.2">
      <c r="I21" s="126">
        <f>SUM(I2:I20)</f>
        <v>4808334.0999999996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4"/>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Total!B3084</f>
        <v>44565</v>
      </c>
      <c r="C2" s="101">
        <f>Total!C3084</f>
        <v>44592</v>
      </c>
      <c r="D2" s="112" t="s">
        <v>1092</v>
      </c>
      <c r="E2" s="332" t="str">
        <f>Total!E3084</f>
        <v>Edificació</v>
      </c>
      <c r="F2" s="96" t="str">
        <f>Total!F3084</f>
        <v>Projectes</v>
      </c>
      <c r="G2" s="112" t="str">
        <f>Total!G3084</f>
        <v>PC.MIB-21014</v>
      </c>
      <c r="H2" s="112" t="str">
        <f>Total!H3084</f>
        <v>Contracte de serveis per a l'assistència tècnica per a la redacció del projecte constructiu "Nova cotxera de la Línia 5 dels FMB a Can Boixeres. L'Hospitalet de Llobregat".</v>
      </c>
      <c r="I2" s="157">
        <f>Total!I3084</f>
        <v>321019</v>
      </c>
    </row>
    <row r="3" spans="1:9" x14ac:dyDescent="0.2">
      <c r="A3" s="8">
        <v>2</v>
      </c>
      <c r="B3" s="101">
        <f>Total!B3085</f>
        <v>44571</v>
      </c>
      <c r="C3" s="101">
        <f>Total!C3085</f>
        <v>44587</v>
      </c>
      <c r="D3" s="112" t="s">
        <v>1092</v>
      </c>
      <c r="E3" s="332" t="str">
        <f>Total!E3085</f>
        <v>Obra Civil</v>
      </c>
      <c r="F3" s="96" t="str">
        <f>Total!F3085</f>
        <v>Projectes</v>
      </c>
      <c r="G3" s="112" t="str">
        <f>Total!G3085</f>
        <v>EP. EP56</v>
      </c>
      <c r="H3" s="112" t="str">
        <f>Total!H3085</f>
        <v>Contracte de serveis per a l'assistència tècnica per a la realització dels treballs de topografia i de replanteig de projectes corresponents als estudis i projectes d'obra civil i d'edificació.</v>
      </c>
      <c r="I3" s="157">
        <f>Total!I3085</f>
        <v>100000</v>
      </c>
    </row>
    <row r="4" spans="1:9" x14ac:dyDescent="0.2">
      <c r="A4" s="8">
        <v>3</v>
      </c>
      <c r="B4" s="101">
        <f>Total!B3086</f>
        <v>44573</v>
      </c>
      <c r="C4" s="101">
        <f>Total!C3086</f>
        <v>44592</v>
      </c>
      <c r="D4" s="112" t="s">
        <v>1092</v>
      </c>
      <c r="E4" s="332" t="str">
        <f>Total!E3086</f>
        <v>Edificació</v>
      </c>
      <c r="F4" s="96" t="str">
        <f>Total!F3086</f>
        <v>Projectes</v>
      </c>
      <c r="G4" s="112" t="str">
        <f>Total!G3086</f>
        <v>EG. EG29</v>
      </c>
      <c r="H4" s="112" t="str">
        <f>Total!H3086</f>
        <v>Contracte de serveis per a l'assistència tècnica per a la realització dels informes preliminars dels emplaçaments dels projectes d'edificació encarregats pel Servei Català de Salut. Clau: EG29</v>
      </c>
      <c r="I4" s="157">
        <f>Total!I3086</f>
        <v>56000</v>
      </c>
    </row>
    <row r="5" spans="1:9" x14ac:dyDescent="0.2">
      <c r="A5" s="8">
        <v>4</v>
      </c>
      <c r="B5" s="101">
        <f>Total!B3087</f>
        <v>44573</v>
      </c>
      <c r="C5" s="101">
        <f>Total!C3087</f>
        <v>44599</v>
      </c>
      <c r="D5" s="112" t="s">
        <v>1092</v>
      </c>
      <c r="E5" s="332" t="str">
        <f>Total!E3087</f>
        <v>Obra Civil</v>
      </c>
      <c r="F5" s="96" t="str">
        <f>Total!F3087</f>
        <v>Control de Qualitat</v>
      </c>
      <c r="G5" s="112" t="str">
        <f>Total!G3087</f>
        <v>CQ. TF-11225.F1.1</v>
      </c>
      <c r="H5" s="112" t="str">
        <f>Total!H3087</f>
        <v>Contracte de serveis per a l'assistència tècnica de C.Q. de les obres del projecte constructiu. Perllongament de la línia Llobregat - Anoia dels FGC a Barcelona. Plaça Espanya - Gràcia. Infraestructura. Serveis afectats 1a fase. Clau: TF-11225.F1.1</v>
      </c>
      <c r="I5" s="157">
        <f>Total!I3087</f>
        <v>106460.79</v>
      </c>
    </row>
    <row r="6" spans="1:9" x14ac:dyDescent="0.2">
      <c r="A6" s="8">
        <v>5</v>
      </c>
      <c r="B6" s="101">
        <f>Total!B3088</f>
        <v>44573</v>
      </c>
      <c r="C6" s="101">
        <f>Total!C3088</f>
        <v>44599</v>
      </c>
      <c r="D6" s="112" t="s">
        <v>1092</v>
      </c>
      <c r="E6" s="332" t="str">
        <f>Total!E3088</f>
        <v>Obra Civil</v>
      </c>
      <c r="F6" s="96" t="str">
        <f>Total!F3088</f>
        <v>Direccions d'Obra</v>
      </c>
      <c r="G6" s="112" t="str">
        <f>Total!G3088</f>
        <v>CSS. TF-11225.F1.1</v>
      </c>
      <c r="H6" s="112" t="str">
        <f>Total!H3088</f>
        <v>Contracte de serveis per a l'assistència tècnica de C.S.S. de les obres del projecte constructiu. Perllongament de la línia Llobregat - Anoia dels FGC a Barcelona. Plaça Espanya - Gràcia. Infraestructura. Serveis afectats 1a fase. Clau: TF-11225.F1.1</v>
      </c>
      <c r="I6" s="157">
        <f>Total!I3088</f>
        <v>35666.410000000003</v>
      </c>
    </row>
    <row r="7" spans="1:9" x14ac:dyDescent="0.2">
      <c r="A7" s="8">
        <v>6</v>
      </c>
      <c r="B7" s="101">
        <f>Total!B3089</f>
        <v>44581</v>
      </c>
      <c r="C7" s="101">
        <f>Total!C3089</f>
        <v>44599</v>
      </c>
      <c r="D7" s="112" t="s">
        <v>1092</v>
      </c>
      <c r="E7" s="332" t="str">
        <f>Total!E3089</f>
        <v>Obra Civil</v>
      </c>
      <c r="F7" s="96" t="str">
        <f>Total!F3089</f>
        <v>Direccions d'Obra</v>
      </c>
      <c r="G7" s="112" t="str">
        <f>Total!G3089</f>
        <v>DO.R0-19272</v>
      </c>
      <c r="H7" s="112" t="str">
        <f>Total!H3089</f>
        <v>Contracte de serveis per a la direcció de les obres del projecte constructiu d'instal·lació fotovoltaica als Tallers de la Zona Franca de la L9.</v>
      </c>
      <c r="I7" s="157">
        <f>Total!I3089</f>
        <v>148948.91</v>
      </c>
    </row>
    <row r="8" spans="1:9" x14ac:dyDescent="0.2">
      <c r="A8" s="8">
        <v>7</v>
      </c>
      <c r="B8" s="101">
        <f>Total!B3090</f>
        <v>44581</v>
      </c>
      <c r="C8" s="101">
        <f>Total!C3090</f>
        <v>44599</v>
      </c>
      <c r="D8" s="112" t="s">
        <v>1092</v>
      </c>
      <c r="E8" s="332" t="str">
        <f>Total!E3090</f>
        <v>Obra Civil</v>
      </c>
      <c r="F8" s="96" t="str">
        <f>Total!F3090</f>
        <v>Control de Qualitat</v>
      </c>
      <c r="G8" s="112" t="str">
        <f>Total!G3090</f>
        <v>CQ.R0-19272</v>
      </c>
      <c r="H8" s="112" t="str">
        <f>Total!H3090</f>
        <v>Contracte de serveis per a l'assistència tècnica per al control de qualitat de les obres del projecte constructiu d'instal·lació fotovoltaica als Tallers de la Zona Franca de la L9.</v>
      </c>
      <c r="I8" s="157">
        <f>Total!I3090</f>
        <v>33773.9</v>
      </c>
    </row>
    <row r="9" spans="1:9" x14ac:dyDescent="0.2">
      <c r="A9" s="8">
        <v>8</v>
      </c>
      <c r="B9" s="101">
        <f>Total!B3091</f>
        <v>44581</v>
      </c>
      <c r="C9" s="101">
        <f>Total!C3091</f>
        <v>44599</v>
      </c>
      <c r="D9" s="112" t="s">
        <v>1092</v>
      </c>
      <c r="E9" s="332" t="str">
        <f>Total!E3091</f>
        <v>Obra Civil</v>
      </c>
      <c r="F9" s="96" t="str">
        <f>Total!F3091</f>
        <v>Direccions d'Obra</v>
      </c>
      <c r="G9" s="112" t="str">
        <f>Total!G3091</f>
        <v>CSS.R0-19272</v>
      </c>
      <c r="H9" s="112" t="str">
        <f>Total!H3091</f>
        <v>Contracte de serveis per a l'assistència tècnica de coordinació de seguretat i salut de les obres del projecte constructiu d'instal·lació fotovoltaica als Tallers de la Zona Franca de l'L9.</v>
      </c>
      <c r="I9" s="157">
        <f>Total!I3091</f>
        <v>8618.6200000000008</v>
      </c>
    </row>
    <row r="10" spans="1:9" x14ac:dyDescent="0.2">
      <c r="A10" s="8">
        <v>9</v>
      </c>
      <c r="B10" s="101">
        <f>Total!B3092</f>
        <v>44582</v>
      </c>
      <c r="C10" s="101">
        <f>Total!C3092</f>
        <v>44599</v>
      </c>
      <c r="D10" s="112" t="s">
        <v>1092</v>
      </c>
      <c r="E10" s="332" t="str">
        <f>Total!E3092</f>
        <v>Edificació</v>
      </c>
      <c r="F10" s="96" t="str">
        <f>Total!F3092</f>
        <v>Projectes i Direccions Facultatives</v>
      </c>
      <c r="G10" s="112" t="str">
        <f>Total!G3092</f>
        <v>PE+DF ECO-21265</v>
      </c>
      <c r="H10" s="112" t="str">
        <f>Total!H3092</f>
        <v>Contracte de serveis per a la redacció del projecte executiu i l'estudi de seguretat i salut i la posterior direcció facultativa de les obres de reparació dels tancaments exteriors i llindes del Vapor Ros de Terrassa.</v>
      </c>
      <c r="I10" s="157">
        <f>Total!I3092</f>
        <v>43388.42</v>
      </c>
    </row>
    <row r="11" spans="1:9" x14ac:dyDescent="0.2">
      <c r="A11" s="8">
        <v>10</v>
      </c>
      <c r="B11" s="101">
        <f>Total!B3093</f>
        <v>44589</v>
      </c>
      <c r="C11" s="101">
        <f>Total!C3093</f>
        <v>44606</v>
      </c>
      <c r="D11" s="112" t="s">
        <v>1092</v>
      </c>
      <c r="E11" s="332" t="str">
        <f>Total!E3093</f>
        <v>Obra Civil</v>
      </c>
      <c r="F11" s="96" t="str">
        <f>Total!F3093</f>
        <v>Direccions d'Obra</v>
      </c>
      <c r="G11" s="112" t="str">
        <f>Total!G3093</f>
        <v>DO. MG-15001-AA</v>
      </c>
      <c r="H11" s="112" t="str">
        <f>Total!H3093</f>
        <v>Contracte de serveis per a la direcció de les obres de millora local. Ordenació d'accessos a la carretera GI-673, del pk 1,700 al 2,600. Tram: Caldes de Malavella.</v>
      </c>
      <c r="I11" s="157">
        <f>Total!I3093</f>
        <v>36750.83</v>
      </c>
    </row>
    <row r="12" spans="1:9" x14ac:dyDescent="0.2">
      <c r="A12" s="8">
        <v>11</v>
      </c>
      <c r="B12" s="101">
        <f>Total!B3094</f>
        <v>44589</v>
      </c>
      <c r="C12" s="101">
        <f>Total!C3094</f>
        <v>44606</v>
      </c>
      <c r="D12" s="112" t="s">
        <v>1092</v>
      </c>
      <c r="E12" s="332" t="str">
        <f>Total!E3094</f>
        <v>Obra Civil</v>
      </c>
      <c r="F12" s="96" t="str">
        <f>Total!F3094</f>
        <v>Control de Qualitat</v>
      </c>
      <c r="G12" s="112" t="str">
        <f>Total!G3094</f>
        <v>CQ. MG-15001-AA</v>
      </c>
      <c r="H12" s="112" t="str">
        <f>Total!H3094</f>
        <v>Contracte de serveis per a l'assistència tècnica de control de qualitat de les obres de millora local. Ordenació d'accessos a la carretera GI-673, del pk 1,700 al 2,600. Tram: Caldes de Malavella.</v>
      </c>
      <c r="I12" s="157">
        <f>Total!I3094</f>
        <v>8233.42</v>
      </c>
    </row>
    <row r="13" spans="1:9" x14ac:dyDescent="0.2">
      <c r="A13" s="8">
        <v>12</v>
      </c>
      <c r="B13" s="101">
        <f>Total!B3095</f>
        <v>44589</v>
      </c>
      <c r="C13" s="101">
        <f>Total!C3095</f>
        <v>44606</v>
      </c>
      <c r="D13" s="112" t="s">
        <v>1092</v>
      </c>
      <c r="E13" s="332" t="str">
        <f>Total!E3095</f>
        <v>Obra Civil</v>
      </c>
      <c r="F13" s="96" t="str">
        <f>Total!F3095</f>
        <v>Direccions d'Obra</v>
      </c>
      <c r="G13" s="112" t="str">
        <f>Total!G3095</f>
        <v>CSS. MG-15001-AA</v>
      </c>
      <c r="H13" s="112" t="str">
        <f>Total!H3095</f>
        <v>Contracte de serveis per a l'assistència tècnica de coordinació de seguretat i salut de les obres de millora local. Ordenació d'accessos a la carretera GI-673, del pk 1,700 al 2,600. Tram: Caldes de Malavella. Lot 1 + Lot 2.</v>
      </c>
      <c r="I13" s="157">
        <f>Total!I3095</f>
        <v>9598.42</v>
      </c>
    </row>
    <row r="14" spans="1:9" x14ac:dyDescent="0.2">
      <c r="I14" s="126">
        <f>SUM(I2:I13)</f>
        <v>908458.7200000002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38"/>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Total!B3048</f>
        <v>44533</v>
      </c>
      <c r="C2" s="101">
        <f>Total!C3048</f>
        <v>44566</v>
      </c>
      <c r="D2" s="112" t="s">
        <v>1092</v>
      </c>
      <c r="E2" s="332" t="str">
        <f>Total!E3048</f>
        <v>Obra Civil</v>
      </c>
      <c r="F2" s="96" t="str">
        <f>Total!F3048</f>
        <v>Direccions d'Obra</v>
      </c>
      <c r="G2" s="112" t="str">
        <f>Total!G3048</f>
        <v>CSS. PC-CMT-17002-A1</v>
      </c>
      <c r="H2" s="112" t="str">
        <f>Total!H3048</f>
        <v>Contracte de serveis per a l'assistència tècnica de coordinació de seguretat i salut de les obres del projecte de construcció de cunetes trepitjables a la C-241d. Montblanc - Santa Coloma de Queralt. Lot 1 + Lot 2. Clau: PC-CMT-17002-A1</v>
      </c>
      <c r="I2" s="157">
        <f>Total!I3048</f>
        <v>10654.25</v>
      </c>
    </row>
    <row r="3" spans="1:9" x14ac:dyDescent="0.2">
      <c r="A3" s="8">
        <v>2</v>
      </c>
      <c r="B3" s="101">
        <f>Total!B3049</f>
        <v>44533</v>
      </c>
      <c r="C3" s="101">
        <f>Total!C3049</f>
        <v>44566</v>
      </c>
      <c r="D3" s="112" t="s">
        <v>1092</v>
      </c>
      <c r="E3" s="332" t="str">
        <f>Total!E3049</f>
        <v>Obra Civil</v>
      </c>
      <c r="F3" s="96" t="str">
        <f>Total!F3049</f>
        <v>Control de Qualitat</v>
      </c>
      <c r="G3" s="112" t="str">
        <f>Total!G3049</f>
        <v>CQ. PC-CMT-17002-A1</v>
      </c>
      <c r="H3" s="112" t="str">
        <f>Total!H3049</f>
        <v>Contracte de serveis per a l'assistència tècnica de control de qualitat de les obres de construcció de cunetes trepitjables a la C-241d. Montblanc - Santa Coloma de Queralt. Clau: PC-CMT-17002-A1</v>
      </c>
      <c r="I3" s="157">
        <f>Total!I3049</f>
        <v>21305.99</v>
      </c>
    </row>
    <row r="4" spans="1:9" x14ac:dyDescent="0.2">
      <c r="A4" s="8">
        <v>3</v>
      </c>
      <c r="B4" s="101">
        <f>Total!B3050</f>
        <v>44533</v>
      </c>
      <c r="C4" s="101">
        <f>Total!C3050</f>
        <v>44566</v>
      </c>
      <c r="D4" s="112" t="s">
        <v>1092</v>
      </c>
      <c r="E4" s="332" t="str">
        <f>Total!E3050</f>
        <v>Obra Civil</v>
      </c>
      <c r="F4" s="96" t="str">
        <f>Total!F3050</f>
        <v xml:space="preserve">Projectes </v>
      </c>
      <c r="G4" s="112" t="str">
        <f>Total!G3050</f>
        <v>PC. PC-ANG-18027</v>
      </c>
      <c r="H4" s="112" t="str">
        <f>Total!H3050</f>
        <v>Contracte de serveis per a l'assistència tècnica per a la redacció del projecte constructiu del corredor BRCat Girona - Salt. Clau: PC-ANG-18027</v>
      </c>
      <c r="I4" s="157">
        <f>Total!I3050</f>
        <v>84190</v>
      </c>
    </row>
    <row r="5" spans="1:9" x14ac:dyDescent="0.2">
      <c r="A5" s="8">
        <v>4</v>
      </c>
      <c r="B5" s="101">
        <f>Total!B3051</f>
        <v>44533</v>
      </c>
      <c r="C5" s="101">
        <f>Total!C3051</f>
        <v>44566</v>
      </c>
      <c r="D5" s="112" t="s">
        <v>1092</v>
      </c>
      <c r="E5" s="332" t="str">
        <f>Total!E3051</f>
        <v>Obra Civil</v>
      </c>
      <c r="F5" s="96" t="str">
        <f>Total!F3051</f>
        <v>Direccions d'Obra</v>
      </c>
      <c r="G5" s="112" t="str">
        <f>Total!G3051</f>
        <v>DO. PC-CMT-17002-A1</v>
      </c>
      <c r="H5" s="112" t="str">
        <f>Total!H3051</f>
        <v>Contracte de serveis per a la direcció de les obres de construcció de cunetes trepitjables a la C-241d. Montblanc - Santa Coloma de Queralt. Clau: PC-CMT-17002-A1</v>
      </c>
      <c r="I5" s="157">
        <f>Total!I3051</f>
        <v>70540.3</v>
      </c>
    </row>
    <row r="6" spans="1:9" x14ac:dyDescent="0.2">
      <c r="A6" s="8">
        <v>5</v>
      </c>
      <c r="B6" s="101">
        <f>Total!B3052</f>
        <v>44537</v>
      </c>
      <c r="C6" s="101">
        <f>Total!C3052</f>
        <v>44564</v>
      </c>
      <c r="D6" s="112" t="s">
        <v>1092</v>
      </c>
      <c r="E6" s="332" t="str">
        <f>Total!E3052</f>
        <v>Edificació</v>
      </c>
      <c r="F6" s="96" t="str">
        <f>Total!F3052</f>
        <v>Projectes i Direccions Facultatives</v>
      </c>
      <c r="G6" s="112" t="str">
        <f>Total!G3052</f>
        <v>AMPD. RAM-22900</v>
      </c>
      <c r="H6" s="112" t="str">
        <f>Total!H3052</f>
        <v>Acord marc per a la contractació dels serveis de redacció de projectes executius i els estudis de seguretat i salut i posterior direcció facultativa de les obres RAM 2022 d'equipaments públics del Departament d'Educació. Clau: RAM-22900, 2 Lots.</v>
      </c>
      <c r="I6" s="157">
        <f>Total!I3052</f>
        <v>1477951.6</v>
      </c>
    </row>
    <row r="7" spans="1:9" x14ac:dyDescent="0.2">
      <c r="A7" s="8">
        <v>6</v>
      </c>
      <c r="B7" s="101">
        <f>Total!B3053</f>
        <v>44539</v>
      </c>
      <c r="C7" s="101">
        <f>Total!C3053</f>
        <v>44571</v>
      </c>
      <c r="D7" s="112" t="s">
        <v>1092</v>
      </c>
      <c r="E7" s="332" t="str">
        <f>Total!E3053</f>
        <v>Obra Civil</v>
      </c>
      <c r="F7" s="96" t="str">
        <f>Total!F3053</f>
        <v>Direccions d'Obra</v>
      </c>
      <c r="G7" s="112" t="str">
        <f>Total!G3053</f>
        <v>ATAM. TM-00509.4F</v>
      </c>
      <c r="H7" s="112" t="str">
        <f>Total!H3053</f>
        <v>Serveis per a l'assistència tècnica ambiental conjunta de les obres d' Execució de les obres de túnel i de les obres addicionals del tram Zona Universitària - Sagrera Meridiana de la línia 9 de Metro de Barcelona. Clau: TM-00509.4F</v>
      </c>
      <c r="I7" s="157">
        <f>Total!I3053</f>
        <v>288413.59999999998</v>
      </c>
    </row>
    <row r="8" spans="1:9" x14ac:dyDescent="0.2">
      <c r="A8" s="8">
        <v>7</v>
      </c>
      <c r="B8" s="101">
        <f>Total!B3054</f>
        <v>44539</v>
      </c>
      <c r="C8" s="101">
        <f>Total!C3054</f>
        <v>44566</v>
      </c>
      <c r="D8" s="112" t="s">
        <v>1092</v>
      </c>
      <c r="E8" s="332" t="str">
        <f>Total!E3054</f>
        <v>Obra Civil</v>
      </c>
      <c r="F8" s="96" t="str">
        <f>Total!F3054</f>
        <v>Projectes</v>
      </c>
      <c r="G8" s="112" t="str">
        <f>Total!G3054</f>
        <v>PC.R0-21223 Nova licitació</v>
      </c>
      <c r="H8" s="112" t="str">
        <f>Total!H3054</f>
        <v>Contracte de serveis per a l'assistència tècnica per a la redacció del projecte constructiu de renovació per obsolescència d'equipaments per al sistema de videovigilància del tram IV de la L9 de Metro de Barcelona. Clau: R0-21223</v>
      </c>
      <c r="I8" s="157">
        <f>Total!I3054</f>
        <v>52375</v>
      </c>
    </row>
    <row r="9" spans="1:9" x14ac:dyDescent="0.2">
      <c r="A9" s="8">
        <v>8</v>
      </c>
      <c r="B9" s="101">
        <f>Total!B3055</f>
        <v>44543</v>
      </c>
      <c r="C9" s="101">
        <f>Total!C3055</f>
        <v>44573</v>
      </c>
      <c r="D9" s="112" t="s">
        <v>1092</v>
      </c>
      <c r="E9" s="332" t="str">
        <f>Total!E3055</f>
        <v>Edificació</v>
      </c>
      <c r="F9" s="96" t="str">
        <f>Total!F3055</f>
        <v>Direccions d'Obra</v>
      </c>
      <c r="G9" s="112" t="str">
        <f>Total!G3055</f>
        <v>DO. R0-18346 Nova licitació</v>
      </c>
      <c r="H9" s="112" t="str">
        <f>Total!H3055</f>
        <v>Contracte de serveis per a la direcció de les obres del Projecte de renovació dels aparells de climatització de les oficines i vestuaris del taller de Zona Franca de L9 de metro de Barcelona.</v>
      </c>
      <c r="I9" s="157">
        <f>Total!I3055</f>
        <v>91553.47</v>
      </c>
    </row>
    <row r="10" spans="1:9" x14ac:dyDescent="0.2">
      <c r="A10" s="8">
        <v>9</v>
      </c>
      <c r="B10" s="101">
        <f>Total!B3056</f>
        <v>44545</v>
      </c>
      <c r="C10" s="101">
        <f>Total!C3056</f>
        <v>44571</v>
      </c>
      <c r="D10" s="112" t="s">
        <v>1092</v>
      </c>
      <c r="E10" s="332" t="str">
        <f>Total!E3056</f>
        <v>Obra Civil</v>
      </c>
      <c r="F10" s="96" t="str">
        <f>Total!F3056</f>
        <v>Direccions d'Obra</v>
      </c>
      <c r="G10" s="112" t="str">
        <f>Total!G3056</f>
        <v>CSS. VB-98171-A2.2</v>
      </c>
      <c r="H10" s="112" t="str">
        <f>Total!H3056</f>
        <v>Contracte de serveis per a l'assistència tècnica de coordinació de seguretat i salut de les obres del projecte constructiu de la variant de Piera. Del PK 7+780 de la B-224 al PK 15+020 de la B-231. Piera.</v>
      </c>
      <c r="I10" s="157">
        <f>Total!I3056</f>
        <v>41247.11</v>
      </c>
    </row>
    <row r="11" spans="1:9" x14ac:dyDescent="0.2">
      <c r="A11" s="8">
        <v>10</v>
      </c>
      <c r="B11" s="101">
        <f>Total!B3057</f>
        <v>44545</v>
      </c>
      <c r="C11" s="101">
        <f>Total!C3057</f>
        <v>44578</v>
      </c>
      <c r="D11" s="112" t="s">
        <v>1092</v>
      </c>
      <c r="E11" s="332" t="str">
        <f>Total!E3057</f>
        <v>Obra Civil</v>
      </c>
      <c r="F11" s="96" t="str">
        <f>Total!F3057</f>
        <v>Direccions d'Obra</v>
      </c>
      <c r="G11" s="112" t="str">
        <f>Total!G3057</f>
        <v>CSS. PC-CPT-20045-AA</v>
      </c>
      <c r="H11" s="112" t="str">
        <f>Total!H3057</f>
        <v>Contracte de serveis per a l'assistència tècnica de coordinació de seguretat i salut de les obres del projecte constructiu de Rotonda a la cruïlla de la carretera T-312 al PK 0+865 amb l'avinguda de l'Esport. Cambrils.</v>
      </c>
      <c r="I11" s="157">
        <f>Total!I3057</f>
        <v>11241.62</v>
      </c>
    </row>
    <row r="12" spans="1:9" x14ac:dyDescent="0.2">
      <c r="A12" s="8">
        <v>11</v>
      </c>
      <c r="B12" s="101">
        <f>Total!B3058</f>
        <v>44545</v>
      </c>
      <c r="C12" s="101">
        <f>Total!C3058</f>
        <v>44578</v>
      </c>
      <c r="D12" s="112" t="s">
        <v>1092</v>
      </c>
      <c r="E12" s="332" t="str">
        <f>Total!E3058</f>
        <v>Obra Civil</v>
      </c>
      <c r="F12" s="96" t="str">
        <f>Total!F3058</f>
        <v>Control de Qualitat</v>
      </c>
      <c r="G12" s="112" t="str">
        <f>Total!G3058</f>
        <v>CQ. PC-CPT-20045-AA</v>
      </c>
      <c r="H12" s="112" t="str">
        <f>Total!H3058</f>
        <v>Contracte de serveis per a l'assistència tècnica de Control de Qualitat de les obres del projecte constructiu de Rotonda a la cruïlla de la carretera T-312 al PK 0+865 amb l'avinguda de l'Esport. Cambrils.</v>
      </c>
      <c r="I12" s="157">
        <f>Total!I3058</f>
        <v>8439.06</v>
      </c>
    </row>
    <row r="13" spans="1:9" x14ac:dyDescent="0.2">
      <c r="A13" s="8">
        <v>12</v>
      </c>
      <c r="B13" s="101">
        <f>Total!B3059</f>
        <v>44545</v>
      </c>
      <c r="C13" s="101">
        <f>Total!C3059</f>
        <v>44578</v>
      </c>
      <c r="D13" s="112" t="s">
        <v>1092</v>
      </c>
      <c r="E13" s="332" t="str">
        <f>Total!E3059</f>
        <v>Obra Civil</v>
      </c>
      <c r="F13" s="96" t="str">
        <f>Total!F3059</f>
        <v>Direccions d'Obra</v>
      </c>
      <c r="G13" s="112" t="str">
        <f>Total!G3059</f>
        <v>DO. PC-CPT-20045-AA</v>
      </c>
      <c r="H13" s="112" t="str">
        <f>Total!H3059</f>
        <v>Contracte de serveis per a la direcció de les obres del projecte constructiu de Rotonda a la cruïlla de la carretera T-312 al PK 0+865 amb l'avinguda de l'Esport. Cambrils.</v>
      </c>
      <c r="I13" s="157">
        <f>Total!I3059</f>
        <v>29528</v>
      </c>
    </row>
    <row r="14" spans="1:9" x14ac:dyDescent="0.2">
      <c r="A14" s="8">
        <v>13</v>
      </c>
      <c r="B14" s="101">
        <f>Total!B3060</f>
        <v>44547</v>
      </c>
      <c r="C14" s="101">
        <f>Total!C3060</f>
        <v>44573</v>
      </c>
      <c r="D14" s="112" t="s">
        <v>1092</v>
      </c>
      <c r="E14" s="332" t="str">
        <f>Total!E3060</f>
        <v>Obra Civil</v>
      </c>
      <c r="F14" s="96" t="str">
        <f>Total!F3060</f>
        <v>Projectes</v>
      </c>
      <c r="G14" s="112" t="str">
        <f>Total!G3060</f>
        <v>EV. EA-VR-19273</v>
      </c>
      <c r="H14" s="112" t="str">
        <f>Total!H3060</f>
        <v>Contracte de serveis per a l'assistència tècnica per a la redacció de l'estudi d'alternatives de la consolidació de la xarxa de reg de la Conca del Riu Siurana.</v>
      </c>
      <c r="I14" s="157">
        <f>Total!I3060</f>
        <v>52500</v>
      </c>
    </row>
    <row r="15" spans="1:9" x14ac:dyDescent="0.2">
      <c r="A15" s="8">
        <v>14</v>
      </c>
      <c r="B15" s="101">
        <f>Total!B3061</f>
        <v>44547</v>
      </c>
      <c r="C15" s="101">
        <f>Total!C3061</f>
        <v>44573</v>
      </c>
      <c r="D15" s="112" t="s">
        <v>1092</v>
      </c>
      <c r="E15" s="332" t="str">
        <f>Total!E3061</f>
        <v>Obra Civil</v>
      </c>
      <c r="F15" s="96" t="str">
        <f>Total!F3061</f>
        <v>Direccions d'Obra</v>
      </c>
      <c r="G15" s="112" t="str">
        <f>Total!G3061</f>
        <v>CSS. TM-00509.4B-M5 F3</v>
      </c>
      <c r="H15" s="112" t="str">
        <f>Total!H3061</f>
        <v>Coordinació de seguretat i salut de les obres del projecte modificat núm. 5 de la Línia 9 de Metro de Barcelona. Tram 3r Zona Universitària - Sagrera Meridiana. Estacions Prat de la Riba, Sarrià, Mandri i Pous de ventilació. Fase 3: Estació Sarrià.</v>
      </c>
      <c r="I15" s="157">
        <f>Total!I3061</f>
        <v>98940.46</v>
      </c>
    </row>
    <row r="16" spans="1:9" x14ac:dyDescent="0.2">
      <c r="A16" s="8">
        <v>15</v>
      </c>
      <c r="B16" s="101">
        <f>Total!B3062</f>
        <v>44547</v>
      </c>
      <c r="C16" s="101">
        <f>Total!C3062</f>
        <v>44573</v>
      </c>
      <c r="D16" s="112" t="s">
        <v>1092</v>
      </c>
      <c r="E16" s="332" t="str">
        <f>Total!E3062</f>
        <v>Obra Civil</v>
      </c>
      <c r="F16" s="96" t="str">
        <f>Total!F3062</f>
        <v>Direccions d'Obra</v>
      </c>
      <c r="G16" s="112" t="str">
        <f>Total!G3062</f>
        <v>CSS. TM-00509.4B-M5 F2</v>
      </c>
      <c r="H16" s="112" t="str">
        <f>Total!H3062</f>
        <v>Coordinació de seguretat i salut de les obres del projecte modificat núm. 5 de la Línia 9 de Metro de Barcelona. Tram 3r Zona Universitària - Sagrera Meridiana. Estacions Prat de la Riba, Sarrià, Mandri i Pous de ventilació. Fase 2: Estació Mandri.</v>
      </c>
      <c r="I16" s="157">
        <f>Total!I3062</f>
        <v>71646.539999999994</v>
      </c>
    </row>
    <row r="17" spans="1:9" x14ac:dyDescent="0.2">
      <c r="A17" s="8">
        <v>16</v>
      </c>
      <c r="B17" s="101">
        <f>Total!B3063</f>
        <v>44550</v>
      </c>
      <c r="C17" s="101">
        <f>Total!C3063</f>
        <v>44220</v>
      </c>
      <c r="D17" s="112" t="s">
        <v>1092</v>
      </c>
      <c r="E17" s="332" t="str">
        <f>Total!E3063</f>
        <v>Edificació</v>
      </c>
      <c r="F17" s="96" t="str">
        <f>Total!F3063</f>
        <v>Control de Qualitat</v>
      </c>
      <c r="G17" s="112" t="str">
        <f>Total!G3063</f>
        <v>CQ. JNP-17210.A</v>
      </c>
      <c r="H17" s="112" t="str">
        <f>Total!H3063</f>
        <v>Contracte de serveis per a l'assistència tècnica de control de qualitat de les obres de la nova construcció de centre penitenciari de regim obert 800 places. Zona Franca (Barcelona).</v>
      </c>
      <c r="I17" s="157">
        <f>Total!I3063</f>
        <v>276467.67</v>
      </c>
    </row>
    <row r="18" spans="1:9" x14ac:dyDescent="0.2">
      <c r="A18" s="8">
        <v>17</v>
      </c>
      <c r="B18" s="101">
        <f>Total!B3064</f>
        <v>44550</v>
      </c>
      <c r="C18" s="101">
        <f>Total!C3064</f>
        <v>44578</v>
      </c>
      <c r="D18" s="112" t="s">
        <v>1092</v>
      </c>
      <c r="E18" s="332" t="str">
        <f>Total!E3064</f>
        <v>Obra Civil</v>
      </c>
      <c r="F18" s="96" t="str">
        <f>Total!F3064</f>
        <v>Projectes</v>
      </c>
      <c r="G18" s="112" t="str">
        <f>Total!G3064</f>
        <v>EV. EX-CPG-21052</v>
      </c>
      <c r="H18" s="112" t="str">
        <f>Total!H3064</f>
        <v>Contracte de serveis per a l'assistència tècnica per a la redacció del document ambiental. Eixample i ordenació d'accessos a la GI-555 del PK 0+000 al 2+850. Sils-Riudarenes.</v>
      </c>
      <c r="I18" s="157">
        <f>Total!I3064</f>
        <v>14350</v>
      </c>
    </row>
    <row r="19" spans="1:9" x14ac:dyDescent="0.2">
      <c r="A19" s="8">
        <v>18</v>
      </c>
      <c r="B19" s="101">
        <f>Total!B3065</f>
        <v>44550</v>
      </c>
      <c r="C19" s="101">
        <f>Total!C3065</f>
        <v>44585</v>
      </c>
      <c r="D19" s="112" t="s">
        <v>1092</v>
      </c>
      <c r="E19" s="332" t="str">
        <f>Total!E3065</f>
        <v>Edificació</v>
      </c>
      <c r="F19" s="96" t="str">
        <f>Total!F3065</f>
        <v>Direccions d'Execució</v>
      </c>
      <c r="G19" s="112" t="str">
        <f>Total!G3065</f>
        <v>DE. JNP-17210.A</v>
      </c>
      <c r="H19" s="112" t="str">
        <f>Total!H3065</f>
        <v>Contracte de serveis per a la direcció d'execució de les obres de la nova construcció de centre penitenciari de regim obert 800 places. Zona Franca (Barcelona).</v>
      </c>
      <c r="I19" s="157">
        <f>Total!I3065</f>
        <v>610000</v>
      </c>
    </row>
    <row r="20" spans="1:9" x14ac:dyDescent="0.2">
      <c r="A20" s="8">
        <v>19</v>
      </c>
      <c r="B20" s="101">
        <f>Total!B3066</f>
        <v>44550</v>
      </c>
      <c r="C20" s="101">
        <f>Total!C3066</f>
        <v>44578</v>
      </c>
      <c r="D20" s="112" t="s">
        <v>1092</v>
      </c>
      <c r="E20" s="332" t="str">
        <f>Total!E3066</f>
        <v>Edificació</v>
      </c>
      <c r="F20" s="96" t="str">
        <f>Total!F3066</f>
        <v>Direccions d'Execució</v>
      </c>
      <c r="G20" s="112" t="str">
        <f>Total!G3066</f>
        <v>CSS. JNP-17210.A</v>
      </c>
      <c r="H20" s="112" t="str">
        <f>Total!H3066</f>
        <v>Contracte de serveis per a l'assistència tècnica de coordinació de seguretat i salut de les obres del projecte executiu de nova construcció del Centre Penitenciari de Règim Obert 800 places Zona Franca a Barcelona. Lot 1 + Lot 2.</v>
      </c>
      <c r="I20" s="157">
        <f>Total!I3066</f>
        <v>135360.78</v>
      </c>
    </row>
    <row r="21" spans="1:9" x14ac:dyDescent="0.2">
      <c r="A21" s="8">
        <v>20</v>
      </c>
      <c r="B21" s="101">
        <f>Total!B3067</f>
        <v>44550</v>
      </c>
      <c r="C21" s="101">
        <f>Total!C3067</f>
        <v>44578</v>
      </c>
      <c r="D21" s="112" t="s">
        <v>1092</v>
      </c>
      <c r="E21" s="332" t="str">
        <f>Total!E3067</f>
        <v>Obra Civil</v>
      </c>
      <c r="F21" s="96" t="str">
        <f>Total!F3067</f>
        <v>Projectes</v>
      </c>
      <c r="G21" s="112" t="str">
        <f>Total!G3067</f>
        <v>PC. PPO-21282.A1</v>
      </c>
      <c r="H21" s="112" t="str">
        <f>Total!H3067</f>
        <v>Contracte de serveis per a l'assistència tècnica per a la redacció del projecte actualitzat. Instal·lacions pel maneig de fauna a la casa forestal de La Vall a Roquetes.</v>
      </c>
      <c r="I21" s="157">
        <f>Total!I3067</f>
        <v>16750</v>
      </c>
    </row>
    <row r="22" spans="1:9" x14ac:dyDescent="0.2">
      <c r="A22" s="8">
        <v>21</v>
      </c>
      <c r="B22" s="101">
        <f>Total!B3068</f>
        <v>44550</v>
      </c>
      <c r="C22" s="101">
        <f>Total!C3068</f>
        <v>44578</v>
      </c>
      <c r="D22" s="112" t="s">
        <v>1092</v>
      </c>
      <c r="E22" s="332" t="str">
        <f>Total!E3068</f>
        <v>Obra Civil</v>
      </c>
      <c r="F22" s="96" t="str">
        <f>Total!F3068</f>
        <v>Projectes</v>
      </c>
      <c r="G22" s="112" t="str">
        <f>Total!G3068</f>
        <v>PC. PC-CGE-21048</v>
      </c>
      <c r="H22" s="112" t="str">
        <f>Total!H3068</f>
        <v>Contracte de serveis per a l'assistència tècnica per a la redacció del projecte constructiu. Pas de fauna per llúdrigues a la C-12 entre el PK 85+600 al 86+000 a l'alçada de la presa de Flix.</v>
      </c>
      <c r="I22" s="157">
        <f>Total!I3068</f>
        <v>31000</v>
      </c>
    </row>
    <row r="23" spans="1:9" x14ac:dyDescent="0.2">
      <c r="A23" s="8">
        <v>22</v>
      </c>
      <c r="B23" s="101">
        <f>Total!B3069</f>
        <v>44551</v>
      </c>
      <c r="C23" s="101">
        <f>Total!C3069</f>
        <v>44578</v>
      </c>
      <c r="D23" s="112" t="s">
        <v>1092</v>
      </c>
      <c r="E23" s="332" t="str">
        <f>Total!E3069</f>
        <v>Obra Civil</v>
      </c>
      <c r="F23" s="96" t="str">
        <f>Total!F3069</f>
        <v>Projectes</v>
      </c>
      <c r="G23" s="112" t="str">
        <f>Total!G3069</f>
        <v>PC. PC-CFT-21068</v>
      </c>
      <c r="H23" s="112" t="str">
        <f>Total!H3069</f>
        <v>Contracte de serveis per a l'assistència tècnica per a la redacció projecte constructiu. Reforçament de ferm de la C-31B del PK 0+000 al 8+670. Salou - Tarragona.</v>
      </c>
      <c r="I23" s="157">
        <f>Total!I3069</f>
        <v>108000</v>
      </c>
    </row>
    <row r="24" spans="1:9" x14ac:dyDescent="0.2">
      <c r="A24" s="8">
        <v>23</v>
      </c>
      <c r="B24" s="101">
        <f>Total!B3070</f>
        <v>44551</v>
      </c>
      <c r="C24" s="101">
        <f>Total!C3070</f>
        <v>44580</v>
      </c>
      <c r="D24" s="112" t="s">
        <v>1092</v>
      </c>
      <c r="E24" s="332" t="str">
        <f>Total!E3070</f>
        <v>Edificació</v>
      </c>
      <c r="F24" s="96" t="str">
        <f>Total!F3070</f>
        <v>Projectes i Direccions Facultatives</v>
      </c>
      <c r="G24" s="112" t="str">
        <f>Total!G3070</f>
        <v>PE+DF. PAS-21275</v>
      </c>
      <c r="H24" s="112" t="str">
        <f>Total!H3070</f>
        <v>Assistència tècnica per a la redacció del projecte bàsic i executiu i la posterior direcció facultativa de les obres RAM de rehabilitació de la casa forestal de Boí, i redacció del projecte de reforma del refugi d'Estany Llong.</v>
      </c>
      <c r="I24" s="157">
        <f>Total!I3070</f>
        <v>68000</v>
      </c>
    </row>
    <row r="25" spans="1:9" x14ac:dyDescent="0.2">
      <c r="A25" s="8">
        <v>24</v>
      </c>
      <c r="B25" s="101">
        <f>Total!B3071</f>
        <v>44551</v>
      </c>
      <c r="C25" s="101">
        <f>Total!C3071</f>
        <v>44580</v>
      </c>
      <c r="D25" s="112" t="s">
        <v>1092</v>
      </c>
      <c r="E25" s="332" t="str">
        <f>Total!E3071</f>
        <v>Obra Civil</v>
      </c>
      <c r="F25" s="96" t="str">
        <f>Total!F3071</f>
        <v>Projectes</v>
      </c>
      <c r="G25" s="112" t="str">
        <f>Total!G3071</f>
        <v>PC. PZV-21211</v>
      </c>
      <c r="H25" s="112" t="str">
        <f>Total!H3071</f>
        <v>Contracte de serveis per a l'assistència tècnica per a la redacció del projecte constructiu. Millora ambiental de la finca pública de la Teuleria al Parc Natural de la Zona Volcànica de la Garrotxa a Olot.</v>
      </c>
      <c r="I25" s="157">
        <f>Total!I3071</f>
        <v>42440</v>
      </c>
    </row>
    <row r="26" spans="1:9" x14ac:dyDescent="0.2">
      <c r="A26" s="8">
        <v>25</v>
      </c>
      <c r="B26" s="101">
        <f>Total!B3072</f>
        <v>44553</v>
      </c>
      <c r="C26" s="101">
        <f>Total!C3072</f>
        <v>44580</v>
      </c>
      <c r="D26" s="112" t="s">
        <v>1092</v>
      </c>
      <c r="E26" s="332" t="str">
        <f>Total!E3072</f>
        <v>Obra Civil</v>
      </c>
      <c r="F26" s="96" t="str">
        <f>Total!F3072</f>
        <v>Projectes</v>
      </c>
      <c r="G26" s="112" t="str">
        <f>Total!G3072</f>
        <v>EV. EX-VL-03014</v>
      </c>
      <c r="H26" s="112" t="str">
        <f>Total!H3072</f>
        <v>Contracte de serveis per a l'assistència tècnica per a la redacció del document ambiental de la Variant de la C-233 des del PK 78+000 al 81+000. Vilanova de Bellpuig.</v>
      </c>
      <c r="I26" s="157">
        <f>Total!I3072</f>
        <v>14500</v>
      </c>
    </row>
    <row r="27" spans="1:9" x14ac:dyDescent="0.2">
      <c r="A27" s="8">
        <v>26</v>
      </c>
      <c r="B27" s="101">
        <f>Total!B3073</f>
        <v>44553</v>
      </c>
      <c r="C27" s="101">
        <f>Total!C3073</f>
        <v>44580</v>
      </c>
      <c r="D27" s="112" t="s">
        <v>1092</v>
      </c>
      <c r="E27" s="332" t="str">
        <f>Total!E3073</f>
        <v>Obra Civil</v>
      </c>
      <c r="F27" s="96" t="str">
        <f>Total!F3073</f>
        <v>Projectes</v>
      </c>
      <c r="G27" s="112" t="str">
        <f>Total!G3073</f>
        <v>EV. EA-CNE-21029</v>
      </c>
      <c r="H27" s="112" t="str">
        <f>Total!H3073</f>
        <v>Contracte de serveis per a l'assistència tècnica per a la redacció de l'estudi previ d'alternatives per a la variant de Masdenverge a la T-344 i T-350 i connexió amb l'AP-7.</v>
      </c>
      <c r="I27" s="157">
        <f>Total!I3073</f>
        <v>32900</v>
      </c>
    </row>
    <row r="28" spans="1:9" x14ac:dyDescent="0.2">
      <c r="A28" s="8">
        <v>27</v>
      </c>
      <c r="B28" s="101">
        <f>Total!B3074</f>
        <v>44554</v>
      </c>
      <c r="C28" s="101">
        <f>Total!C3074</f>
        <v>44573</v>
      </c>
      <c r="D28" s="112" t="s">
        <v>1092</v>
      </c>
      <c r="E28" s="332" t="str">
        <f>Total!E3074</f>
        <v>Obra Civil</v>
      </c>
      <c r="F28" s="96" t="str">
        <f>Total!F3074</f>
        <v>Projectes</v>
      </c>
      <c r="G28" s="112" t="str">
        <f>Total!G3074</f>
        <v>PC. PCR-20285</v>
      </c>
      <c r="H28" s="112" t="str">
        <f>Total!H3074</f>
        <v>Contractació de serveis per a l'assistència tècnica per a la redacció del projecte constructiu. Arranjament del camí vell de Cadaqués al Far de Cap de Creus (Camí de Ronda).</v>
      </c>
      <c r="I28" s="157">
        <f>Total!I3074</f>
        <v>44890</v>
      </c>
    </row>
    <row r="29" spans="1:9" x14ac:dyDescent="0.2">
      <c r="A29" s="8">
        <v>28</v>
      </c>
      <c r="B29" s="101">
        <f>Total!B3075</f>
        <v>44554</v>
      </c>
      <c r="C29" s="101">
        <f>Total!C3075</f>
        <v>44573</v>
      </c>
      <c r="D29" s="112" t="s">
        <v>1092</v>
      </c>
      <c r="E29" s="332" t="str">
        <f>Total!E3075</f>
        <v>Edificació</v>
      </c>
      <c r="F29" s="96" t="str">
        <f>Total!F3075</f>
        <v>Projectes</v>
      </c>
      <c r="G29" s="112" t="str">
        <f>Total!G3075</f>
        <v>EV. E1. JJV-18325</v>
      </c>
      <c r="H29" s="112" t="str">
        <f>Total!H3075</f>
        <v>Contracte de serveis per a l'assistència tècnica per a la redacció de l'estudi de l'assegurament de la qualitat del projecte executiu de nova construcció edifici judicial de Martorell.</v>
      </c>
      <c r="I29" s="157">
        <f>Total!I3075</f>
        <v>21780</v>
      </c>
    </row>
    <row r="30" spans="1:9" x14ac:dyDescent="0.2">
      <c r="A30" s="8">
        <v>29</v>
      </c>
      <c r="B30" s="101">
        <f>Total!B3076</f>
        <v>44554</v>
      </c>
      <c r="C30" s="101">
        <f>Total!C3076</f>
        <v>44573</v>
      </c>
      <c r="D30" s="112" t="s">
        <v>1092</v>
      </c>
      <c r="E30" s="332" t="str">
        <f>Total!E3076</f>
        <v>Obra Civil</v>
      </c>
      <c r="F30" s="96" t="str">
        <f>Total!F3076</f>
        <v>Projectes</v>
      </c>
      <c r="G30" s="112" t="str">
        <f>Total!G3076</f>
        <v>IA. IA. VR-21228</v>
      </c>
      <c r="H30" s="112" t="str">
        <f>Total!H3076</f>
        <v>Contracte de serveis per a l'assistència tècnica per a la redacció de l'estudi d'impacte ambiental de modernització de la Comunitat de Regants de la dreta del Llobregat.</v>
      </c>
      <c r="I30" s="157">
        <f>Total!I3076</f>
        <v>53645.8</v>
      </c>
    </row>
    <row r="31" spans="1:9" x14ac:dyDescent="0.2">
      <c r="A31" s="8">
        <v>30</v>
      </c>
      <c r="B31" s="101">
        <f>Total!B3077</f>
        <v>44554</v>
      </c>
      <c r="C31" s="101">
        <f>Total!C3077</f>
        <v>44573</v>
      </c>
      <c r="D31" s="112" t="s">
        <v>1092</v>
      </c>
      <c r="E31" s="332" t="str">
        <f>Total!E3077</f>
        <v>Obra Civil</v>
      </c>
      <c r="F31" s="96" t="str">
        <f>Total!F3077</f>
        <v>Projectes</v>
      </c>
      <c r="G31" s="112" t="str">
        <f>Total!G3077</f>
        <v>IA. IA. VR-20268</v>
      </c>
      <c r="H31" s="112" t="str">
        <f>Total!H3077</f>
        <v>Contracte de serveis per a l'assistència tècnica per a la redacció de l'estudi d'impacte ambiental del projecte constructiu de la transformació en regadiu de la zona de Vilaplana. TM de Baronia de Rialb.</v>
      </c>
      <c r="I31" s="157">
        <f>Total!I3077</f>
        <v>14721.94</v>
      </c>
    </row>
    <row r="32" spans="1:9" x14ac:dyDescent="0.2">
      <c r="A32" s="8">
        <v>31</v>
      </c>
      <c r="B32" s="101">
        <f>Total!B3078</f>
        <v>44554</v>
      </c>
      <c r="C32" s="101">
        <f>Total!C3078</f>
        <v>44571</v>
      </c>
      <c r="D32" s="112" t="s">
        <v>1092</v>
      </c>
      <c r="E32" s="332" t="str">
        <f>Total!E3078</f>
        <v>Edificació</v>
      </c>
      <c r="F32" s="96" t="str">
        <f>Total!F3078</f>
        <v>Projectes i Direccions Facultatives</v>
      </c>
      <c r="G32" s="112" t="str">
        <f>Total!G3078</f>
        <v>PE+DF. PAS-21272</v>
      </c>
      <c r="H32" s="112" t="str">
        <f>Total!H3078</f>
        <v>Contracte de serveis per a l'assistència tècnica per a la redacció del projecte bàsic i executiu i la posterior direcció facultativa de les obres RAM per a la rehabilitació del refugi del Pla de la Font, i la casa del Parc d'Espot.</v>
      </c>
      <c r="I32" s="157">
        <f>Total!I3078</f>
        <v>49980</v>
      </c>
    </row>
    <row r="33" spans="1:9" x14ac:dyDescent="0.2">
      <c r="A33" s="8">
        <v>32</v>
      </c>
      <c r="B33" s="101">
        <f>Total!B3079</f>
        <v>44558</v>
      </c>
      <c r="C33" s="101">
        <f>Total!C3079</f>
        <v>44592</v>
      </c>
      <c r="D33" s="112" t="s">
        <v>1092</v>
      </c>
      <c r="E33" s="332" t="str">
        <f>Total!E3079</f>
        <v>Obra Civil</v>
      </c>
      <c r="F33" s="96" t="str">
        <f>Total!F3079</f>
        <v>Projectes</v>
      </c>
      <c r="G33" s="112" t="str">
        <f>Total!G3079</f>
        <v>PC. DB-05111.3.1</v>
      </c>
      <c r="H33" s="112" t="str">
        <f>Total!H3079</f>
        <v>Contracte de serveis per a l'assistència tècnica per a la redacció projecte constructiu. Desdoblament de la B-224 del PK 22+100 al 24+000. Sant Esteve Sesrovires.</v>
      </c>
      <c r="I33" s="157">
        <f>Total!I3079</f>
        <v>251432</v>
      </c>
    </row>
    <row r="34" spans="1:9" x14ac:dyDescent="0.2">
      <c r="A34" s="8">
        <v>33</v>
      </c>
      <c r="B34" s="101">
        <f>Total!B3080</f>
        <v>44561</v>
      </c>
      <c r="C34" s="101">
        <f>Total!C3080</f>
        <v>44585</v>
      </c>
      <c r="D34" s="112" t="s">
        <v>1092</v>
      </c>
      <c r="E34" s="332" t="str">
        <f>Total!E3080</f>
        <v>Obra Civil</v>
      </c>
      <c r="F34" s="96" t="str">
        <f>Total!F3080</f>
        <v>Direccions d'Obra</v>
      </c>
      <c r="G34" s="112" t="str">
        <f>Total!G3080</f>
        <v>CSS. CB-16063</v>
      </c>
      <c r="H34" s="112" t="str">
        <f>Total!H3080</f>
        <v>Contracte de serveis per a l'assistència tècnica de coordinació de seguretat i salut de les obres de conservació extraordinària. Ponts i estructures. Rehabilitació d'obra de fàbrica a la carretera C-58, PK 38 +437. Tram: Monistrol de Montserrat.</v>
      </c>
      <c r="I34" s="157">
        <f>Total!I3080</f>
        <v>10046.709999999999</v>
      </c>
    </row>
    <row r="35" spans="1:9" x14ac:dyDescent="0.2">
      <c r="A35" s="8">
        <v>34</v>
      </c>
      <c r="B35" s="101">
        <f>Total!B3081</f>
        <v>44561</v>
      </c>
      <c r="C35" s="101">
        <f>Total!C3081</f>
        <v>44585</v>
      </c>
      <c r="D35" s="112" t="s">
        <v>1092</v>
      </c>
      <c r="E35" s="332" t="str">
        <f>Total!E3081</f>
        <v>Obra Civil</v>
      </c>
      <c r="F35" s="96" t="str">
        <f>Total!F3081</f>
        <v>Control de Qualitat</v>
      </c>
      <c r="G35" s="112" t="str">
        <f>Total!G3081</f>
        <v>CQ. CB-16063</v>
      </c>
      <c r="H35" s="112" t="str">
        <f>Total!H3081</f>
        <v>Contracte de serveis per a l'assistència tècnica de Control de Qualitat de les obres de conservació extraordinària. Ponts i estructures. Rehabilitació d'obra de fàbrica a la carretera C-58, PK 38 +437. Tram: Monistrol de Montserrat.</v>
      </c>
      <c r="I35" s="157">
        <f>Total!I3081</f>
        <v>11964.3</v>
      </c>
    </row>
    <row r="36" spans="1:9" x14ac:dyDescent="0.2">
      <c r="A36" s="8">
        <v>35</v>
      </c>
      <c r="B36" s="101">
        <f>Total!B3082</f>
        <v>44561</v>
      </c>
      <c r="C36" s="101">
        <f>Total!C3082</f>
        <v>44594</v>
      </c>
      <c r="D36" s="112" t="s">
        <v>1092</v>
      </c>
      <c r="E36" s="332" t="str">
        <f>Total!E3082</f>
        <v>Obra Civil</v>
      </c>
      <c r="F36" s="96" t="str">
        <f>Total!F3082</f>
        <v>Direccions d'Obra</v>
      </c>
      <c r="G36" s="112" t="str">
        <f>Total!G3082</f>
        <v>DO. TF-11225.F1.1</v>
      </c>
      <c r="H36" s="112" t="str">
        <f>Total!H3082</f>
        <v>Contracte de serveis per a la direcció de les obres del projecte constructiu. Perllongament de la línia Llobregat - Anoia dels FGC a Barcelona. Plaça Espanya - Gràcia. Infraestructura. Serveis afectats 1a fase.</v>
      </c>
      <c r="I36" s="157">
        <f>Total!I3082</f>
        <v>351343.33</v>
      </c>
    </row>
    <row r="37" spans="1:9" x14ac:dyDescent="0.2">
      <c r="A37" s="8">
        <v>36</v>
      </c>
      <c r="B37" s="101">
        <f>Total!B3083</f>
        <v>44561</v>
      </c>
      <c r="C37" s="101">
        <f>Total!C3083</f>
        <v>44585</v>
      </c>
      <c r="D37" s="112" t="s">
        <v>1092</v>
      </c>
      <c r="E37" s="332" t="str">
        <f>Total!E3083</f>
        <v>Obra Civil</v>
      </c>
      <c r="F37" s="96" t="str">
        <f>Total!F3083</f>
        <v>Direccions d'Obra</v>
      </c>
      <c r="G37" s="112" t="str">
        <f>Total!G3083</f>
        <v>DO. CB-16063</v>
      </c>
      <c r="H37" s="112" t="str">
        <f>Total!H3083</f>
        <v>Contracte de serveis per a la direcció de les obres de conservació extraordinària. Ponts i estructures. Rehabilitació d'obra de fàbrica a la carretera C-58, PK 38 +437. Tram: Monistrol de Montserrat.</v>
      </c>
      <c r="I37" s="157">
        <f>Total!I3083</f>
        <v>53943.73</v>
      </c>
    </row>
    <row r="38" spans="1:9" x14ac:dyDescent="0.2">
      <c r="I38" s="126">
        <f>SUM(I2:I37)</f>
        <v>4624043.26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38"/>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Total!B3012</f>
        <v>44502</v>
      </c>
      <c r="C2" s="101">
        <f>Total!C3012</f>
        <v>44529</v>
      </c>
      <c r="D2" s="112" t="s">
        <v>1092</v>
      </c>
      <c r="E2" s="332" t="str">
        <f>Total!E3012</f>
        <v>Obra Civil</v>
      </c>
      <c r="F2" s="96" t="str">
        <f>Total!F3012</f>
        <v>Projectes</v>
      </c>
      <c r="G2" s="112" t="str">
        <f>Total!G3012</f>
        <v>PC.R0-21222</v>
      </c>
      <c r="H2" s="112" t="str">
        <f>Total!H3012</f>
        <v>Redacció del projecte constructiu per a la renovació per obsolescència de les xarxes de control i protecció de les subestacions receptores, subestacions de tracció, anells de distribució i seccionadors de tracció de la L9 de Metro de Barcelona.</v>
      </c>
      <c r="I2" s="157">
        <f>Total!I3012</f>
        <v>216500</v>
      </c>
    </row>
    <row r="3" spans="1:9" x14ac:dyDescent="0.2">
      <c r="A3" s="8">
        <v>2</v>
      </c>
      <c r="B3" s="101">
        <f>Total!B3013</f>
        <v>44503</v>
      </c>
      <c r="C3" s="101">
        <f>Total!C3013</f>
        <v>44522</v>
      </c>
      <c r="D3" s="112" t="s">
        <v>1092</v>
      </c>
      <c r="E3" s="332" t="str">
        <f>Total!E3013</f>
        <v>Obra Civil</v>
      </c>
      <c r="F3" s="96" t="str">
        <f>Total!F3013</f>
        <v>Direccions d'Obra</v>
      </c>
      <c r="G3" s="112" t="str">
        <f>Total!G3013</f>
        <v>CSS. PC-CGG-20050</v>
      </c>
      <c r="H3" s="112" t="str">
        <f>Total!H3013</f>
        <v>Contracte de serveis per a l'assistència tècnica de coordinació de seguretat i salut de les obres del projecte constructiu de regulació semafòrica de cruïlla de la C-255 al PK 1+850 amb la carretera de Campdorà.</v>
      </c>
      <c r="I3" s="157">
        <f>Total!I3013</f>
        <v>2632.8</v>
      </c>
    </row>
    <row r="4" spans="1:9" x14ac:dyDescent="0.2">
      <c r="A4" s="8">
        <v>3</v>
      </c>
      <c r="B4" s="101">
        <f>Total!B3014</f>
        <v>44503</v>
      </c>
      <c r="C4" s="101">
        <f>Total!C3014</f>
        <v>44522</v>
      </c>
      <c r="D4" s="112" t="s">
        <v>1092</v>
      </c>
      <c r="E4" s="332" t="str">
        <f>Total!E3014</f>
        <v>Obra Civil</v>
      </c>
      <c r="F4" s="96" t="str">
        <f>Total!F3014</f>
        <v>Control de Qualitat</v>
      </c>
      <c r="G4" s="112" t="str">
        <f>Total!G3014</f>
        <v>CQ. PC-CGG-20050</v>
      </c>
      <c r="H4" s="112" t="str">
        <f>Total!H3014</f>
        <v>Contracte de serveis per a l'assistència tècnica de control de qualitat de les obres del projecte constructiu de regulació semafòrica de cruïlla de la C-255 al PK 1+850 amb la carretera de Campdorà.</v>
      </c>
      <c r="I4" s="157">
        <f>Total!I3014</f>
        <v>2523.23</v>
      </c>
    </row>
    <row r="5" spans="1:9" x14ac:dyDescent="0.2">
      <c r="A5" s="8">
        <v>4</v>
      </c>
      <c r="B5" s="101">
        <f>Total!B3015</f>
        <v>44503</v>
      </c>
      <c r="C5" s="101">
        <f>Total!C3015</f>
        <v>44522</v>
      </c>
      <c r="D5" s="112" t="s">
        <v>1092</v>
      </c>
      <c r="E5" s="332" t="str">
        <f>Total!E3015</f>
        <v>Obra Civil</v>
      </c>
      <c r="F5" s="96" t="str">
        <f>Total!F3015</f>
        <v>Direccions d'Obra</v>
      </c>
      <c r="G5" s="112" t="str">
        <f>Total!G3015</f>
        <v>DO. PC-CGG-20050</v>
      </c>
      <c r="H5" s="112" t="str">
        <f>Total!H3015</f>
        <v>Contracte de serveis per a la direcció de les obres del projecte constructiu de regulació semafòrica de cruïlla de la C-255 al PK 1+850 amb la carretera de Campdorà.</v>
      </c>
      <c r="I5" s="157">
        <f>Total!I3015</f>
        <v>7781.12</v>
      </c>
    </row>
    <row r="6" spans="1:9" x14ac:dyDescent="0.2">
      <c r="A6" s="8">
        <v>5</v>
      </c>
      <c r="B6" s="101">
        <f>Total!B3016</f>
        <v>44508</v>
      </c>
      <c r="C6" s="101">
        <f>Total!C3016</f>
        <v>44529</v>
      </c>
      <c r="D6" s="112" t="s">
        <v>1092</v>
      </c>
      <c r="E6" s="332" t="str">
        <f>Total!E3016</f>
        <v>Obra Civil</v>
      </c>
      <c r="F6" s="96" t="str">
        <f>Total!F3016</f>
        <v>Projectes</v>
      </c>
      <c r="G6" s="112" t="str">
        <f>Total!G3016</f>
        <v>PC-AIC-21084.6</v>
      </c>
      <c r="H6" s="112" t="str">
        <f>Total!H3016</f>
        <v>Assistència tècnica per a la redacció del projecte constructiu. Condicionament per a la millora de la mobilitat i la seguretat de corredors de transport públic i diverses estacions i parades d'autobusos a diversos indrets de Catalunya. Àmbit Tarragona.</v>
      </c>
      <c r="I6" s="157">
        <f>Total!I3016</f>
        <v>99906.1</v>
      </c>
    </row>
    <row r="7" spans="1:9" x14ac:dyDescent="0.2">
      <c r="A7" s="8">
        <v>6</v>
      </c>
      <c r="B7" s="101">
        <f>Total!B3017</f>
        <v>44508</v>
      </c>
      <c r="C7" s="101">
        <f>Total!C3017</f>
        <v>44529</v>
      </c>
      <c r="D7" s="112" t="s">
        <v>1092</v>
      </c>
      <c r="E7" s="332" t="str">
        <f>Total!E3017</f>
        <v>Obra Civil</v>
      </c>
      <c r="F7" s="96" t="str">
        <f>Total!F3017</f>
        <v>Projectes</v>
      </c>
      <c r="G7" s="112" t="str">
        <f>Total!G3017</f>
        <v>PC-AIC-21084.3</v>
      </c>
      <c r="H7" s="112" t="str">
        <f>Total!H3017</f>
        <v>Redacció del projecte constructiu. Condicionament per a la millora de la mobilitat i la seguretat de corredors de transport públic i diverses estacions i parades d'autobusos a diversos indrets de Catalunya. Àmbit Comarques Centrals.</v>
      </c>
      <c r="I7" s="157">
        <f>Total!I3017</f>
        <v>99906.1</v>
      </c>
    </row>
    <row r="8" spans="1:9" x14ac:dyDescent="0.2">
      <c r="A8" s="8">
        <v>7</v>
      </c>
      <c r="B8" s="101">
        <f>Total!B3018</f>
        <v>44508</v>
      </c>
      <c r="C8" s="101">
        <f>Total!C3018</f>
        <v>44529</v>
      </c>
      <c r="D8" s="112" t="s">
        <v>1092</v>
      </c>
      <c r="E8" s="332" t="str">
        <f>Total!E3018</f>
        <v>Obra Civil</v>
      </c>
      <c r="F8" s="96" t="str">
        <f>Total!F3018</f>
        <v>Projectes</v>
      </c>
      <c r="G8" s="112" t="str">
        <f>Total!G3018</f>
        <v>PC-AIC-21084.1</v>
      </c>
      <c r="H8" s="112" t="str">
        <f>Total!H3018</f>
        <v>Redacció del projecte constructiu. Condicionament per a la millora de la mobilitat i la seguretat de corredors de transport públic i diverses estacions i parades d'autobusos a diversos indrets de Catalunya. Àmbit Barcelona Est.</v>
      </c>
      <c r="I8" s="157">
        <f>Total!I3018</f>
        <v>99906.1</v>
      </c>
    </row>
    <row r="9" spans="1:9" x14ac:dyDescent="0.2">
      <c r="A9" s="8">
        <v>8</v>
      </c>
      <c r="B9" s="101">
        <f>Total!B3019</f>
        <v>44508</v>
      </c>
      <c r="C9" s="101">
        <f>Total!C3019</f>
        <v>44529</v>
      </c>
      <c r="D9" s="112" t="s">
        <v>1092</v>
      </c>
      <c r="E9" s="332" t="str">
        <f>Total!E3019</f>
        <v>Obra Civil</v>
      </c>
      <c r="F9" s="96" t="str">
        <f>Total!F3019</f>
        <v>Projectes</v>
      </c>
      <c r="G9" s="112" t="str">
        <f>Total!G3019</f>
        <v>PC-AIC-21084.5</v>
      </c>
      <c r="H9" s="112" t="str">
        <f>Total!H3019</f>
        <v>Redacció del projecte constructiu. Condicionament per a la millora de la mobilitat i la seguretat de corredors de transport públic i diverses estacions i parades d'autobusos a diversos indrets de Catalunya. Àmbit Girona.</v>
      </c>
      <c r="I9" s="157">
        <f>Total!I3019</f>
        <v>99906.1</v>
      </c>
    </row>
    <row r="10" spans="1:9" x14ac:dyDescent="0.2">
      <c r="A10" s="8">
        <v>9</v>
      </c>
      <c r="B10" s="101">
        <f>Total!B3020</f>
        <v>44508</v>
      </c>
      <c r="C10" s="101">
        <f>Total!C3020</f>
        <v>44529</v>
      </c>
      <c r="D10" s="112" t="s">
        <v>1092</v>
      </c>
      <c r="E10" s="332" t="str">
        <f>Total!E3020</f>
        <v>Obra Civil</v>
      </c>
      <c r="F10" s="96" t="str">
        <f>Total!F3020</f>
        <v>Projectes</v>
      </c>
      <c r="G10" s="112" t="str">
        <f>Total!G3020</f>
        <v>PC-AIC-21084.4</v>
      </c>
      <c r="H10" s="112" t="str">
        <f>Total!H3020</f>
        <v>Redacció del projecte constructiu. Condicionament per a la millora de la mobilitat i la seguretat de corredors de transport públic i diverses estacions i parades d'autobusos a diversos indrets de Catalunya. Àmbit Lleida.</v>
      </c>
      <c r="I10" s="157">
        <f>Total!I3020</f>
        <v>99906.1</v>
      </c>
    </row>
    <row r="11" spans="1:9" x14ac:dyDescent="0.2">
      <c r="A11" s="8">
        <v>10</v>
      </c>
      <c r="B11" s="101">
        <f>Total!B3021</f>
        <v>44508</v>
      </c>
      <c r="C11" s="101">
        <f>Total!C3021</f>
        <v>44529</v>
      </c>
      <c r="D11" s="112" t="s">
        <v>1092</v>
      </c>
      <c r="E11" s="332" t="str">
        <f>Total!E3021</f>
        <v>Obra Civil</v>
      </c>
      <c r="F11" s="96" t="str">
        <f>Total!F3021</f>
        <v>Projectes</v>
      </c>
      <c r="G11" s="112" t="str">
        <f>Total!G3021</f>
        <v>PC-AIC-21084.2</v>
      </c>
      <c r="H11" s="112" t="str">
        <f>Total!H3021</f>
        <v>Redacció del projecte constructiu. Condicionament per a la millora de la mobilitat i la seguretat de corredors de transport públic i diverses estacions i parades d'autobusos a diversos indrets de Catalunya. Àmbit Barcelona Oest.</v>
      </c>
      <c r="I11" s="157">
        <f>Total!I3021</f>
        <v>99906.1</v>
      </c>
    </row>
    <row r="12" spans="1:9" x14ac:dyDescent="0.2">
      <c r="A12" s="8">
        <v>11</v>
      </c>
      <c r="B12" s="101">
        <f>Total!B3022</f>
        <v>44512</v>
      </c>
      <c r="C12" s="101">
        <f>Total!C3022</f>
        <v>44531</v>
      </c>
      <c r="D12" s="112" t="s">
        <v>1092</v>
      </c>
      <c r="E12" s="332" t="str">
        <f>Total!E3022</f>
        <v>Obra Civil</v>
      </c>
      <c r="F12" s="96" t="str">
        <f>Total!F3022</f>
        <v>Projectes</v>
      </c>
      <c r="G12" s="112" t="str">
        <f>Total!G3022</f>
        <v>PC. VT-08112.F3</v>
      </c>
      <c r="H12" s="112" t="str">
        <f>Total!H3022</f>
        <v>Contracte de serveis per a l'assistència tècnica per a la redacció del projecte constructiu Variant de Sarral. Connexió de la TP-2311 amb la C-241d. Fase 3.</v>
      </c>
      <c r="I12" s="157">
        <f>Total!I3022</f>
        <v>74700</v>
      </c>
    </row>
    <row r="13" spans="1:9" x14ac:dyDescent="0.2">
      <c r="A13" s="8">
        <v>12</v>
      </c>
      <c r="B13" s="101">
        <f>Total!B3023</f>
        <v>44512</v>
      </c>
      <c r="C13" s="101">
        <f>Total!C3023</f>
        <v>44531</v>
      </c>
      <c r="D13" s="112" t="s">
        <v>1092</v>
      </c>
      <c r="E13" s="332" t="str">
        <f>Total!E3023</f>
        <v>Obra Civil</v>
      </c>
      <c r="F13" s="96" t="str">
        <f>Total!F3023</f>
        <v>Projectes</v>
      </c>
      <c r="G13" s="112" t="str">
        <f>Total!G3023</f>
        <v>PC. PC-CFC-21069</v>
      </c>
      <c r="H13" s="112" t="str">
        <f>Total!H3023</f>
        <v>Contracte de serveis per a l'assistència tècnica per a la redacció del projecte constructiu "Millora de característiques superficials de la C-241d del PK 2+106 al 28+700 i de la T-221 del PK 5+250 al 7+850. Pira - Talavera".</v>
      </c>
      <c r="I13" s="157">
        <f>Total!I3023</f>
        <v>70250</v>
      </c>
    </row>
    <row r="14" spans="1:9" x14ac:dyDescent="0.2">
      <c r="A14" s="8">
        <v>13</v>
      </c>
      <c r="B14" s="101">
        <f>Total!B3024</f>
        <v>44512</v>
      </c>
      <c r="C14" s="101">
        <f>Total!C3024</f>
        <v>44529</v>
      </c>
      <c r="D14" s="112" t="s">
        <v>1092</v>
      </c>
      <c r="E14" s="332" t="str">
        <f>Total!E3024</f>
        <v>Obra Civil</v>
      </c>
      <c r="F14" s="96" t="str">
        <f>Total!F3024</f>
        <v>Projectes</v>
      </c>
      <c r="G14" s="112" t="str">
        <f>Total!G3024</f>
        <v>PC. PC-ANB-21072</v>
      </c>
      <c r="H14" s="112" t="str">
        <f>Total!H3024</f>
        <v>Contracte de serveis per a l'assistència tècnica per a la redacció del projecte constructiu d'implantació d'un carril bus d'entrada a Barcelona a la C-31 del PK 210+570 al 208+661. Badalona - Barcelona.</v>
      </c>
      <c r="I14" s="157">
        <f>Total!I3024</f>
        <v>203420</v>
      </c>
    </row>
    <row r="15" spans="1:9" x14ac:dyDescent="0.2">
      <c r="A15" s="8">
        <v>14</v>
      </c>
      <c r="B15" s="101">
        <f>Total!B3025</f>
        <v>44515</v>
      </c>
      <c r="C15" s="101">
        <f>Total!C3025</f>
        <v>44531</v>
      </c>
      <c r="D15" s="112" t="s">
        <v>1092</v>
      </c>
      <c r="E15" s="332" t="str">
        <f>Total!E3025</f>
        <v>Obra Civil</v>
      </c>
      <c r="F15" s="96" t="str">
        <f>Total!F3025</f>
        <v>Projectes</v>
      </c>
      <c r="G15" s="112" t="str">
        <f>Total!G3025</f>
        <v>EV. EU-CXC-21050.2</v>
      </c>
      <c r="H15" s="112" t="str">
        <f>Total!H3025</f>
        <v>Contracte de serveis per a l'assistència tècnica per a la redacció dels treballs dels mapes estratègics de soroll de les infraestructures viàries de la Generalitat de Catalunya. Fase 4 (2022-2027). Zona 2.</v>
      </c>
      <c r="I15" s="157">
        <f>Total!I3025</f>
        <v>178081.5</v>
      </c>
    </row>
    <row r="16" spans="1:9" x14ac:dyDescent="0.2">
      <c r="A16" s="8">
        <v>15</v>
      </c>
      <c r="B16" s="101">
        <f>Total!B3026</f>
        <v>44515</v>
      </c>
      <c r="C16" s="101">
        <f>Total!C3026</f>
        <v>44531</v>
      </c>
      <c r="D16" s="112" t="s">
        <v>1092</v>
      </c>
      <c r="E16" s="332" t="str">
        <f>Total!E3026</f>
        <v>Obra Civil</v>
      </c>
      <c r="F16" s="96" t="str">
        <f>Total!F3026</f>
        <v>Projectes</v>
      </c>
      <c r="G16" s="112" t="str">
        <f>Total!G3026</f>
        <v>ET. ET-CPB-21075</v>
      </c>
      <c r="H16" s="112" t="str">
        <f>Total!H3026</f>
        <v>Assistència tècnica per a la redacció de l'estudi de trànsit de millora de l'enllaç entre la B-30, la C-58 i l'N-150 i actuacions a l'N-150 per a la mobilitat activa. Barberà del Vallès ¿ Ripollet ¿ Cerdanyola del Vallès ¿ Badia del Vallès.</v>
      </c>
      <c r="I16" s="157">
        <f>Total!I3026</f>
        <v>37500</v>
      </c>
    </row>
    <row r="17" spans="1:9" x14ac:dyDescent="0.2">
      <c r="A17" s="8">
        <v>16</v>
      </c>
      <c r="B17" s="101">
        <f>Total!B3027</f>
        <v>44515</v>
      </c>
      <c r="C17" s="101">
        <f>Total!C3027</f>
        <v>44531</v>
      </c>
      <c r="D17" s="112" t="s">
        <v>1092</v>
      </c>
      <c r="E17" s="332" t="str">
        <f>Total!E3027</f>
        <v>Obra Civil</v>
      </c>
      <c r="F17" s="96" t="str">
        <f>Total!F3027</f>
        <v>Projectes</v>
      </c>
      <c r="G17" s="112" t="str">
        <f>Total!G3027</f>
        <v>EV. EU-CXC-21050.1</v>
      </c>
      <c r="H17" s="112" t="str">
        <f>Total!H3027</f>
        <v>Contracte de serveis per a l'assistència tècnica per a la redacció de l'estudi dels mapes estratègics de soroll de les infraestructures viàries de la Generalitat de Catalunya. Fase 4 (2022-2027).</v>
      </c>
      <c r="I17" s="157">
        <f>Total!I3027</f>
        <v>196746.92</v>
      </c>
    </row>
    <row r="18" spans="1:9" x14ac:dyDescent="0.2">
      <c r="A18" s="8">
        <v>17</v>
      </c>
      <c r="B18" s="101">
        <f>Total!B3028</f>
        <v>44519</v>
      </c>
      <c r="C18" s="101">
        <f>Total!C3028</f>
        <v>44552</v>
      </c>
      <c r="D18" s="112" t="s">
        <v>1092</v>
      </c>
      <c r="E18" s="332" t="str">
        <f>Total!E3028</f>
        <v>Obra Civil</v>
      </c>
      <c r="F18" s="96" t="str">
        <f>Total!F3028</f>
        <v>Direccions d'Obra</v>
      </c>
      <c r="G18" s="112" t="str">
        <f>Total!G3028</f>
        <v>AT. TM-00509.4 Voladures</v>
      </c>
      <c r="H18" s="112" t="str">
        <f>Total!H3028</f>
        <v>Contracte de serveis per a l'assistència tècnica per al control de l'execució de les voladures de la L9 del Metro de Barcelona.</v>
      </c>
      <c r="I18" s="157">
        <f>Total!I3028</f>
        <v>430000</v>
      </c>
    </row>
    <row r="19" spans="1:9" x14ac:dyDescent="0.2">
      <c r="A19" s="8">
        <v>18</v>
      </c>
      <c r="B19" s="101">
        <f>Total!B3029</f>
        <v>44519</v>
      </c>
      <c r="C19" s="101">
        <f>Total!C3029</f>
        <v>44543</v>
      </c>
      <c r="D19" s="112" t="s">
        <v>1092</v>
      </c>
      <c r="E19" s="332" t="str">
        <f>Total!E3029</f>
        <v>Obra Civil</v>
      </c>
      <c r="F19" s="96" t="str">
        <f>Total!F3029</f>
        <v>Projectes</v>
      </c>
      <c r="G19" s="112" t="str">
        <f>Total!G3029</f>
        <v>PC. PC-CMB-17031-C1</v>
      </c>
      <c r="H19" s="112" t="str">
        <f>Total!H3029</f>
        <v>Contracte de serveis per a l'assistència tècnica per a la redacció projecte constructiu. Posada a zero de l'N-141g del PK 7+700 al 8+300 i del vial de l'enllaç de Rajadell.</v>
      </c>
      <c r="I19" s="157">
        <f>Total!I3029</f>
        <v>37290</v>
      </c>
    </row>
    <row r="20" spans="1:9" x14ac:dyDescent="0.2">
      <c r="A20" s="8">
        <v>19</v>
      </c>
      <c r="B20" s="101">
        <f>Total!B3030</f>
        <v>44519</v>
      </c>
      <c r="C20" s="101">
        <f>Total!C3030</f>
        <v>44552</v>
      </c>
      <c r="D20" s="112" t="s">
        <v>1092</v>
      </c>
      <c r="E20" s="332" t="str">
        <f>Total!E3030</f>
        <v>Obra Civil</v>
      </c>
      <c r="F20" s="96" t="str">
        <f>Total!F3030</f>
        <v>Projectes</v>
      </c>
      <c r="G20" s="112" t="str">
        <f>Total!G3030</f>
        <v>PC. PC-CIB-21066</v>
      </c>
      <c r="H20" s="112" t="str">
        <f>Total!H3030</f>
        <v>Contracte de serveis per a l'assistència tècnica per a la redacció projecte constructiu. Integració urbana de l'N-II al Baix Maresme del PK 631+800 al 644+700. Montgat - Mataró.</v>
      </c>
      <c r="I20" s="157">
        <f>Total!I3030</f>
        <v>341900</v>
      </c>
    </row>
    <row r="21" spans="1:9" x14ac:dyDescent="0.2">
      <c r="A21" s="8">
        <v>20</v>
      </c>
      <c r="B21" s="101">
        <f>Total!B3031</f>
        <v>44519</v>
      </c>
      <c r="C21" s="101">
        <f>Total!C3031</f>
        <v>44552</v>
      </c>
      <c r="D21" s="112" t="s">
        <v>1092</v>
      </c>
      <c r="E21" s="332" t="str">
        <f>Total!E3031</f>
        <v>Obra Civil</v>
      </c>
      <c r="F21" s="96" t="str">
        <f>Total!F3031</f>
        <v>Projectes</v>
      </c>
      <c r="G21" s="112" t="str">
        <f>Total!G3031</f>
        <v>EI. EI-CIB-21073</v>
      </c>
      <c r="H21" s="112" t="str">
        <f>Total!H3031</f>
        <v>Contracte de serveis per a l'assistència tècnica per a la redacció de l'estudi informatiu del desdoblament de la C-15 del PK 36+000 al 39+530. Vallbona d'Anoia - la Torre de Claramunt.</v>
      </c>
      <c r="I21" s="157">
        <f>Total!I3031</f>
        <v>249400</v>
      </c>
    </row>
    <row r="22" spans="1:9" x14ac:dyDescent="0.2">
      <c r="A22" s="8">
        <v>21</v>
      </c>
      <c r="B22" s="101">
        <f>Total!B3032</f>
        <v>44519</v>
      </c>
      <c r="C22" s="101">
        <f>Total!C3032</f>
        <v>44543</v>
      </c>
      <c r="D22" s="112" t="s">
        <v>1092</v>
      </c>
      <c r="E22" s="332" t="str">
        <f>Total!E3032</f>
        <v>Obra Civil</v>
      </c>
      <c r="F22" s="96" t="str">
        <f>Total!F3032</f>
        <v>Projectes</v>
      </c>
      <c r="G22" s="112" t="str">
        <f>Total!G3032</f>
        <v>PC. PC-BIB-21089</v>
      </c>
      <c r="H22" s="112" t="str">
        <f>Total!H3032</f>
        <v>Contracte de serveis per a l'assistència tècnica per a la redacció projecte constructiu. Integració i carril bici de l' N-152z entre Montcada i Reixac i Mollet del Vallès.</v>
      </c>
      <c r="I22" s="157">
        <f>Total!I3032</f>
        <v>139970</v>
      </c>
    </row>
    <row r="23" spans="1:9" x14ac:dyDescent="0.2">
      <c r="A23" s="8">
        <v>22</v>
      </c>
      <c r="B23" s="101">
        <f>Total!B3033</f>
        <v>44522</v>
      </c>
      <c r="C23" s="101">
        <f>Total!C3033</f>
        <v>44571</v>
      </c>
      <c r="D23" s="112" t="s">
        <v>1092</v>
      </c>
      <c r="E23" s="332" t="str">
        <f>Total!E3033</f>
        <v>Edificació</v>
      </c>
      <c r="F23" s="96" t="str">
        <f>Total!F3033</f>
        <v>Direccions d'Execució</v>
      </c>
      <c r="G23" s="112" t="str">
        <f>Total!G3033</f>
        <v>DE. INH-17232</v>
      </c>
      <c r="H23" s="112" t="str">
        <f>Total!H3033</f>
        <v>Contracte de serveis per a la direcció d'execució de les obres de nova construcció Institut 3/0, a Gurb.</v>
      </c>
      <c r="I23" s="157">
        <f>Total!I3033</f>
        <v>99136.71</v>
      </c>
    </row>
    <row r="24" spans="1:9" x14ac:dyDescent="0.2">
      <c r="A24" s="8">
        <v>23</v>
      </c>
      <c r="B24" s="101">
        <f>Total!B3034</f>
        <v>44522</v>
      </c>
      <c r="C24" s="101">
        <f>Total!C3034</f>
        <v>44571</v>
      </c>
      <c r="D24" s="112" t="s">
        <v>1092</v>
      </c>
      <c r="E24" s="332" t="str">
        <f>Total!E3034</f>
        <v>Edificació</v>
      </c>
      <c r="F24" s="96" t="str">
        <f>Total!F3034</f>
        <v>Control de Qualitat</v>
      </c>
      <c r="G24" s="112" t="str">
        <f>Total!G3034</f>
        <v>CQ. INH-17232</v>
      </c>
      <c r="H24" s="112" t="str">
        <f>Total!H3034</f>
        <v>Contracte de serveis per a l'assistència tècnica de control de qualitat de les obres de nova construcció Institut 3/0, a Gurb.</v>
      </c>
      <c r="I24" s="157">
        <f>Total!I3034</f>
        <v>56073.27</v>
      </c>
    </row>
    <row r="25" spans="1:9" x14ac:dyDescent="0.2">
      <c r="A25" s="8">
        <v>24</v>
      </c>
      <c r="B25" s="101">
        <f>Total!B3035</f>
        <v>44522</v>
      </c>
      <c r="C25" s="101">
        <f>Total!C3035</f>
        <v>44571</v>
      </c>
      <c r="D25" s="112" t="s">
        <v>1092</v>
      </c>
      <c r="E25" s="332" t="str">
        <f>Total!E3035</f>
        <v>Edificació</v>
      </c>
      <c r="F25" s="96" t="str">
        <f>Total!F3035</f>
        <v>Direccions d'Execució</v>
      </c>
      <c r="G25" s="112" t="str">
        <f>Total!G3035</f>
        <v>CSS. INH-17232</v>
      </c>
      <c r="H25" s="112" t="str">
        <f>Total!H3035</f>
        <v>Contracte de serveis per a l'assistència tècnica de coordinació de seguretat i salut de les obres del projecte de nova construcció institut 3/0 línies, a l'Institut de Gurb (Osona). Lot 1 + Lot 2.</v>
      </c>
      <c r="I25" s="157">
        <f>Total!I3035</f>
        <v>24091.919999999998</v>
      </c>
    </row>
    <row r="26" spans="1:9" x14ac:dyDescent="0.2">
      <c r="A26" s="8">
        <v>25</v>
      </c>
      <c r="B26" s="101">
        <f>Total!B3036</f>
        <v>44524</v>
      </c>
      <c r="C26" s="101">
        <f>Total!C3036</f>
        <v>44543</v>
      </c>
      <c r="D26" s="112" t="s">
        <v>1092</v>
      </c>
      <c r="E26" s="332" t="str">
        <f>Total!E3036</f>
        <v>Obra Civil</v>
      </c>
      <c r="F26" s="96" t="str">
        <f>Total!F3036</f>
        <v>Direccions d'Obra</v>
      </c>
      <c r="G26" s="112" t="str">
        <f>Total!G3036</f>
        <v>DO. NC-00100-A2.2-F1</v>
      </c>
      <c r="H26" s="112" t="str">
        <f>Total!H3036</f>
        <v>Contracte de serveis per a la direcció de les obres del projecte constructiu de millora general. Nova carretera entre Riba-roja i la Granja d'Escarp. Tram: Riba-roja d'Ebre - la Granja d'Escarp.</v>
      </c>
      <c r="I26" s="157">
        <f>Total!I3036</f>
        <v>39598.870000000003</v>
      </c>
    </row>
    <row r="27" spans="1:9" x14ac:dyDescent="0.2">
      <c r="A27" s="8">
        <v>26</v>
      </c>
      <c r="B27" s="101">
        <f>Total!B3037</f>
        <v>44524</v>
      </c>
      <c r="C27" s="101">
        <f>Total!C3037</f>
        <v>44543</v>
      </c>
      <c r="D27" s="112" t="s">
        <v>1092</v>
      </c>
      <c r="E27" s="332" t="str">
        <f>Total!E3037</f>
        <v>Obra Civil</v>
      </c>
      <c r="F27" s="96" t="str">
        <f>Total!F3037</f>
        <v>Direccions d'Obra</v>
      </c>
      <c r="G27" s="112" t="str">
        <f>Total!G3037</f>
        <v>DO. NC-00100-A2.2-F2</v>
      </c>
      <c r="H27" s="112" t="str">
        <f>Total!H3037</f>
        <v>Contracte de serveis per a la direcció de les obres del projecte constructiu de millora general. Nova carretera entre Riba-roja i la Granja d'Escarp. Tram: Riba-roja d'Ebre - la Granja d'Escarp.</v>
      </c>
      <c r="I27" s="157">
        <f>Total!I3037</f>
        <v>3303.11</v>
      </c>
    </row>
    <row r="28" spans="1:9" x14ac:dyDescent="0.2">
      <c r="A28" s="8">
        <v>27</v>
      </c>
      <c r="B28" s="101">
        <f>Total!B3038</f>
        <v>44524</v>
      </c>
      <c r="C28" s="101">
        <f>Total!C3038</f>
        <v>44543</v>
      </c>
      <c r="D28" s="112" t="s">
        <v>1092</v>
      </c>
      <c r="E28" s="332" t="str">
        <f>Total!E3038</f>
        <v>Obra Civil</v>
      </c>
      <c r="F28" s="96" t="str">
        <f>Total!F3038</f>
        <v>Control de Qualitat</v>
      </c>
      <c r="G28" s="112" t="str">
        <f>Total!G3038</f>
        <v>CQ. NC-00100-A2.2-F2</v>
      </c>
      <c r="H28" s="112" t="str">
        <f>Total!H3038</f>
        <v>Contracte de serveis per a l'assistència tècnica de control de qualitat de les obres del projecte constructiu de millora general. Nova carretera entre Riba-roja i la Granja d'Escarp. Tram: Riba-roja d'Ebre - la Granja d'Escarp.</v>
      </c>
      <c r="I28" s="157">
        <f>Total!I3038</f>
        <v>1204.49</v>
      </c>
    </row>
    <row r="29" spans="1:9" x14ac:dyDescent="0.2">
      <c r="A29" s="8">
        <v>28</v>
      </c>
      <c r="B29" s="101">
        <f>Total!B3039</f>
        <v>44524</v>
      </c>
      <c r="C29" s="101">
        <f>Total!C3039</f>
        <v>44543</v>
      </c>
      <c r="D29" s="112" t="s">
        <v>1092</v>
      </c>
      <c r="E29" s="332" t="str">
        <f>Total!E3039</f>
        <v>Obra Civil</v>
      </c>
      <c r="F29" s="96" t="str">
        <f>Total!F3039</f>
        <v>Control de Qualitat</v>
      </c>
      <c r="G29" s="112" t="str">
        <f>Total!G3039</f>
        <v>CQ. NC-00100-A2.2-F1</v>
      </c>
      <c r="H29" s="112" t="str">
        <f>Total!H3039</f>
        <v>Contracte de serveis per a l'assistència tècnica de control de qualitat de les obres del projecte constructiu de millora general. Nova carretera entre Riba-roja i la Granja d'Escarp. Tram: Riba-roja d'Ebre - la Granja d'Escarp.</v>
      </c>
      <c r="I29" s="157">
        <f>Total!I3039</f>
        <v>14638.48</v>
      </c>
    </row>
    <row r="30" spans="1:9" x14ac:dyDescent="0.2">
      <c r="A30" s="8">
        <v>29</v>
      </c>
      <c r="B30" s="101">
        <f>Total!B3040</f>
        <v>44524</v>
      </c>
      <c r="C30" s="101">
        <f>Total!C3040</f>
        <v>44543</v>
      </c>
      <c r="D30" s="112" t="s">
        <v>1092</v>
      </c>
      <c r="E30" s="332" t="str">
        <f>Total!E3040</f>
        <v>Obra Civil</v>
      </c>
      <c r="F30" s="96" t="str">
        <f>Total!F3040</f>
        <v>Direccions d'Obra</v>
      </c>
      <c r="G30" s="112" t="str">
        <f>Total!G3040</f>
        <v>CSS. NC-00100-A2.2</v>
      </c>
      <c r="H30" s="112" t="str">
        <f>Total!H3040</f>
        <v>Assistència tècnica de coordinació de seguretat i salut de les obres del projecte constructiu de millora general. Nova carretera entre Riba-roja i la Granja d'Escarp. Tram: Riba-roja d'Ebre - la Granja d'Escarp. Fase 1 (Lot 1 + Lot 2) i Fase 2.</v>
      </c>
      <c r="I30" s="157">
        <f>Total!I3040</f>
        <v>11431.06</v>
      </c>
    </row>
    <row r="31" spans="1:9" x14ac:dyDescent="0.2">
      <c r="A31" s="8">
        <v>30</v>
      </c>
      <c r="B31" s="101">
        <f>Total!B3041</f>
        <v>44525</v>
      </c>
      <c r="C31" s="101">
        <f>Total!C3041</f>
        <v>44543</v>
      </c>
      <c r="D31" s="112" t="s">
        <v>1092</v>
      </c>
      <c r="E31" s="332" t="str">
        <f>Total!E3041</f>
        <v>Obra Civil</v>
      </c>
      <c r="F31" s="96" t="str">
        <f>Total!F3041</f>
        <v>Direccions d'Obra</v>
      </c>
      <c r="G31" s="112" t="str">
        <f>Total!G3041</f>
        <v>DO. PZV-19405</v>
      </c>
      <c r="H31" s="112" t="str">
        <f>Total!H3041</f>
        <v>Direcció de les obres del projecte d'ordenació dels espais exteriors del mas Can Passavent, ordenació dels accessos i tancament perimetral de les grederes del Volcà Croscat, al Parc Natural de la Zona Volcànica de la Garrotxa, TM d'Olot i Santa Pau.</v>
      </c>
      <c r="I31" s="157">
        <f>Total!I3041</f>
        <v>29730.67</v>
      </c>
    </row>
    <row r="32" spans="1:9" x14ac:dyDescent="0.2">
      <c r="A32" s="8">
        <v>31</v>
      </c>
      <c r="B32" s="101">
        <f>Total!B3042</f>
        <v>44527</v>
      </c>
      <c r="C32" s="101">
        <f>Total!C3042</f>
        <v>44543</v>
      </c>
      <c r="D32" s="112" t="s">
        <v>1092</v>
      </c>
      <c r="E32" s="332" t="str">
        <f>Total!E3042</f>
        <v>Edificació</v>
      </c>
      <c r="F32" s="96" t="str">
        <f>Total!F3042</f>
        <v>Control de Qualitat</v>
      </c>
      <c r="G32" s="112" t="str">
        <f>Total!G3042</f>
        <v>CQ. INT-17269</v>
      </c>
      <c r="H32" s="112" t="str">
        <f>Total!H3042</f>
        <v>Contracte de serveis per a l'assistència tècnica de Control de Qualitat de les obres de la nova construcció d'institut 3/0 línies, a l'Institut de Roda de Berà (Tarragonès).</v>
      </c>
      <c r="I32" s="157">
        <f>Total!I3042</f>
        <v>71871.45</v>
      </c>
    </row>
    <row r="33" spans="1:9" x14ac:dyDescent="0.2">
      <c r="A33" s="8">
        <v>32</v>
      </c>
      <c r="B33" s="101">
        <f>Total!B3043</f>
        <v>44526</v>
      </c>
      <c r="C33" s="101">
        <f>Total!C3043</f>
        <v>44543</v>
      </c>
      <c r="D33" s="112" t="s">
        <v>1092</v>
      </c>
      <c r="E33" s="332" t="str">
        <f>Total!E3043</f>
        <v>Edificació</v>
      </c>
      <c r="F33" s="96" t="str">
        <f>Total!F3043</f>
        <v>Direccions d'Execució</v>
      </c>
      <c r="G33" s="112" t="str">
        <f>Total!G3043</f>
        <v>CSS. INT-17269</v>
      </c>
      <c r="H33" s="112" t="str">
        <f>Total!H3043</f>
        <v>Contracte de serveis per a l'assistència tècnica de coordinació de seguretat i salut de les obres de la nova construcció d'institut 3/0 línies, a l'Institut de Roda de Berà (Tarragonès).</v>
      </c>
      <c r="I33" s="157">
        <f>Total!I3043</f>
        <v>29281.74</v>
      </c>
    </row>
    <row r="34" spans="1:9" x14ac:dyDescent="0.2">
      <c r="A34" s="8">
        <v>33</v>
      </c>
      <c r="B34" s="101">
        <f>Total!B3044</f>
        <v>44526</v>
      </c>
      <c r="C34" s="101">
        <f>Total!C3044</f>
        <v>44543</v>
      </c>
      <c r="D34" s="112" t="s">
        <v>1092</v>
      </c>
      <c r="E34" s="332" t="str">
        <f>Total!E3044</f>
        <v>Edificació</v>
      </c>
      <c r="F34" s="96" t="str">
        <f>Total!F3044</f>
        <v>Direccions d'Execució</v>
      </c>
      <c r="G34" s="112" t="str">
        <f>Total!G3044</f>
        <v>DE. INT-17269</v>
      </c>
      <c r="H34" s="112" t="str">
        <f>Total!H3044</f>
        <v>Contracte de serveis per a la Direcció d'execució de les obres de la nova construcció d'institut 3/0 línies, a l'Institut de Roda de Berà (Tarragonès).</v>
      </c>
      <c r="I34" s="157">
        <f>Total!I3044</f>
        <v>131377.70000000001</v>
      </c>
    </row>
    <row r="35" spans="1:9" x14ac:dyDescent="0.2">
      <c r="A35" s="8">
        <v>34</v>
      </c>
      <c r="B35" s="101">
        <f>Total!B3045</f>
        <v>44529</v>
      </c>
      <c r="C35" s="101">
        <f>Total!C3045</f>
        <v>44571</v>
      </c>
      <c r="D35" s="112" t="s">
        <v>1092</v>
      </c>
      <c r="E35" s="332" t="str">
        <f>Total!E3045</f>
        <v>Obra Civil</v>
      </c>
      <c r="F35" s="96" t="str">
        <f>Total!F3045</f>
        <v>Projectes</v>
      </c>
      <c r="G35" s="112" t="str">
        <f>Total!G3045</f>
        <v>ES-AG-03020.3.1-C2</v>
      </c>
      <c r="H35" s="112" t="str">
        <f>Total!H3045</f>
        <v>Contracte de serveis per a l'assistència tècnica per a la redacció de l'estudi d'Auditoria i avaluació de la Seguretat del Túnel inclòs en el projecte AG-03020.3.1. Fase Obra.</v>
      </c>
      <c r="I35" s="157">
        <f>Total!I3045</f>
        <v>32131.040000000001</v>
      </c>
    </row>
    <row r="36" spans="1:9" x14ac:dyDescent="0.2">
      <c r="A36" s="8">
        <v>35</v>
      </c>
      <c r="B36" s="101">
        <f>Total!B3046</f>
        <v>44529</v>
      </c>
      <c r="C36" s="101">
        <f>Total!C3046</f>
        <v>44571</v>
      </c>
      <c r="D36" s="112" t="s">
        <v>1092</v>
      </c>
      <c r="E36" s="332" t="str">
        <f>Total!E3046</f>
        <v>Edificació</v>
      </c>
      <c r="F36" s="96" t="str">
        <f>Total!F3046</f>
        <v>Direccions d'Execució</v>
      </c>
      <c r="G36" s="112" t="str">
        <f>Total!G3046</f>
        <v>DE. GPV-17229.1 Nova licitació</v>
      </c>
      <c r="H36" s="112" t="str">
        <f>Total!H3046</f>
        <v>Contracte de serveis per a l'assistència tècnica de direcció d'execució de les obres de la desconstrucció dels edificis i ajudes a l'arqueologia per a la nova seu de la Delegació del Govern de la Generalitat de Catalunya a la Catalunya Central, a Manresa.</v>
      </c>
      <c r="I36" s="157">
        <f>Total!I3046</f>
        <v>29500</v>
      </c>
    </row>
    <row r="37" spans="1:9" x14ac:dyDescent="0.2">
      <c r="A37" s="8">
        <v>36</v>
      </c>
      <c r="B37" s="101">
        <f>Total!B3047</f>
        <v>44529</v>
      </c>
      <c r="C37" s="101">
        <f>Total!C3047</f>
        <v>44550</v>
      </c>
      <c r="D37" s="112" t="s">
        <v>1092</v>
      </c>
      <c r="E37" s="332" t="str">
        <f>Total!E3047</f>
        <v>Edificació</v>
      </c>
      <c r="F37" s="96" t="str">
        <f>Total!F3047</f>
        <v>Projectes</v>
      </c>
      <c r="G37" s="112" t="str">
        <f>Total!G3047</f>
        <v>EG. EG30</v>
      </c>
      <c r="H37" s="112" t="str">
        <f>Total!H3047</f>
        <v>Contracte de serveis per a l'Assistència tècnica per a la realització dels informes preliminars dels emplaçaments dels projectes d'edificació.</v>
      </c>
      <c r="I37" s="157">
        <f>Total!I3047</f>
        <v>100000</v>
      </c>
    </row>
    <row r="38" spans="1:9" x14ac:dyDescent="0.2">
      <c r="I38" s="126">
        <f>SUM(I2:I37)</f>
        <v>3461502.6800000006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47"/>
  <sheetViews>
    <sheetView topLeftCell="A4" workbookViewId="0">
      <selection activeCell="A8" sqref="A8:A4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Total!B2965</f>
        <v>44470</v>
      </c>
      <c r="C2" s="101">
        <f>Total!C2965</f>
        <v>44489</v>
      </c>
      <c r="D2" s="112" t="s">
        <v>1092</v>
      </c>
      <c r="E2" s="332" t="str">
        <f>Total!E2965</f>
        <v>Obra Civil</v>
      </c>
      <c r="F2" s="96" t="str">
        <f>Total!F2965</f>
        <v>Projectes</v>
      </c>
      <c r="G2" s="112" t="str">
        <f>Total!G2965</f>
        <v>PC. REB-21266</v>
      </c>
      <c r="H2" s="112" t="str">
        <f>Total!H2965</f>
        <v>Contracte de serveis per a l'assistència tècnica per a la redacció del projecte constructiu. Recuperació ecològica i ambiental de la Bassa dels Ànecs a la Roca del Vallès. Clau: REB-21266</v>
      </c>
      <c r="I2" s="157">
        <f>Total!I2965</f>
        <v>35500</v>
      </c>
    </row>
    <row r="3" spans="1:9" x14ac:dyDescent="0.2">
      <c r="A3" s="8">
        <v>2</v>
      </c>
      <c r="B3" s="101">
        <f>Total!B2966</f>
        <v>44470</v>
      </c>
      <c r="C3" s="101">
        <f>Total!C2966</f>
        <v>44489</v>
      </c>
      <c r="D3" s="112" t="s">
        <v>1092</v>
      </c>
      <c r="E3" s="332" t="str">
        <f>Total!E2966</f>
        <v>Edificació</v>
      </c>
      <c r="F3" s="96" t="str">
        <f>Total!F2966</f>
        <v>Direccions d'Execució</v>
      </c>
      <c r="G3" s="112" t="str">
        <f>Total!G2966</f>
        <v>DE. JVP-18329</v>
      </c>
      <c r="H3" s="112" t="str">
        <f>Total!H2966</f>
        <v>Contracte de serveis per a la direcció d'execució de les obres de la instal·lació elèctrica del Centre Penitenciari de Ponent a Lleida. Clau: JVP-18329</v>
      </c>
      <c r="I3" s="157">
        <f>Total!I2966</f>
        <v>36400</v>
      </c>
    </row>
    <row r="4" spans="1:9" x14ac:dyDescent="0.2">
      <c r="A4" s="8">
        <v>3</v>
      </c>
      <c r="B4" s="101">
        <f>Total!B2967</f>
        <v>44470</v>
      </c>
      <c r="C4" s="101">
        <f>Total!C2967</f>
        <v>44489</v>
      </c>
      <c r="D4" s="112" t="s">
        <v>1092</v>
      </c>
      <c r="E4" s="332" t="str">
        <f>Total!E2967</f>
        <v>Obra Civil</v>
      </c>
      <c r="F4" s="96" t="str">
        <f>Total!F2967</f>
        <v>Direccions d'Obra</v>
      </c>
      <c r="G4" s="112" t="str">
        <f>Total!G2967</f>
        <v>DO. CB-16024</v>
      </c>
      <c r="H4" s="112" t="str">
        <f>Total!H2967</f>
        <v>Contracte de serveis per a la direcció de les obres del projecte constructiu de conservació extraordinària. Ponts i estructures. Rehabilitació d'obres de fàbrica a la carretera C-1415b. PK 7+820. Tram: Lliçà d'Amunt. Clau: CB-16024</v>
      </c>
      <c r="I4" s="157">
        <f>Total!I2967</f>
        <v>14785.6</v>
      </c>
    </row>
    <row r="5" spans="1:9" x14ac:dyDescent="0.2">
      <c r="A5" s="8">
        <v>4</v>
      </c>
      <c r="B5" s="101">
        <f>Total!B2968</f>
        <v>44470</v>
      </c>
      <c r="C5" s="101">
        <f>Total!C2968</f>
        <v>44489</v>
      </c>
      <c r="D5" s="112" t="s">
        <v>1092</v>
      </c>
      <c r="E5" s="332" t="str">
        <f>Total!E2968</f>
        <v>Obra Civil</v>
      </c>
      <c r="F5" s="96" t="str">
        <f>Total!F2968</f>
        <v>Control de Qualitat</v>
      </c>
      <c r="G5" s="112" t="str">
        <f>Total!G2968</f>
        <v>CQ. CB-16024</v>
      </c>
      <c r="H5" s="112" t="str">
        <f>Total!H2968</f>
        <v>Contracte de serveis per a l'assistència tècnica de Control de Qualitat del projecte constructiu de conservació extraordinària. Ponts i estructures. Rehabilitació d'obres de fàbrica a la carretera C-1415b. PK7+820. Tram: Lliçà d'Amunt. Clau: CB-16024</v>
      </c>
      <c r="I5" s="157">
        <f>Total!I2968</f>
        <v>2301.65</v>
      </c>
    </row>
    <row r="6" spans="1:9" x14ac:dyDescent="0.2">
      <c r="A6" s="8">
        <v>5</v>
      </c>
      <c r="B6" s="101">
        <f>Total!B2969</f>
        <v>44470</v>
      </c>
      <c r="C6" s="101">
        <f>Total!C2969</f>
        <v>44489</v>
      </c>
      <c r="D6" s="112" t="s">
        <v>1092</v>
      </c>
      <c r="E6" s="332" t="str">
        <f>Total!E2969</f>
        <v>Obra Civil</v>
      </c>
      <c r="F6" s="96" t="str">
        <f>Total!F2969</f>
        <v>Direccions d'Obra</v>
      </c>
      <c r="G6" s="112" t="str">
        <f>Total!G2969</f>
        <v>CSS. CB-16024</v>
      </c>
      <c r="H6" s="112" t="str">
        <f>Total!H2969</f>
        <v>Assistència tècnica de coordinació de seguretat i salut de les obres del projecte constructiu de conservació extraordinària. Ponts i estructures. Rehabilitació d'obres de fàbrica a la carretera C-1415b. PK 7+820. Tram: Lliçà d'Amunt.</v>
      </c>
      <c r="I6" s="157">
        <f>Total!I2969</f>
        <v>4014.46</v>
      </c>
    </row>
    <row r="7" spans="1:9" x14ac:dyDescent="0.2">
      <c r="A7" s="8">
        <v>6</v>
      </c>
      <c r="B7" s="101">
        <f>Total!B2970</f>
        <v>44473</v>
      </c>
      <c r="C7" s="101">
        <f>Total!C2970</f>
        <v>44489</v>
      </c>
      <c r="D7" s="112" t="s">
        <v>1092</v>
      </c>
      <c r="E7" s="332" t="str">
        <f>Total!E2970</f>
        <v>Obra Civil</v>
      </c>
      <c r="F7" s="96" t="str">
        <f>Total!F2970</f>
        <v>Projectes</v>
      </c>
      <c r="G7" s="112" t="str">
        <f>Total!G2970</f>
        <v>PC. RE-16041-C1_Nova licitació</v>
      </c>
      <c r="H7" s="112" t="str">
        <f>Total!H2970</f>
        <v>Assistència tècnica per a la redacció del projecte complementari núm. 1 de rotonda a la TV-3454 al pk 11,100 i adequació dels sistemes de contenció de vehicles del pk 7,500 al 15,700. Deltebre.</v>
      </c>
      <c r="I7" s="157">
        <f>Total!I2970</f>
        <v>50500</v>
      </c>
    </row>
    <row r="8" spans="1:9" x14ac:dyDescent="0.2">
      <c r="A8" s="8">
        <v>7</v>
      </c>
      <c r="B8" s="101">
        <f>Total!B2971</f>
        <v>44474</v>
      </c>
      <c r="C8" s="101">
        <f>Total!C2971</f>
        <v>44494</v>
      </c>
      <c r="D8" s="112" t="s">
        <v>1092</v>
      </c>
      <c r="E8" s="332" t="str">
        <f>Total!E2971</f>
        <v>Obra Civil</v>
      </c>
      <c r="F8" s="96" t="str">
        <f>Total!F2971</f>
        <v>Projectes</v>
      </c>
      <c r="G8" s="112" t="str">
        <f>Total!G2971</f>
        <v>PC. JVP-21239</v>
      </c>
      <c r="H8" s="112" t="str">
        <f>Total!H2971</f>
        <v>Contracte de serveis per a l'assistència tècnica per a la redacció de l'actualització del projecte constructiu d'adequació del vial d'accés al Centre Educatiu Alzina, al Palau Solità i Plegamans.</v>
      </c>
      <c r="I8" s="157">
        <f>Total!I2971</f>
        <v>40500</v>
      </c>
    </row>
    <row r="9" spans="1:9" x14ac:dyDescent="0.2">
      <c r="A9" s="8">
        <v>8</v>
      </c>
      <c r="B9" s="101">
        <f>Total!B2972</f>
        <v>44475</v>
      </c>
      <c r="C9" s="101">
        <f>Total!C2972</f>
        <v>44494</v>
      </c>
      <c r="D9" s="112" t="s">
        <v>1092</v>
      </c>
      <c r="E9" s="332" t="str">
        <f>Total!E2972</f>
        <v>Edificació</v>
      </c>
      <c r="F9" s="96" t="str">
        <f>Total!F2972</f>
        <v>Direccions d'Execució</v>
      </c>
      <c r="G9" s="112" t="str">
        <f>Total!G2972</f>
        <v>CSS. R0-18346</v>
      </c>
      <c r="H9" s="112" t="str">
        <f>Total!H2972</f>
        <v>Contracte de serveis per a l'assistència tècnica de coordinació de seguretat i salut de les obres del Projecte de renovació dels aparells de climatització de les oficines i vestuaris del taller de Zona Franca de L9 de metro de Barcelona.</v>
      </c>
      <c r="I9" s="157">
        <f>Total!I2972</f>
        <v>8381.4</v>
      </c>
    </row>
    <row r="10" spans="1:9" x14ac:dyDescent="0.2">
      <c r="A10" s="8">
        <v>9</v>
      </c>
      <c r="B10" s="101">
        <f>Total!B2973</f>
        <v>44475</v>
      </c>
      <c r="C10" s="101">
        <f>Total!C2973</f>
        <v>44494</v>
      </c>
      <c r="D10" s="112" t="s">
        <v>1092</v>
      </c>
      <c r="E10" s="332" t="str">
        <f>Total!E2973</f>
        <v>Edificació</v>
      </c>
      <c r="F10" s="96" t="str">
        <f>Total!F2973</f>
        <v>Control de Qualitat</v>
      </c>
      <c r="G10" s="112" t="str">
        <f>Total!G2973</f>
        <v>CQ. R0-18346</v>
      </c>
      <c r="H10" s="112" t="str">
        <f>Total!H2973</f>
        <v>Contracte de serveis per a l'assistència tècnica de Control de Qualitat de les obres del Projecte de renovació dels aparells de climatització de les oficines i vestuaris del taller de Zona Franca de L9 de metro de Barcelona.</v>
      </c>
      <c r="I10" s="157">
        <f>Total!I2973</f>
        <v>13345.09</v>
      </c>
    </row>
    <row r="11" spans="1:9" x14ac:dyDescent="0.2">
      <c r="A11" s="8">
        <v>10</v>
      </c>
      <c r="B11" s="101">
        <f>Total!B2975</f>
        <v>44476</v>
      </c>
      <c r="C11" s="101">
        <f>Total!C2975</f>
        <v>44496</v>
      </c>
      <c r="D11" s="112" t="s">
        <v>1092</v>
      </c>
      <c r="E11" s="332" t="str">
        <f>Total!E2975</f>
        <v>Obra Civil</v>
      </c>
      <c r="F11" s="96" t="str">
        <f>Total!F2975</f>
        <v>Projectes</v>
      </c>
      <c r="G11" s="112" t="str">
        <f>Total!G2975</f>
        <v>PC. PC-CGB-21042</v>
      </c>
      <c r="H11" s="112" t="str">
        <f>Total!H2975</f>
        <v>Contracte de serveis per a l'assistència tècnica per a la redacció del projecte constructiu rehabilitació del Pont de Sant Francesc de la C-37z al PK 93+090. Manresa. Clau: PC-CGB-21042</v>
      </c>
      <c r="I11" s="157">
        <f>Total!I2975</f>
        <v>29500</v>
      </c>
    </row>
    <row r="12" spans="1:9" x14ac:dyDescent="0.2">
      <c r="A12" s="8">
        <v>11</v>
      </c>
      <c r="B12" s="101">
        <f>Total!B2976</f>
        <v>44476</v>
      </c>
      <c r="C12" s="101">
        <f>Total!C2976</f>
        <v>44494</v>
      </c>
      <c r="D12" s="112" t="s">
        <v>1092</v>
      </c>
      <c r="E12" s="332" t="str">
        <f>Total!E2976</f>
        <v>Edificació</v>
      </c>
      <c r="F12" s="96" t="str">
        <f>Total!F2976</f>
        <v>Control de Qualitat</v>
      </c>
      <c r="G12" s="112" t="str">
        <f>Total!G2976</f>
        <v>CQ. INM-18304</v>
      </c>
      <c r="H12" s="112" t="str">
        <f>Total!H2976</f>
        <v>Contracte de serveis per a l'assistència tècnica de control de qualitat de les obres de la nova construcció Institut 2/0 a Dosrius. Clau: INM-18304</v>
      </c>
      <c r="I12" s="157">
        <f>Total!I2976</f>
        <v>54959.86</v>
      </c>
    </row>
    <row r="13" spans="1:9" x14ac:dyDescent="0.2">
      <c r="A13" s="8">
        <v>12</v>
      </c>
      <c r="B13" s="101">
        <f>Total!B2977</f>
        <v>44476</v>
      </c>
      <c r="C13" s="101">
        <f>Total!C2977</f>
        <v>44494</v>
      </c>
      <c r="D13" s="112" t="s">
        <v>1092</v>
      </c>
      <c r="E13" s="332" t="str">
        <f>Total!E2977</f>
        <v>Edificació</v>
      </c>
      <c r="F13" s="96" t="str">
        <f>Total!F2977</f>
        <v>Direccions d'Execució</v>
      </c>
      <c r="G13" s="112" t="str">
        <f>Total!G2977</f>
        <v>CSS. INM-18304</v>
      </c>
      <c r="H13" s="112" t="str">
        <f>Total!H2977</f>
        <v>Contracte de serveis per a l'assistència tècnica de coordinació de seguretat i salut de les obres del projecte de nova construcció Institut 2/0 a Dosrius. Clau: INM-18304</v>
      </c>
      <c r="I13" s="157">
        <f>Total!I2977</f>
        <v>23105.94</v>
      </c>
    </row>
    <row r="14" spans="1:9" x14ac:dyDescent="0.2">
      <c r="A14" s="8">
        <v>13</v>
      </c>
      <c r="B14" s="101">
        <f>Total!B2978</f>
        <v>44476</v>
      </c>
      <c r="C14" s="101">
        <f>Total!C2978</f>
        <v>44494</v>
      </c>
      <c r="D14" s="112" t="s">
        <v>1092</v>
      </c>
      <c r="E14" s="332" t="str">
        <f>Total!E2978</f>
        <v>Edificació</v>
      </c>
      <c r="F14" s="96" t="str">
        <f>Total!F2978</f>
        <v>Direccions d'Obra</v>
      </c>
      <c r="G14" s="112" t="str">
        <f>Total!G2978</f>
        <v>DO. INM-18304</v>
      </c>
      <c r="H14" s="112" t="str">
        <f>Total!H2978</f>
        <v>Contracte de serveis per a la direcció de les obres de la nova construcció Institut 2/0 a Dosrius. Clau: INM-18304</v>
      </c>
      <c r="I14" s="157">
        <f>Total!I2978</f>
        <v>74479.149999999994</v>
      </c>
    </row>
    <row r="15" spans="1:9" x14ac:dyDescent="0.2">
      <c r="A15" s="8">
        <v>14</v>
      </c>
      <c r="B15" s="101">
        <f>Total!B2979</f>
        <v>44476</v>
      </c>
      <c r="C15" s="101">
        <f>Total!C2979</f>
        <v>44494</v>
      </c>
      <c r="D15" s="112" t="s">
        <v>1092</v>
      </c>
      <c r="E15" s="332" t="str">
        <f>Total!E2979</f>
        <v>Edificació</v>
      </c>
      <c r="F15" s="96" t="str">
        <f>Total!F2979</f>
        <v>Direccions d'Execució</v>
      </c>
      <c r="G15" s="112" t="str">
        <f>Total!G2979</f>
        <v>DE. INM-18304</v>
      </c>
      <c r="H15" s="112" t="str">
        <f>Total!H2979</f>
        <v>Contracte de serveis per a la direcció d'execució de les obres de la nova construcció Institut 2/0 a Dosrius. Clau: INM-18304</v>
      </c>
      <c r="I15" s="157">
        <f>Total!I2979</f>
        <v>91735.61</v>
      </c>
    </row>
    <row r="16" spans="1:9" x14ac:dyDescent="0.2">
      <c r="A16" s="8">
        <v>15</v>
      </c>
      <c r="B16" s="101">
        <f>Total!B2980</f>
        <v>44477</v>
      </c>
      <c r="C16" s="101">
        <f>Total!C2980</f>
        <v>44508</v>
      </c>
      <c r="D16" s="112" t="s">
        <v>1092</v>
      </c>
      <c r="E16" s="332" t="str">
        <f>Total!E2980</f>
        <v>Obra Civil</v>
      </c>
      <c r="F16" s="96" t="str">
        <f>Total!F2980</f>
        <v>Projectes</v>
      </c>
      <c r="G16" s="112" t="str">
        <f>Total!G2980</f>
        <v>PC. VR-21228</v>
      </c>
      <c r="H16" s="112" t="str">
        <f>Total!H2980</f>
        <v>Contracte de serveis per a l'assistència tècnica per a la redacció del Projecten constructiu de modernització de la Comunitat de Regants de la dreta del Llobregat.</v>
      </c>
      <c r="I16" s="157">
        <f>Total!I2980</f>
        <v>325280.17</v>
      </c>
    </row>
    <row r="17" spans="1:9" x14ac:dyDescent="0.2">
      <c r="A17" s="8">
        <v>16</v>
      </c>
      <c r="B17" s="101">
        <f>Total!B2981</f>
        <v>44480</v>
      </c>
      <c r="C17" s="101">
        <f>Total!C2981</f>
        <v>44503</v>
      </c>
      <c r="D17" s="112" t="s">
        <v>1092</v>
      </c>
      <c r="E17" s="332" t="str">
        <f>Total!E2981</f>
        <v>Obra Civil</v>
      </c>
      <c r="F17" s="96" t="str">
        <f>Total!F2981</f>
        <v>Projectes</v>
      </c>
      <c r="G17" s="112" t="str">
        <f>Total!G2981</f>
        <v>PC. RAE-21255</v>
      </c>
      <c r="H17" s="112" t="str">
        <f>Total!H2981</f>
        <v>Redacció del projecte constructiu Restauració Ambiental de les activitats extractives "Sant Mori 2" i "Campos del Molino" a Sant Mori, Alt Empordà.</v>
      </c>
      <c r="I17" s="157">
        <f>Total!I2981</f>
        <v>27500</v>
      </c>
    </row>
    <row r="18" spans="1:9" x14ac:dyDescent="0.2">
      <c r="A18" s="8">
        <v>17</v>
      </c>
      <c r="B18" s="101">
        <f>Total!B2982</f>
        <v>44484</v>
      </c>
      <c r="C18" s="101">
        <f>Total!C2982</f>
        <v>44503</v>
      </c>
      <c r="D18" s="112" t="s">
        <v>1092</v>
      </c>
      <c r="E18" s="332" t="str">
        <f>Total!E2982</f>
        <v>Edificació</v>
      </c>
      <c r="F18" s="96" t="str">
        <f>Total!F2982</f>
        <v>Direccions d'Obra</v>
      </c>
      <c r="G18" s="112" t="str">
        <f>Total!G2982</f>
        <v>DO. INA-18284</v>
      </c>
      <c r="H18" s="112" t="str">
        <f>Total!H2982</f>
        <v>Contracte de serveis per a la direcció de les obres d'ampliació i adequació institut 3/2 Creu de Saba d'Olesa de Montserrat.</v>
      </c>
      <c r="I18" s="157">
        <f>Total!I2982</f>
        <v>24769.33</v>
      </c>
    </row>
    <row r="19" spans="1:9" x14ac:dyDescent="0.2">
      <c r="A19" s="8">
        <v>18</v>
      </c>
      <c r="B19" s="101">
        <f>Total!B2983</f>
        <v>44484</v>
      </c>
      <c r="C19" s="101">
        <f>Total!C2983</f>
        <v>44503</v>
      </c>
      <c r="D19" s="112" t="s">
        <v>1092</v>
      </c>
      <c r="E19" s="332" t="str">
        <f>Total!E2983</f>
        <v>Edificació</v>
      </c>
      <c r="F19" s="96" t="str">
        <f>Total!F2983</f>
        <v>Control de Qualitat</v>
      </c>
      <c r="G19" s="112" t="str">
        <f>Total!G2983</f>
        <v>CQ. INA-18284</v>
      </c>
      <c r="H19" s="112" t="str">
        <f>Total!H2983</f>
        <v>Contracte de serveis per a l'assistència tècnica de control de qualitat de les obres d'ampliació i adequació institut 3/2 Creu de Saba d'Olesa de Montserrat.</v>
      </c>
      <c r="I19" s="157">
        <f>Total!I2983</f>
        <v>17303.39</v>
      </c>
    </row>
    <row r="20" spans="1:9" x14ac:dyDescent="0.2">
      <c r="A20" s="8">
        <v>19</v>
      </c>
      <c r="B20" s="101">
        <f>Total!B2984</f>
        <v>44484</v>
      </c>
      <c r="C20" s="101">
        <f>Total!C2984</f>
        <v>44515</v>
      </c>
      <c r="D20" s="112" t="s">
        <v>1092</v>
      </c>
      <c r="E20" s="332" t="str">
        <f>Total!E2984</f>
        <v>Obra Civil</v>
      </c>
      <c r="F20" s="96" t="str">
        <f>Total!F2984</f>
        <v>Projectes</v>
      </c>
      <c r="G20" s="112" t="str">
        <f>Total!G2984</f>
        <v>PC. PC-CIT-21036</v>
      </c>
      <c r="H20" s="112" t="str">
        <f>Total!H2984</f>
        <v>Contracte de serveis per a l'assistència tècnica per a la redacció del projecte constructiu "Millora de característiques superficials i reestudi de secció transversal a la C-14 del PK 20+830 al 35+000. Alcover - Montblanc".</v>
      </c>
      <c r="I20" s="157">
        <f>Total!I2984</f>
        <v>270960</v>
      </c>
    </row>
    <row r="21" spans="1:9" x14ac:dyDescent="0.2">
      <c r="A21" s="8">
        <v>20</v>
      </c>
      <c r="B21" s="101">
        <f>Total!B2985</f>
        <v>44484</v>
      </c>
      <c r="C21" s="101">
        <f>Total!C2985</f>
        <v>44503</v>
      </c>
      <c r="D21" s="112" t="s">
        <v>1092</v>
      </c>
      <c r="E21" s="332" t="str">
        <f>Total!E2985</f>
        <v>Edificació</v>
      </c>
      <c r="F21" s="96" t="str">
        <f>Total!F2985</f>
        <v>Direccions d'Execució</v>
      </c>
      <c r="G21" s="112" t="str">
        <f>Total!G2985</f>
        <v>DE. INA-18284</v>
      </c>
      <c r="H21" s="112" t="str">
        <f>Total!H2985</f>
        <v>Contracte de serveis per a la direcció d'execució de les obres d'ampliació i adequació institut 3/2 Creu de Saba d'Olesa de Montserrat.</v>
      </c>
      <c r="I21" s="157">
        <f>Total!I2985</f>
        <v>29982.27</v>
      </c>
    </row>
    <row r="22" spans="1:9" x14ac:dyDescent="0.2">
      <c r="A22" s="8">
        <v>21</v>
      </c>
      <c r="B22" s="101">
        <f>Total!B2986</f>
        <v>44484</v>
      </c>
      <c r="C22" s="101">
        <f>Total!C2986</f>
        <v>44503</v>
      </c>
      <c r="D22" s="112" t="s">
        <v>1092</v>
      </c>
      <c r="E22" s="332" t="str">
        <f>Total!E2986</f>
        <v>Edificació</v>
      </c>
      <c r="F22" s="96" t="str">
        <f>Total!F2986</f>
        <v>Direccions d'Execució</v>
      </c>
      <c r="G22" s="112" t="str">
        <f>Total!G2986</f>
        <v>CSS. INA-18284</v>
      </c>
      <c r="H22" s="112" t="str">
        <f>Total!H2986</f>
        <v>Contracte de serveis per a l'assistència tècnica de coordinació de seguretat i salut de les obres del projecte executiu d'ampliació i adequació de l'institut 3/2 Creu de Saba a Olesa de Montserrat.</v>
      </c>
      <c r="I22" s="157">
        <f>Total!I2986</f>
        <v>8434.5</v>
      </c>
    </row>
    <row r="23" spans="1:9" x14ac:dyDescent="0.2">
      <c r="A23" s="8">
        <v>22</v>
      </c>
      <c r="B23" s="101">
        <f>Total!B2987</f>
        <v>44487</v>
      </c>
      <c r="C23" s="101">
        <f>Total!C2987</f>
        <v>44508</v>
      </c>
      <c r="D23" s="112" t="s">
        <v>1092</v>
      </c>
      <c r="E23" s="332" t="str">
        <f>Total!E2987</f>
        <v>Edificació</v>
      </c>
      <c r="F23" s="96" t="str">
        <f>Total!F2987</f>
        <v>Control de Qualitat</v>
      </c>
      <c r="G23" s="112" t="str">
        <f>Total!G2987</f>
        <v>CQ. JNP-16250.1</v>
      </c>
      <c r="H23" s="112" t="str">
        <f>Total!H2987</f>
        <v>Contracte de serveis per a l'assistència tècnica de control de qualitat de les obres de l'arxiu soterrat per dependències judicials i la seva urbanització, del Centre Penitenciari Obert a Tarragona.</v>
      </c>
      <c r="I23" s="157">
        <f>Total!I2987</f>
        <v>17702.68</v>
      </c>
    </row>
    <row r="24" spans="1:9" x14ac:dyDescent="0.2">
      <c r="A24" s="8">
        <v>23</v>
      </c>
      <c r="B24" s="101">
        <f>Total!B2988</f>
        <v>44487</v>
      </c>
      <c r="C24" s="101">
        <f>Total!C2988</f>
        <v>44508</v>
      </c>
      <c r="D24" s="112" t="s">
        <v>1092</v>
      </c>
      <c r="E24" s="332" t="str">
        <f>Total!E2988</f>
        <v>Edificació</v>
      </c>
      <c r="F24" s="96" t="str">
        <f>Total!F2988</f>
        <v>Direccions d'Execució</v>
      </c>
      <c r="G24" s="112" t="str">
        <f>Total!G2988</f>
        <v>DE. JNP-16250.1</v>
      </c>
      <c r="H24" s="112" t="str">
        <f>Total!H2988</f>
        <v>Contracte de serveis per a la direcció d'execució de les obres de l'arxiu soterrat per dependències judicials i la seva urbanització, del Centre Penitenciari Obert a Tarragona.</v>
      </c>
      <c r="I24" s="157">
        <f>Total!I2988</f>
        <v>48000</v>
      </c>
    </row>
    <row r="25" spans="1:9" x14ac:dyDescent="0.2">
      <c r="A25" s="8">
        <v>24</v>
      </c>
      <c r="B25" s="101">
        <f>Total!B2989</f>
        <v>44487</v>
      </c>
      <c r="C25" s="101">
        <f>Total!C2989</f>
        <v>44515</v>
      </c>
      <c r="D25" s="112" t="s">
        <v>1092</v>
      </c>
      <c r="E25" s="332" t="str">
        <f>Total!E2989</f>
        <v>Obra Civil</v>
      </c>
      <c r="F25" s="96" t="str">
        <f>Total!F2989</f>
        <v>Direccions d'Obra</v>
      </c>
      <c r="G25" s="112" t="str">
        <f>Total!G2989</f>
        <v>DO. VB-98171-A2.2</v>
      </c>
      <c r="H25" s="112" t="str">
        <f>Total!H2989</f>
        <v>Contracte de serveis per a la direcció de les obres del projecte constructiu de la variant de Piera. Del PK 7+780 de la B-224 al PK 15+020 de la B-231. Piera.</v>
      </c>
      <c r="I25" s="157">
        <f>Total!I2989</f>
        <v>242594.9</v>
      </c>
    </row>
    <row r="26" spans="1:9" x14ac:dyDescent="0.2">
      <c r="A26" s="8">
        <v>25</v>
      </c>
      <c r="B26" s="101">
        <f>Total!B2990</f>
        <v>44487</v>
      </c>
      <c r="C26" s="101">
        <f>Total!C2990</f>
        <v>44508</v>
      </c>
      <c r="D26" s="112" t="s">
        <v>1092</v>
      </c>
      <c r="E26" s="332" t="str">
        <f>Total!E2990</f>
        <v>Edificació</v>
      </c>
      <c r="F26" s="96" t="str">
        <f>Total!F2990</f>
        <v>Direccions d'Execució</v>
      </c>
      <c r="G26" s="112" t="str">
        <f>Total!G2990</f>
        <v>CSS. JNP-16250.1</v>
      </c>
      <c r="H26" s="112" t="str">
        <f>Total!H2990</f>
        <v>Contracte de serveis per a l'assistència tècnica de coordinació de seguretat i salut de les obres de l'arxiu soterrat per dependències judicials i la seva urbanització, del Centre Penitenciari Obert a Tarragona.</v>
      </c>
      <c r="I26" s="157">
        <f>Total!I2990</f>
        <v>10966.58</v>
      </c>
    </row>
    <row r="27" spans="1:9" x14ac:dyDescent="0.2">
      <c r="A27" s="8">
        <v>26</v>
      </c>
      <c r="B27" s="101">
        <f>Total!B2991</f>
        <v>44488</v>
      </c>
      <c r="C27" s="101">
        <f>Total!C2991</f>
        <v>44515</v>
      </c>
      <c r="D27" s="112" t="s">
        <v>1092</v>
      </c>
      <c r="E27" s="332" t="str">
        <f>Total!E2991</f>
        <v>Obra Civil</v>
      </c>
      <c r="F27" s="96" t="str">
        <f>Total!F2991</f>
        <v>Direccions d'Obra</v>
      </c>
      <c r="G27" s="112" t="str">
        <f>Total!G2991</f>
        <v>ATAM. VB-98171-A2.2</v>
      </c>
      <c r="H27" s="112" t="str">
        <f>Total!H2991</f>
        <v>Contracte de serveis per a l'Assistència Tècnica Ambiental de les obres del projecte constructiu de la variant de Piera. Del PK 7+780 de la B-224 al PK 15+020 de la B-231. Piera.</v>
      </c>
      <c r="I27" s="157">
        <f>Total!I2991</f>
        <v>36306.36</v>
      </c>
    </row>
    <row r="28" spans="1:9" x14ac:dyDescent="0.2">
      <c r="A28" s="8">
        <v>27</v>
      </c>
      <c r="B28" s="101">
        <f>Total!B2992</f>
        <v>44488</v>
      </c>
      <c r="C28" s="101">
        <f>Total!C2992</f>
        <v>44515</v>
      </c>
      <c r="D28" s="112" t="s">
        <v>1092</v>
      </c>
      <c r="E28" s="332" t="str">
        <f>Total!E2992</f>
        <v>Obra Civil</v>
      </c>
      <c r="F28" s="96" t="str">
        <f>Total!F2992</f>
        <v>Control de Qualitat</v>
      </c>
      <c r="G28" s="112" t="str">
        <f>Total!G2992</f>
        <v>CQ. VB-98171-A2.2</v>
      </c>
      <c r="H28" s="112" t="str">
        <f>Total!H2992</f>
        <v>Contracte de serveis per a l'assistència tècnica de Control de Qualitat de les obres del projecte constructiu de la variant de Piera. Del PK 7+780 de la B-224 al PK 15+020 de la B-231. Piera.</v>
      </c>
      <c r="I28" s="157">
        <f>Total!I2992</f>
        <v>90214.16</v>
      </c>
    </row>
    <row r="29" spans="1:9" x14ac:dyDescent="0.2">
      <c r="A29" s="8">
        <v>28</v>
      </c>
      <c r="B29" s="101">
        <f>Total!B2993</f>
        <v>44489</v>
      </c>
      <c r="C29" s="101">
        <f>Total!C2993</f>
        <v>44515</v>
      </c>
      <c r="D29" s="112" t="s">
        <v>1092</v>
      </c>
      <c r="E29" s="332" t="str">
        <f>Total!E2993</f>
        <v>Obra Civil</v>
      </c>
      <c r="F29" s="96" t="str">
        <f>Total!F2993</f>
        <v>Projectes</v>
      </c>
      <c r="G29" s="112" t="str">
        <f>Total!G2993</f>
        <v>PC. PR-21267</v>
      </c>
      <c r="H29" s="112" t="str">
        <f>Total!H2993</f>
        <v>Contracte de serveis per a la redacció dels treballs de modernització del reg del Canal de Pinyana. Projecte constructiu del Sector 3. TM de Corbins, Benavent de Segrià, Torre- Serona, Vilanova de Segrià, Lleida i La Portella.</v>
      </c>
      <c r="I29" s="157">
        <f>Total!I2993</f>
        <v>225800</v>
      </c>
    </row>
    <row r="30" spans="1:9" x14ac:dyDescent="0.2">
      <c r="A30" s="8">
        <v>29</v>
      </c>
      <c r="B30" s="101">
        <f>Total!B2994</f>
        <v>44489</v>
      </c>
      <c r="C30" s="101">
        <f>Total!C2994</f>
        <v>44508</v>
      </c>
      <c r="D30" s="112" t="s">
        <v>1092</v>
      </c>
      <c r="E30" s="332" t="str">
        <f>Total!E2994</f>
        <v>Obra Civil</v>
      </c>
      <c r="F30" s="96" t="str">
        <f>Total!F2994</f>
        <v>Projectes</v>
      </c>
      <c r="G30" s="112" t="str">
        <f>Total!G2994</f>
        <v>PC. CGB-21044</v>
      </c>
      <c r="H30" s="112" t="str">
        <f>Total!H2994</f>
        <v>Contracte de serveis per a la redacció del projecte constructiu de millora del drenatge superficial de la C-58 al PK 32+100 fins al torrent de l'Orpina. Vacarisses.</v>
      </c>
      <c r="I30" s="157">
        <f>Total!I2994</f>
        <v>31500</v>
      </c>
    </row>
    <row r="31" spans="1:9" x14ac:dyDescent="0.2">
      <c r="A31" s="8">
        <v>30</v>
      </c>
      <c r="B31" s="101">
        <f>Total!B2995</f>
        <v>44491</v>
      </c>
      <c r="C31" s="101">
        <f>Total!C2995</f>
        <v>44510</v>
      </c>
      <c r="D31" s="112" t="s">
        <v>1092</v>
      </c>
      <c r="E31" s="332" t="str">
        <f>Total!E2995</f>
        <v>Obra Civil</v>
      </c>
      <c r="F31" s="96" t="str">
        <f>Total!F2995</f>
        <v>Direccions d'Obra</v>
      </c>
      <c r="G31" s="112" t="str">
        <f>Total!G2995</f>
        <v>DO. CB-16064</v>
      </c>
      <c r="H31" s="112" t="str">
        <f>Total!H2995</f>
        <v>Contracte de serveis per a la direcció de les obres de rehabilitació d'obres de fàbrica a l'N-II, PK 623+095 i 623+613. Sant Adrià de Besòs.</v>
      </c>
      <c r="I31" s="157">
        <f>Total!I2995</f>
        <v>46398.64</v>
      </c>
    </row>
    <row r="32" spans="1:9" x14ac:dyDescent="0.2">
      <c r="A32" s="8">
        <v>31</v>
      </c>
      <c r="B32" s="101">
        <f>Total!B2996</f>
        <v>44491</v>
      </c>
      <c r="C32" s="101">
        <f>Total!C2996</f>
        <v>44508</v>
      </c>
      <c r="D32" s="112" t="s">
        <v>1092</v>
      </c>
      <c r="E32" s="332" t="str">
        <f>Total!E2996</f>
        <v>Obra Civil</v>
      </c>
      <c r="F32" s="96" t="str">
        <f>Total!F2996</f>
        <v>Control de Qualitat</v>
      </c>
      <c r="G32" s="112" t="str">
        <f>Total!G2996</f>
        <v>CQ. PZV-19405</v>
      </c>
      <c r="H32" s="112" t="str">
        <f>Total!H2996</f>
        <v>C.Q. de les obres del projecte d'ordenació dels espais exteriors del mas Can Passavent, ordenació dels accessos i tancament perimetral de les grederes del Volcà Croscat, al Parc Natural de la Zona Volcànica de la Garrotxa, TM d'Olot i Santa Pau.</v>
      </c>
      <c r="I32" s="157">
        <f>Total!I2996</f>
        <v>2119.15</v>
      </c>
    </row>
    <row r="33" spans="1:9" x14ac:dyDescent="0.2">
      <c r="A33" s="8">
        <v>32</v>
      </c>
      <c r="B33" s="101">
        <f>Total!B2997</f>
        <v>44491</v>
      </c>
      <c r="C33" s="101">
        <f>Total!C2997</f>
        <v>44522</v>
      </c>
      <c r="D33" s="112" t="s">
        <v>1092</v>
      </c>
      <c r="E33" s="332" t="str">
        <f>Total!E2997</f>
        <v>Obra Civil</v>
      </c>
      <c r="F33" s="96" t="str">
        <f>Total!F2997</f>
        <v>Projectes</v>
      </c>
      <c r="G33" s="112" t="str">
        <f>Total!G2997</f>
        <v>PC. PC-CIT-21038</v>
      </c>
      <c r="H33" s="112" t="str">
        <f>Total!H2997</f>
        <v>Contracte de serveis per a l'assistència tècnica per a la redacció del projecte constructiu de millora de característiques superficials i reestudi de secció transversal a la C-37 del PK 0+000 al 5+830. Alcover-Valls.</v>
      </c>
      <c r="I33" s="157">
        <f>Total!I2997</f>
        <v>339500</v>
      </c>
    </row>
    <row r="34" spans="1:9" x14ac:dyDescent="0.2">
      <c r="A34" s="8">
        <v>33</v>
      </c>
      <c r="B34" s="101">
        <f>Total!B2998</f>
        <v>44491</v>
      </c>
      <c r="C34" s="101">
        <f>Total!C2998</f>
        <v>44508</v>
      </c>
      <c r="D34" s="112" t="s">
        <v>1092</v>
      </c>
      <c r="E34" s="332" t="str">
        <f>Total!E2998</f>
        <v>Obra Civil</v>
      </c>
      <c r="F34" s="96" t="str">
        <f>Total!F2998</f>
        <v>Projectes</v>
      </c>
      <c r="G34" s="112" t="str">
        <f>Total!G2998</f>
        <v>IA. IA-CIB-21073</v>
      </c>
      <c r="H34" s="112" t="str">
        <f>Total!H2998</f>
        <v>Contracte de serveis per a l'assistència tècnica per a la redacció de l'estudi d'impacte ambiental "Desdoblament de la C-15 del PK 36+000 al 39+530. Vallbona d'Anoia - la Torre de Claramunt".</v>
      </c>
      <c r="I34" s="157">
        <f>Total!I2998</f>
        <v>82000</v>
      </c>
    </row>
    <row r="35" spans="1:9" x14ac:dyDescent="0.2">
      <c r="A35" s="8">
        <v>34</v>
      </c>
      <c r="B35" s="101">
        <f>Total!B2999</f>
        <v>44491</v>
      </c>
      <c r="C35" s="101">
        <f>Total!C2999</f>
        <v>44510</v>
      </c>
      <c r="D35" s="112" t="s">
        <v>1092</v>
      </c>
      <c r="E35" s="332" t="str">
        <f>Total!E2999</f>
        <v>Obra Civil</v>
      </c>
      <c r="F35" s="96" t="str">
        <f>Total!F2999</f>
        <v>Control de Qualitat</v>
      </c>
      <c r="G35" s="112" t="str">
        <f>Total!G2999</f>
        <v>CQ. CB-16064</v>
      </c>
      <c r="H35" s="112" t="str">
        <f>Total!H2999</f>
        <v>Contracte de serveis per a l'assistència tècnica de control de qualitat de les obres de rehabilitació d'obres de fàbrica a l'N-II, PK 623+095 i 623+613. Sant Adrià de Besòs.</v>
      </c>
      <c r="I35" s="157">
        <f>Total!I2999</f>
        <v>9488.01</v>
      </c>
    </row>
    <row r="36" spans="1:9" x14ac:dyDescent="0.2">
      <c r="A36" s="8">
        <v>35</v>
      </c>
      <c r="B36" s="101">
        <f>Total!B3000</f>
        <v>44491</v>
      </c>
      <c r="C36" s="101">
        <f>Total!C3000</f>
        <v>44510</v>
      </c>
      <c r="D36" s="112" t="s">
        <v>1092</v>
      </c>
      <c r="E36" s="332" t="str">
        <f>Total!E3000</f>
        <v>Obra Civil</v>
      </c>
      <c r="F36" s="96" t="str">
        <f>Total!F3000</f>
        <v>Direccions d'Obra</v>
      </c>
      <c r="G36" s="112" t="str">
        <f>Total!G3000</f>
        <v>CSS. CB-16064</v>
      </c>
      <c r="H36" s="112" t="str">
        <f>Total!H3000</f>
        <v>Contracte de serveis per a l'assistència tècnica de control de qualitat de les obres de rehabilitació d'obres de fàbrica a l'N-II, PK 623+095 i 623+613. Sant Adrià de Besòs.</v>
      </c>
      <c r="I36" s="157">
        <f>Total!I3000</f>
        <v>8870.59</v>
      </c>
    </row>
    <row r="37" spans="1:9" x14ac:dyDescent="0.2">
      <c r="A37" s="8">
        <v>36</v>
      </c>
      <c r="B37" s="101">
        <f>Total!B3002</f>
        <v>44491</v>
      </c>
      <c r="C37" s="101">
        <f>Total!C3002</f>
        <v>44508</v>
      </c>
      <c r="D37" s="112" t="s">
        <v>1092</v>
      </c>
      <c r="E37" s="332" t="str">
        <f>Total!E3002</f>
        <v>Obra Civil</v>
      </c>
      <c r="F37" s="96" t="str">
        <f>Total!F3002</f>
        <v>Direccions d'Obra</v>
      </c>
      <c r="G37" s="112" t="str">
        <f>Total!G3002</f>
        <v>CSS. PZV-19405</v>
      </c>
      <c r="H37" s="112" t="str">
        <f>Total!H3002</f>
        <v>Coord. S.S. de les obres del projecte d'ordenació dels espais exteriors del mas Can Passavent, ordenació d'accessos i tancament perimetral de les grederes del volcà del Croscat al Parc Natural de la Zona Volcànica de la Garrotxa. TM d'Olot i Santa Pau.</v>
      </c>
      <c r="I37" s="157">
        <f>Total!I3002</f>
        <v>6687.22</v>
      </c>
    </row>
    <row r="38" spans="1:9" x14ac:dyDescent="0.2">
      <c r="A38" s="8">
        <v>37</v>
      </c>
      <c r="B38" s="101">
        <f>Total!B3003</f>
        <v>44491</v>
      </c>
      <c r="C38" s="101">
        <f>Total!C3003</f>
        <v>44531</v>
      </c>
      <c r="D38" s="112" t="s">
        <v>1092</v>
      </c>
      <c r="E38" s="332" t="str">
        <f>Total!E3003</f>
        <v>Obra Civil</v>
      </c>
      <c r="F38" s="96" t="str">
        <f>Total!F3003</f>
        <v>Projectes</v>
      </c>
      <c r="G38" s="112" t="str">
        <f>Total!G3003</f>
        <v>PC. PC-CIT-21037</v>
      </c>
      <c r="H38" s="112" t="str">
        <f>Total!H3003</f>
        <v>Contracte de serveis per a l'assistència tècnica per a la redacció del projecte constructiu millora de característiques superficials i reestudi de secció transversal a la C-14 del PK 37+200 al 43+714. Montblanc -Solivella.</v>
      </c>
      <c r="I38" s="157">
        <f>Total!I3003</f>
        <v>270130</v>
      </c>
    </row>
    <row r="39" spans="1:9" x14ac:dyDescent="0.2">
      <c r="A39" s="8">
        <v>38</v>
      </c>
      <c r="B39" s="101">
        <f>Total!B3004</f>
        <v>44491</v>
      </c>
      <c r="C39" s="101">
        <f>Total!C3004</f>
        <v>44510</v>
      </c>
      <c r="D39" s="112" t="s">
        <v>1092</v>
      </c>
      <c r="E39" s="332" t="str">
        <f>Total!E3004</f>
        <v>Obra Civil</v>
      </c>
      <c r="F39" s="96" t="str">
        <f>Total!F3004</f>
        <v>Projectes</v>
      </c>
      <c r="G39" s="112" t="str">
        <f>Total!G3004</f>
        <v>PC. MT-15062</v>
      </c>
      <c r="H39" s="112" t="str">
        <f>Total!H3004</f>
        <v>Contracte de serveis per a l'assistència tècnica per a la redacció del projecte Rotonda urbana a la T-710 al PK 0+000. Falset.</v>
      </c>
      <c r="I39" s="157">
        <f>Total!I3004</f>
        <v>31500</v>
      </c>
    </row>
    <row r="40" spans="1:9" x14ac:dyDescent="0.2">
      <c r="A40" s="8">
        <v>39</v>
      </c>
      <c r="B40" s="101">
        <f>Total!B3005</f>
        <v>44494</v>
      </c>
      <c r="C40" s="101">
        <f>Total!C3005</f>
        <v>44510</v>
      </c>
      <c r="D40" s="112" t="s">
        <v>1092</v>
      </c>
      <c r="E40" s="332" t="str">
        <f>Total!E3005</f>
        <v>Obra Civil</v>
      </c>
      <c r="F40" s="96" t="str">
        <f>Total!F3005</f>
        <v>Projectes</v>
      </c>
      <c r="G40" s="112" t="str">
        <f>Total!G3005</f>
        <v>PC. PC-CGB-21047</v>
      </c>
      <c r="H40" s="112" t="str">
        <f>Total!H3005</f>
        <v>Redacció del projecte constructiu de rehabilitació de l'obra de fàbrica, estabilització dels talussos i millora del drenatge superficial a la C-58 del pk 23,900 al 24,600. Viladecavalls.</v>
      </c>
      <c r="I40" s="157">
        <f>Total!I3005</f>
        <v>46200</v>
      </c>
    </row>
    <row r="41" spans="1:9" x14ac:dyDescent="0.2">
      <c r="A41" s="8">
        <v>40</v>
      </c>
      <c r="B41" s="101">
        <f>Total!B3006</f>
        <v>44494</v>
      </c>
      <c r="C41" s="101">
        <f>Total!C3006</f>
        <v>44510</v>
      </c>
      <c r="D41" s="112" t="s">
        <v>1092</v>
      </c>
      <c r="E41" s="332" t="str">
        <f>Total!E3006</f>
        <v>Obra Civil</v>
      </c>
      <c r="F41" s="96" t="str">
        <f>Total!F3006</f>
        <v>Projectes</v>
      </c>
      <c r="G41" s="112" t="str">
        <f>Total!G3006</f>
        <v>PC. PC-CFT-21071</v>
      </c>
      <c r="H41" s="112" t="str">
        <f>Total!H3006</f>
        <v>Redacció del projecte constructiu de reforçament del ferm de la T-315 del pk 3,200 al 6,671. Reus.</v>
      </c>
      <c r="I41" s="157">
        <f>Total!I3006</f>
        <v>67450</v>
      </c>
    </row>
    <row r="42" spans="1:9" x14ac:dyDescent="0.2">
      <c r="A42" s="8">
        <v>41</v>
      </c>
      <c r="B42" s="101">
        <f>Total!B3007</f>
        <v>44496</v>
      </c>
      <c r="C42" s="101">
        <f>Total!C3007</f>
        <v>44517</v>
      </c>
      <c r="D42" s="112" t="s">
        <v>1092</v>
      </c>
      <c r="E42" s="332" t="str">
        <f>Total!E3007</f>
        <v>Obra Civil</v>
      </c>
      <c r="F42" s="96" t="str">
        <f>Total!F3007</f>
        <v>Projectes</v>
      </c>
      <c r="G42" s="112" t="str">
        <f>Total!G3007</f>
        <v>PC. RET-21274</v>
      </c>
      <c r="H42" s="112" t="str">
        <f>Total!H3007</f>
        <v>Contracte de serveis per a l'assistència tècnica per a la redacció del Projecte constructiu. Recuperació ecològica i ambiental de la zona humida del Gorg de Creixell.</v>
      </c>
      <c r="I42" s="157">
        <f>Total!I3007</f>
        <v>36840</v>
      </c>
    </row>
    <row r="43" spans="1:9" x14ac:dyDescent="0.2">
      <c r="A43" s="8">
        <v>42</v>
      </c>
      <c r="B43" s="101">
        <f>Total!B3008</f>
        <v>44496</v>
      </c>
      <c r="C43" s="101">
        <f>Total!C3008</f>
        <v>44522</v>
      </c>
      <c r="D43" s="112" t="s">
        <v>1092</v>
      </c>
      <c r="E43" s="332" t="str">
        <f>Total!E3008</f>
        <v>Obra Civil</v>
      </c>
      <c r="F43" s="96" t="str">
        <f>Total!F3008</f>
        <v>Projectes</v>
      </c>
      <c r="G43" s="112" t="str">
        <f>Total!G3008</f>
        <v>EP. EP55</v>
      </c>
      <c r="H43" s="112" t="str">
        <f>Total!H3008</f>
        <v>Contracte de serveis per a l'Assistència tècnica per a la realització dels treballs de topografia i de replanteig de projectes corresponents als estudis i projectes d'obra civil i d'edificació.</v>
      </c>
      <c r="I43" s="157">
        <f>Total!I3008</f>
        <v>190000</v>
      </c>
    </row>
    <row r="44" spans="1:9" x14ac:dyDescent="0.2">
      <c r="A44" s="8">
        <v>43</v>
      </c>
      <c r="B44" s="101">
        <f>Total!B3009</f>
        <v>44497</v>
      </c>
      <c r="C44" s="101">
        <f>Total!C3009</f>
        <v>44515</v>
      </c>
      <c r="D44" s="112" t="s">
        <v>1092</v>
      </c>
      <c r="E44" s="332" t="str">
        <f>Total!E3009</f>
        <v>Obra Civil</v>
      </c>
      <c r="F44" s="96" t="str">
        <f>Total!F3009</f>
        <v>Projectes</v>
      </c>
      <c r="G44" s="112" t="str">
        <f>Total!G3009</f>
        <v>PC. PC-CGG-21013</v>
      </c>
      <c r="H44" s="112" t="str">
        <f>Total!H3009</f>
        <v>Contracte de serveis per a l'assistència tècnica per a la redacció del projecte constructiu "Condicionament de travessera a la GI-660 del PK 0+000 al 0+570. La Bisbal d'Empordà".</v>
      </c>
      <c r="I44" s="157">
        <f>Total!I3009</f>
        <v>46000</v>
      </c>
    </row>
    <row r="45" spans="1:9" x14ac:dyDescent="0.2">
      <c r="A45" s="8">
        <v>44</v>
      </c>
      <c r="B45" s="101">
        <f>Total!B3010</f>
        <v>44497</v>
      </c>
      <c r="C45" s="101">
        <f>Total!C3010</f>
        <v>44515</v>
      </c>
      <c r="D45" s="112" t="s">
        <v>1092</v>
      </c>
      <c r="E45" s="332" t="str">
        <f>Total!E3010</f>
        <v>Obra Civil</v>
      </c>
      <c r="F45" s="96" t="str">
        <f>Total!F3010</f>
        <v>Projectes</v>
      </c>
      <c r="G45" s="112" t="str">
        <f>Total!G3010</f>
        <v>PC. REL-20283</v>
      </c>
      <c r="H45" s="112" t="str">
        <f>Total!H3010</f>
        <v>Contracte de serveis per a l'assistència tècnica per a la redacció del projecte constructiu de recuperació ecològica i ambiental del riu Farfanya des de la capçalera a Os de Balaguer i fins al riu Segre.</v>
      </c>
      <c r="I45" s="157">
        <f>Total!I3010</f>
        <v>46850</v>
      </c>
    </row>
    <row r="46" spans="1:9" x14ac:dyDescent="0.2">
      <c r="A46" s="8">
        <v>45</v>
      </c>
      <c r="B46" s="101">
        <f>Total!B3011</f>
        <v>44498</v>
      </c>
      <c r="C46" s="101">
        <f>Total!C3011</f>
        <v>44524</v>
      </c>
      <c r="D46" s="112" t="s">
        <v>1092</v>
      </c>
      <c r="E46" s="332" t="str">
        <f>Total!E3011</f>
        <v>Obra Civil</v>
      </c>
      <c r="F46" s="96" t="str">
        <f>Total!F3011</f>
        <v>Projectes</v>
      </c>
      <c r="G46" s="112" t="str">
        <f>Total!G3011</f>
        <v>PC. PC-BNB-21030</v>
      </c>
      <c r="H46" s="112" t="str">
        <f>Total!H3011</f>
        <v>Redacció del projecte constructiu Via ciclista a l'N-150. Barberà del Vallès-Ripollet.</v>
      </c>
      <c r="I46" s="157">
        <f>Total!I3011</f>
        <v>60840</v>
      </c>
    </row>
    <row r="47" spans="1:9" x14ac:dyDescent="0.2">
      <c r="I47" s="126">
        <f>SUM(I2:I46)</f>
        <v>3177696.7099999995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29"/>
  <sheetViews>
    <sheetView workbookViewId="0">
      <selection activeCell="I29" sqref="I29"/>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Total!B2938</f>
        <v>44441</v>
      </c>
      <c r="C2" s="101">
        <f>Total!C2938</f>
        <v>44459</v>
      </c>
      <c r="D2" s="112" t="s">
        <v>1092</v>
      </c>
      <c r="E2" s="332" t="str">
        <f>Total!E2938</f>
        <v>Obra Civil</v>
      </c>
      <c r="F2" s="96" t="str">
        <f>Total!F2938</f>
        <v>Projectes</v>
      </c>
      <c r="G2" s="112" t="str">
        <f>Total!G2938</f>
        <v>PC. PC-CPG-21001</v>
      </c>
      <c r="H2" s="112" t="str">
        <f>Total!H2938</f>
        <v>Contracte de serveis per a l'assistència tècnica per a la redacció del projecte constructiu "Rotonda a la B-682 al PK 1+900. Palafolls".</v>
      </c>
      <c r="I2" s="157">
        <f>Total!I2938</f>
        <v>40100</v>
      </c>
    </row>
    <row r="3" spans="1:9" x14ac:dyDescent="0.2">
      <c r="A3" s="8">
        <v>2</v>
      </c>
      <c r="B3" s="101">
        <f>Total!B2939</f>
        <v>44445</v>
      </c>
      <c r="C3" s="101">
        <f>Total!C2939</f>
        <v>44473</v>
      </c>
      <c r="D3" s="112" t="s">
        <v>1092</v>
      </c>
      <c r="E3" s="332" t="str">
        <f>Total!E2939</f>
        <v>Obra Civil</v>
      </c>
      <c r="F3" s="96" t="str">
        <f>Total!F2939</f>
        <v>Projectes</v>
      </c>
      <c r="G3" s="112" t="str">
        <f>Total!G2939</f>
        <v>TA. PT-NB-07119</v>
      </c>
      <c r="H3" s="112" t="str">
        <f>Total!H2939</f>
        <v>Contracte de serveis per a l'assistència tècnica per a la redacció del projecte de traçat "Projecte de traçat. Via interpolar. C-1413a del PK 0+000 al 4+700 (connexió</v>
      </c>
      <c r="I3" s="157">
        <f>Total!I2939</f>
        <v>227170</v>
      </c>
    </row>
    <row r="4" spans="1:9" x14ac:dyDescent="0.2">
      <c r="A4" s="8">
        <v>3</v>
      </c>
      <c r="B4" s="101">
        <f>Total!B2940</f>
        <v>44445</v>
      </c>
      <c r="C4" s="101">
        <f>Total!C2940</f>
        <v>44461</v>
      </c>
      <c r="D4" s="112" t="s">
        <v>1092</v>
      </c>
      <c r="E4" s="332" t="str">
        <f>Total!E2940</f>
        <v>Obra Civil</v>
      </c>
      <c r="F4" s="96" t="str">
        <f>Total!F2940</f>
        <v>Projectes</v>
      </c>
      <c r="G4" s="112" t="str">
        <f>Total!G2940</f>
        <v>EV. EX-CXC-21050</v>
      </c>
      <c r="H4" s="112" t="str">
        <f>Total!H2940</f>
        <v>Contracte de serveis per a l'assistència tècnica per a la redacció de l'estudi "Base de dades de trànsit per als Mapes estratègics de soroll de les infraestructures</v>
      </c>
      <c r="I4" s="157">
        <f>Total!I2940</f>
        <v>40000</v>
      </c>
    </row>
    <row r="5" spans="1:9" x14ac:dyDescent="0.2">
      <c r="A5" s="8">
        <v>4</v>
      </c>
      <c r="B5" s="101">
        <f>Total!B2941</f>
        <v>44447</v>
      </c>
      <c r="C5" s="101">
        <f>Total!C2941</f>
        <v>44466</v>
      </c>
      <c r="D5" s="112" t="s">
        <v>1092</v>
      </c>
      <c r="E5" s="332" t="str">
        <f>Total!E2941</f>
        <v>Obra Civil</v>
      </c>
      <c r="F5" s="96" t="str">
        <f>Total!F2941</f>
        <v>Projectes</v>
      </c>
      <c r="G5" s="112" t="str">
        <f>Total!G2941</f>
        <v>PC. SC-UPA-21260</v>
      </c>
      <c r="H5" s="112" t="str">
        <f>Total!H2941</f>
        <v>Contracte de serveis per a l'assistència tècnica per a la redacció del Plec. Conservació ambiental. Conservació i manteniment del Programa d'Infraestructura Verda de Catalunya. 2022-2023.</v>
      </c>
      <c r="I5" s="157">
        <f>Total!I2941</f>
        <v>18000</v>
      </c>
    </row>
    <row r="6" spans="1:9" x14ac:dyDescent="0.2">
      <c r="A6" s="8">
        <v>5</v>
      </c>
      <c r="B6" s="101">
        <f>Total!B2942</f>
        <v>44449</v>
      </c>
      <c r="C6" s="101">
        <f>Total!C2942</f>
        <v>44480</v>
      </c>
      <c r="D6" s="112" t="s">
        <v>1092</v>
      </c>
      <c r="E6" s="332" t="str">
        <f>Total!E2942</f>
        <v>Edificació</v>
      </c>
      <c r="F6" s="96" t="str">
        <f>Total!F2942</f>
        <v>Projectes i Direccions d'Obra</v>
      </c>
      <c r="G6" s="112" t="str">
        <f>Total!G2942</f>
        <v>PE+DO INV-19226</v>
      </c>
      <c r="H6" s="112" t="str">
        <f>Total!H2942</f>
        <v>Concurs de projectes per a la redacció del projecte bàsic, el projecte executiu i la posterior direcció d'obra de la Nova construcció Institut 5/3 Arraona, Sabadell.</v>
      </c>
      <c r="I6" s="157">
        <f>Total!I2942</f>
        <v>784684.73</v>
      </c>
    </row>
    <row r="7" spans="1:9" x14ac:dyDescent="0.2">
      <c r="A7" s="8">
        <v>6</v>
      </c>
      <c r="B7" s="101">
        <f>Total!B2943</f>
        <v>44459</v>
      </c>
      <c r="C7" s="101">
        <f>Total!C2943</f>
        <v>44480</v>
      </c>
      <c r="D7" s="112" t="s">
        <v>1092</v>
      </c>
      <c r="E7" s="332" t="str">
        <f>Total!E2943</f>
        <v>Obra Civil</v>
      </c>
      <c r="F7" s="96" t="str">
        <f>Total!F2943</f>
        <v xml:space="preserve">Projectes </v>
      </c>
      <c r="G7" s="112" t="str">
        <f>Total!G2943</f>
        <v>PC. AT-00164.1-A1-C3</v>
      </c>
      <c r="H7" s="112" t="str">
        <f>Total!H2943</f>
        <v>Contracte de serveis per a l'assistència tècnica per a la redacció del projecte constructiu. Condicionament de la C-51. Pas de fauna al PK 19+060. Rodonyà.</v>
      </c>
      <c r="I7" s="157">
        <f>Total!I2943</f>
        <v>42000</v>
      </c>
    </row>
    <row r="8" spans="1:9" x14ac:dyDescent="0.2">
      <c r="A8" s="8">
        <v>7</v>
      </c>
      <c r="B8" s="101">
        <f>Total!B2944</f>
        <v>44459</v>
      </c>
      <c r="C8" s="101">
        <f>Total!C2944</f>
        <v>44480</v>
      </c>
      <c r="D8" s="112" t="s">
        <v>1092</v>
      </c>
      <c r="E8" s="332" t="str">
        <f>Total!E2944</f>
        <v>Edificació</v>
      </c>
      <c r="F8" s="96" t="str">
        <f>Total!F2944</f>
        <v>Direccions d'Execució</v>
      </c>
      <c r="G8" s="112" t="str">
        <f>Total!G2944</f>
        <v>CSS. GPV-17229.1</v>
      </c>
      <c r="H8" s="112" t="str">
        <f>Total!H2944</f>
        <v>Assistència tècnica de coordinació de seguretat i salut de les obres de la desconstrucció dels edificis i ajudes a l'arqueologia per a la nova seu de la Delegació del Govern de la Generalitat de Catalunya a la Catalunya Central, a Manresa.</v>
      </c>
      <c r="I8" s="157">
        <f>Total!I2944</f>
        <v>7350</v>
      </c>
    </row>
    <row r="9" spans="1:9" x14ac:dyDescent="0.2">
      <c r="A9" s="8">
        <v>8</v>
      </c>
      <c r="B9" s="101">
        <f>Total!B2945</f>
        <v>44459</v>
      </c>
      <c r="C9" s="101">
        <f>Total!C2945</f>
        <v>44475</v>
      </c>
      <c r="D9" s="112" t="s">
        <v>1092</v>
      </c>
      <c r="E9" s="332" t="str">
        <f>Total!E2945</f>
        <v>Obra Civil</v>
      </c>
      <c r="F9" s="96" t="str">
        <f>Total!F2945</f>
        <v>Direccions d'Obra</v>
      </c>
      <c r="G9" s="112" t="str">
        <f>Total!G2945</f>
        <v>ATAM. AB-15032.F4</v>
      </c>
      <c r="H9" s="112" t="str">
        <f>Total!H2945</f>
        <v>Contracte de serveis per a l'assistència tècnica ambiental per a les obres de millora general. Ordenació d'accessos a la carretera C-17 del PK 18+700 al 21+000 i nou enllaç al PK 19+700. Tram: Granollers - Lliçà d'Amunt.</v>
      </c>
      <c r="I9" s="157">
        <f>Total!I2945</f>
        <v>44374.44</v>
      </c>
    </row>
    <row r="10" spans="1:9" x14ac:dyDescent="0.2">
      <c r="A10" s="8">
        <v>9</v>
      </c>
      <c r="B10" s="101">
        <f>Total!B2946</f>
        <v>44459</v>
      </c>
      <c r="C10" s="101">
        <f>Total!C2946</f>
        <v>44475</v>
      </c>
      <c r="D10" s="112" t="s">
        <v>1092</v>
      </c>
      <c r="E10" s="332" t="str">
        <f>Total!E2946</f>
        <v>Obra Civil</v>
      </c>
      <c r="F10" s="96" t="str">
        <f>Total!F2946</f>
        <v>Direccions d'Obra</v>
      </c>
      <c r="G10" s="112" t="str">
        <f>Total!G2946</f>
        <v>CSS. AB-15032.F4</v>
      </c>
      <c r="H10" s="112" t="str">
        <f>Total!H2946</f>
        <v>Assist. tècnica de coordinació de seguretat i salut de les obres del projecte constructiu de millora general. Ordenació d'accessos a la carretera C-17 del PK 18+700 al 21+000 i nou enllaç al PK 19+700. Tram: Granollers - Lliçà d'Amunt. Lot 1 + lot 2.</v>
      </c>
      <c r="I10" s="157">
        <f>Total!I2946</f>
        <v>46874.400000000001</v>
      </c>
    </row>
    <row r="11" spans="1:9" x14ac:dyDescent="0.2">
      <c r="A11" s="8">
        <v>10</v>
      </c>
      <c r="B11" s="101">
        <f>Total!B2947</f>
        <v>44459</v>
      </c>
      <c r="C11" s="101">
        <f>Total!C2947</f>
        <v>44487</v>
      </c>
      <c r="D11" s="112" t="s">
        <v>1092</v>
      </c>
      <c r="E11" s="332" t="str">
        <f>Total!E2947</f>
        <v>Obra Civil</v>
      </c>
      <c r="F11" s="96" t="str">
        <f>Total!F2947</f>
        <v>Direccions d'Obra</v>
      </c>
      <c r="G11" s="112" t="str">
        <f>Total!G2947</f>
        <v>DO. AB-15032.F4</v>
      </c>
      <c r="H11" s="112" t="str">
        <f>Total!H2947</f>
        <v>Contracte de serveis per a la direcció de les obres de millora general. Ordenació d'accessos a la carretera C-17 del PK 18+700 al 21+000 i nou enllaç al PK 19+700. Tram: Granollers - Lliçà d'Amunt.</v>
      </c>
      <c r="I11" s="157">
        <f>Total!I2947</f>
        <v>286378.32</v>
      </c>
    </row>
    <row r="12" spans="1:9" x14ac:dyDescent="0.2">
      <c r="A12" s="8">
        <v>11</v>
      </c>
      <c r="B12" s="101">
        <f>Total!B2948</f>
        <v>44459</v>
      </c>
      <c r="C12" s="101">
        <f>Total!C2948</f>
        <v>44475</v>
      </c>
      <c r="D12" s="112" t="s">
        <v>1092</v>
      </c>
      <c r="E12" s="332" t="str">
        <f>Total!E2948</f>
        <v>Obra Civil</v>
      </c>
      <c r="F12" s="96" t="str">
        <f>Total!F2948</f>
        <v>Control de Qualitat</v>
      </c>
      <c r="G12" s="112" t="str">
        <f>Total!G2948</f>
        <v>CQ. AB-15032.F4</v>
      </c>
      <c r="H12" s="112" t="str">
        <f>Total!H2948</f>
        <v>Contracte de serveis per a l'assistència tècnica de control de qualitat de les obres de Millora general. Ordenació d'accessos a la carretera C-17 del PK 18+700 al 21+000 i nou enllaç al PK 19+700. Tram: Granollers - Lliçà d'Amunt.</v>
      </c>
      <c r="I12" s="157">
        <f>Total!I2948</f>
        <v>79160.27</v>
      </c>
    </row>
    <row r="13" spans="1:9" x14ac:dyDescent="0.2">
      <c r="A13" s="8">
        <v>12</v>
      </c>
      <c r="B13" s="101">
        <f>Total!B2949</f>
        <v>44459</v>
      </c>
      <c r="C13" s="101">
        <f>Total!C2949</f>
        <v>44480</v>
      </c>
      <c r="D13" s="112" t="s">
        <v>1092</v>
      </c>
      <c r="E13" s="332" t="str">
        <f>Total!E2949</f>
        <v>Edificació</v>
      </c>
      <c r="F13" s="96" t="str">
        <f>Total!F2949</f>
        <v>Direccions d'Execució</v>
      </c>
      <c r="G13" s="112" t="str">
        <f>Total!G2949</f>
        <v>DE. GPV-17229.1</v>
      </c>
      <c r="H13" s="112" t="str">
        <f>Total!H2949</f>
        <v>Assistència tècnica de direcció d'execució de les obres de la desconstrucció dels edificis i ajudes a l'arqueologia per a la nova seu de la Delegació del Govern de la Generalitat de Catalunya a la Catalunya Central, a Manresa.</v>
      </c>
      <c r="I13" s="157">
        <f>Total!I2949</f>
        <v>24500</v>
      </c>
    </row>
    <row r="14" spans="1:9" x14ac:dyDescent="0.2">
      <c r="A14" s="8">
        <v>13</v>
      </c>
      <c r="B14" s="101">
        <f>Total!B2950</f>
        <v>44462</v>
      </c>
      <c r="C14" s="101">
        <f>Total!C2950</f>
        <v>44482</v>
      </c>
      <c r="D14" s="112" t="s">
        <v>1092</v>
      </c>
      <c r="E14" s="332" t="str">
        <f>Total!E2950</f>
        <v>Obra Civil</v>
      </c>
      <c r="F14" s="96" t="str">
        <f>Total!F2950</f>
        <v>Projectes</v>
      </c>
      <c r="G14" s="112" t="str">
        <f>Total!G2950</f>
        <v>EV. EA-CGB-20030</v>
      </c>
      <c r="H14" s="112" t="str">
        <f>Total!H2950</f>
        <v>Contracte de serveis per a l'assistència tècnica per a la redacció de l'"Estudi d'alternatives d'estabilització de talús de la B-402 al PK 4+589. La Pobla de Lillet".</v>
      </c>
      <c r="I14" s="157">
        <f>Total!I2950</f>
        <v>49700</v>
      </c>
    </row>
    <row r="15" spans="1:9" x14ac:dyDescent="0.2">
      <c r="A15" s="8">
        <v>14</v>
      </c>
      <c r="B15" s="101">
        <f>Total!B2951</f>
        <v>44462</v>
      </c>
      <c r="C15" s="101">
        <f>Total!C2951</f>
        <v>44482</v>
      </c>
      <c r="D15" s="112" t="s">
        <v>1092</v>
      </c>
      <c r="E15" s="332" t="str">
        <f>Total!E2951</f>
        <v>Obra Civil</v>
      </c>
      <c r="F15" s="96" t="str">
        <f>Total!F2951</f>
        <v>Projectes</v>
      </c>
      <c r="G15" s="112" t="str">
        <f>Total!G2951</f>
        <v>EV. ES-CGC-21007</v>
      </c>
      <c r="H15" s="112" t="str">
        <f>Total!H2951</f>
        <v>Redacció de l'estudi "Auditories de seguretat viària d'actuacions en trams de la xarxa de carreteres de la Generalitat de Catalunya en l'àmbit de la C-12 al Baix Ebre i Ribera d'Ebre, B-23 al Barcelonès i Baix Llobregat i C-1413a al Baix Llobregat".</v>
      </c>
      <c r="I15" s="157">
        <f>Total!I2951</f>
        <v>45000</v>
      </c>
    </row>
    <row r="16" spans="1:9" x14ac:dyDescent="0.2">
      <c r="A16" s="8">
        <v>15</v>
      </c>
      <c r="B16" s="101">
        <f>Total!B2952</f>
        <v>44462</v>
      </c>
      <c r="C16" s="101">
        <f>Total!C2952</f>
        <v>44482</v>
      </c>
      <c r="D16" s="112" t="s">
        <v>1092</v>
      </c>
      <c r="E16" s="332" t="str">
        <f>Total!E2952</f>
        <v>Obra Civil</v>
      </c>
      <c r="F16" s="96" t="str">
        <f>Total!F2952</f>
        <v>Projectes</v>
      </c>
      <c r="G16" s="112" t="str">
        <f>Total!G2952</f>
        <v>EV. EG-CGB-20068</v>
      </c>
      <c r="H16" s="112" t="str">
        <f>Total!H2952</f>
        <v>Contracte de serveis per a l'assistència tècnica per a la redacció de l'"Estudi geològic dels talussos en desmunt de la BV-2041 del PK 2+000 al 6+500 i de la BV-2411 del PK 12+00 al 15+800. Gavà-Begues".</v>
      </c>
      <c r="I16" s="157">
        <f>Total!I2952</f>
        <v>24000</v>
      </c>
    </row>
    <row r="17" spans="1:9" x14ac:dyDescent="0.2">
      <c r="A17" s="8">
        <v>16</v>
      </c>
      <c r="B17" s="101">
        <f>Total!B2953</f>
        <v>44462</v>
      </c>
      <c r="C17" s="101">
        <f>Total!C2953</f>
        <v>44480</v>
      </c>
      <c r="D17" s="112" t="s">
        <v>1092</v>
      </c>
      <c r="E17" s="332" t="str">
        <f>Total!E2953</f>
        <v>Obra Civil</v>
      </c>
      <c r="F17" s="96" t="str">
        <f>Total!F2953</f>
        <v>Projectes</v>
      </c>
      <c r="G17" s="112" t="str">
        <f>Total!G2953</f>
        <v>PC. PC-BNT-21035</v>
      </c>
      <c r="H17" s="112" t="str">
        <f>Total!H2953</f>
        <v>Contracte de serveis per a l'assistència tècnica per a la redacció del projecte constructiu "Carril bici a la TV-3141 del PK 0+560 al 4+960. Reus-Cambrils".</v>
      </c>
      <c r="I17" s="157">
        <f>Total!I2953</f>
        <v>100000</v>
      </c>
    </row>
    <row r="18" spans="1:9" x14ac:dyDescent="0.2">
      <c r="A18" s="8">
        <v>17</v>
      </c>
      <c r="B18" s="101">
        <f>Total!B2954</f>
        <v>44462</v>
      </c>
      <c r="C18" s="101">
        <f>Total!C2954</f>
        <v>44487</v>
      </c>
      <c r="D18" s="112" t="s">
        <v>1092</v>
      </c>
      <c r="E18" s="332" t="str">
        <f>Total!E2954</f>
        <v>Edificació</v>
      </c>
      <c r="F18" s="96" t="str">
        <f>Total!F2954</f>
        <v>Projectes i Direccions Facultatives</v>
      </c>
      <c r="G18" s="112" t="str">
        <f>Total!G2954</f>
        <v>PE+DF. XMV-21537</v>
      </c>
      <c r="H18" s="112" t="str">
        <f>Total!H2954</f>
        <v>Assistència tècnica per a la redacció del projecte bàsic i executiu i la posterior direcció facultativa de les obres RAM 2021 als Serveis Territorials al Vallès Occidental (XI): Escola Virolet (Sabadell), connexió de la recollida pneumàtica i altres.</v>
      </c>
      <c r="I18" s="157">
        <f>Total!I2954</f>
        <v>28760.33</v>
      </c>
    </row>
    <row r="19" spans="1:9" x14ac:dyDescent="0.2">
      <c r="A19" s="8">
        <v>18</v>
      </c>
      <c r="B19" s="101">
        <f>Total!B2955</f>
        <v>44462</v>
      </c>
      <c r="C19" s="101">
        <f>Total!C2955</f>
        <v>44480</v>
      </c>
      <c r="D19" s="112" t="s">
        <v>1092</v>
      </c>
      <c r="E19" s="332" t="str">
        <f>Total!E2955</f>
        <v>Obra Civil</v>
      </c>
      <c r="F19" s="96" t="str">
        <f>Total!F2955</f>
        <v>Projectes</v>
      </c>
      <c r="G19" s="112" t="str">
        <f>Total!G2955</f>
        <v>IA. IA-NB-07119-A1</v>
      </c>
      <c r="H19" s="112" t="str">
        <f>Total!H2955</f>
        <v>Contracte de serveis per a l'assistència tècnica per a la redacció de l'estudi d'impacte ambiental. Via interpolar. C-1413a del PK 0+000 al 4+700 (connexió amb la B-150). Molins de Rei - El Papiol.</v>
      </c>
      <c r="I19" s="157">
        <f>Total!I2955</f>
        <v>39800</v>
      </c>
    </row>
    <row r="20" spans="1:9" x14ac:dyDescent="0.2">
      <c r="A20" s="8">
        <v>19</v>
      </c>
      <c r="B20" s="101">
        <f>Total!B2956</f>
        <v>44462</v>
      </c>
      <c r="C20" s="101">
        <f>Total!C2956</f>
        <v>44487</v>
      </c>
      <c r="D20" s="112" t="s">
        <v>1092</v>
      </c>
      <c r="E20" s="332" t="str">
        <f>Total!E2956</f>
        <v>Obra Civil</v>
      </c>
      <c r="F20" s="96" t="str">
        <f>Total!F2956</f>
        <v>Projectes</v>
      </c>
      <c r="G20" s="112" t="str">
        <f>Total!G2956</f>
        <v>PR. AG-05087.1-C1</v>
      </c>
      <c r="H20" s="112" t="str">
        <f>Total!H2956</f>
        <v>Contracte de serveis per a la redacció del projecte complementari de mesures correctores d'impacte ambiental del condicionament de la GI-633 del PK 0+000 al 6+290. Medinyà (cruïlla amb l'N-II)-Sant Jordi Desvalls.</v>
      </c>
      <c r="I20" s="157">
        <f>Total!I2956</f>
        <v>16200</v>
      </c>
    </row>
    <row r="21" spans="1:9" x14ac:dyDescent="0.2">
      <c r="A21" s="8">
        <v>20</v>
      </c>
      <c r="B21" s="101">
        <f>Total!B2957</f>
        <v>44462</v>
      </c>
      <c r="C21" s="101">
        <f>Total!C2957</f>
        <v>44482</v>
      </c>
      <c r="D21" s="112" t="s">
        <v>1092</v>
      </c>
      <c r="E21" s="332" t="str">
        <f>Total!E2957</f>
        <v>Obra Civil</v>
      </c>
      <c r="F21" s="96" t="str">
        <f>Total!F2957</f>
        <v>Projectes</v>
      </c>
      <c r="G21" s="112" t="str">
        <f>Total!G2957</f>
        <v>IA. IA-VL-02137.2-A1</v>
      </c>
      <c r="H21" s="112" t="str">
        <f>Total!H2957</f>
        <v>Contracte de serveis per a l'assistència tècnica per a la redacció de l'estudi d'impacte ambiental Variant de la C-13 del PK 20+000 al 24+000. Térmens.</v>
      </c>
      <c r="I21" s="157">
        <f>Total!I2957</f>
        <v>42030</v>
      </c>
    </row>
    <row r="22" spans="1:9" x14ac:dyDescent="0.2">
      <c r="A22" s="8">
        <v>21</v>
      </c>
      <c r="B22" s="101">
        <f>Total!B2958</f>
        <v>44462</v>
      </c>
      <c r="C22" s="101">
        <f>Total!C2958</f>
        <v>44487</v>
      </c>
      <c r="D22" s="112" t="s">
        <v>1092</v>
      </c>
      <c r="E22" s="332" t="str">
        <f>Total!E2958</f>
        <v>Obra Civil</v>
      </c>
      <c r="F22" s="96" t="str">
        <f>Total!F2958</f>
        <v>Projectes</v>
      </c>
      <c r="G22" s="112" t="str">
        <f>Total!G2958</f>
        <v>PC. PC-CGT-21015</v>
      </c>
      <c r="H22" s="112" t="str">
        <f>Total!H2958</f>
        <v>Redacció del projecte constructiu "Estabilització de talussos a la C-14 del PK 26+455 al 50+365, C-242 del PK 30+240 al 54+550, C-44 del PK 13+875 al 14+320, T-702 del PK 3+170 al 28+910, T-710 del PK 3+240 a l'11+600 i T-713 del PK 3+760 al 7+870".</v>
      </c>
      <c r="I22" s="157">
        <f>Total!I2958</f>
        <v>55800</v>
      </c>
    </row>
    <row r="23" spans="1:9" x14ac:dyDescent="0.2">
      <c r="A23" s="8">
        <v>22</v>
      </c>
      <c r="B23" s="101">
        <f>Total!B2959</f>
        <v>44466</v>
      </c>
      <c r="C23" s="101">
        <f>Total!C2959</f>
        <v>44494</v>
      </c>
      <c r="D23" s="112" t="s">
        <v>1092</v>
      </c>
      <c r="E23" s="332" t="str">
        <f>Total!E2959</f>
        <v>Edificació</v>
      </c>
      <c r="F23" s="96" t="str">
        <f>Total!F2959</f>
        <v>Projectes</v>
      </c>
      <c r="G23" s="112" t="str">
        <f>Total!G2959</f>
        <v>E1. JVP-20245_Nova licitació</v>
      </c>
      <c r="H23" s="112" t="str">
        <f>Total!H2959</f>
        <v>Redacció del Programa funcional de Seguretat per als Centres Penitenciaris de Catalunya, i l'estudi d'adaptació dels centres penitenciaris de Quatre Camins, Brians 1, Brians 2 i Ponent als requeriments de seguretat definits en aquest programa funcional.</v>
      </c>
      <c r="I23" s="157">
        <f>Total!I2959</f>
        <v>515000</v>
      </c>
    </row>
    <row r="24" spans="1:9" x14ac:dyDescent="0.2">
      <c r="A24" s="8">
        <v>23</v>
      </c>
      <c r="B24" s="101">
        <f>Total!B2960</f>
        <v>44466</v>
      </c>
      <c r="C24" s="101">
        <f>Total!C2960</f>
        <v>44487</v>
      </c>
      <c r="D24" s="112" t="s">
        <v>1092</v>
      </c>
      <c r="E24" s="332" t="str">
        <f>Total!E2960</f>
        <v>Obra Civil</v>
      </c>
      <c r="F24" s="96" t="str">
        <f>Total!F2960</f>
        <v>Projectes</v>
      </c>
      <c r="G24" s="112" t="str">
        <f>Total!G2960</f>
        <v>PC-CGB-20069.F1-F2</v>
      </c>
      <c r="H24" s="112" t="str">
        <f>Total!H2960</f>
        <v>Red. proj. constructius: "Desmantellament àrees peatge autopistes C-32 nord, PK 85,00 al 127,500 i C-33 del 84,00 al 84,800. Alella-Sta Susanna i La Llagosta. i Desmantellament àrees peatge autopistes C-32 nord, PK 85,00 al 127,500 i C-33 del 84,00 al 84.</v>
      </c>
      <c r="I24" s="157">
        <f>Total!I2960</f>
        <v>132222.65</v>
      </c>
    </row>
    <row r="25" spans="1:9" x14ac:dyDescent="0.2">
      <c r="A25" s="8">
        <v>24</v>
      </c>
      <c r="B25" s="101">
        <f>Total!B2961</f>
        <v>44469</v>
      </c>
      <c r="C25" s="101">
        <f>Total!C2961</f>
        <v>44487</v>
      </c>
      <c r="D25" s="112" t="s">
        <v>1092</v>
      </c>
      <c r="E25" s="332" t="str">
        <f>Total!E2961</f>
        <v>Obra Civil</v>
      </c>
      <c r="F25" s="96" t="str">
        <f>Total!F2961</f>
        <v>Direccions d'Obra</v>
      </c>
      <c r="G25" s="112" t="str">
        <f>Total!G2961</f>
        <v>CSS. CB-16059</v>
      </c>
      <c r="H25" s="112" t="str">
        <f>Total!H2961</f>
        <v>Assistència tècnica de coordinació de seguretat i salut de les obres del projecte constructiu de conservació extraordinària. Ponts i estructures. Rehabilitació d'obra de fàbrica a la C-31, PK 209+310, marge dret. Tram: Sant Adrià de Besòs.</v>
      </c>
      <c r="I25" s="157">
        <f>Total!I2961</f>
        <v>4014.46</v>
      </c>
    </row>
    <row r="26" spans="1:9" x14ac:dyDescent="0.2">
      <c r="A26" s="8">
        <v>25</v>
      </c>
      <c r="B26" s="101">
        <f>Total!B2962</f>
        <v>44469</v>
      </c>
      <c r="C26" s="101">
        <f>Total!C2962</f>
        <v>44487</v>
      </c>
      <c r="D26" s="112" t="s">
        <v>1092</v>
      </c>
      <c r="E26" s="332" t="str">
        <f>Total!E2962</f>
        <v>Obra Civil</v>
      </c>
      <c r="F26" s="96" t="str">
        <f>Total!F2962</f>
        <v>Control de Qualitat</v>
      </c>
      <c r="G26" s="112" t="str">
        <f>Total!G2962</f>
        <v>CQ. CB-16059</v>
      </c>
      <c r="H26" s="112" t="str">
        <f>Total!H2962</f>
        <v>Assistència tècnica de control de qualitat de les obres de conservació extraordinària. Ponts i estructures. Rehabilitació d'obra de fàbrica a la C-31, PK 209+310, marge dret. Tram: Sant Adrià de Besòs.</v>
      </c>
      <c r="I26" s="157">
        <f>Total!I2962</f>
        <v>2342.9</v>
      </c>
    </row>
    <row r="27" spans="1:9" x14ac:dyDescent="0.2">
      <c r="A27" s="8">
        <v>26</v>
      </c>
      <c r="B27" s="101">
        <f>Total!B2963</f>
        <v>44469</v>
      </c>
      <c r="C27" s="101">
        <f>Total!C2963</f>
        <v>44489</v>
      </c>
      <c r="D27" s="112" t="s">
        <v>1092</v>
      </c>
      <c r="E27" s="332" t="str">
        <f>Total!E2963</f>
        <v>Obra Civil</v>
      </c>
      <c r="F27" s="96" t="str">
        <f>Total!F2963</f>
        <v>Projectes</v>
      </c>
      <c r="G27" s="112" t="str">
        <f>Total!G2963</f>
        <v>PC. PC-CPB-21027</v>
      </c>
      <c r="H27" s="112" t="str">
        <f>Total!H2963</f>
        <v>Redacció del projecte constructiu de la Rotonda a la intersecció de la B-224 al PK 19+150 amb la B-224z. Sant Llorenç d'Hortons-Sant Esteve Sesrovires.</v>
      </c>
      <c r="I27" s="157">
        <f>Total!I2963</f>
        <v>35350</v>
      </c>
    </row>
    <row r="28" spans="1:9" x14ac:dyDescent="0.2">
      <c r="A28" s="8">
        <v>27</v>
      </c>
      <c r="B28" s="101">
        <f>Total!B2964</f>
        <v>44469</v>
      </c>
      <c r="C28" s="101">
        <f>Total!C2964</f>
        <v>44487</v>
      </c>
      <c r="D28" s="112" t="s">
        <v>1092</v>
      </c>
      <c r="E28" s="332" t="str">
        <f>Total!E2964</f>
        <v>Obra Civil</v>
      </c>
      <c r="F28" s="96" t="str">
        <f>Total!F2964</f>
        <v>Direccions d'Obra</v>
      </c>
      <c r="G28" s="112" t="str">
        <f>Total!G2964</f>
        <v>DO. CB-16059</v>
      </c>
      <c r="H28" s="112" t="str">
        <f>Total!H2964</f>
        <v>Assistència tècnica de control de qualitat de les obres de conservació extraordinària. Ponts i estructures. Rehabilitació d'obra de fàbrica a la C-31, PK 209+310, marge dret. Tram: Sant Adrià de Besòs.</v>
      </c>
      <c r="I28" s="157">
        <f>Total!I2964</f>
        <v>15185.6</v>
      </c>
    </row>
    <row r="29" spans="1:9" x14ac:dyDescent="0.2">
      <c r="I29" s="126">
        <f>SUM(I2:I28)</f>
        <v>2745998.1</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20"/>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Total!B2919</f>
        <v>44411</v>
      </c>
      <c r="C2" s="101">
        <f>Total!C2919</f>
        <v>44447</v>
      </c>
      <c r="D2" s="112" t="s">
        <v>1092</v>
      </c>
      <c r="E2" s="332" t="str">
        <f>Total!E2919</f>
        <v>Obra Civil</v>
      </c>
      <c r="F2" s="96" t="str">
        <f>Total!F2919</f>
        <v>Direccions d'Obra</v>
      </c>
      <c r="G2" s="112" t="str">
        <f>Total!G2919</f>
        <v>DO. R0-19268</v>
      </c>
      <c r="H2" s="112" t="str">
        <f>Total!H2919</f>
        <v>Dirección de las obras del proyecto constructivo de actuaciones necesarias para la reducción del nivel de vibraciones existentes en la L9/L10 del metro de Barcelona. Zona Gorg.</v>
      </c>
      <c r="I2" s="157">
        <f>Total!I2919</f>
        <v>243391.84</v>
      </c>
    </row>
    <row r="3" spans="1:9" x14ac:dyDescent="0.2">
      <c r="A3" s="8">
        <v>2</v>
      </c>
      <c r="B3" s="101">
        <f>Total!B2920</f>
        <v>44412</v>
      </c>
      <c r="C3" s="101">
        <f>Total!C2920</f>
        <v>44452</v>
      </c>
      <c r="D3" s="112" t="s">
        <v>1092</v>
      </c>
      <c r="E3" s="332" t="str">
        <f>Total!E2920</f>
        <v>Obra Civil</v>
      </c>
      <c r="F3" s="96" t="str">
        <f>Total!F2920</f>
        <v>Direccions d'obra</v>
      </c>
      <c r="G3" s="112" t="str">
        <f>Total!G2920</f>
        <v>CSS. R0-19268</v>
      </c>
      <c r="H3" s="112" t="str">
        <f>Total!H2920</f>
        <v>Contracte de serveis per a l'assistència tècnica de coordinació de seguretat i salut de les obres del projecte constructiu d'actuacions necessàries per a la reducció del nivell de vibracions existents a la L9 / L10 del metro de Barcelona. Zona Gorg.</v>
      </c>
      <c r="I3" s="157">
        <f>Total!I2920</f>
        <v>39992.400000000001</v>
      </c>
    </row>
    <row r="4" spans="1:9" x14ac:dyDescent="0.2">
      <c r="A4" s="8">
        <v>3</v>
      </c>
      <c r="B4" s="101">
        <f>Total!B2921</f>
        <v>44412</v>
      </c>
      <c r="C4" s="101">
        <f>Total!C2921</f>
        <v>44452</v>
      </c>
      <c r="D4" s="112" t="s">
        <v>1092</v>
      </c>
      <c r="E4" s="332" t="str">
        <f>Total!E2921</f>
        <v>Obra Civil</v>
      </c>
      <c r="F4" s="96" t="str">
        <f>Total!F2921</f>
        <v>Control de Qualitat</v>
      </c>
      <c r="G4" s="112" t="str">
        <f>Total!G2921</f>
        <v>CQ. R0-19268</v>
      </c>
      <c r="H4" s="112" t="str">
        <f>Total!H2921</f>
        <v>Contracte de serveis per a l'assistència tècnica de Control de Qualitat de les obres del projecte constructiu d'actuacions necessàries per a la reducció del nivell de vibracions existents a la L9 / L10 del metro de Barcelona. Zona Gorg.</v>
      </c>
      <c r="I4" s="157">
        <f>Total!I2921</f>
        <v>20089.349999999999</v>
      </c>
    </row>
    <row r="5" spans="1:9" x14ac:dyDescent="0.2">
      <c r="A5" s="8">
        <v>4</v>
      </c>
      <c r="B5" s="101">
        <f>Total!B2922</f>
        <v>44414</v>
      </c>
      <c r="C5" s="101">
        <f>Total!C2922</f>
        <v>44454</v>
      </c>
      <c r="D5" s="112" t="s">
        <v>1092</v>
      </c>
      <c r="E5" s="332" t="str">
        <f>Total!E2922</f>
        <v>Obra Civil</v>
      </c>
      <c r="F5" s="96" t="str">
        <f>Total!F2922</f>
        <v>Control de Qualitat</v>
      </c>
      <c r="G5" s="112" t="str">
        <f>Total!G2922</f>
        <v>CQ. MCG-18315</v>
      </c>
      <c r="H5" s="112" t="str">
        <f>Total!H2922</f>
        <v>Contracte de serveis per a l'assistència tècnica de Control de Qualitat de les obres del projecte constructiu. Millora Connectivitat Fluvial. Eliminació de la resclosa de la central hidroelèctrica Salt Garida (Molí de les Puces).</v>
      </c>
      <c r="I5" s="157">
        <f>Total!I2922</f>
        <v>2154.96</v>
      </c>
    </row>
    <row r="6" spans="1:9" x14ac:dyDescent="0.2">
      <c r="A6" s="8">
        <v>5</v>
      </c>
      <c r="B6" s="101">
        <f>Total!B2923</f>
        <v>44414</v>
      </c>
      <c r="C6" s="101">
        <f>Total!C2923</f>
        <v>44452</v>
      </c>
      <c r="D6" s="112" t="s">
        <v>1092</v>
      </c>
      <c r="E6" s="332" t="str">
        <f>Total!E2923</f>
        <v>Obra Civil</v>
      </c>
      <c r="F6" s="96" t="str">
        <f>Total!F2923</f>
        <v xml:space="preserve">Projectes </v>
      </c>
      <c r="G6" s="112" t="str">
        <f>Total!G2923</f>
        <v>PC. PC-CPB-21032</v>
      </c>
      <c r="H6" s="112" t="str">
        <f>Total!H2923</f>
        <v>Contracte de serveis per a l'assistència tècnica per a la redacció del projecte constructiu "Millora d'enllaç per connectar la B-300 al PK 1+000 amb la C-25. Calaf - Calonge de Segarra".</v>
      </c>
      <c r="I6" s="157">
        <f>Total!I2923</f>
        <v>140200</v>
      </c>
    </row>
    <row r="7" spans="1:9" x14ac:dyDescent="0.2">
      <c r="A7" s="8">
        <v>6</v>
      </c>
      <c r="B7" s="101">
        <f>Total!B2924</f>
        <v>44414</v>
      </c>
      <c r="C7" s="101">
        <f>Total!C2924</f>
        <v>44454</v>
      </c>
      <c r="D7" s="112" t="s">
        <v>1092</v>
      </c>
      <c r="E7" s="332" t="str">
        <f>Total!E2924</f>
        <v>Obra Civil</v>
      </c>
      <c r="F7" s="96" t="str">
        <f>Total!F2924</f>
        <v>Direccions d'Obra</v>
      </c>
      <c r="G7" s="112" t="str">
        <f>Total!G2924</f>
        <v>DO. MCG-18315</v>
      </c>
      <c r="H7" s="112" t="str">
        <f>Total!H2924</f>
        <v>Contracte de serveis per a la direcció de les obres del projecte constructiu. Millora Connectivitat Fluvial. Eliminació de la resclosa de la central hidroelèctrica Salt Garida (Molí de les Puces).</v>
      </c>
      <c r="I7" s="157">
        <f>Total!I2924</f>
        <v>12837.87</v>
      </c>
    </row>
    <row r="8" spans="1:9" x14ac:dyDescent="0.2">
      <c r="A8" s="8">
        <v>7</v>
      </c>
      <c r="B8" s="101">
        <f>Total!B2925</f>
        <v>44417</v>
      </c>
      <c r="C8" s="101">
        <f>Total!C2925</f>
        <v>44454</v>
      </c>
      <c r="D8" s="112" t="s">
        <v>1092</v>
      </c>
      <c r="E8" s="332" t="str">
        <f>Total!E2925</f>
        <v>Obra Civil</v>
      </c>
      <c r="F8" s="96" t="str">
        <f>Total!F2925</f>
        <v>Direccions d'Obra</v>
      </c>
      <c r="G8" s="112" t="str">
        <f>Total!G2925</f>
        <v>CSS. PC-XMB-18018</v>
      </c>
      <c r="H8" s="112" t="str">
        <f>Total!H2925</f>
        <v>Contracte de serveis per a l'assistència tècnica de coordinació de seguretat i salut de les obres del projecte constructiu de millora de l'enllaç dels Moletons a la C-37, ramals sentit Barcelona, del PK 66+300 al PK 67+300. Vilanova del Camí.</v>
      </c>
      <c r="I8" s="157">
        <f>Total!I2925</f>
        <v>8124.83</v>
      </c>
    </row>
    <row r="9" spans="1:9" x14ac:dyDescent="0.2">
      <c r="A9" s="8">
        <v>8</v>
      </c>
      <c r="B9" s="101">
        <f>Total!B2926</f>
        <v>44417</v>
      </c>
      <c r="C9" s="101">
        <f>Total!C2926</f>
        <v>44454</v>
      </c>
      <c r="D9" s="112" t="s">
        <v>1092</v>
      </c>
      <c r="E9" s="332" t="str">
        <f>Total!E2926</f>
        <v>Obra Civil</v>
      </c>
      <c r="F9" s="96" t="str">
        <f>Total!F2926</f>
        <v>Control de Qualitat</v>
      </c>
      <c r="G9" s="112" t="str">
        <f>Total!G2926</f>
        <v>CQ. PC-XMB-18018</v>
      </c>
      <c r="H9" s="112" t="str">
        <f>Total!H2926</f>
        <v>Contracte de serveis per a l'assistència tècnica de Control de Qualitat de les obres del projecte constructiu de millora de l'enllaç dels Moletons a la C-37, ramals sentit Barcelona, del PK 66+300 al PK 67+300. Vilanova del Camí.</v>
      </c>
      <c r="I9" s="157">
        <f>Total!I2926</f>
        <v>11434</v>
      </c>
    </row>
    <row r="10" spans="1:9" x14ac:dyDescent="0.2">
      <c r="A10" s="8">
        <v>9</v>
      </c>
      <c r="B10" s="101">
        <f>Total!B2927</f>
        <v>44417</v>
      </c>
      <c r="C10" s="101">
        <f>Total!C2927</f>
        <v>44454</v>
      </c>
      <c r="D10" s="112" t="s">
        <v>1092</v>
      </c>
      <c r="E10" s="332" t="str">
        <f>Total!E2927</f>
        <v>Obra Civil</v>
      </c>
      <c r="F10" s="96" t="str">
        <f>Total!F2927</f>
        <v>Direccions d'Obra</v>
      </c>
      <c r="G10" s="112" t="str">
        <f>Total!G2927</f>
        <v>DO. PC-XMB-18018</v>
      </c>
      <c r="H10" s="112" t="str">
        <f>Total!H2927</f>
        <v>Contracte de serveis per a la direcció de les obres del projecte constructiu de millora de l'enllaç dels Moletons a la C-37, ramals sentit Barcelona, del PK 66+300 al PK 67+300. Vilanova del Camí.</v>
      </c>
      <c r="I10" s="157">
        <f>Total!I2927</f>
        <v>31416</v>
      </c>
    </row>
    <row r="11" spans="1:9" x14ac:dyDescent="0.2">
      <c r="A11" s="8">
        <v>10</v>
      </c>
      <c r="B11" s="101">
        <f>Total!B2928</f>
        <v>44418</v>
      </c>
      <c r="C11" s="101">
        <f>Total!C2928</f>
        <v>44438</v>
      </c>
      <c r="D11" s="112" t="s">
        <v>1092</v>
      </c>
      <c r="E11" s="332" t="str">
        <f>Total!E2928</f>
        <v>Obra Civil</v>
      </c>
      <c r="F11" s="96" t="str">
        <f>Total!F2928</f>
        <v>Direccions d'Obra</v>
      </c>
      <c r="G11" s="112" t="str">
        <f>Total!G2928</f>
        <v>DO. SPD-20264.1</v>
      </c>
      <c r="H11" s="112" t="str">
        <f>Total!H2928</f>
        <v>Contracte de serveis per a la direcció de les obres de "Xarxa de fibra òptica, tram: Magraners (Lleida) ¿ Móra la Nova (tram Lleida)". Tram: límit província LL-T ¿ Móra la Nova.</v>
      </c>
      <c r="I11" s="157">
        <f>Total!I2928</f>
        <v>39762.67</v>
      </c>
    </row>
    <row r="12" spans="1:9" x14ac:dyDescent="0.2">
      <c r="A12" s="8">
        <v>11</v>
      </c>
      <c r="B12" s="101">
        <f>Total!B2929</f>
        <v>44419</v>
      </c>
      <c r="C12" s="101">
        <f>Total!C2929</f>
        <v>44459</v>
      </c>
      <c r="D12" s="112" t="s">
        <v>1092</v>
      </c>
      <c r="E12" s="332" t="str">
        <f>Total!E2929</f>
        <v>Obra Civil</v>
      </c>
      <c r="F12" s="96" t="str">
        <f>Total!F2929</f>
        <v>Control de Qualitat</v>
      </c>
      <c r="G12" s="112" t="str">
        <f>Total!G2929</f>
        <v>CQ.TM-09294.A2-C1</v>
      </c>
      <c r="H12" s="112" t="str">
        <f>Total!H2929</f>
        <v>C.Q. del projecte complementari núm. 1 de la nova estació entre Collblanc i Pubilla Cases de la Línia 5 de l'FMB. Arquitectura i instal·lacions. Ampliació de la subcentral per a la millora de la interconnexió elèctrica amb la resta de la xarxa.</v>
      </c>
      <c r="I12" s="157">
        <f>Total!I2929</f>
        <v>8001.35</v>
      </c>
    </row>
    <row r="13" spans="1:9" x14ac:dyDescent="0.2">
      <c r="A13" s="8">
        <v>12</v>
      </c>
      <c r="B13" s="101">
        <f>Total!B2930</f>
        <v>44419</v>
      </c>
      <c r="C13" s="101">
        <f>Total!C2930</f>
        <v>44459</v>
      </c>
      <c r="D13" s="112" t="s">
        <v>1092</v>
      </c>
      <c r="E13" s="332" t="str">
        <f>Total!E2930</f>
        <v>Obra Civil</v>
      </c>
      <c r="F13" s="96" t="str">
        <f>Total!F2930</f>
        <v>Direccions d'Obra</v>
      </c>
      <c r="G13" s="112" t="str">
        <f>Total!G2930</f>
        <v>DO.TM-09294.A2-C1</v>
      </c>
      <c r="H13" s="112" t="str">
        <f>Total!H2930</f>
        <v>Direcció obres del projecte complementari núm. 1 de la nova estació entre Collblanc i Pubilla Cases de la Línia 5 de l'FMB. Arquitectura i instal·lacions. Ampliació de la subcentral per a la millora de la interconnexió elèctrica amb la resta de la xarxa.</v>
      </c>
      <c r="I13" s="157">
        <f>Total!I2930</f>
        <v>33690.879999999997</v>
      </c>
    </row>
    <row r="14" spans="1:9" x14ac:dyDescent="0.2">
      <c r="A14" s="8">
        <v>13</v>
      </c>
      <c r="B14" s="101">
        <f>Total!B2931</f>
        <v>44428</v>
      </c>
      <c r="C14" s="101">
        <f>Total!C2931</f>
        <v>44459</v>
      </c>
      <c r="D14" s="112" t="s">
        <v>1092</v>
      </c>
      <c r="E14" s="332" t="str">
        <f>Total!E2931</f>
        <v>Edificació</v>
      </c>
      <c r="F14" s="96" t="str">
        <f>Total!F2931</f>
        <v>Direccions d'Execució</v>
      </c>
      <c r="G14" s="112" t="str">
        <f>Total!G2931</f>
        <v>DE. HTT-16208.1 + HTT-18287.1</v>
      </c>
      <c r="H14" s="112" t="str">
        <f>Total!H2931</f>
        <v>Contracte de serveis per a la Direcció d'execució conjunta de les obres d'arquitectura i instal·lacions de l'edifici fase 1 de la Transformació global de l'Hospital Joan XXIII de Tarragona. Treballs previs.</v>
      </c>
      <c r="I14" s="157">
        <f>Total!I2931</f>
        <v>201125.59</v>
      </c>
    </row>
    <row r="15" spans="1:9" x14ac:dyDescent="0.2">
      <c r="A15" s="8">
        <v>14</v>
      </c>
      <c r="B15" s="101">
        <f>Total!B2932</f>
        <v>44428</v>
      </c>
      <c r="C15" s="101">
        <f>Total!C2932</f>
        <v>44468</v>
      </c>
      <c r="D15" s="112" t="s">
        <v>1092</v>
      </c>
      <c r="E15" s="332" t="str">
        <f>Total!E2932</f>
        <v>Edificació</v>
      </c>
      <c r="F15" s="96" t="str">
        <f>Total!F2932</f>
        <v>Control de Qualitat</v>
      </c>
      <c r="G15" s="112" t="str">
        <f>Total!G2932</f>
        <v>CQ. HTT-16208.1+HTT-18287.1</v>
      </c>
      <c r="H15" s="112" t="str">
        <f>Total!H2932</f>
        <v>Contracte de serveis per a l'assistència tècnica de control de qualitat conjunta de les obres d'arquitectura i instal·lacions de l'edifici fase 1 de la Transformació global de l'Hospital Joan XXIII, de Tarragona. Treballs previs.</v>
      </c>
      <c r="I15" s="157">
        <f>Total!I2932</f>
        <v>240292.59</v>
      </c>
    </row>
    <row r="16" spans="1:9" x14ac:dyDescent="0.2">
      <c r="A16" s="8">
        <v>15</v>
      </c>
      <c r="B16" s="101">
        <f>Total!B2933</f>
        <v>44428</v>
      </c>
      <c r="C16" s="101">
        <f>Total!C2933</f>
        <v>44459</v>
      </c>
      <c r="D16" s="112" t="s">
        <v>1092</v>
      </c>
      <c r="E16" s="332" t="str">
        <f>Total!E2933</f>
        <v>Edificació</v>
      </c>
      <c r="F16" s="96" t="str">
        <f>Total!F2933</f>
        <v>Direccions d'Execució</v>
      </c>
      <c r="G16" s="112" t="str">
        <f>Total!G2933</f>
        <v>CSS. HTT-16208.1+HTT-18287.1</v>
      </c>
      <c r="H16" s="112" t="str">
        <f>Total!H2933</f>
        <v>Assist. tèc conjunta de coord. S.S obres dels projectes executius "Construcció de l'edifici fase 1 de la transformació global de l'Hospital Joan XXIII de Tarragona. Treballs previs. i Instal. edif. fase 1 de tranformació global Hosp. Joan XXIII Tarragona.</v>
      </c>
      <c r="I16" s="157">
        <f>Total!I2933</f>
        <v>40214.400000000001</v>
      </c>
    </row>
    <row r="17" spans="1:9" x14ac:dyDescent="0.2">
      <c r="A17" s="8">
        <v>16</v>
      </c>
      <c r="B17" s="101">
        <f>Total!B2934</f>
        <v>44434</v>
      </c>
      <c r="C17" s="101">
        <f>Total!C2934</f>
        <v>44452</v>
      </c>
      <c r="D17" s="112" t="s">
        <v>1092</v>
      </c>
      <c r="E17" s="332" t="str">
        <f>Total!E2934</f>
        <v>Obra Civil</v>
      </c>
      <c r="F17" s="96" t="str">
        <f>Total!F2934</f>
        <v>Projectes</v>
      </c>
      <c r="G17" s="112" t="str">
        <f>Total!G2934</f>
        <v>PC. XC-15021.2.2</v>
      </c>
      <c r="H17" s="112" t="str">
        <f>Total!H2934</f>
        <v>Contracte de serveis per a la redacció del projecte constructiu de carril bici al llarg del Maresme. Mataró - Sant Andreu de Llavaneres.</v>
      </c>
      <c r="I17" s="157">
        <f>Total!I2934</f>
        <v>58400</v>
      </c>
    </row>
    <row r="18" spans="1:9" x14ac:dyDescent="0.2">
      <c r="A18" s="8">
        <v>17</v>
      </c>
      <c r="B18" s="101">
        <f>Total!B2935</f>
        <v>44435</v>
      </c>
      <c r="C18" s="101">
        <f>Total!C2935</f>
        <v>44452</v>
      </c>
      <c r="D18" s="112" t="s">
        <v>1092</v>
      </c>
      <c r="E18" s="332" t="str">
        <f>Total!E2935</f>
        <v>Obra Civil</v>
      </c>
      <c r="F18" s="96" t="str">
        <f>Total!F2935</f>
        <v>Projectes</v>
      </c>
      <c r="G18" s="112" t="str">
        <f>Total!G2935</f>
        <v>PC. PC-BNB-21024</v>
      </c>
      <c r="H18" s="112" t="str">
        <f>Total!H2935</f>
        <v>Contracte de serveis per a l'assistència tècnica per a la redacció del projecte constructiu "Via ciclista Bagà - Terradelles".</v>
      </c>
      <c r="I18" s="157">
        <f>Total!I2935</f>
        <v>31500</v>
      </c>
    </row>
    <row r="19" spans="1:9" x14ac:dyDescent="0.2">
      <c r="A19" s="8">
        <v>18</v>
      </c>
      <c r="B19" s="101">
        <f>Total!B2936</f>
        <v>44435</v>
      </c>
      <c r="C19" s="101">
        <f>Total!C2936</f>
        <v>44454</v>
      </c>
      <c r="D19" s="112" t="s">
        <v>1092</v>
      </c>
      <c r="E19" s="332" t="str">
        <f>Total!E2936</f>
        <v>Obra Civil</v>
      </c>
      <c r="F19" s="96" t="str">
        <f>Total!F2936</f>
        <v>Projectes</v>
      </c>
      <c r="G19" s="112" t="str">
        <f>Total!G2936</f>
        <v>PC.CL-16029</v>
      </c>
      <c r="H19" s="112" t="str">
        <f>Total!H2936</f>
        <v>Assistència tècnica per a la redacció del projecte constructiu de conservació extraordinària. Ponts i estructures. Execució de vorera de vianants i adequació d'ampit a la Normativa vigent. Carretera C-1412b, PK 58+970. Tram: Tremp.</v>
      </c>
      <c r="I19" s="157">
        <f>Total!I2936</f>
        <v>25500</v>
      </c>
    </row>
    <row r="20" spans="1:9" x14ac:dyDescent="0.2">
      <c r="I20" s="126">
        <f>SUM(I2:I19)</f>
        <v>1188128.73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38"/>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Total!B2883</f>
        <v>44382</v>
      </c>
      <c r="C2" s="101">
        <f>Total!C2883</f>
        <v>44398</v>
      </c>
      <c r="D2" s="112" t="s">
        <v>1092</v>
      </c>
      <c r="E2" s="332" t="str">
        <f>Total!E2883</f>
        <v>Obra Civil</v>
      </c>
      <c r="F2" s="96" t="str">
        <f>Total!F2883</f>
        <v>Direccions d'Obra</v>
      </c>
      <c r="G2" s="112" t="str">
        <f>Total!G2883</f>
        <v>CSS. AB-01055-C3</v>
      </c>
      <c r="H2" s="112" t="str">
        <f>Total!H2883</f>
        <v>Assistència tècnica de coordinació de seguretat i salut de les obres del projecte constructiu de millora local. Talussos. Estabilització de talussos. Carretera C-62. PK 10+350 al 32+600. Fase 2. Lot 1 i Lot 2. Tram: Olost - Olvan.</v>
      </c>
      <c r="I2" s="157">
        <f>Total!I2883</f>
        <v>4285.2</v>
      </c>
    </row>
    <row r="3" spans="1:9" x14ac:dyDescent="0.2">
      <c r="A3" s="8">
        <v>2</v>
      </c>
      <c r="B3" s="101">
        <f>Total!B2884</f>
        <v>44382</v>
      </c>
      <c r="C3" s="101">
        <f>Total!C2884</f>
        <v>44398</v>
      </c>
      <c r="D3" s="112" t="s">
        <v>1092</v>
      </c>
      <c r="E3" s="332" t="str">
        <f>Total!E2884</f>
        <v>Obra Civil</v>
      </c>
      <c r="F3" s="96" t="str">
        <f>Total!F2884</f>
        <v>Direccions d'Obra</v>
      </c>
      <c r="G3" s="112" t="str">
        <f>Total!G2884</f>
        <v>DO. AB-01055-C3</v>
      </c>
      <c r="H3" s="112" t="str">
        <f>Total!H2884</f>
        <v>Contracte de serveis per a la direcció de les obres de millora local. Talussos. Estabilització de talussos. Carretera C-62. PK 10+350 al 32+600. Fase 2. Tram: Olost - Olvan.</v>
      </c>
      <c r="I3" s="157">
        <f>Total!I2884</f>
        <v>18577.62</v>
      </c>
    </row>
    <row r="4" spans="1:9" x14ac:dyDescent="0.2">
      <c r="A4" s="8">
        <v>3</v>
      </c>
      <c r="B4" s="101">
        <f>Total!B2885</f>
        <v>44382</v>
      </c>
      <c r="C4" s="101">
        <f>Total!C2885</f>
        <v>44398</v>
      </c>
      <c r="D4" s="112" t="s">
        <v>1092</v>
      </c>
      <c r="E4" s="332" t="str">
        <f>Total!E2885</f>
        <v>Obra Civil</v>
      </c>
      <c r="F4" s="96" t="str">
        <f>Total!F2885</f>
        <v>Control de Qualitat</v>
      </c>
      <c r="G4" s="112" t="str">
        <f>Total!G2885</f>
        <v>CQ. AB-01055-C3</v>
      </c>
      <c r="H4" s="112" t="str">
        <f>Total!H2885</f>
        <v>Contracte de serveis per a l'assistència tècnica de control de qualitat de les obres de millora local. Talussos. Estabilització de talussos. Carretera C-62. PK 10+350 al 32+600. Fase 2. Tram: Olost - Olvan.</v>
      </c>
      <c r="I4" s="157">
        <f>Total!I2885</f>
        <v>3420.68</v>
      </c>
    </row>
    <row r="5" spans="1:9" x14ac:dyDescent="0.2">
      <c r="A5" s="8">
        <v>4</v>
      </c>
      <c r="B5" s="101">
        <f>Total!B2886</f>
        <v>44382</v>
      </c>
      <c r="C5" s="101">
        <f>Total!C2886</f>
        <v>44398</v>
      </c>
      <c r="D5" s="112" t="s">
        <v>1092</v>
      </c>
      <c r="E5" s="332" t="str">
        <f>Total!E2886</f>
        <v>Edificació</v>
      </c>
      <c r="F5" s="96" t="str">
        <f>Total!F2886</f>
        <v>Projectes</v>
      </c>
      <c r="G5" s="112" t="str">
        <f>Total!G2886</f>
        <v>E1. GPV-17229.2</v>
      </c>
      <c r="H5" s="112" t="str">
        <f>Total!H2886</f>
        <v>Serveis per a l'assistència tècnica per a la redacció de l'estudi de l'assegurament de la qualitat del projecte executiu de la nova seu de la Delegació del Govern de la Generalitat de Catalunya a la Catalunya Central, a Manresa.</v>
      </c>
      <c r="I5" s="157">
        <f>Total!I2886</f>
        <v>27580</v>
      </c>
    </row>
    <row r="6" spans="1:9" x14ac:dyDescent="0.2">
      <c r="A6" s="8">
        <v>5</v>
      </c>
      <c r="B6" s="101">
        <f>Total!B2887</f>
        <v>44383</v>
      </c>
      <c r="C6" s="101">
        <f>Total!C2887</f>
        <v>44440</v>
      </c>
      <c r="D6" s="112" t="s">
        <v>1092</v>
      </c>
      <c r="E6" s="332" t="str">
        <f>Total!E2887</f>
        <v>Obra Civil</v>
      </c>
      <c r="F6" s="96" t="str">
        <f>Total!F2887</f>
        <v>Direccions d'Obra</v>
      </c>
      <c r="G6" s="112" t="str">
        <f>Total!G2887</f>
        <v>DO. PC-CRG-17065</v>
      </c>
      <c r="H6" s="112" t="str">
        <f>Total!H2887</f>
        <v>Contracte de serveis per a la direcció de les obres del projecte constructiu de ferm. Millora del ferm i obres complementàries a la carretera GI-531, del PK 4+580 al 6+350. Tram: Sant Gregori.</v>
      </c>
      <c r="I6" s="157">
        <f>Total!I2887</f>
        <v>14755.79</v>
      </c>
    </row>
    <row r="7" spans="1:9" x14ac:dyDescent="0.2">
      <c r="A7" s="8">
        <v>6</v>
      </c>
      <c r="B7" s="101">
        <f>Total!B2888</f>
        <v>44383</v>
      </c>
      <c r="C7" s="101">
        <f>Total!C2888</f>
        <v>44440</v>
      </c>
      <c r="D7" s="112" t="s">
        <v>1092</v>
      </c>
      <c r="E7" s="332" t="str">
        <f>Total!E2888</f>
        <v>Obra Civil</v>
      </c>
      <c r="F7" s="96" t="str">
        <f>Total!F2888</f>
        <v>Direccions d'Obra</v>
      </c>
      <c r="G7" s="112" t="str">
        <f>Total!G2888</f>
        <v>CSS. PC-CRG-17065</v>
      </c>
      <c r="H7" s="112" t="str">
        <f>Total!H2888</f>
        <v>Contracte de serveis per a l'assistència tècnica de coordinació de seguretat i salut de les obres del projecte constructiu de ferm. Millora del ferm i obres complementàries a la carretera GI-531, del PK 4+580 al 6+350. Tram: Sant Gregori.</v>
      </c>
      <c r="I7" s="157">
        <f>Total!I2888</f>
        <v>4128</v>
      </c>
    </row>
    <row r="8" spans="1:9" x14ac:dyDescent="0.2">
      <c r="A8" s="8">
        <v>7</v>
      </c>
      <c r="B8" s="101">
        <f>Total!B2889</f>
        <v>44383</v>
      </c>
      <c r="C8" s="101">
        <f>Total!C2889</f>
        <v>44440</v>
      </c>
      <c r="D8" s="112" t="s">
        <v>1092</v>
      </c>
      <c r="E8" s="332" t="str">
        <f>Total!E2889</f>
        <v>Obra Civil</v>
      </c>
      <c r="F8" s="96" t="str">
        <f>Total!F2889</f>
        <v>Control de Qualitat</v>
      </c>
      <c r="G8" s="112" t="str">
        <f>Total!G2889</f>
        <v>CQ. PC-CRG-17065</v>
      </c>
      <c r="H8" s="112" t="str">
        <f>Total!H2889</f>
        <v>Contracte de serveis per a l'assistència tècnica de control de qualitat de les obres del projecte constructiu de ferm. Millora del ferm i obres complementàries a la carretera GI-531, del PK 4+580 al 6+350. Tram: Sant Gregori.</v>
      </c>
      <c r="I8" s="157">
        <f>Total!I2889</f>
        <v>5311.84</v>
      </c>
    </row>
    <row r="9" spans="1:9" x14ac:dyDescent="0.2">
      <c r="A9" s="8">
        <v>8</v>
      </c>
      <c r="B9" s="101">
        <f>Total!B2890</f>
        <v>44385</v>
      </c>
      <c r="C9" s="101">
        <f>Total!C2890</f>
        <v>44438</v>
      </c>
      <c r="D9" s="112" t="s">
        <v>1092</v>
      </c>
      <c r="E9" s="332" t="str">
        <f>Total!E2890</f>
        <v>Edificació</v>
      </c>
      <c r="F9" s="96" t="str">
        <f>Total!F2890</f>
        <v>Direccions d'Execució</v>
      </c>
      <c r="G9" s="112" t="str">
        <f>Total!G2890</f>
        <v>DE. JVX-21213</v>
      </c>
      <c r="H9" s="112" t="str">
        <f>Total!H2890</f>
        <v>Contracte de serveis per a la direcció d'execució de les obres de la nova cuina en el Centre Penitenciari de Brians 1.</v>
      </c>
      <c r="I9" s="157">
        <f>Total!I2890</f>
        <v>98000</v>
      </c>
    </row>
    <row r="10" spans="1:9" x14ac:dyDescent="0.2">
      <c r="A10" s="8">
        <v>9</v>
      </c>
      <c r="B10" s="101">
        <f>Total!B2891</f>
        <v>44385</v>
      </c>
      <c r="C10" s="101">
        <f>Total!C2891</f>
        <v>44438</v>
      </c>
      <c r="D10" s="112" t="s">
        <v>1092</v>
      </c>
      <c r="E10" s="332" t="str">
        <f>Total!E2891</f>
        <v>Edificació</v>
      </c>
      <c r="F10" s="96" t="str">
        <f>Total!F2891</f>
        <v>Direccions d'Execució</v>
      </c>
      <c r="G10" s="112" t="str">
        <f>Total!G2891</f>
        <v>CSS. JVX-21213</v>
      </c>
      <c r="H10" s="112" t="str">
        <f>Total!H2891</f>
        <v>Contracte de serveis per a l'assistència tècnica de coordinació de seguretat i salut de les obres de la nova cuina en el Centre Penitenciari de Brians 1.</v>
      </c>
      <c r="I10" s="157">
        <f>Total!I2891</f>
        <v>29400</v>
      </c>
    </row>
    <row r="11" spans="1:9" x14ac:dyDescent="0.2">
      <c r="A11" s="8">
        <v>10</v>
      </c>
      <c r="B11" s="101">
        <f>Total!B2892</f>
        <v>44385</v>
      </c>
      <c r="C11" s="101">
        <f>Total!C2892</f>
        <v>44438</v>
      </c>
      <c r="D11" s="112" t="s">
        <v>1092</v>
      </c>
      <c r="E11" s="332" t="str">
        <f>Total!E2892</f>
        <v>Obra Civil</v>
      </c>
      <c r="F11" s="96" t="str">
        <f>Total!F2892</f>
        <v>Projectes</v>
      </c>
      <c r="G11" s="112" t="str">
        <f>Total!G2892</f>
        <v>EC. EC22</v>
      </c>
      <c r="H11" s="112" t="str">
        <f>Total!H2892</f>
        <v>Contracte de serveis per a l'Assistència tècnica per a la realització dels treballs de cartografia corresponents als estudis i projectes d'obra civil que són encarregats pels Departaments de la Generalitat de Catalunya.</v>
      </c>
      <c r="I11" s="157">
        <f>Total!I2892</f>
        <v>130720</v>
      </c>
    </row>
    <row r="12" spans="1:9" x14ac:dyDescent="0.2">
      <c r="A12" s="8">
        <v>11</v>
      </c>
      <c r="B12" s="101">
        <f>Total!B2893</f>
        <v>44385</v>
      </c>
      <c r="C12" s="101">
        <f>Total!C2893</f>
        <v>44438</v>
      </c>
      <c r="D12" s="112" t="s">
        <v>1092</v>
      </c>
      <c r="E12" s="332" t="str">
        <f>Total!E2893</f>
        <v>Edificació</v>
      </c>
      <c r="F12" s="96" t="str">
        <f>Total!F2893</f>
        <v>Control de Qualitat</v>
      </c>
      <c r="G12" s="112" t="str">
        <f>Total!G2893</f>
        <v>CQ. JVX-21213</v>
      </c>
      <c r="H12" s="112" t="str">
        <f>Total!H2893</f>
        <v>Contracte de serveis per a l'assistència tècnica de control de qualitat de les obres de la nova cuina en el Centre Penitenciari de Brians 1.</v>
      </c>
      <c r="I12" s="157">
        <f>Total!I2893</f>
        <v>41648.089999999997</v>
      </c>
    </row>
    <row r="13" spans="1:9" x14ac:dyDescent="0.2">
      <c r="A13" s="8">
        <v>12</v>
      </c>
      <c r="B13" s="101">
        <f>Total!B2894</f>
        <v>44385</v>
      </c>
      <c r="C13" s="101">
        <f>Total!C2894</f>
        <v>44438</v>
      </c>
      <c r="D13" s="112" t="s">
        <v>1092</v>
      </c>
      <c r="E13" s="332" t="str">
        <f>Total!E2894</f>
        <v>Edificació</v>
      </c>
      <c r="F13" s="96" t="str">
        <f>Total!F2894</f>
        <v>Direccions d'Obra</v>
      </c>
      <c r="G13" s="112" t="str">
        <f>Total!G2894</f>
        <v>DO. JVX-21213</v>
      </c>
      <c r="H13" s="112" t="str">
        <f>Total!H2894</f>
        <v>Contracte de serveis per a la direcció de les obres de la nova cuina en el Centre Penitenciari de Brians 1.</v>
      </c>
      <c r="I13" s="157">
        <f>Total!I2894</f>
        <v>44000</v>
      </c>
    </row>
    <row r="14" spans="1:9" x14ac:dyDescent="0.2">
      <c r="A14" s="8">
        <v>13</v>
      </c>
      <c r="B14" s="101">
        <f>Total!B2895</f>
        <v>44386</v>
      </c>
      <c r="C14" s="101">
        <f>Total!C2895</f>
        <v>44440</v>
      </c>
      <c r="D14" s="112" t="s">
        <v>1092</v>
      </c>
      <c r="E14" s="332" t="str">
        <f>Total!E2895</f>
        <v>Edificació</v>
      </c>
      <c r="F14" s="96" t="str">
        <f>Total!F2895</f>
        <v>Direccions d'execució</v>
      </c>
      <c r="G14" s="112" t="str">
        <f>Total!G2895</f>
        <v>DE. PNG-17276</v>
      </c>
      <c r="H14" s="112" t="str">
        <f>Total!H2895</f>
        <v>Contracte de serveis per a la direcció d'execució de les obres de Nova construcció de l'Escola Josep de Ribot i Olivas d'1 línia a Vilamalla (Alt Empordà).</v>
      </c>
      <c r="I14" s="157">
        <f>Total!I2895</f>
        <v>90048.53</v>
      </c>
    </row>
    <row r="15" spans="1:9" x14ac:dyDescent="0.2">
      <c r="A15" s="8">
        <v>14</v>
      </c>
      <c r="B15" s="101">
        <f>Total!B2896</f>
        <v>44386</v>
      </c>
      <c r="C15" s="101">
        <f>Total!C2896</f>
        <v>44440</v>
      </c>
      <c r="D15" s="112" t="s">
        <v>1092</v>
      </c>
      <c r="E15" s="332" t="str">
        <f>Total!E2896</f>
        <v>Edificació</v>
      </c>
      <c r="F15" s="96" t="str">
        <f>Total!F2896</f>
        <v>Control de Qualitat</v>
      </c>
      <c r="G15" s="112" t="str">
        <f>Total!G2896</f>
        <v>CQ. PNG-17276</v>
      </c>
      <c r="H15" s="112" t="str">
        <f>Total!H2896</f>
        <v>Contracte de serveis per a l'assistència tècnica de control de qualitat de les obres de Nova construcció de l'Escola Josep de Ribot i Olivas d'1 línia a Vilamalla (Alt Empordà).</v>
      </c>
      <c r="I15" s="157">
        <f>Total!I2896</f>
        <v>31271.4</v>
      </c>
    </row>
    <row r="16" spans="1:9" x14ac:dyDescent="0.2">
      <c r="A16" s="8">
        <v>15</v>
      </c>
      <c r="B16" s="101">
        <f>Total!B2897</f>
        <v>44386</v>
      </c>
      <c r="C16" s="101">
        <f>Total!C2897</f>
        <v>44439</v>
      </c>
      <c r="D16" s="112" t="s">
        <v>1092</v>
      </c>
      <c r="E16" s="332" t="str">
        <f>Total!E2897</f>
        <v>Edificació</v>
      </c>
      <c r="F16" s="96" t="str">
        <f>Total!F2897</f>
        <v>Projectes i Direccions d'Obra</v>
      </c>
      <c r="G16" s="112" t="str">
        <f>Total!G2897</f>
        <v>PE+DO CAP-08500.A</v>
      </c>
      <c r="H16" s="112" t="str">
        <f>Total!H2897</f>
        <v>Contracte de serveis per a l'assistència tècnica per a la redacció del projecte actualitzat i la posterior direcció de les obres del nou Centre d'Atenció Primària Gavà-3, de Gavà.</v>
      </c>
      <c r="I16" s="157">
        <f>Total!I2897</f>
        <v>433419.69</v>
      </c>
    </row>
    <row r="17" spans="1:9" x14ac:dyDescent="0.2">
      <c r="A17" s="8">
        <v>16</v>
      </c>
      <c r="B17" s="101">
        <f>Total!B2898</f>
        <v>44386</v>
      </c>
      <c r="C17" s="101">
        <f>Total!C2898</f>
        <v>44440</v>
      </c>
      <c r="D17" s="112" t="s">
        <v>1092</v>
      </c>
      <c r="E17" s="332" t="str">
        <f>Total!E2898</f>
        <v>Edificació</v>
      </c>
      <c r="F17" s="96" t="str">
        <f>Total!F2898</f>
        <v>Direccions d'execució</v>
      </c>
      <c r="G17" s="112" t="str">
        <f>Total!G2898</f>
        <v>CSS. PNG-17276</v>
      </c>
      <c r="H17" s="112" t="str">
        <f>Total!H2898</f>
        <v>Contracte de serveis per a l'assistència tècnica de coordinació de seguretat i salut de les obres del projecte executiu de nova construcció de l'Escola Josep de Ribot i Olivas d'1 línia a Vilamalla (Alt Empordà). Lot 1 + Lot 2.</v>
      </c>
      <c r="I17" s="157">
        <f>Total!I2898</f>
        <v>26118</v>
      </c>
    </row>
    <row r="18" spans="1:9" x14ac:dyDescent="0.2">
      <c r="A18" s="8">
        <v>17</v>
      </c>
      <c r="B18" s="101">
        <f>Total!B2899</f>
        <v>44389</v>
      </c>
      <c r="C18" s="101">
        <f>Total!C2899</f>
        <v>44440</v>
      </c>
      <c r="D18" s="112" t="s">
        <v>1092</v>
      </c>
      <c r="E18" s="332" t="str">
        <f>Total!E2899</f>
        <v>Edificació</v>
      </c>
      <c r="F18" s="96" t="str">
        <f>Total!F2899</f>
        <v>Projectes i Direccions d'Obra</v>
      </c>
      <c r="G18" s="112" t="str">
        <f>Total!G2899</f>
        <v>PE+DO. PAH-19244</v>
      </c>
      <c r="H18" s="112" t="str">
        <f>Total!H2899</f>
        <v>Concurs de projectes per a la redacció del projecte bàsic i executiu i la posterior direcció de les obres d'ampliació i adequació de l'Escola El Bruc a 1 línia.</v>
      </c>
      <c r="I18" s="157">
        <f>Total!I2899</f>
        <v>390453.4</v>
      </c>
    </row>
    <row r="19" spans="1:9" x14ac:dyDescent="0.2">
      <c r="A19" s="8">
        <v>18</v>
      </c>
      <c r="B19" s="101">
        <f>Total!B2900</f>
        <v>44390</v>
      </c>
      <c r="C19" s="101">
        <f>Total!C2900</f>
        <v>44438</v>
      </c>
      <c r="D19" s="112" t="s">
        <v>1092</v>
      </c>
      <c r="E19" s="332" t="str">
        <f>Total!E2900</f>
        <v>Obra Civil</v>
      </c>
      <c r="F19" s="96" t="str">
        <f>Total!F2900</f>
        <v>Projectes</v>
      </c>
      <c r="G19" s="112" t="str">
        <f>Total!G2900</f>
        <v>PC. PC-CFT-21019</v>
      </c>
      <c r="H19" s="112" t="str">
        <f>Total!H2900</f>
        <v>Assistència tècnica per a la redacció del projecte constructiu de reforçament del ferm de la T-322 del pk 5,050 al 21,208. Mont-roig del Camp - La Torre de Fontaubella.</v>
      </c>
      <c r="I19" s="157">
        <f>Total!I2900</f>
        <v>55260</v>
      </c>
    </row>
    <row r="20" spans="1:9" x14ac:dyDescent="0.2">
      <c r="A20" s="8">
        <v>19</v>
      </c>
      <c r="B20" s="101">
        <f>Total!B2901</f>
        <v>44390</v>
      </c>
      <c r="C20" s="101">
        <f>Total!C2901</f>
        <v>44438</v>
      </c>
      <c r="D20" s="112" t="s">
        <v>1092</v>
      </c>
      <c r="E20" s="332" t="str">
        <f>Total!E2901</f>
        <v>Obra Civil</v>
      </c>
      <c r="F20" s="96" t="str">
        <f>Total!F2901</f>
        <v>Projectes</v>
      </c>
      <c r="G20" s="112" t="str">
        <f>Total!G2901</f>
        <v>PC. PC-CFT-21020</v>
      </c>
      <c r="H20" s="112" t="str">
        <f>Total!H2901</f>
        <v>Assistència tècnica per a la redacció del projecte constructiu de reforçament del ferm de la T-322 del pk 5,050 al 21,208. Mont-roig del Camp - La Torre de Fontaubella.</v>
      </c>
      <c r="I20" s="157">
        <f>Total!I2901</f>
        <v>56088</v>
      </c>
    </row>
    <row r="21" spans="1:9" x14ac:dyDescent="0.2">
      <c r="A21" s="8">
        <v>20</v>
      </c>
      <c r="B21" s="101">
        <f>Total!B2902</f>
        <v>44398</v>
      </c>
      <c r="C21" s="101">
        <f>Total!C2902</f>
        <v>44452</v>
      </c>
      <c r="D21" s="112" t="s">
        <v>1092</v>
      </c>
      <c r="E21" s="332" t="str">
        <f>Total!E2902</f>
        <v>Obra Civil</v>
      </c>
      <c r="F21" s="96" t="str">
        <f>Total!F2902</f>
        <v>Direccions d'Obra</v>
      </c>
      <c r="G21" s="112" t="str">
        <f>Total!G2902</f>
        <v>DO. PC-CMB-17049</v>
      </c>
      <c r="H21" s="112" t="str">
        <f>Total!H2902</f>
        <v>Contracte de serveis per a la direcció de les obres de millora local. Drenatges. Condicionament de l'obra de drenatge transversal al PK 1+850 de les carreteres C-1413a i C-1413z. Tram: el Papiol.</v>
      </c>
      <c r="I21" s="157">
        <f>Total!I2902</f>
        <v>29037.86</v>
      </c>
    </row>
    <row r="22" spans="1:9" x14ac:dyDescent="0.2">
      <c r="A22" s="8">
        <v>21</v>
      </c>
      <c r="B22" s="101">
        <f>Total!B2903</f>
        <v>44398</v>
      </c>
      <c r="C22" s="101">
        <f>Total!C2903</f>
        <v>44452</v>
      </c>
      <c r="D22" s="112" t="s">
        <v>1092</v>
      </c>
      <c r="E22" s="332" t="str">
        <f>Total!E2903</f>
        <v>Obra Civil</v>
      </c>
      <c r="F22" s="96" t="str">
        <f>Total!F2903</f>
        <v>Direccions d'Obra</v>
      </c>
      <c r="G22" s="112" t="str">
        <f>Total!G2903</f>
        <v>PC. RET-21256</v>
      </c>
      <c r="H22" s="112" t="str">
        <f>Total!H2903</f>
        <v>Contracte de serveis per a l'assistència tècnica per a la redacció del projecte constructiu. Recuperació ecològica i ambiental de la zona humida de les Madrigueres al Vendrell. Baix Penedès.</v>
      </c>
      <c r="I22" s="157">
        <f>Total!I2903</f>
        <v>91500</v>
      </c>
    </row>
    <row r="23" spans="1:9" x14ac:dyDescent="0.2">
      <c r="A23" s="8">
        <v>22</v>
      </c>
      <c r="B23" s="101">
        <f>Total!B2904</f>
        <v>44398</v>
      </c>
      <c r="C23" s="101">
        <f>Total!C2904</f>
        <v>44452</v>
      </c>
      <c r="D23" s="112" t="s">
        <v>1092</v>
      </c>
      <c r="E23" s="332" t="str">
        <f>Total!E2904</f>
        <v>Obra Civil</v>
      </c>
      <c r="F23" s="96" t="str">
        <f>Total!F2904</f>
        <v>Control de Qualitat</v>
      </c>
      <c r="G23" s="112" t="str">
        <f>Total!G2904</f>
        <v>CQ. PC-CMB-17049</v>
      </c>
      <c r="H23" s="112" t="str">
        <f>Total!H2904</f>
        <v>Contracte de serveis per a l'assistència tècnica de control de qualitat de les obres de millora local. Drenatges. Condicionament de l'obra de drenatge transversal al PK 1+850 de les carreteres C-1413a i C-1413z. Tram: el Papiol.</v>
      </c>
      <c r="I23" s="157">
        <f>Total!I2904</f>
        <v>10085.52</v>
      </c>
    </row>
    <row r="24" spans="1:9" x14ac:dyDescent="0.2">
      <c r="A24" s="8">
        <v>23</v>
      </c>
      <c r="B24" s="101">
        <f>Total!B2905</f>
        <v>44398</v>
      </c>
      <c r="C24" s="101">
        <f>Total!C2905</f>
        <v>44445</v>
      </c>
      <c r="D24" s="112" t="s">
        <v>1092</v>
      </c>
      <c r="E24" s="332" t="str">
        <f>Total!E2905</f>
        <v>Obra Civil</v>
      </c>
      <c r="F24" s="96" t="str">
        <f>Total!F2905</f>
        <v>Direccions d'Obra</v>
      </c>
      <c r="G24" s="112" t="str">
        <f>Total!G2905</f>
        <v>CSS. PC-CMB-17049</v>
      </c>
      <c r="H24" s="112" t="str">
        <f>Total!H2905</f>
        <v>Contracte de serveis per a l'assistència tècnica de coordinació de seguretat i salut de les obres de millora local. Drenatges. Condicionament de l'obra de drenatge transversal al PK 1+850 de les carreteres C-1413a i C-1413z. Tram: el Papiol.</v>
      </c>
      <c r="I24" s="157">
        <f>Total!I2905</f>
        <v>11333.4</v>
      </c>
    </row>
    <row r="25" spans="1:9" x14ac:dyDescent="0.2">
      <c r="A25" s="8">
        <v>24</v>
      </c>
      <c r="B25" s="101">
        <f>Total!B2906</f>
        <v>44398</v>
      </c>
      <c r="C25" s="101">
        <f>Total!C2906</f>
        <v>44445</v>
      </c>
      <c r="D25" s="112" t="s">
        <v>1092</v>
      </c>
      <c r="E25" s="332" t="str">
        <f>Total!E2906</f>
        <v>Obra Civil</v>
      </c>
      <c r="F25" s="96" t="str">
        <f>Total!F2906</f>
        <v>Direccions d'Obra</v>
      </c>
      <c r="G25" s="112" t="str">
        <f>Total!G2906</f>
        <v>PC.TM-04312.1-A1</v>
      </c>
      <c r="H25" s="112" t="str">
        <f>Total!H2906</f>
        <v>Contracte de serveis per a l'assistència tècnica per a la redacció del projecte constructiu actualitzat de millora de l'accessibilitat i adaptació a la normativa de l'intercanviador de Verdaguer (L4 i L5 d'FMB).</v>
      </c>
      <c r="I25" s="157">
        <f>Total!I2906</f>
        <v>100000</v>
      </c>
    </row>
    <row r="26" spans="1:9" x14ac:dyDescent="0.2">
      <c r="A26" s="8">
        <v>25</v>
      </c>
      <c r="B26" s="101">
        <f>Total!B2907</f>
        <v>44399</v>
      </c>
      <c r="C26" s="101">
        <f>Total!C2907</f>
        <v>44438</v>
      </c>
      <c r="D26" s="112" t="s">
        <v>1092</v>
      </c>
      <c r="E26" s="332" t="str">
        <f>Total!E2907</f>
        <v>Obra Civil</v>
      </c>
      <c r="F26" s="96" t="str">
        <f>Total!F2907</f>
        <v>Projectes</v>
      </c>
      <c r="G26" s="112" t="str">
        <f>Total!G2907</f>
        <v>ES-CGC-21025</v>
      </c>
      <c r="H26" s="112" t="str">
        <f>Total!H2907</f>
        <v>Red. estudi "Auditories i avaluacions impacte seguretat viària d'actuacions en trams de la xarxa de ctres. Generalitat de Catalunya (C-13 Noguera, C-14 Conca Barberà i Alt Camp, C-37 Alt Camp) i en àmbit funcional millores seguretat viària.</v>
      </c>
      <c r="I26" s="157">
        <f>Total!I2907</f>
        <v>45000</v>
      </c>
    </row>
    <row r="27" spans="1:9" x14ac:dyDescent="0.2">
      <c r="A27" s="8">
        <v>26</v>
      </c>
      <c r="B27" s="101">
        <f>Total!B2908</f>
        <v>44400</v>
      </c>
      <c r="C27" s="101">
        <f>Total!C2908</f>
        <v>44445</v>
      </c>
      <c r="D27" s="112" t="s">
        <v>1092</v>
      </c>
      <c r="E27" s="332" t="str">
        <f>Total!E2908</f>
        <v>Obra Civil</v>
      </c>
      <c r="F27" s="96" t="str">
        <f>Total!F2908</f>
        <v>Projectes</v>
      </c>
      <c r="G27" s="112" t="str">
        <f>Total!G2908</f>
        <v>PC.TM-00509.4A-A2.B</v>
      </c>
      <c r="H27" s="112" t="str">
        <f>Total!H2908</f>
        <v>Contracte de serveis per a l'assistència tècnica per a la redacció del projecte actualitzat núm.2 de la línia 9 de metro de Barcelona. Tram 3r. Zona Universitària - Sagrera Meridiana. Estacions Campus Nord, Manuel Girona i pous de ventilació.</v>
      </c>
      <c r="I27" s="157">
        <f>Total!I2908</f>
        <v>380000</v>
      </c>
    </row>
    <row r="28" spans="1:9" x14ac:dyDescent="0.2">
      <c r="A28" s="8">
        <v>27</v>
      </c>
      <c r="B28" s="101">
        <f>Total!B2909</f>
        <v>44400</v>
      </c>
      <c r="C28" s="101">
        <f>Total!C2909</f>
        <v>44445</v>
      </c>
      <c r="D28" s="112" t="s">
        <v>1092</v>
      </c>
      <c r="E28" s="332" t="str">
        <f>Total!E2909</f>
        <v>Obra Civil</v>
      </c>
      <c r="F28" s="96" t="str">
        <f>Total!F2909</f>
        <v>Direccions d'Obra</v>
      </c>
      <c r="G28" s="112" t="str">
        <f>Total!G2909</f>
        <v>DO. MG-14081-AA</v>
      </c>
      <c r="H28" s="112" t="str">
        <f>Total!H2909</f>
        <v>Contracte de serveis per a la direcció de les obres del projecte constructiu de millora local. Seguretat viària. Millora d'interseccions i ordenació d'accessos a la carretera C-26, del PK 193+000 al 194+830. Tram: Ripoll.</v>
      </c>
      <c r="I28" s="157">
        <f>Total!I2909</f>
        <v>26278.48</v>
      </c>
    </row>
    <row r="29" spans="1:9" x14ac:dyDescent="0.2">
      <c r="A29" s="8">
        <v>28</v>
      </c>
      <c r="B29" s="101">
        <f>Total!B2910</f>
        <v>44400</v>
      </c>
      <c r="C29" s="101">
        <f>Total!C2910</f>
        <v>44447</v>
      </c>
      <c r="D29" s="112" t="s">
        <v>1092</v>
      </c>
      <c r="E29" s="332" t="str">
        <f>Total!E2910</f>
        <v>Edificació</v>
      </c>
      <c r="F29" s="96" t="str">
        <f>Total!F2910</f>
        <v>Control de Qualitat</v>
      </c>
      <c r="G29" s="112" t="str">
        <f>Total!G2910</f>
        <v>CQ. TM-14299</v>
      </c>
      <c r="H29" s="112" t="str">
        <f>Total!H2910</f>
        <v>Contracte de serveis per a l'assistència tècnica de control de qualitat de les obres del projecte constructiu de rehabilitació de l'edifici de cotxeres i tallers de la Línia 3 dels FMB de Sant Genís.</v>
      </c>
      <c r="I29" s="157">
        <f>Total!I2910</f>
        <v>60308.03</v>
      </c>
    </row>
    <row r="30" spans="1:9" x14ac:dyDescent="0.2">
      <c r="A30" s="8">
        <v>29</v>
      </c>
      <c r="B30" s="101">
        <f>Total!B2911</f>
        <v>44400</v>
      </c>
      <c r="C30" s="101">
        <f>Total!C2911</f>
        <v>44447</v>
      </c>
      <c r="D30" s="112" t="s">
        <v>1092</v>
      </c>
      <c r="E30" s="332" t="str">
        <f>Total!E2911</f>
        <v>Edificació</v>
      </c>
      <c r="F30" s="96" t="str">
        <f>Total!F2911</f>
        <v>Direccions d'Obra</v>
      </c>
      <c r="G30" s="112" t="str">
        <f>Total!G2911</f>
        <v>DO. TM-14299</v>
      </c>
      <c r="H30" s="112" t="str">
        <f>Total!H2911</f>
        <v>Contracte de serveis per a la direcció de les obres del projecte constructiu de rehabilitació de l'edifici de cotxeres i tallers de la Línia 3 dels FMB de Sant Genís.</v>
      </c>
      <c r="I30" s="157">
        <f>Total!I2911</f>
        <v>357125.09</v>
      </c>
    </row>
    <row r="31" spans="1:9" x14ac:dyDescent="0.2">
      <c r="A31" s="8">
        <v>30</v>
      </c>
      <c r="B31" s="101">
        <f>Total!B2912</f>
        <v>44400</v>
      </c>
      <c r="C31" s="101">
        <f>Total!C2912</f>
        <v>44447</v>
      </c>
      <c r="D31" s="112" t="s">
        <v>1092</v>
      </c>
      <c r="E31" s="332" t="str">
        <f>Total!E2912</f>
        <v>Edificació</v>
      </c>
      <c r="F31" s="96" t="str">
        <f>Total!F2912</f>
        <v>Direccions d'Execució</v>
      </c>
      <c r="G31" s="112" t="str">
        <f>Total!G2912</f>
        <v>CSS. TM-14299</v>
      </c>
      <c r="H31" s="112" t="str">
        <f>Total!H2912</f>
        <v>Contracte de serveis per a l'assistència tècnica de coordinació de seguretat i salut de les obres del projecte constructiu de rehabilitació de l'edifici de cotxeres i tallers de la Línia 3 dels FMB de Sant Genís.</v>
      </c>
      <c r="I31" s="157">
        <f>Total!I2912</f>
        <v>45156.14</v>
      </c>
    </row>
    <row r="32" spans="1:9" x14ac:dyDescent="0.2">
      <c r="A32" s="8">
        <v>31</v>
      </c>
      <c r="B32" s="101">
        <f>Total!B2913</f>
        <v>44400</v>
      </c>
      <c r="C32" s="101">
        <f>Total!C2913</f>
        <v>44445</v>
      </c>
      <c r="D32" s="112" t="s">
        <v>1092</v>
      </c>
      <c r="E32" s="332" t="str">
        <f>Total!E2913</f>
        <v>Obra Civil</v>
      </c>
      <c r="F32" s="96" t="str">
        <f>Total!F2913</f>
        <v>Direccions d'Obra</v>
      </c>
      <c r="G32" s="112" t="str">
        <f>Total!G2913</f>
        <v>CSS. MG-14081-AA</v>
      </c>
      <c r="H32" s="112" t="str">
        <f>Total!H2913</f>
        <v>Assistència tècnica de coordinació de seguretat i salut de les obres del projecte constructiu de millora local. Seguretat viària. Millora d'interseccions i ordenació d'accessos a la carretera C-26, del PK 193+000 al 194+830. Tram: Ripoll.</v>
      </c>
      <c r="I32" s="157">
        <f>Total!I2913</f>
        <v>7368</v>
      </c>
    </row>
    <row r="33" spans="1:9" x14ac:dyDescent="0.2">
      <c r="A33" s="8">
        <v>32</v>
      </c>
      <c r="B33" s="101">
        <f>Total!B2914</f>
        <v>44400</v>
      </c>
      <c r="C33" s="101">
        <f>Total!C2914</f>
        <v>44445</v>
      </c>
      <c r="D33" s="112" t="s">
        <v>1092</v>
      </c>
      <c r="E33" s="332" t="str">
        <f>Total!E2914</f>
        <v>Obra Civil</v>
      </c>
      <c r="F33" s="96" t="str">
        <f>Total!F2914</f>
        <v>Control de Qualitat</v>
      </c>
      <c r="G33" s="112" t="str">
        <f>Total!G2914</f>
        <v>CQ. MG-14081-AA</v>
      </c>
      <c r="H33" s="112" t="str">
        <f>Total!H2914</f>
        <v>Contracte de serveis per a l'assistència tècnica de control de qualitat de les obres del projecte constructiu de millora local. Seguretat viària. Millora d'interseccions i ordenació d'accessos a la carretera C-26, del PK 193+000 al 194+830. Tram: Ripoll.</v>
      </c>
      <c r="I33" s="157">
        <f>Total!I2914</f>
        <v>7092.17</v>
      </c>
    </row>
    <row r="34" spans="1:9" x14ac:dyDescent="0.2">
      <c r="A34" s="8">
        <v>33</v>
      </c>
      <c r="B34" s="101">
        <f>Total!B2915</f>
        <v>44406</v>
      </c>
      <c r="C34" s="101">
        <f>Total!C2915</f>
        <v>44445</v>
      </c>
      <c r="D34" s="112" t="s">
        <v>1092</v>
      </c>
      <c r="E34" s="332" t="str">
        <f>Total!E2915</f>
        <v>Obra Civil</v>
      </c>
      <c r="F34" s="96" t="str">
        <f>Total!F2915</f>
        <v>Control de Qualitat</v>
      </c>
      <c r="G34" s="112" t="str">
        <f>Total!G2915</f>
        <v>CQ. PC-CMB-17063</v>
      </c>
      <c r="H34" s="112" t="str">
        <f>Total!H2915</f>
        <v>Assistència tècnica de control de qualitat de les obres de millora local. Millora de nus. Millora d'accessibilitat a Mollet. Enllaç de Mollet del Vallès - Pol. Ind. de Martorelles. Carretera C-17 al PK 12+000. Tram: Mollet del Vallès.</v>
      </c>
      <c r="I34" s="157">
        <f>Total!I2915</f>
        <v>24676.74</v>
      </c>
    </row>
    <row r="35" spans="1:9" x14ac:dyDescent="0.2">
      <c r="A35" s="8">
        <v>34</v>
      </c>
      <c r="B35" s="101">
        <f>Total!B2916</f>
        <v>44406</v>
      </c>
      <c r="C35" s="101">
        <f>Total!C2916</f>
        <v>44445</v>
      </c>
      <c r="D35" s="112" t="s">
        <v>1092</v>
      </c>
      <c r="E35" s="332" t="str">
        <f>Total!E2916</f>
        <v>Obra Civil</v>
      </c>
      <c r="F35" s="96" t="str">
        <f>Total!F2916</f>
        <v>Direcció d'obra</v>
      </c>
      <c r="G35" s="112" t="str">
        <f>Total!G2916</f>
        <v>DO. PC-CMB-17063</v>
      </c>
      <c r="H35" s="112" t="str">
        <f>Total!H2916</f>
        <v>Contracte de serveis per a la direcció de les obres de millora local. Millora de nus. Millora d'accessibilitat a Mollet. Enllaç de Mollet del Vallès - Pol. Ind. de Martorelles. Carretera C-17 al PK 12+000. Tram: Mollet del Vallès.</v>
      </c>
      <c r="I35" s="157">
        <f>Total!I2916</f>
        <v>62649.08</v>
      </c>
    </row>
    <row r="36" spans="1:9" x14ac:dyDescent="0.2">
      <c r="A36" s="8">
        <v>35</v>
      </c>
      <c r="B36" s="101">
        <f>Total!B2917</f>
        <v>44406</v>
      </c>
      <c r="C36" s="101">
        <f>Total!C2917</f>
        <v>44445</v>
      </c>
      <c r="D36" s="112" t="s">
        <v>1092</v>
      </c>
      <c r="E36" s="332" t="str">
        <f>Total!E2917</f>
        <v>Obra Civil</v>
      </c>
      <c r="F36" s="96" t="str">
        <f>Total!F2917</f>
        <v>Direcció d'obra</v>
      </c>
      <c r="G36" s="112" t="str">
        <f>Total!G2917</f>
        <v>CSS. PC-CMB-17063</v>
      </c>
      <c r="H36" s="112" t="str">
        <f>Total!H2917</f>
        <v>Coordinació de seguretat i salut de les obres del projecte constructiu de millora local. Millora de nus. Millora d'accessibilitat a Mollet. Enllaç de Mollet del Vallès - Pol. Ind. de Martorelles. Carretera C-17 al PK 12+000. Tram: Mollet del Vallès.</v>
      </c>
      <c r="I36" s="157">
        <f>Total!I2917</f>
        <v>15982.74</v>
      </c>
    </row>
    <row r="37" spans="1:9" x14ac:dyDescent="0.2">
      <c r="A37" s="8">
        <v>36</v>
      </c>
      <c r="B37" s="101">
        <f>Total!B2918</f>
        <v>44407</v>
      </c>
      <c r="C37" s="101">
        <f>Total!C2918</f>
        <v>44447</v>
      </c>
      <c r="D37" s="112" t="s">
        <v>1092</v>
      </c>
      <c r="E37" s="332" t="str">
        <f>Total!E2918</f>
        <v>Obra Civil</v>
      </c>
      <c r="F37" s="96" t="str">
        <f>Total!F2918</f>
        <v>Projectes</v>
      </c>
      <c r="G37" s="112" t="str">
        <f>Total!G2918</f>
        <v>PC. AT-07039.F2</v>
      </c>
      <c r="H37" s="112" t="str">
        <f>Total!H2918</f>
        <v>Contracte de serveis per a l'assistència tècnica per a la redacció del projecte constructiu "Condicionament i reordenació dels accessos a la TV-3141 del PK 0+000 al 7+000. Fase 2. Cambrils - Reus".</v>
      </c>
      <c r="I37" s="157">
        <f>Total!I2918</f>
        <v>107050</v>
      </c>
    </row>
    <row r="38" spans="1:9" x14ac:dyDescent="0.2">
      <c r="I38" s="126">
        <f>SUM(I2:I37)</f>
        <v>2885129.4900000007</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4"/>
  <sheetViews>
    <sheetView workbookViewId="0">
      <selection activeCell="G31" sqref="G31"/>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Total!B2861</f>
        <v>44349</v>
      </c>
      <c r="C2" s="101">
        <f>Total!C2861</f>
        <v>44370</v>
      </c>
      <c r="D2" s="112" t="s">
        <v>1092</v>
      </c>
      <c r="E2" s="332" t="str">
        <f>Total!E2861</f>
        <v>Obra Civil</v>
      </c>
      <c r="F2" s="96" t="str">
        <f>Total!F2861</f>
        <v>Control de Qualitat</v>
      </c>
      <c r="G2" s="112" t="str">
        <f>Total!G2861</f>
        <v>CQ. R0-17221.2</v>
      </c>
      <c r="H2" s="112" t="str">
        <f>Total!H2861</f>
        <v>Control de Qualitat de les obres del projecte constructiu dels subsistemes electromecànics de l'L9 de metro de Barcelona d'acord amb les actuacions definides en el Pla General d'Obsolescència 2016. Subsistemes: PAE, TPA, PST, PCI, VEN, TRV i ILL.</v>
      </c>
      <c r="I2" s="157">
        <f>Total!I2861</f>
        <v>39335.629999999997</v>
      </c>
    </row>
    <row r="3" spans="1:9" x14ac:dyDescent="0.2">
      <c r="A3" s="8">
        <v>2</v>
      </c>
      <c r="B3" s="101">
        <f>Total!B2862</f>
        <v>44349</v>
      </c>
      <c r="C3" s="101">
        <f>Total!C2862</f>
        <v>44370</v>
      </c>
      <c r="D3" s="112" t="s">
        <v>1092</v>
      </c>
      <c r="E3" s="332" t="str">
        <f>Total!E2862</f>
        <v>Edificació</v>
      </c>
      <c r="F3" s="96" t="str">
        <f>Total!F2862</f>
        <v>Projectes i Direccions Facultatives</v>
      </c>
      <c r="G3" s="112" t="str">
        <f>Total!G2862</f>
        <v>PE+DF. JVX-15294.A</v>
      </c>
      <c r="H3" s="112" t="str">
        <f>Total!H2862</f>
        <v>Contracte de serveis de redacció de l'actualització del projecte bàsic i executiu i la posterior direcció facultativa de les obres RAM per a l'obtenció de la llicència d'activitats de la seu de l'ASSEP a Ronda Sant Pere, 35 de Barcelona.</v>
      </c>
      <c r="I3" s="157">
        <f>Total!I2862</f>
        <v>29429.19</v>
      </c>
    </row>
    <row r="4" spans="1:9" x14ac:dyDescent="0.2">
      <c r="A4" s="8">
        <v>3</v>
      </c>
      <c r="B4" s="101">
        <f>Total!B2863</f>
        <v>44349</v>
      </c>
      <c r="C4" s="101">
        <f>Total!C2863</f>
        <v>44368</v>
      </c>
      <c r="D4" s="112" t="s">
        <v>1092</v>
      </c>
      <c r="E4" s="332" t="str">
        <f>Total!E2863</f>
        <v>Obra Civil</v>
      </c>
      <c r="F4" s="96" t="str">
        <f>Total!F2863</f>
        <v>Direccions d'Obra</v>
      </c>
      <c r="G4" s="112" t="str">
        <f>Total!G2863</f>
        <v>DO. R0-17221.2</v>
      </c>
      <c r="H4" s="112" t="str">
        <f>Total!H2863</f>
        <v>Direcció de les obres del projecte constructiu dels subsistemes electromecànics de l'L9 de metro de Barcelona d'acord amb les actuacions definides en el Pla General d'Obsolescència 2016. Subsistemes: PAE, TPA, PST, PCI, VEN, TRV i ILL.</v>
      </c>
      <c r="I4" s="157">
        <f>Total!I2863</f>
        <v>185122.24</v>
      </c>
    </row>
    <row r="5" spans="1:9" x14ac:dyDescent="0.2">
      <c r="A5" s="8">
        <v>4</v>
      </c>
      <c r="B5" s="101">
        <f>Total!B2864</f>
        <v>44349</v>
      </c>
      <c r="C5" s="101">
        <f>Total!C2864</f>
        <v>44370</v>
      </c>
      <c r="D5" s="112" t="s">
        <v>1092</v>
      </c>
      <c r="E5" s="332" t="str">
        <f>Total!E2864</f>
        <v>Obra Civil</v>
      </c>
      <c r="F5" s="96" t="str">
        <f>Total!F2864</f>
        <v>Direccions d'Obra</v>
      </c>
      <c r="G5" s="112" t="str">
        <f>Total!G2864</f>
        <v>CSS. R0-17221.2</v>
      </c>
      <c r="H5" s="112" t="str">
        <f>Total!H2864</f>
        <v>Coord. de seguretat i salut de les obres del projecte constructiu dels subsistemes electromecànics de l'L9 de metro de Barcelona d'acord amb les actuacions definides en el Pla General d'Obsolescència 2016. Subsistemes: PAE, TPA, PST, PCI, VEN, TRV i ILL.</v>
      </c>
      <c r="I5" s="157">
        <f>Total!I2864</f>
        <v>34620</v>
      </c>
    </row>
    <row r="6" spans="1:9" x14ac:dyDescent="0.2">
      <c r="A6" s="8">
        <v>5</v>
      </c>
      <c r="B6" s="101">
        <f>Total!B2865</f>
        <v>44349</v>
      </c>
      <c r="C6" s="101">
        <f>Total!C2865</f>
        <v>44375</v>
      </c>
      <c r="D6" s="112" t="s">
        <v>1092</v>
      </c>
      <c r="E6" s="332" t="str">
        <f>Total!E2865</f>
        <v>Obra Civil</v>
      </c>
      <c r="F6" s="96" t="str">
        <f>Total!F2865</f>
        <v>Direccions d'Obra</v>
      </c>
      <c r="G6" s="112" t="str">
        <f>Total!G2865</f>
        <v>SDC. AT.FIBRA.21</v>
      </c>
      <c r="H6" s="112" t="str">
        <f>Total!H2865</f>
        <v>Sistema dinàmic de contractació d'assistències tècniques per a les obres de desplegament de la xarxa de fibra òptica. Clau: SDC.AT.FIBRA.21</v>
      </c>
      <c r="I6" s="157">
        <f>Total!I2865</f>
        <v>991735.54</v>
      </c>
    </row>
    <row r="7" spans="1:9" x14ac:dyDescent="0.2">
      <c r="A7" s="8">
        <v>6</v>
      </c>
      <c r="B7" s="101">
        <f>Total!B2866</f>
        <v>44350</v>
      </c>
      <c r="C7" s="101">
        <f>Total!C2866</f>
        <v>44370</v>
      </c>
      <c r="D7" s="112" t="s">
        <v>1092</v>
      </c>
      <c r="E7" s="332" t="str">
        <f>Total!E2866</f>
        <v>Obra Civil</v>
      </c>
      <c r="F7" s="96" t="str">
        <f>Total!F2866</f>
        <v>Control de Qualitat</v>
      </c>
      <c r="G7" s="112" t="str">
        <f>Total!G2866</f>
        <v>CQ.R0-19262</v>
      </c>
      <c r="H7" s="112" t="str">
        <f>Total!H2866</f>
        <v>Control de qualitat de les obres del Projecte constructiu per a la renovació i millora de la instal·lació de protecció contra incendis de la cua de maniobres de L9 sota la terminal 1 de l'aeroport de Barcelona.</v>
      </c>
      <c r="I7" s="157">
        <f>Total!I2866</f>
        <v>6495.19</v>
      </c>
    </row>
    <row r="8" spans="1:9" x14ac:dyDescent="0.2">
      <c r="A8" s="8">
        <v>7</v>
      </c>
      <c r="B8" s="101">
        <f>Total!B2867</f>
        <v>44350</v>
      </c>
      <c r="C8" s="101">
        <f>Total!C2867</f>
        <v>44370</v>
      </c>
      <c r="D8" s="112" t="s">
        <v>1092</v>
      </c>
      <c r="E8" s="332" t="str">
        <f>Total!E2867</f>
        <v>Obra Civil</v>
      </c>
      <c r="F8" s="96" t="str">
        <f>Total!F2867</f>
        <v>Direccions d'Obra</v>
      </c>
      <c r="G8" s="112" t="str">
        <f>Total!G2867</f>
        <v>DO.R0-19262</v>
      </c>
      <c r="H8" s="112" t="str">
        <f>Total!H2867</f>
        <v>Contracte de serveis per a la Direcció de les obres del projecte constructiu per a la Renovació i millora de la instal·lació de protecció contra incendis de la cua de maniobres de L9 sota la terminal 1 de l'aeroport de Barcelona.</v>
      </c>
      <c r="I8" s="157">
        <f>Total!I2867</f>
        <v>31900</v>
      </c>
    </row>
    <row r="9" spans="1:9" x14ac:dyDescent="0.2">
      <c r="A9" s="8">
        <v>8</v>
      </c>
      <c r="B9" s="101">
        <f>Total!B2868</f>
        <v>44350</v>
      </c>
      <c r="C9" s="101">
        <f>Total!C2868</f>
        <v>44370</v>
      </c>
      <c r="D9" s="112" t="s">
        <v>1092</v>
      </c>
      <c r="E9" s="332" t="str">
        <f>Total!E2868</f>
        <v>Obra Civil</v>
      </c>
      <c r="F9" s="96" t="str">
        <f>Total!F2868</f>
        <v>Direccions d'Obra</v>
      </c>
      <c r="G9" s="112" t="str">
        <f>Total!G2868</f>
        <v>CSS. R0-19262</v>
      </c>
      <c r="H9" s="112" t="str">
        <f>Total!H2868</f>
        <v>Coordinació de seguretat i salut de les obres del projecte constructiu per a la renovació i millora de la instal·lació de protecció contra incendis de la cua de maniobres de L9 sota la terminal 1 de l'aeroport de Barcelona.</v>
      </c>
      <c r="I9" s="157">
        <f>Total!I2868</f>
        <v>17478.919999999998</v>
      </c>
    </row>
    <row r="10" spans="1:9" x14ac:dyDescent="0.2">
      <c r="A10" s="8">
        <v>9</v>
      </c>
      <c r="B10" s="101">
        <f>Total!B2869</f>
        <v>44354</v>
      </c>
      <c r="C10" s="101">
        <f>Total!C2869</f>
        <v>44382</v>
      </c>
      <c r="D10" s="112" t="s">
        <v>1092</v>
      </c>
      <c r="E10" s="332" t="str">
        <f>Total!E2869</f>
        <v>Edificació</v>
      </c>
      <c r="F10" s="96" t="str">
        <f>Total!F2869</f>
        <v>Projectes i Direccions d'Obra</v>
      </c>
      <c r="G10" s="112" t="str">
        <f>Total!G2869</f>
        <v>PE+DO. CAP-18342</v>
      </c>
      <c r="H10" s="112" t="str">
        <f>Total!H2869</f>
        <v>Concurs de projectes per a l'assistència tècnica per a la redacció del projecte bàsic i executiu i la posterior direcció de les obres del nou Centre d'Atenció Primària Castelldefels-3, de Castelldefels. Clau: CAP-18342</v>
      </c>
      <c r="I10" s="157">
        <f>Total!I2869</f>
        <v>610450.27</v>
      </c>
    </row>
    <row r="11" spans="1:9" x14ac:dyDescent="0.2">
      <c r="A11" s="8">
        <v>10</v>
      </c>
      <c r="B11" s="101">
        <f>Total!B2870</f>
        <v>44354</v>
      </c>
      <c r="C11" s="101">
        <f>Total!C2870</f>
        <v>44370</v>
      </c>
      <c r="D11" s="112" t="s">
        <v>1092</v>
      </c>
      <c r="E11" s="332" t="str">
        <f>Total!E2870</f>
        <v>Obra Civil</v>
      </c>
      <c r="F11" s="96" t="str">
        <f>Total!F2870</f>
        <v>Projectes</v>
      </c>
      <c r="G11" s="112" t="str">
        <f>Total!G2870</f>
        <v>PC. TM-11022-A1</v>
      </c>
      <c r="H11" s="112" t="str">
        <f>Total!H2870</f>
        <v>Contracte de serveis per a l'assistència tècnica per a la redacció del projecte constructiu actualitzat "Actuacions de millora de l'evacuació i de l'accessibilitat de l'intercanviador de l'estació de Plaça de Sants (L1 i L5 d'FMB)".</v>
      </c>
      <c r="I11" s="157">
        <f>Total!I2870</f>
        <v>100000</v>
      </c>
    </row>
    <row r="12" spans="1:9" x14ac:dyDescent="0.2">
      <c r="A12" s="8">
        <v>11</v>
      </c>
      <c r="B12" s="101">
        <f>Total!B2871</f>
        <v>44354</v>
      </c>
      <c r="C12" s="101">
        <f>Total!C2871</f>
        <v>44370</v>
      </c>
      <c r="D12" s="112" t="s">
        <v>1092</v>
      </c>
      <c r="E12" s="332" t="str">
        <f>Total!E2871</f>
        <v>Obra Civil</v>
      </c>
      <c r="F12" s="96" t="str">
        <f>Total!F2871</f>
        <v>Projectes</v>
      </c>
      <c r="G12" s="112" t="str">
        <f>Total!G2871</f>
        <v>PC. SPD-21242</v>
      </c>
      <c r="H12" s="112" t="str">
        <f>Total!H2871</f>
        <v>Contracte de serveis per a l'assistència tècnica per a la redacció del projecte de troncal de fibra òptica entre els municipis d'Alcover i Mont-ral. Clau: SPD-21242</v>
      </c>
      <c r="I12" s="157">
        <f>Total!I2871</f>
        <v>16528.93</v>
      </c>
    </row>
    <row r="13" spans="1:9" x14ac:dyDescent="0.2">
      <c r="A13" s="8">
        <v>12</v>
      </c>
      <c r="B13" s="101">
        <f>Total!B2872</f>
        <v>44354</v>
      </c>
      <c r="C13" s="101">
        <f>Total!C2872</f>
        <v>44384</v>
      </c>
      <c r="D13" s="112" t="s">
        <v>1092</v>
      </c>
      <c r="E13" s="332" t="str">
        <f>Total!E2872</f>
        <v>Edificació</v>
      </c>
      <c r="F13" s="96" t="str">
        <f>Total!F2872</f>
        <v>Projectes i Direccions d'Obra</v>
      </c>
      <c r="G13" s="112" t="str">
        <f>Total!G2872</f>
        <v>PE+DO. HHB-17241</v>
      </c>
      <c r="H13" s="112" t="str">
        <f>Total!H2872</f>
        <v>Concurs de projectes per a la redacció del projecte bàsic i executiu i la posterior direcció de les obres de construcció del nou edifici per a usos ambulatoris a l'Hospital Vall d'Hebron, de Barcelona.</v>
      </c>
      <c r="I13" s="157">
        <f>Total!I2872</f>
        <v>3901319.98</v>
      </c>
    </row>
    <row r="14" spans="1:9" x14ac:dyDescent="0.2">
      <c r="A14" s="8">
        <v>13</v>
      </c>
      <c r="B14" s="101">
        <f>Total!B2873</f>
        <v>44355</v>
      </c>
      <c r="C14" s="101">
        <f>Total!C2873</f>
        <v>44375</v>
      </c>
      <c r="D14" s="112" t="s">
        <v>1092</v>
      </c>
      <c r="E14" s="332" t="str">
        <f>Total!E2873</f>
        <v>Obra Civil</v>
      </c>
      <c r="F14" s="96" t="str">
        <f>Total!F2873</f>
        <v>Projectes</v>
      </c>
      <c r="G14" s="112" t="str">
        <f>Total!G2873</f>
        <v>EV. EXXXC-20082</v>
      </c>
      <c r="H14" s="112" t="str">
        <f>Total!H2873</f>
        <v>Contracte de serveis per a l'assistència tècnica per a la redacció dels treballs de "Redacció dels annexos d'actualització d'estudis i projectes de Transports de la DGIM". Clau: EX-XXC-20082</v>
      </c>
      <c r="I14" s="157">
        <f>Total!I2873</f>
        <v>160000</v>
      </c>
    </row>
    <row r="15" spans="1:9" x14ac:dyDescent="0.2">
      <c r="A15" s="8">
        <v>14</v>
      </c>
      <c r="B15" s="101">
        <f>Total!B2874</f>
        <v>44357</v>
      </c>
      <c r="C15" s="101">
        <f>Total!C2874</f>
        <v>44375</v>
      </c>
      <c r="D15" s="112" t="s">
        <v>1092</v>
      </c>
      <c r="E15" s="332" t="str">
        <f>Total!E2874</f>
        <v>Edificació</v>
      </c>
      <c r="F15" s="96" t="str">
        <f>Total!F2874</f>
        <v>Projectes i Direccions Facultatives</v>
      </c>
      <c r="G15" s="112" t="str">
        <f>Total!G2874</f>
        <v>PE+DF. JVX-21238</v>
      </c>
      <c r="H15" s="112" t="str">
        <f>Total!H2874</f>
        <v>Contracte de serveis de redacció del projecte executiu i la posterior direcció facultativa de les obres RAM de substitució del sistema de climatització per al recinte de l'EATAV ubicat al c/ Canyeret 26 de Lleida.</v>
      </c>
      <c r="I15" s="157">
        <f>Total!I2874</f>
        <v>54545.45</v>
      </c>
    </row>
    <row r="16" spans="1:9" x14ac:dyDescent="0.2">
      <c r="A16" s="8">
        <v>15</v>
      </c>
      <c r="B16" s="101">
        <f>Total!B2875</f>
        <v>44357</v>
      </c>
      <c r="C16" s="101">
        <f>Total!C2875</f>
        <v>44375</v>
      </c>
      <c r="D16" s="112" t="s">
        <v>1092</v>
      </c>
      <c r="E16" s="332" t="str">
        <f>Total!E2875</f>
        <v>Obra Civil</v>
      </c>
      <c r="F16" s="96" t="str">
        <f>Total!F2875</f>
        <v>Projectes</v>
      </c>
      <c r="G16" s="112" t="str">
        <f>Total!G2875</f>
        <v>PC. PC-CPG-21004</v>
      </c>
      <c r="H16" s="112" t="str">
        <f>Total!H2875</f>
        <v>Redacció del projecte constructiu de la ordenació d'accessos i tractament de tram periurbà a la C-252 del pk 8,100 al 9,500. Ultramort.</v>
      </c>
      <c r="I16" s="157">
        <f>Total!I2875</f>
        <v>40000</v>
      </c>
    </row>
    <row r="17" spans="1:9" x14ac:dyDescent="0.2">
      <c r="A17" s="8">
        <v>16</v>
      </c>
      <c r="B17" s="101">
        <f>Total!B2876</f>
        <v>44357</v>
      </c>
      <c r="C17" s="101">
        <f>Total!C2876</f>
        <v>44382</v>
      </c>
      <c r="D17" s="112" t="s">
        <v>1092</v>
      </c>
      <c r="E17" s="332" t="str">
        <f>Total!E2876</f>
        <v>Edificació</v>
      </c>
      <c r="F17" s="96" t="str">
        <f>Total!F2876</f>
        <v>Direccions d'Obra</v>
      </c>
      <c r="G17" s="112" t="str">
        <f>Total!G2876</f>
        <v>DO. HGG-17202.A (nova licit.)</v>
      </c>
      <c r="H17" s="112" t="str">
        <f>Total!H2876</f>
        <v>Direcció de les obres, certificació d'eficiència energètica de final d'obra i certifiació d'execució de les instal·lacions segons llicència ambiental de les obres d'instal·lacions de l'ampliació del bloc quirúrgic i de l'Hosp. de dia oncològic Girona.</v>
      </c>
      <c r="I17" s="157">
        <f>Total!I2876</f>
        <v>243288</v>
      </c>
    </row>
    <row r="18" spans="1:9" x14ac:dyDescent="0.2">
      <c r="A18" s="8">
        <v>17</v>
      </c>
      <c r="B18" s="101">
        <f>Total!B2877</f>
        <v>44358</v>
      </c>
      <c r="C18" s="101">
        <f>Total!C2877</f>
        <v>44375</v>
      </c>
      <c r="D18" s="112" t="s">
        <v>1092</v>
      </c>
      <c r="E18" s="332" t="str">
        <f>Total!E2877</f>
        <v>Obra Civil</v>
      </c>
      <c r="F18" s="96" t="str">
        <f>Total!F2877</f>
        <v>Projectes</v>
      </c>
      <c r="G18" s="112" t="str">
        <f>Total!G2877</f>
        <v>PC. XC-15021.4</v>
      </c>
      <c r="H18" s="112" t="str">
        <f>Total!H2877</f>
        <v>Redacció del projecte constructiu "Carril bici al llarg del Maresme. Sant Pol de Mar i Sant Pol de Mar-Calella.</v>
      </c>
      <c r="I18" s="157">
        <f>Total!I2877</f>
        <v>122120</v>
      </c>
    </row>
    <row r="19" spans="1:9" x14ac:dyDescent="0.2">
      <c r="A19" s="8">
        <v>18</v>
      </c>
      <c r="B19" s="101">
        <f>Total!B2878</f>
        <v>44358</v>
      </c>
      <c r="C19" s="101">
        <f>Total!C2878</f>
        <v>44375</v>
      </c>
      <c r="D19" s="112" t="s">
        <v>1092</v>
      </c>
      <c r="E19" s="332" t="str">
        <f>Total!E2878</f>
        <v>Edificació</v>
      </c>
      <c r="F19" s="96" t="str">
        <f>Total!F2878</f>
        <v>Projectes</v>
      </c>
      <c r="G19" s="112" t="str">
        <f>Total!G2878</f>
        <v>ES. JVX-20252</v>
      </c>
      <c r="H19" s="112" t="str">
        <f>Total!H2878</f>
        <v>Redacció de l'estudi previ d'aixecament de plànols d'arquitectura i instal·lacions, realització d'ITE i Certificació Energètica dels Centres Educatius de l'Alzina, Til·lers, Oriol Badia, Can Llupià, El Segre i Montilivi.</v>
      </c>
      <c r="I19" s="157">
        <f>Total!I2878</f>
        <v>49280</v>
      </c>
    </row>
    <row r="20" spans="1:9" x14ac:dyDescent="0.2">
      <c r="A20" s="8">
        <v>19</v>
      </c>
      <c r="B20" s="101">
        <f>Total!B2879</f>
        <v>44363</v>
      </c>
      <c r="C20" s="101">
        <f>Total!C2879</f>
        <v>44389</v>
      </c>
      <c r="D20" s="112" t="s">
        <v>1092</v>
      </c>
      <c r="E20" s="332" t="str">
        <f>Total!E2879</f>
        <v>Obra Civil</v>
      </c>
      <c r="F20" s="96" t="str">
        <f>Total!F2879</f>
        <v>Direccions d'Obra</v>
      </c>
      <c r="G20" s="112" t="str">
        <f>Total!G2879</f>
        <v>DO.TM-00509.4F</v>
      </c>
      <c r="H20" s="112" t="str">
        <f>Total!H2879</f>
        <v>Direccio conjunta de les obres d'execució de les obres de túnel i de les obres addicionals del tram Zona Universitària-Sagrera Meridiana de la línia 9 de Metro de Barcelona.</v>
      </c>
      <c r="I20" s="157">
        <f>Total!I2879</f>
        <v>4703438.5999999996</v>
      </c>
    </row>
    <row r="21" spans="1:9" x14ac:dyDescent="0.2">
      <c r="A21" s="8">
        <v>20</v>
      </c>
      <c r="B21" s="101">
        <f>Total!B2880</f>
        <v>44363</v>
      </c>
      <c r="C21" s="101">
        <f>Total!C2880</f>
        <v>44389</v>
      </c>
      <c r="D21" s="112" t="s">
        <v>1092</v>
      </c>
      <c r="E21" s="332" t="str">
        <f>Total!E2880</f>
        <v>Obra Civil</v>
      </c>
      <c r="F21" s="96" t="str">
        <f>Total!F2880</f>
        <v>Projectes</v>
      </c>
      <c r="G21" s="112" t="str">
        <f>Total!G2880</f>
        <v>PM.TM-00509.4B-M6</v>
      </c>
      <c r="H21" s="112" t="str">
        <f>Total!H2880</f>
        <v>Redacció del projecte modificat núm. 6 de les obres de la Línia 9 de Metro de Barcelona. Tram 3r Zona Universitària-Sagrera Meridiana. Estacions Prat de la Riba, Sarrià, Mandri i Pous de Ventilació.</v>
      </c>
      <c r="I21" s="157">
        <f>Total!I2880</f>
        <v>500000</v>
      </c>
    </row>
    <row r="22" spans="1:9" x14ac:dyDescent="0.2">
      <c r="A22" s="8">
        <v>21</v>
      </c>
      <c r="B22" s="101">
        <f>Total!B2881</f>
        <v>44363</v>
      </c>
      <c r="C22" s="101">
        <f>Total!C2881</f>
        <v>44389</v>
      </c>
      <c r="D22" s="112" t="s">
        <v>1092</v>
      </c>
      <c r="E22" s="332" t="str">
        <f>Total!E2881</f>
        <v>Obra Civil</v>
      </c>
      <c r="F22" s="96" t="str">
        <f>Total!F2881</f>
        <v>Direccions d'Obra</v>
      </c>
      <c r="G22" s="112" t="str">
        <f>Total!G2881</f>
        <v>RCS.TM-00509.4+5</v>
      </c>
      <c r="H22" s="112" t="str">
        <f>Total!H2881</f>
        <v>Assistència tècnica per al seguiment i control conjunt de les obres de la Línia 9. Tram: 3r Zona Universitària-Sagrera Meridiana (túnel i estacions) i tram 2 obra subterrània estacions Motors i Camp Nou.</v>
      </c>
      <c r="I22" s="157">
        <f>Total!I2881</f>
        <v>1149823.44</v>
      </c>
    </row>
    <row r="23" spans="1:9" x14ac:dyDescent="0.2">
      <c r="A23" s="8">
        <v>22</v>
      </c>
      <c r="B23" s="101">
        <f>Total!B2882</f>
        <v>44372</v>
      </c>
      <c r="C23" s="101">
        <f>Total!C2882</f>
        <v>44396</v>
      </c>
      <c r="D23" s="112" t="s">
        <v>1092</v>
      </c>
      <c r="E23" s="332" t="str">
        <f>Total!E2882</f>
        <v>Obra Civil</v>
      </c>
      <c r="F23" s="96" t="str">
        <f>Total!F2882</f>
        <v>Projectes</v>
      </c>
      <c r="G23" s="112" t="str">
        <f>Total!G2882</f>
        <v>EI. EI-VL-02137.2-A1</v>
      </c>
      <c r="H23" s="112" t="str">
        <f>Total!H2882</f>
        <v>Serveis per a l'assistència tècnica per a la redacció de l'estudi informatiu "Variant de la C-13 del pk 20,000 al 24,000. Térmens.</v>
      </c>
      <c r="I23" s="157">
        <f>Total!I2882</f>
        <v>114980</v>
      </c>
    </row>
    <row r="24" spans="1:9" x14ac:dyDescent="0.2">
      <c r="I24" s="126">
        <f>SUM(I2:I23)</f>
        <v>13101891.379999999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129"/>
  <sheetViews>
    <sheetView tabSelected="1" topLeftCell="A104" zoomScale="80" zoomScaleNormal="80" workbookViewId="0">
      <selection activeCell="G124" sqref="G124"/>
    </sheetView>
  </sheetViews>
  <sheetFormatPr baseColWidth="10" defaultColWidth="11.42578125" defaultRowHeight="18" x14ac:dyDescent="0.25"/>
  <cols>
    <col min="1" max="1" width="24.7109375" style="132" customWidth="1"/>
    <col min="2" max="2" width="9" style="132" bestFit="1" customWidth="1"/>
    <col min="3" max="3" width="35.28515625" style="132" customWidth="1"/>
    <col min="4" max="4" width="16.5703125" style="132" customWidth="1"/>
    <col min="5" max="5" width="24.140625" style="132" customWidth="1"/>
    <col min="6" max="6" width="9.7109375" style="132" customWidth="1"/>
    <col min="7" max="7" width="23.42578125" style="132" bestFit="1" customWidth="1"/>
    <col min="8" max="8" width="9.7109375" style="132" customWidth="1"/>
    <col min="9" max="9" width="22.5703125" style="132" bestFit="1" customWidth="1"/>
    <col min="10" max="10" width="9.42578125" style="132" customWidth="1"/>
    <col min="11" max="11" width="21.7109375" style="132" bestFit="1" customWidth="1"/>
    <col min="12" max="12" width="7.140625" style="132" customWidth="1"/>
    <col min="13" max="13" width="22.5703125" style="132" bestFit="1" customWidth="1"/>
    <col min="14" max="14" width="13.42578125" style="132" bestFit="1" customWidth="1"/>
    <col min="15" max="15" width="36.5703125" style="132" bestFit="1" customWidth="1"/>
    <col min="16" max="16" width="25" style="132" customWidth="1"/>
    <col min="17" max="16384" width="11.42578125" style="132"/>
  </cols>
  <sheetData>
    <row r="1" spans="1:13" x14ac:dyDescent="0.25">
      <c r="A1" s="434" t="s">
        <v>5024</v>
      </c>
      <c r="B1" s="434"/>
      <c r="C1" s="434"/>
      <c r="D1" s="434"/>
      <c r="E1" s="434"/>
      <c r="F1" s="434"/>
      <c r="G1" s="434"/>
      <c r="H1" s="434"/>
      <c r="I1" s="434"/>
      <c r="J1" s="434"/>
      <c r="K1" s="434"/>
      <c r="L1" s="434"/>
      <c r="M1" s="434"/>
    </row>
    <row r="2" spans="1:13" x14ac:dyDescent="0.25">
      <c r="A2" s="133"/>
      <c r="B2" s="133"/>
      <c r="C2" s="133"/>
      <c r="D2" s="133"/>
      <c r="E2" s="133"/>
      <c r="F2" s="133"/>
      <c r="G2" s="133"/>
      <c r="H2" s="133"/>
      <c r="I2" s="133"/>
    </row>
    <row r="3" spans="1:13" x14ac:dyDescent="0.25">
      <c r="D3" s="134">
        <v>2008</v>
      </c>
      <c r="E3" s="134" t="s">
        <v>844</v>
      </c>
      <c r="F3" s="134">
        <v>2009</v>
      </c>
      <c r="G3" s="134" t="s">
        <v>845</v>
      </c>
      <c r="H3" s="435" t="s">
        <v>325</v>
      </c>
      <c r="I3" s="436"/>
      <c r="J3" s="134">
        <v>2010</v>
      </c>
      <c r="K3" s="134" t="s">
        <v>636</v>
      </c>
      <c r="L3" s="429" t="s">
        <v>326</v>
      </c>
      <c r="M3" s="429"/>
    </row>
    <row r="4" spans="1:13" x14ac:dyDescent="0.25">
      <c r="A4" s="135" t="s">
        <v>66</v>
      </c>
      <c r="B4" s="135" t="s">
        <v>422</v>
      </c>
      <c r="C4" s="136" t="s">
        <v>701</v>
      </c>
      <c r="D4" s="136">
        <v>134</v>
      </c>
      <c r="E4" s="137">
        <v>27412579.579999998</v>
      </c>
      <c r="F4" s="136">
        <v>76</v>
      </c>
      <c r="G4" s="137">
        <v>15312263.810000001</v>
      </c>
      <c r="H4" s="136">
        <f>F4-D4</f>
        <v>-58</v>
      </c>
      <c r="I4" s="137">
        <f>G4-E4</f>
        <v>-12100315.769999998</v>
      </c>
      <c r="J4" s="138">
        <f>6+9+10+11+6+1+5+2+6+10+9+1+2</f>
        <v>78</v>
      </c>
      <c r="K4" s="139">
        <v>28231691.739999998</v>
      </c>
      <c r="L4" s="140">
        <f>J4-F4</f>
        <v>2</v>
      </c>
      <c r="M4" s="137">
        <f>K4-G4</f>
        <v>12919427.929999998</v>
      </c>
    </row>
    <row r="5" spans="1:13" x14ac:dyDescent="0.25">
      <c r="A5" s="141"/>
      <c r="B5" s="141"/>
      <c r="C5" s="136" t="s">
        <v>396</v>
      </c>
      <c r="D5" s="136">
        <v>60</v>
      </c>
      <c r="E5" s="137">
        <v>26299214.760000002</v>
      </c>
      <c r="F5" s="136">
        <f>37+1</f>
        <v>38</v>
      </c>
      <c r="G5" s="137">
        <v>36592295.649999999</v>
      </c>
      <c r="H5" s="136">
        <f t="shared" ref="H5:H16" si="0">F5-D5</f>
        <v>-22</v>
      </c>
      <c r="I5" s="137">
        <f t="shared" ref="I5:I15" si="1">G5-E5</f>
        <v>10293080.889999997</v>
      </c>
      <c r="J5" s="138">
        <v>50</v>
      </c>
      <c r="K5" s="139">
        <v>25585868.16</v>
      </c>
      <c r="L5" s="138">
        <f t="shared" ref="L5:L16" si="2">J5-F5</f>
        <v>12</v>
      </c>
      <c r="M5" s="137">
        <f t="shared" ref="M5:M16" si="3">K5-G5</f>
        <v>-11006427.489999998</v>
      </c>
    </row>
    <row r="6" spans="1:13" x14ac:dyDescent="0.25">
      <c r="A6" s="141"/>
      <c r="B6" s="142"/>
      <c r="C6" s="136" t="s">
        <v>8</v>
      </c>
      <c r="D6" s="136">
        <v>23</v>
      </c>
      <c r="E6" s="137">
        <v>9052715.1699999999</v>
      </c>
      <c r="F6" s="136">
        <f>17+1</f>
        <v>18</v>
      </c>
      <c r="G6" s="137">
        <v>11526354.789999999</v>
      </c>
      <c r="H6" s="136">
        <f t="shared" si="0"/>
        <v>-5</v>
      </c>
      <c r="I6" s="137">
        <f t="shared" si="1"/>
        <v>2473639.6199999992</v>
      </c>
      <c r="J6" s="138">
        <f>3+3+3+0+2+0+1+1+1+0+5+1</f>
        <v>20</v>
      </c>
      <c r="K6" s="139">
        <f>2779664.12+1868302.82+881807</f>
        <v>5529773.9400000004</v>
      </c>
      <c r="L6" s="138">
        <f t="shared" si="2"/>
        <v>2</v>
      </c>
      <c r="M6" s="137">
        <f t="shared" si="3"/>
        <v>-5996580.8499999987</v>
      </c>
    </row>
    <row r="7" spans="1:13" x14ac:dyDescent="0.25">
      <c r="A7" s="141"/>
      <c r="B7" s="135" t="s">
        <v>392</v>
      </c>
      <c r="C7" s="136" t="s">
        <v>701</v>
      </c>
      <c r="D7" s="136">
        <v>8</v>
      </c>
      <c r="E7" s="137">
        <v>2766761.32</v>
      </c>
      <c r="F7" s="136">
        <v>3</v>
      </c>
      <c r="G7" s="137">
        <v>392479.63</v>
      </c>
      <c r="H7" s="136">
        <f t="shared" si="0"/>
        <v>-5</v>
      </c>
      <c r="I7" s="137">
        <f t="shared" si="1"/>
        <v>-2374281.69</v>
      </c>
      <c r="J7" s="138">
        <f>3+1+0+3</f>
        <v>7</v>
      </c>
      <c r="K7" s="139">
        <f>592161.96+1087700.7</f>
        <v>1679862.66</v>
      </c>
      <c r="L7" s="138">
        <f t="shared" si="2"/>
        <v>4</v>
      </c>
      <c r="M7" s="137">
        <f t="shared" si="3"/>
        <v>1287383.0299999998</v>
      </c>
    </row>
    <row r="8" spans="1:13" x14ac:dyDescent="0.25">
      <c r="A8" s="141"/>
      <c r="B8" s="141"/>
      <c r="C8" s="136" t="s">
        <v>9</v>
      </c>
      <c r="D8" s="136">
        <v>71</v>
      </c>
      <c r="E8" s="137">
        <v>22886371.079999998</v>
      </c>
      <c r="F8" s="136">
        <f>36+2</f>
        <v>38</v>
      </c>
      <c r="G8" s="137">
        <v>12471446.51</v>
      </c>
      <c r="H8" s="136">
        <f t="shared" si="0"/>
        <v>-33</v>
      </c>
      <c r="I8" s="137">
        <f t="shared" si="1"/>
        <v>-10414924.569999998</v>
      </c>
      <c r="J8" s="138">
        <f>2+3+3+3+3+1+2+1+3+1+5+3</f>
        <v>30</v>
      </c>
      <c r="K8" s="139">
        <v>12283109.289999999</v>
      </c>
      <c r="L8" s="138">
        <f t="shared" si="2"/>
        <v>-8</v>
      </c>
      <c r="M8" s="137">
        <f t="shared" si="3"/>
        <v>-188337.22000000067</v>
      </c>
    </row>
    <row r="9" spans="1:13" x14ac:dyDescent="0.25">
      <c r="A9" s="141"/>
      <c r="B9" s="141"/>
      <c r="C9" s="136" t="s">
        <v>396</v>
      </c>
      <c r="D9" s="136">
        <v>4</v>
      </c>
      <c r="E9" s="137">
        <v>1470044.71</v>
      </c>
      <c r="F9" s="136">
        <v>5</v>
      </c>
      <c r="G9" s="137">
        <v>1711987.77</v>
      </c>
      <c r="H9" s="136">
        <f t="shared" si="0"/>
        <v>1</v>
      </c>
      <c r="I9" s="137">
        <f t="shared" si="1"/>
        <v>241943.06000000006</v>
      </c>
      <c r="J9" s="138">
        <f>1+0+0+2+1+0+1+0+0+0+1+2</f>
        <v>8</v>
      </c>
      <c r="K9" s="139">
        <f>502310.55+98450+236910</f>
        <v>837670.55</v>
      </c>
      <c r="L9" s="138">
        <f t="shared" si="2"/>
        <v>3</v>
      </c>
      <c r="M9" s="137">
        <f t="shared" si="3"/>
        <v>-874317.22</v>
      </c>
    </row>
    <row r="10" spans="1:13" x14ac:dyDescent="0.25">
      <c r="A10" s="141"/>
      <c r="B10" s="141"/>
      <c r="C10" s="136" t="s">
        <v>393</v>
      </c>
      <c r="D10" s="136">
        <v>91</v>
      </c>
      <c r="E10" s="137">
        <v>12881910.859999999</v>
      </c>
      <c r="F10" s="136">
        <f>71+1</f>
        <v>72</v>
      </c>
      <c r="G10" s="137">
        <v>12833796.09</v>
      </c>
      <c r="H10" s="136">
        <f t="shared" si="0"/>
        <v>-19</v>
      </c>
      <c r="I10" s="137">
        <f t="shared" si="1"/>
        <v>-48114.769999999553</v>
      </c>
      <c r="J10" s="138">
        <f>88+5</f>
        <v>93</v>
      </c>
      <c r="K10" s="139">
        <v>11954541.4</v>
      </c>
      <c r="L10" s="138">
        <f t="shared" si="2"/>
        <v>21</v>
      </c>
      <c r="M10" s="137">
        <f t="shared" si="3"/>
        <v>-879254.68999999948</v>
      </c>
    </row>
    <row r="11" spans="1:13" x14ac:dyDescent="0.25">
      <c r="A11" s="141"/>
      <c r="B11" s="141"/>
      <c r="C11" s="136" t="s">
        <v>10</v>
      </c>
      <c r="D11" s="136">
        <v>2</v>
      </c>
      <c r="E11" s="137">
        <v>1784971.67</v>
      </c>
      <c r="F11" s="136">
        <v>2</v>
      </c>
      <c r="G11" s="137">
        <v>1748697.12</v>
      </c>
      <c r="H11" s="136">
        <f t="shared" si="0"/>
        <v>0</v>
      </c>
      <c r="I11" s="137">
        <f t="shared" si="1"/>
        <v>-36274.549999999814</v>
      </c>
      <c r="J11" s="138">
        <f>0+0+0+0+0+0+0+0+0+0+2</f>
        <v>2</v>
      </c>
      <c r="K11" s="139">
        <v>1950916.6</v>
      </c>
      <c r="L11" s="138">
        <f t="shared" si="2"/>
        <v>0</v>
      </c>
      <c r="M11" s="137">
        <f t="shared" si="3"/>
        <v>202219.47999999998</v>
      </c>
    </row>
    <row r="12" spans="1:13" x14ac:dyDescent="0.25">
      <c r="A12" s="142"/>
      <c r="B12" s="142"/>
      <c r="C12" s="136" t="s">
        <v>8</v>
      </c>
      <c r="D12" s="136">
        <v>57</v>
      </c>
      <c r="E12" s="137">
        <v>4524052.88</v>
      </c>
      <c r="F12" s="136">
        <v>30</v>
      </c>
      <c r="G12" s="137">
        <v>2682367.6</v>
      </c>
      <c r="H12" s="136">
        <f t="shared" si="0"/>
        <v>-27</v>
      </c>
      <c r="I12" s="137">
        <f t="shared" si="1"/>
        <v>-1841685.2799999998</v>
      </c>
      <c r="J12" s="138">
        <f>8+1+4+3+10+0+8+0+2+2+12+3</f>
        <v>53</v>
      </c>
      <c r="K12" s="139">
        <f>2800370.34+179795.13+933012.11+144982.75</f>
        <v>4058160.3299999996</v>
      </c>
      <c r="L12" s="138">
        <f t="shared" si="2"/>
        <v>23</v>
      </c>
      <c r="M12" s="137">
        <f t="shared" si="3"/>
        <v>1375792.7299999995</v>
      </c>
    </row>
    <row r="13" spans="1:13" x14ac:dyDescent="0.25">
      <c r="A13" s="143" t="s">
        <v>11</v>
      </c>
      <c r="B13" s="144"/>
      <c r="C13" s="136" t="s">
        <v>701</v>
      </c>
      <c r="D13" s="136">
        <v>21</v>
      </c>
      <c r="E13" s="137">
        <v>2544957.33</v>
      </c>
      <c r="F13" s="136">
        <f>9+1</f>
        <v>10</v>
      </c>
      <c r="G13" s="137">
        <v>1955950.37</v>
      </c>
      <c r="H13" s="136">
        <f t="shared" si="0"/>
        <v>-11</v>
      </c>
      <c r="I13" s="137">
        <f t="shared" si="1"/>
        <v>-589006.96</v>
      </c>
      <c r="J13" s="138">
        <f>0+1+4+0+2+2+2+1+1+2+1+1+3</f>
        <v>20</v>
      </c>
      <c r="K13" s="139">
        <v>2952811.18</v>
      </c>
      <c r="L13" s="138">
        <f t="shared" si="2"/>
        <v>10</v>
      </c>
      <c r="M13" s="137">
        <f t="shared" si="3"/>
        <v>996860.81</v>
      </c>
    </row>
    <row r="14" spans="1:13" x14ac:dyDescent="0.25">
      <c r="A14" s="145"/>
      <c r="B14" s="146"/>
      <c r="C14" s="136" t="s">
        <v>396</v>
      </c>
      <c r="D14" s="136">
        <v>9</v>
      </c>
      <c r="E14" s="137">
        <v>2449947.7000000002</v>
      </c>
      <c r="F14" s="136">
        <f>5+4</f>
        <v>9</v>
      </c>
      <c r="G14" s="137">
        <v>2248873.59</v>
      </c>
      <c r="H14" s="136">
        <f t="shared" si="0"/>
        <v>0</v>
      </c>
      <c r="I14" s="137">
        <f t="shared" si="1"/>
        <v>-201074.11000000034</v>
      </c>
      <c r="J14" s="138">
        <v>6</v>
      </c>
      <c r="K14" s="139">
        <v>739085.41</v>
      </c>
      <c r="L14" s="138">
        <f t="shared" si="2"/>
        <v>-3</v>
      </c>
      <c r="M14" s="137">
        <f t="shared" si="3"/>
        <v>-1509788.1799999997</v>
      </c>
    </row>
    <row r="15" spans="1:13" x14ac:dyDescent="0.25">
      <c r="A15" s="147"/>
      <c r="B15" s="148"/>
      <c r="C15" s="136" t="s">
        <v>8</v>
      </c>
      <c r="D15" s="136">
        <v>5</v>
      </c>
      <c r="E15" s="137">
        <v>754019.1</v>
      </c>
      <c r="F15" s="136">
        <f>3+1</f>
        <v>4</v>
      </c>
      <c r="G15" s="137">
        <v>631128.31999999995</v>
      </c>
      <c r="H15" s="136">
        <f t="shared" si="0"/>
        <v>-1</v>
      </c>
      <c r="I15" s="137">
        <f t="shared" si="1"/>
        <v>-122890.78000000003</v>
      </c>
      <c r="J15" s="138">
        <f>0+0+0+0+0+0+0+0+1+0+2</f>
        <v>3</v>
      </c>
      <c r="K15" s="139">
        <v>460989.79</v>
      </c>
      <c r="L15" s="138">
        <f t="shared" si="2"/>
        <v>-1</v>
      </c>
      <c r="M15" s="137">
        <f t="shared" si="3"/>
        <v>-170138.52999999997</v>
      </c>
    </row>
    <row r="16" spans="1:13" x14ac:dyDescent="0.25">
      <c r="A16" s="430" t="s">
        <v>12</v>
      </c>
      <c r="B16" s="431"/>
      <c r="C16" s="432"/>
      <c r="D16" s="136">
        <f>SUM(D4:D15)</f>
        <v>485</v>
      </c>
      <c r="E16" s="137">
        <f>SUM(E4:E15)</f>
        <v>114827546.15999998</v>
      </c>
      <c r="F16" s="136">
        <f>SUM(F4:F15)</f>
        <v>305</v>
      </c>
      <c r="G16" s="137">
        <f>SUM(G4:G15)</f>
        <v>100107641.25</v>
      </c>
      <c r="H16" s="136">
        <f t="shared" si="0"/>
        <v>-180</v>
      </c>
      <c r="I16" s="137">
        <f>SUM(I4:I15)</f>
        <v>-14719904.909999995</v>
      </c>
      <c r="J16" s="138">
        <f>SUM(J4:J15)</f>
        <v>370</v>
      </c>
      <c r="K16" s="139">
        <f>SUM(K4:K15)</f>
        <v>96264481.049999997</v>
      </c>
      <c r="L16" s="138">
        <f t="shared" si="2"/>
        <v>65</v>
      </c>
      <c r="M16" s="137">
        <f t="shared" si="3"/>
        <v>-3843160.200000003</v>
      </c>
    </row>
    <row r="18" spans="1:13" x14ac:dyDescent="0.25">
      <c r="D18" s="134">
        <v>2010</v>
      </c>
      <c r="E18" s="134" t="s">
        <v>636</v>
      </c>
      <c r="F18" s="134">
        <v>2011</v>
      </c>
      <c r="G18" s="134" t="s">
        <v>1033</v>
      </c>
      <c r="H18" s="429" t="s">
        <v>637</v>
      </c>
      <c r="I18" s="429"/>
      <c r="J18" s="134">
        <v>2012</v>
      </c>
      <c r="K18" s="134" t="s">
        <v>1048</v>
      </c>
      <c r="L18" s="429" t="s">
        <v>1049</v>
      </c>
      <c r="M18" s="429"/>
    </row>
    <row r="19" spans="1:13" x14ac:dyDescent="0.25">
      <c r="A19" s="135" t="s">
        <v>66</v>
      </c>
      <c r="B19" s="135" t="s">
        <v>422</v>
      </c>
      <c r="C19" s="136" t="s">
        <v>701</v>
      </c>
      <c r="D19" s="138">
        <f>6+9+10+11+6+1+5+2+6+10+9+1+2</f>
        <v>78</v>
      </c>
      <c r="E19" s="139">
        <v>28231691.739999998</v>
      </c>
      <c r="F19" s="138">
        <v>43</v>
      </c>
      <c r="G19" s="139">
        <v>11406377.33</v>
      </c>
      <c r="H19" s="136">
        <f>F19-D19</f>
        <v>-35</v>
      </c>
      <c r="I19" s="137">
        <f>G19-E19</f>
        <v>-16825314.409999996</v>
      </c>
      <c r="J19" s="138">
        <f>2+6+1+8+4+1+2+2+2+3</f>
        <v>31</v>
      </c>
      <c r="K19" s="139">
        <f>269168.51+1472550.22+319526+3457318.19+1249119.9+159267.5+226510.4+975015.74+198646+965326.12</f>
        <v>9292448.5800000001</v>
      </c>
      <c r="L19" s="140">
        <f>J19-F19</f>
        <v>-12</v>
      </c>
      <c r="M19" s="137">
        <f>K19-G19</f>
        <v>-2113928.75</v>
      </c>
    </row>
    <row r="20" spans="1:13" x14ac:dyDescent="0.25">
      <c r="A20" s="141"/>
      <c r="B20" s="141"/>
      <c r="C20" s="136" t="s">
        <v>396</v>
      </c>
      <c r="D20" s="138">
        <v>50</v>
      </c>
      <c r="E20" s="139">
        <v>25585868.16</v>
      </c>
      <c r="F20" s="138">
        <f>9+1+2+1+1</f>
        <v>14</v>
      </c>
      <c r="G20" s="139">
        <f>6987003.55+92991.78+258800.79+284381.11+127977.28</f>
        <v>7751154.5100000007</v>
      </c>
      <c r="H20" s="136">
        <f t="shared" ref="H20:H32" si="4">F20-D20</f>
        <v>-36</v>
      </c>
      <c r="I20" s="137">
        <f t="shared" ref="I20:I31" si="5">G20-E20</f>
        <v>-17834713.649999999</v>
      </c>
      <c r="J20" s="138">
        <f>2+1</f>
        <v>3</v>
      </c>
      <c r="K20" s="139">
        <f>147902+227000</f>
        <v>374902</v>
      </c>
      <c r="L20" s="138">
        <f t="shared" ref="L20:L32" si="6">J20-F20</f>
        <v>-11</v>
      </c>
      <c r="M20" s="137">
        <f t="shared" ref="M20:M32" si="7">K20-G20</f>
        <v>-7376252.5100000007</v>
      </c>
    </row>
    <row r="21" spans="1:13" x14ac:dyDescent="0.25">
      <c r="A21" s="141"/>
      <c r="B21" s="142"/>
      <c r="C21" s="136" t="s">
        <v>8</v>
      </c>
      <c r="D21" s="138">
        <f>3+3+3+0+2+0+1+1+1+0+5+1</f>
        <v>20</v>
      </c>
      <c r="E21" s="139">
        <f>2779664.12+1868302.82+881807</f>
        <v>5529773.9400000004</v>
      </c>
      <c r="F21" s="138">
        <f>1+2</f>
        <v>3</v>
      </c>
      <c r="G21" s="139">
        <f>159315+222402.33</f>
        <v>381717.32999999996</v>
      </c>
      <c r="H21" s="136">
        <f t="shared" si="4"/>
        <v>-17</v>
      </c>
      <c r="I21" s="137">
        <f t="shared" si="5"/>
        <v>-5148056.6100000003</v>
      </c>
      <c r="J21" s="138">
        <v>1</v>
      </c>
      <c r="K21" s="139">
        <v>95053</v>
      </c>
      <c r="L21" s="138">
        <f t="shared" si="6"/>
        <v>-2</v>
      </c>
      <c r="M21" s="137">
        <f t="shared" si="7"/>
        <v>-286664.32999999996</v>
      </c>
    </row>
    <row r="22" spans="1:13" x14ac:dyDescent="0.25">
      <c r="A22" s="141"/>
      <c r="B22" s="135" t="s">
        <v>392</v>
      </c>
      <c r="C22" s="136" t="s">
        <v>701</v>
      </c>
      <c r="D22" s="138">
        <f>3+1+0+3</f>
        <v>7</v>
      </c>
      <c r="E22" s="139">
        <f>592161.96+1087700.7</f>
        <v>1679862.66</v>
      </c>
      <c r="F22" s="138"/>
      <c r="G22" s="139"/>
      <c r="H22" s="136">
        <f t="shared" si="4"/>
        <v>-7</v>
      </c>
      <c r="I22" s="137">
        <f t="shared" si="5"/>
        <v>-1679862.66</v>
      </c>
      <c r="J22" s="138">
        <v>1</v>
      </c>
      <c r="K22" s="139">
        <v>45407.94</v>
      </c>
      <c r="L22" s="138">
        <f t="shared" si="6"/>
        <v>1</v>
      </c>
      <c r="M22" s="137">
        <f t="shared" si="7"/>
        <v>45407.94</v>
      </c>
    </row>
    <row r="23" spans="1:13" x14ac:dyDescent="0.25">
      <c r="A23" s="141"/>
      <c r="B23" s="141"/>
      <c r="C23" s="136" t="s">
        <v>9</v>
      </c>
      <c r="D23" s="138">
        <f>2+3+3+3+3+1+2+1+3+1+5+3</f>
        <v>30</v>
      </c>
      <c r="E23" s="139">
        <v>12283109.289999999</v>
      </c>
      <c r="F23" s="138">
        <f>2+1+2</f>
        <v>5</v>
      </c>
      <c r="G23" s="139">
        <f>674412.42+479500+415960</f>
        <v>1569872.42</v>
      </c>
      <c r="H23" s="136">
        <f t="shared" si="4"/>
        <v>-25</v>
      </c>
      <c r="I23" s="137">
        <f t="shared" si="5"/>
        <v>-10713236.869999999</v>
      </c>
      <c r="J23" s="138">
        <f>1+1+1+1+2+1</f>
        <v>7</v>
      </c>
      <c r="K23" s="139">
        <f>250421+260000+170811.48+164967.5+466710+172000</f>
        <v>1484909.98</v>
      </c>
      <c r="L23" s="138">
        <f t="shared" si="6"/>
        <v>2</v>
      </c>
      <c r="M23" s="137">
        <f t="shared" si="7"/>
        <v>-84962.439999999944</v>
      </c>
    </row>
    <row r="24" spans="1:13" x14ac:dyDescent="0.25">
      <c r="A24" s="141"/>
      <c r="B24" s="141"/>
      <c r="C24" s="136" t="s">
        <v>396</v>
      </c>
      <c r="D24" s="138">
        <f>1+0+0+2+1+0+1+0+0+0+1+2</f>
        <v>8</v>
      </c>
      <c r="E24" s="139">
        <f>502310.55+98450+236910</f>
        <v>837670.55</v>
      </c>
      <c r="F24" s="138">
        <v>1</v>
      </c>
      <c r="G24" s="139">
        <v>210683</v>
      </c>
      <c r="H24" s="136">
        <f t="shared" si="4"/>
        <v>-7</v>
      </c>
      <c r="I24" s="137">
        <f t="shared" si="5"/>
        <v>-626987.55000000005</v>
      </c>
      <c r="J24" s="138"/>
      <c r="K24" s="139"/>
      <c r="L24" s="138">
        <f t="shared" si="6"/>
        <v>-1</v>
      </c>
      <c r="M24" s="137">
        <f t="shared" si="7"/>
        <v>-210683</v>
      </c>
    </row>
    <row r="25" spans="1:13" x14ac:dyDescent="0.25">
      <c r="A25" s="141"/>
      <c r="B25" s="141"/>
      <c r="C25" s="136" t="s">
        <v>393</v>
      </c>
      <c r="D25" s="138">
        <f>88+5</f>
        <v>93</v>
      </c>
      <c r="E25" s="139">
        <v>11954541.4</v>
      </c>
      <c r="F25" s="138">
        <f>1+1+1+1+1</f>
        <v>5</v>
      </c>
      <c r="G25" s="139">
        <f>124290+109714.5+58144.74+71359.12+235245.33</f>
        <v>598753.68999999994</v>
      </c>
      <c r="H25" s="136">
        <f t="shared" si="4"/>
        <v>-88</v>
      </c>
      <c r="I25" s="137">
        <f t="shared" si="5"/>
        <v>-11355787.710000001</v>
      </c>
      <c r="J25" s="138">
        <f>2+1+4+1+1+3+2</f>
        <v>14</v>
      </c>
      <c r="K25" s="139">
        <f>166959.2+184349.4+397309.58+97920.24+188909.26+180459.5+160900</f>
        <v>1376807.18</v>
      </c>
      <c r="L25" s="138">
        <f t="shared" si="6"/>
        <v>9</v>
      </c>
      <c r="M25" s="137">
        <f t="shared" si="7"/>
        <v>778053.49</v>
      </c>
    </row>
    <row r="26" spans="1:13" x14ac:dyDescent="0.25">
      <c r="A26" s="141"/>
      <c r="B26" s="141"/>
      <c r="C26" s="136" t="s">
        <v>10</v>
      </c>
      <c r="D26" s="138">
        <f>0+0+0+0+0+0+0+0+0+0+2</f>
        <v>2</v>
      </c>
      <c r="E26" s="139">
        <v>1950916.6</v>
      </c>
      <c r="F26" s="138"/>
      <c r="G26" s="139"/>
      <c r="H26" s="136">
        <f t="shared" si="4"/>
        <v>-2</v>
      </c>
      <c r="I26" s="137">
        <f t="shared" si="5"/>
        <v>-1950916.6</v>
      </c>
      <c r="J26" s="138"/>
      <c r="K26" s="139"/>
      <c r="L26" s="138">
        <f t="shared" si="6"/>
        <v>0</v>
      </c>
      <c r="M26" s="137">
        <f t="shared" si="7"/>
        <v>0</v>
      </c>
    </row>
    <row r="27" spans="1:13" x14ac:dyDescent="0.25">
      <c r="A27" s="141"/>
      <c r="B27" s="141"/>
      <c r="C27" s="136" t="s">
        <v>1101</v>
      </c>
      <c r="D27" s="138">
        <v>0</v>
      </c>
      <c r="E27" s="139">
        <v>0</v>
      </c>
      <c r="F27" s="138">
        <v>0</v>
      </c>
      <c r="G27" s="139">
        <v>0</v>
      </c>
      <c r="H27" s="136">
        <v>0</v>
      </c>
      <c r="I27" s="137">
        <f t="shared" si="5"/>
        <v>0</v>
      </c>
      <c r="J27" s="138">
        <v>1</v>
      </c>
      <c r="K27" s="139">
        <v>176665</v>
      </c>
      <c r="L27" s="138">
        <f t="shared" ref="L27" si="8">J27-F27</f>
        <v>1</v>
      </c>
      <c r="M27" s="137">
        <f t="shared" ref="M27" si="9">K27-G27</f>
        <v>176665</v>
      </c>
    </row>
    <row r="28" spans="1:13" x14ac:dyDescent="0.25">
      <c r="A28" s="142"/>
      <c r="B28" s="142"/>
      <c r="C28" s="136" t="s">
        <v>8</v>
      </c>
      <c r="D28" s="138">
        <f>8+1+4+3+10+0+8+0+2+2+12+3</f>
        <v>53</v>
      </c>
      <c r="E28" s="139">
        <f>2800370.34+179795.13+933012.11+144982.75</f>
        <v>4058160.3299999996</v>
      </c>
      <c r="F28" s="138">
        <f>1+1</f>
        <v>2</v>
      </c>
      <c r="G28" s="139">
        <f>66244.85+73846.81</f>
        <v>140091.66</v>
      </c>
      <c r="H28" s="136">
        <f t="shared" si="4"/>
        <v>-51</v>
      </c>
      <c r="I28" s="137">
        <f t="shared" si="5"/>
        <v>-3918068.6699999995</v>
      </c>
      <c r="J28" s="138">
        <f>10+1</f>
        <v>11</v>
      </c>
      <c r="K28" s="139">
        <f>532132.45+40196.39</f>
        <v>572328.84</v>
      </c>
      <c r="L28" s="138">
        <f t="shared" si="6"/>
        <v>9</v>
      </c>
      <c r="M28" s="137">
        <f t="shared" si="7"/>
        <v>432237.17999999993</v>
      </c>
    </row>
    <row r="29" spans="1:13" x14ac:dyDescent="0.25">
      <c r="A29" s="143" t="s">
        <v>11</v>
      </c>
      <c r="B29" s="144"/>
      <c r="C29" s="136" t="s">
        <v>701</v>
      </c>
      <c r="D29" s="138">
        <f>0+1+4+0+2+2+2+1+1+2+1+1+3</f>
        <v>20</v>
      </c>
      <c r="E29" s="139">
        <v>2952811.18</v>
      </c>
      <c r="F29" s="138">
        <f>2+1</f>
        <v>3</v>
      </c>
      <c r="G29" s="139">
        <f>197088.6+116492.8</f>
        <v>313581.40000000002</v>
      </c>
      <c r="H29" s="136">
        <f t="shared" si="4"/>
        <v>-17</v>
      </c>
      <c r="I29" s="137">
        <f t="shared" si="5"/>
        <v>-2639229.7800000003</v>
      </c>
      <c r="J29" s="138">
        <f>1+1</f>
        <v>2</v>
      </c>
      <c r="K29" s="139">
        <f>68257.5+277549.99</f>
        <v>345807.49</v>
      </c>
      <c r="L29" s="138">
        <f t="shared" si="6"/>
        <v>-1</v>
      </c>
      <c r="M29" s="137">
        <f t="shared" si="7"/>
        <v>32226.089999999967</v>
      </c>
    </row>
    <row r="30" spans="1:13" x14ac:dyDescent="0.25">
      <c r="A30" s="145"/>
      <c r="B30" s="146"/>
      <c r="C30" s="136" t="s">
        <v>396</v>
      </c>
      <c r="D30" s="138">
        <v>6</v>
      </c>
      <c r="E30" s="139">
        <v>739085.41</v>
      </c>
      <c r="F30" s="138">
        <v>1</v>
      </c>
      <c r="G30" s="139">
        <v>270025.78000000003</v>
      </c>
      <c r="H30" s="136">
        <f t="shared" si="4"/>
        <v>-5</v>
      </c>
      <c r="I30" s="137">
        <f t="shared" si="5"/>
        <v>-469059.63</v>
      </c>
      <c r="J30" s="138"/>
      <c r="K30" s="139"/>
      <c r="L30" s="138">
        <f t="shared" si="6"/>
        <v>-1</v>
      </c>
      <c r="M30" s="137">
        <f t="shared" si="7"/>
        <v>-270025.78000000003</v>
      </c>
    </row>
    <row r="31" spans="1:13" x14ac:dyDescent="0.25">
      <c r="A31" s="147"/>
      <c r="B31" s="148"/>
      <c r="C31" s="136" t="s">
        <v>8</v>
      </c>
      <c r="D31" s="138">
        <f>0+0+0+0+0+0+0+0+1+0+2</f>
        <v>3</v>
      </c>
      <c r="E31" s="139">
        <v>460989.79</v>
      </c>
      <c r="F31" s="138"/>
      <c r="G31" s="139"/>
      <c r="H31" s="136">
        <f t="shared" si="4"/>
        <v>-3</v>
      </c>
      <c r="I31" s="137">
        <f t="shared" si="5"/>
        <v>-460989.79</v>
      </c>
      <c r="J31" s="138"/>
      <c r="K31" s="139"/>
      <c r="L31" s="138">
        <f t="shared" si="6"/>
        <v>0</v>
      </c>
      <c r="M31" s="137">
        <f t="shared" si="7"/>
        <v>0</v>
      </c>
    </row>
    <row r="32" spans="1:13" x14ac:dyDescent="0.25">
      <c r="A32" s="430" t="s">
        <v>12</v>
      </c>
      <c r="B32" s="431"/>
      <c r="C32" s="432"/>
      <c r="D32" s="136">
        <f>SUM(D19:D31)</f>
        <v>370</v>
      </c>
      <c r="E32" s="137">
        <f>SUM(E19:E31)</f>
        <v>96264481.049999997</v>
      </c>
      <c r="F32" s="136">
        <f>SUM(F19:F31)</f>
        <v>77</v>
      </c>
      <c r="G32" s="137">
        <f>SUM(G19:G31)</f>
        <v>22642257.119999997</v>
      </c>
      <c r="H32" s="136">
        <f t="shared" si="4"/>
        <v>-293</v>
      </c>
      <c r="I32" s="137">
        <f>SUM(I19:I31)</f>
        <v>-73622223.929999992</v>
      </c>
      <c r="J32" s="138">
        <f>SUM(J19:J31)</f>
        <v>71</v>
      </c>
      <c r="K32" s="139">
        <f>SUM(K19:K31)</f>
        <v>13764330.01</v>
      </c>
      <c r="L32" s="138">
        <f t="shared" si="6"/>
        <v>-6</v>
      </c>
      <c r="M32" s="137">
        <f t="shared" si="7"/>
        <v>-8877927.1099999975</v>
      </c>
    </row>
    <row r="33" spans="1:16" x14ac:dyDescent="0.25">
      <c r="K33" s="149"/>
    </row>
    <row r="34" spans="1:16" x14ac:dyDescent="0.25">
      <c r="D34" s="134">
        <v>2012</v>
      </c>
      <c r="E34" s="134" t="s">
        <v>1048</v>
      </c>
      <c r="F34" s="134">
        <v>2013</v>
      </c>
      <c r="G34" s="134" t="s">
        <v>1186</v>
      </c>
      <c r="H34" s="429" t="s">
        <v>1187</v>
      </c>
      <c r="I34" s="429"/>
      <c r="J34" s="134">
        <v>2014</v>
      </c>
      <c r="K34" s="134" t="s">
        <v>1301</v>
      </c>
      <c r="L34" s="429" t="s">
        <v>1300</v>
      </c>
      <c r="M34" s="429"/>
    </row>
    <row r="35" spans="1:16" x14ac:dyDescent="0.25">
      <c r="A35" s="135" t="s">
        <v>1183</v>
      </c>
      <c r="B35" s="135" t="s">
        <v>422</v>
      </c>
      <c r="C35" s="136" t="s">
        <v>701</v>
      </c>
      <c r="D35" s="138">
        <v>33</v>
      </c>
      <c r="E35" s="139">
        <v>9638256.0700000003</v>
      </c>
      <c r="F35" s="138">
        <v>29</v>
      </c>
      <c r="G35" s="139">
        <v>5325317</v>
      </c>
      <c r="H35" s="136">
        <f>F35-D35</f>
        <v>-4</v>
      </c>
      <c r="I35" s="137">
        <f>G35-E35</f>
        <v>-4312939.07</v>
      </c>
      <c r="J35" s="138">
        <v>13</v>
      </c>
      <c r="K35" s="139">
        <v>4197187.9399999995</v>
      </c>
      <c r="L35" s="136">
        <f>J35-F35</f>
        <v>-16</v>
      </c>
      <c r="M35" s="137">
        <f>K35-G35</f>
        <v>-1128129.0600000005</v>
      </c>
      <c r="P35" s="150"/>
    </row>
    <row r="36" spans="1:16" x14ac:dyDescent="0.25">
      <c r="A36" s="141"/>
      <c r="B36" s="141"/>
      <c r="C36" s="136" t="s">
        <v>396</v>
      </c>
      <c r="D36" s="138">
        <v>3</v>
      </c>
      <c r="E36" s="139">
        <v>374902</v>
      </c>
      <c r="F36" s="138">
        <v>3</v>
      </c>
      <c r="G36" s="149">
        <v>2568177.7799999998</v>
      </c>
      <c r="H36" s="136">
        <f t="shared" ref="H36:H42" si="10">F36-D36</f>
        <v>0</v>
      </c>
      <c r="I36" s="137">
        <f t="shared" ref="I36:I43" si="11">G36-E36</f>
        <v>2193275.7799999998</v>
      </c>
      <c r="J36" s="138">
        <v>1</v>
      </c>
      <c r="K36" s="149">
        <v>2193317.7799999998</v>
      </c>
      <c r="L36" s="136">
        <f t="shared" ref="L36:L43" si="12">J36-F36</f>
        <v>-2</v>
      </c>
      <c r="M36" s="137">
        <f t="shared" ref="M36:M46" si="13">K36-G36</f>
        <v>-374860</v>
      </c>
      <c r="P36" s="150"/>
    </row>
    <row r="37" spans="1:16" x14ac:dyDescent="0.25">
      <c r="A37" s="141"/>
      <c r="B37" s="142"/>
      <c r="C37" s="136" t="s">
        <v>8</v>
      </c>
      <c r="D37" s="138">
        <v>1</v>
      </c>
      <c r="E37" s="139">
        <v>95053</v>
      </c>
      <c r="F37" s="138">
        <v>0</v>
      </c>
      <c r="G37" s="139">
        <v>0</v>
      </c>
      <c r="H37" s="136">
        <f t="shared" si="10"/>
        <v>-1</v>
      </c>
      <c r="I37" s="137">
        <f t="shared" si="11"/>
        <v>-95053</v>
      </c>
      <c r="J37" s="138">
        <v>0</v>
      </c>
      <c r="K37" s="139">
        <v>330238.86</v>
      </c>
      <c r="L37" s="136">
        <f t="shared" si="12"/>
        <v>0</v>
      </c>
      <c r="M37" s="137">
        <f t="shared" si="13"/>
        <v>330238.86</v>
      </c>
      <c r="P37" s="150"/>
    </row>
    <row r="38" spans="1:16" x14ac:dyDescent="0.25">
      <c r="A38" s="141"/>
      <c r="B38" s="135" t="s">
        <v>392</v>
      </c>
      <c r="C38" s="136" t="s">
        <v>701</v>
      </c>
      <c r="D38" s="138">
        <v>1</v>
      </c>
      <c r="E38" s="139">
        <v>45407.94</v>
      </c>
      <c r="F38" s="138">
        <v>1</v>
      </c>
      <c r="G38" s="151">
        <v>198000</v>
      </c>
      <c r="H38" s="136">
        <f t="shared" si="10"/>
        <v>0</v>
      </c>
      <c r="I38" s="137">
        <f t="shared" si="11"/>
        <v>152592.06</v>
      </c>
      <c r="J38" s="138">
        <v>2</v>
      </c>
      <c r="K38" s="151">
        <v>379600</v>
      </c>
      <c r="L38" s="136">
        <f t="shared" si="12"/>
        <v>1</v>
      </c>
      <c r="M38" s="137">
        <f t="shared" si="13"/>
        <v>181600</v>
      </c>
      <c r="P38" s="150"/>
    </row>
    <row r="39" spans="1:16" x14ac:dyDescent="0.25">
      <c r="A39" s="141"/>
      <c r="B39" s="141"/>
      <c r="C39" s="136" t="s">
        <v>9</v>
      </c>
      <c r="D39" s="138">
        <v>7</v>
      </c>
      <c r="E39" s="139">
        <v>1484909.98</v>
      </c>
      <c r="F39" s="138">
        <v>7</v>
      </c>
      <c r="G39" s="152">
        <v>1531681.57</v>
      </c>
      <c r="H39" s="136">
        <f t="shared" si="10"/>
        <v>0</v>
      </c>
      <c r="I39" s="137">
        <f t="shared" si="11"/>
        <v>46771.590000000084</v>
      </c>
      <c r="J39" s="138">
        <v>10</v>
      </c>
      <c r="K39" s="152">
        <v>3366517.38</v>
      </c>
      <c r="L39" s="136">
        <f t="shared" si="12"/>
        <v>3</v>
      </c>
      <c r="M39" s="137">
        <f t="shared" si="13"/>
        <v>1834835.8099999998</v>
      </c>
      <c r="P39" s="150"/>
    </row>
    <row r="40" spans="1:16" x14ac:dyDescent="0.25">
      <c r="A40" s="141"/>
      <c r="B40" s="141"/>
      <c r="C40" s="136" t="s">
        <v>396</v>
      </c>
      <c r="D40" s="138"/>
      <c r="E40" s="139">
        <v>0</v>
      </c>
      <c r="F40" s="138">
        <v>3</v>
      </c>
      <c r="G40" s="153">
        <v>681599.32000000007</v>
      </c>
      <c r="H40" s="136">
        <f t="shared" si="10"/>
        <v>3</v>
      </c>
      <c r="I40" s="137">
        <f t="shared" si="11"/>
        <v>681599.32000000007</v>
      </c>
      <c r="J40" s="138">
        <v>2</v>
      </c>
      <c r="K40" s="153">
        <v>242128.49</v>
      </c>
      <c r="L40" s="136">
        <f t="shared" si="12"/>
        <v>-1</v>
      </c>
      <c r="M40" s="137">
        <f t="shared" si="13"/>
        <v>-439470.83000000007</v>
      </c>
      <c r="P40" s="150"/>
    </row>
    <row r="41" spans="1:16" x14ac:dyDescent="0.25">
      <c r="A41" s="141"/>
      <c r="B41" s="141"/>
      <c r="C41" s="136" t="s">
        <v>393</v>
      </c>
      <c r="D41" s="138">
        <v>14</v>
      </c>
      <c r="E41" s="139">
        <v>1376807.18</v>
      </c>
      <c r="F41" s="138">
        <v>14</v>
      </c>
      <c r="G41" s="139">
        <v>1899201.99</v>
      </c>
      <c r="H41" s="136">
        <f t="shared" si="10"/>
        <v>0</v>
      </c>
      <c r="I41" s="137">
        <f t="shared" si="11"/>
        <v>522394.81000000006</v>
      </c>
      <c r="J41" s="138">
        <v>5</v>
      </c>
      <c r="K41" s="139">
        <v>1079622.19</v>
      </c>
      <c r="L41" s="136">
        <f t="shared" si="12"/>
        <v>-9</v>
      </c>
      <c r="M41" s="137">
        <f t="shared" si="13"/>
        <v>-819579.8</v>
      </c>
      <c r="P41" s="150"/>
    </row>
    <row r="42" spans="1:16" x14ac:dyDescent="0.25">
      <c r="A42" s="141"/>
      <c r="B42" s="141"/>
      <c r="C42" s="136" t="s">
        <v>10</v>
      </c>
      <c r="D42" s="138">
        <v>0</v>
      </c>
      <c r="E42" s="139">
        <v>0</v>
      </c>
      <c r="F42" s="138">
        <v>0</v>
      </c>
      <c r="G42" s="139">
        <v>0</v>
      </c>
      <c r="H42" s="136">
        <f t="shared" si="10"/>
        <v>0</v>
      </c>
      <c r="I42" s="137">
        <f t="shared" si="11"/>
        <v>0</v>
      </c>
      <c r="J42" s="138">
        <v>0</v>
      </c>
      <c r="K42" s="139">
        <v>195000</v>
      </c>
      <c r="L42" s="136">
        <f t="shared" si="12"/>
        <v>0</v>
      </c>
      <c r="M42" s="137">
        <f t="shared" si="13"/>
        <v>195000</v>
      </c>
      <c r="P42" s="150"/>
    </row>
    <row r="43" spans="1:16" x14ac:dyDescent="0.25">
      <c r="A43" s="141"/>
      <c r="B43" s="141"/>
      <c r="C43" s="136" t="s">
        <v>1101</v>
      </c>
      <c r="D43" s="138">
        <v>1</v>
      </c>
      <c r="E43" s="139">
        <v>176665</v>
      </c>
      <c r="F43" s="138">
        <v>0</v>
      </c>
      <c r="G43" s="139">
        <v>0</v>
      </c>
      <c r="H43" s="136">
        <v>0</v>
      </c>
      <c r="I43" s="137">
        <f t="shared" si="11"/>
        <v>-176665</v>
      </c>
      <c r="J43" s="138">
        <v>0</v>
      </c>
      <c r="K43" s="139">
        <v>0</v>
      </c>
      <c r="L43" s="136">
        <f t="shared" si="12"/>
        <v>0</v>
      </c>
      <c r="M43" s="137">
        <f t="shared" si="13"/>
        <v>0</v>
      </c>
      <c r="P43" s="150"/>
    </row>
    <row r="44" spans="1:16" x14ac:dyDescent="0.25">
      <c r="A44" s="142"/>
      <c r="B44" s="142"/>
      <c r="C44" s="136" t="s">
        <v>8</v>
      </c>
      <c r="D44" s="138">
        <v>11</v>
      </c>
      <c r="E44" s="139">
        <v>572328</v>
      </c>
      <c r="F44" s="138">
        <v>6</v>
      </c>
      <c r="G44" s="139">
        <v>402439.19</v>
      </c>
      <c r="H44" s="136">
        <f>F44-D44</f>
        <v>-5</v>
      </c>
      <c r="I44" s="137">
        <f>G44-E44</f>
        <v>-169888.81</v>
      </c>
      <c r="J44" s="138">
        <v>2</v>
      </c>
      <c r="K44" s="139">
        <v>218519.38</v>
      </c>
      <c r="L44" s="136">
        <f>J44-F44</f>
        <v>-4</v>
      </c>
      <c r="M44" s="137">
        <f>K44-G44</f>
        <v>-183919.81</v>
      </c>
      <c r="P44" s="150"/>
    </row>
    <row r="45" spans="1:16" x14ac:dyDescent="0.25">
      <c r="A45" s="154"/>
      <c r="B45" s="154"/>
      <c r="C45" s="154" t="s">
        <v>1426</v>
      </c>
      <c r="D45" s="154">
        <v>0</v>
      </c>
      <c r="E45" s="139">
        <v>0</v>
      </c>
      <c r="F45" s="154">
        <v>0</v>
      </c>
      <c r="G45" s="139">
        <v>0</v>
      </c>
      <c r="H45" s="136">
        <f>F45-D45</f>
        <v>0</v>
      </c>
      <c r="I45" s="137">
        <f>G45-E45</f>
        <v>0</v>
      </c>
      <c r="J45" s="154">
        <v>0</v>
      </c>
      <c r="K45" s="139">
        <v>0</v>
      </c>
      <c r="L45" s="136">
        <f>J45-F45</f>
        <v>0</v>
      </c>
      <c r="M45" s="137">
        <f>K45-G45</f>
        <v>0</v>
      </c>
      <c r="N45" s="155"/>
    </row>
    <row r="46" spans="1:16" x14ac:dyDescent="0.25">
      <c r="A46" s="430" t="s">
        <v>12</v>
      </c>
      <c r="B46" s="431"/>
      <c r="C46" s="432"/>
      <c r="D46" s="136">
        <f>SUM(D35:D45)</f>
        <v>71</v>
      </c>
      <c r="E46" s="137">
        <f>SUM(E35:E45)</f>
        <v>13764329.17</v>
      </c>
      <c r="F46" s="136">
        <f>SUM(F35:F45)</f>
        <v>63</v>
      </c>
      <c r="G46" s="137">
        <f>SUM(G35:G45)</f>
        <v>12606416.85</v>
      </c>
      <c r="H46" s="136">
        <f t="shared" ref="H46" si="14">F46-D46</f>
        <v>-8</v>
      </c>
      <c r="I46" s="137">
        <f>SUM(I35:I44)</f>
        <v>-1157912.3200000003</v>
      </c>
      <c r="J46" s="136">
        <f>SUM(J35:J45)</f>
        <v>35</v>
      </c>
      <c r="K46" s="137">
        <f>SUM(K35:K45)</f>
        <v>12202132.02</v>
      </c>
      <c r="L46" s="136">
        <f>J46-F46</f>
        <v>-28</v>
      </c>
      <c r="M46" s="137">
        <f t="shared" si="13"/>
        <v>-404284.83000000007</v>
      </c>
    </row>
    <row r="48" spans="1:16" x14ac:dyDescent="0.25">
      <c r="D48" s="134">
        <v>2014</v>
      </c>
      <c r="E48" s="134" t="s">
        <v>1301</v>
      </c>
      <c r="F48" s="134">
        <v>2015</v>
      </c>
      <c r="G48" s="134" t="s">
        <v>1473</v>
      </c>
      <c r="H48" s="429" t="s">
        <v>1474</v>
      </c>
      <c r="I48" s="429"/>
      <c r="J48" s="134">
        <v>2016</v>
      </c>
      <c r="K48" s="134" t="s">
        <v>2352</v>
      </c>
      <c r="L48" s="433" t="s">
        <v>2353</v>
      </c>
      <c r="M48" s="433"/>
    </row>
    <row r="49" spans="1:13" x14ac:dyDescent="0.25">
      <c r="A49" s="135" t="s">
        <v>1183</v>
      </c>
      <c r="B49" s="135" t="s">
        <v>422</v>
      </c>
      <c r="C49" s="136" t="s">
        <v>701</v>
      </c>
      <c r="D49" s="138">
        <v>13</v>
      </c>
      <c r="E49" s="139">
        <v>4197187.9399999995</v>
      </c>
      <c r="F49" s="138">
        <v>51</v>
      </c>
      <c r="G49" s="139">
        <v>4331097.37</v>
      </c>
      <c r="H49" s="136">
        <f>F49-D49</f>
        <v>38</v>
      </c>
      <c r="I49" s="137">
        <f>G49-E49</f>
        <v>133909.43000000063</v>
      </c>
      <c r="J49" s="164">
        <f>'Nº Anuncis Mensual'!AB111</f>
        <v>75</v>
      </c>
      <c r="K49" s="139">
        <f>'Nº Anuncis Mensual'!AC111</f>
        <v>10965933.35</v>
      </c>
      <c r="L49" s="136">
        <f>J49-F49</f>
        <v>24</v>
      </c>
      <c r="M49" s="137">
        <f>K49-G49</f>
        <v>6634835.9799999995</v>
      </c>
    </row>
    <row r="50" spans="1:13" x14ac:dyDescent="0.25">
      <c r="A50" s="141"/>
      <c r="B50" s="141"/>
      <c r="C50" s="136" t="s">
        <v>396</v>
      </c>
      <c r="D50" s="138">
        <v>1</v>
      </c>
      <c r="E50" s="149">
        <v>2193317.7799999998</v>
      </c>
      <c r="F50" s="138">
        <v>35</v>
      </c>
      <c r="G50" s="149">
        <v>3970731.18</v>
      </c>
      <c r="H50" s="136">
        <f t="shared" ref="H50:H57" si="15">F50-D50</f>
        <v>34</v>
      </c>
      <c r="I50" s="137">
        <f t="shared" ref="I50:I58" si="16">G50-E50</f>
        <v>1777413.4000000004</v>
      </c>
      <c r="J50" s="164">
        <f>'Nº Anuncis Mensual'!AB112</f>
        <v>27</v>
      </c>
      <c r="K50" s="149">
        <f>'Nº Anuncis Mensual'!AC112</f>
        <v>2860055.4600000004</v>
      </c>
      <c r="L50" s="136">
        <f t="shared" ref="L50:L58" si="17">J50-F50</f>
        <v>-8</v>
      </c>
      <c r="M50" s="137">
        <f t="shared" ref="M50:M58" si="18">K50-G50</f>
        <v>-1110675.7199999997</v>
      </c>
    </row>
    <row r="51" spans="1:13" x14ac:dyDescent="0.25">
      <c r="A51" s="141"/>
      <c r="B51" s="142"/>
      <c r="C51" s="136" t="s">
        <v>8</v>
      </c>
      <c r="D51" s="138">
        <v>0</v>
      </c>
      <c r="E51" s="139">
        <v>330238.86</v>
      </c>
      <c r="F51" s="138">
        <v>12</v>
      </c>
      <c r="G51" s="139">
        <v>734807.5</v>
      </c>
      <c r="H51" s="136">
        <f t="shared" si="15"/>
        <v>12</v>
      </c>
      <c r="I51" s="137">
        <f t="shared" si="16"/>
        <v>404568.64</v>
      </c>
      <c r="J51" s="164">
        <f>'Nº Anuncis Mensual'!AB113</f>
        <v>9</v>
      </c>
      <c r="K51" s="139">
        <f>'Nº Anuncis Mensual'!AC113</f>
        <v>415621.81</v>
      </c>
      <c r="L51" s="136">
        <f t="shared" si="17"/>
        <v>-3</v>
      </c>
      <c r="M51" s="137">
        <f t="shared" si="18"/>
        <v>-319185.69</v>
      </c>
    </row>
    <row r="52" spans="1:13" x14ac:dyDescent="0.25">
      <c r="A52" s="141"/>
      <c r="B52" s="135" t="s">
        <v>392</v>
      </c>
      <c r="C52" s="136" t="s">
        <v>701</v>
      </c>
      <c r="D52" s="138">
        <v>2</v>
      </c>
      <c r="E52" s="151">
        <v>379600</v>
      </c>
      <c r="F52" s="138">
        <v>1</v>
      </c>
      <c r="G52" s="151">
        <v>27199.3</v>
      </c>
      <c r="H52" s="136">
        <f t="shared" si="15"/>
        <v>-1</v>
      </c>
      <c r="I52" s="137">
        <f t="shared" si="16"/>
        <v>-352400.7</v>
      </c>
      <c r="J52" s="164">
        <f>'Nº Anuncis Mensual'!AB114</f>
        <v>3</v>
      </c>
      <c r="K52" s="151">
        <f>'Nº Anuncis Mensual'!AC114</f>
        <v>232000</v>
      </c>
      <c r="L52" s="136">
        <f t="shared" si="17"/>
        <v>2</v>
      </c>
      <c r="M52" s="137">
        <f t="shared" si="18"/>
        <v>204800.7</v>
      </c>
    </row>
    <row r="53" spans="1:13" x14ac:dyDescent="0.25">
      <c r="A53" s="141"/>
      <c r="B53" s="141"/>
      <c r="C53" s="136" t="s">
        <v>9</v>
      </c>
      <c r="D53" s="138">
        <v>10</v>
      </c>
      <c r="E53" s="152">
        <v>3366517.38</v>
      </c>
      <c r="F53" s="138">
        <v>23</v>
      </c>
      <c r="G53" s="152">
        <v>6752318.8199999994</v>
      </c>
      <c r="H53" s="136">
        <f t="shared" si="15"/>
        <v>13</v>
      </c>
      <c r="I53" s="137">
        <f t="shared" si="16"/>
        <v>3385801.4399999995</v>
      </c>
      <c r="J53" s="164">
        <f>'Nº Anuncis Mensual'!AB115</f>
        <v>19</v>
      </c>
      <c r="K53" s="152">
        <f>'Nº Anuncis Mensual'!AC115</f>
        <v>3794933.94</v>
      </c>
      <c r="L53" s="136">
        <f t="shared" si="17"/>
        <v>-4</v>
      </c>
      <c r="M53" s="137">
        <f t="shared" si="18"/>
        <v>-2957384.8799999994</v>
      </c>
    </row>
    <row r="54" spans="1:13" x14ac:dyDescent="0.25">
      <c r="A54" s="141"/>
      <c r="B54" s="141"/>
      <c r="C54" s="166" t="s">
        <v>2224</v>
      </c>
      <c r="D54" s="167">
        <v>0</v>
      </c>
      <c r="E54" s="168">
        <v>0</v>
      </c>
      <c r="F54" s="167">
        <v>0</v>
      </c>
      <c r="G54" s="168">
        <v>0</v>
      </c>
      <c r="H54" s="166">
        <f t="shared" si="15"/>
        <v>0</v>
      </c>
      <c r="I54" s="169">
        <f t="shared" si="16"/>
        <v>0</v>
      </c>
      <c r="J54" s="170">
        <f>'Nº Anuncis Mensual'!AB116</f>
        <v>43</v>
      </c>
      <c r="K54" s="168">
        <f>'Nº Anuncis Mensual'!AC116</f>
        <v>1316203.4499999997</v>
      </c>
      <c r="L54" s="136">
        <f t="shared" ref="L54" si="19">J54-F54</f>
        <v>43</v>
      </c>
      <c r="M54" s="137">
        <f t="shared" ref="M54" si="20">K54-G54</f>
        <v>1316203.4499999997</v>
      </c>
    </row>
    <row r="55" spans="1:13" x14ac:dyDescent="0.25">
      <c r="A55" s="141"/>
      <c r="B55" s="141"/>
      <c r="C55" s="136" t="s">
        <v>396</v>
      </c>
      <c r="D55" s="138">
        <v>2</v>
      </c>
      <c r="E55" s="153">
        <v>242128.49</v>
      </c>
      <c r="F55" s="138">
        <v>9</v>
      </c>
      <c r="G55" s="153">
        <v>435241.5</v>
      </c>
      <c r="H55" s="136">
        <f t="shared" si="15"/>
        <v>7</v>
      </c>
      <c r="I55" s="137">
        <f t="shared" si="16"/>
        <v>193113.01</v>
      </c>
      <c r="J55" s="164">
        <f>'Nº Anuncis Mensual'!AB117</f>
        <v>4</v>
      </c>
      <c r="K55" s="153">
        <f>'Nº Anuncis Mensual'!AC117</f>
        <v>494474.48</v>
      </c>
      <c r="L55" s="136">
        <f t="shared" si="17"/>
        <v>-5</v>
      </c>
      <c r="M55" s="137">
        <f t="shared" si="18"/>
        <v>59232.979999999981</v>
      </c>
    </row>
    <row r="56" spans="1:13" x14ac:dyDescent="0.25">
      <c r="A56" s="141"/>
      <c r="B56" s="141"/>
      <c r="C56" s="136" t="s">
        <v>393</v>
      </c>
      <c r="D56" s="138">
        <v>5</v>
      </c>
      <c r="E56" s="139">
        <v>1079622.19</v>
      </c>
      <c r="F56" s="138">
        <v>37</v>
      </c>
      <c r="G56" s="139">
        <v>2087390.54</v>
      </c>
      <c r="H56" s="136">
        <f t="shared" si="15"/>
        <v>32</v>
      </c>
      <c r="I56" s="137">
        <f t="shared" si="16"/>
        <v>1007768.3500000001</v>
      </c>
      <c r="J56" s="164">
        <f>'Nº Anuncis Mensual'!AB118</f>
        <v>33</v>
      </c>
      <c r="K56" s="139">
        <f>'Nº Anuncis Mensual'!AC118</f>
        <v>2710791.3099999996</v>
      </c>
      <c r="L56" s="136">
        <f t="shared" si="17"/>
        <v>-4</v>
      </c>
      <c r="M56" s="137">
        <f t="shared" si="18"/>
        <v>623400.76999999955</v>
      </c>
    </row>
    <row r="57" spans="1:13" x14ac:dyDescent="0.25">
      <c r="A57" s="141"/>
      <c r="B57" s="141"/>
      <c r="C57" s="136" t="s">
        <v>10</v>
      </c>
      <c r="D57" s="138">
        <v>0</v>
      </c>
      <c r="E57" s="139">
        <v>195000</v>
      </c>
      <c r="F57" s="138">
        <v>1</v>
      </c>
      <c r="G57" s="139">
        <v>698020</v>
      </c>
      <c r="H57" s="136">
        <f t="shared" si="15"/>
        <v>1</v>
      </c>
      <c r="I57" s="137">
        <f t="shared" si="16"/>
        <v>503020</v>
      </c>
      <c r="J57" s="164">
        <f>'Nº Anuncis Mensual'!AB119</f>
        <v>0</v>
      </c>
      <c r="K57" s="139">
        <f>'Nº Anuncis Mensual'!AC119</f>
        <v>0</v>
      </c>
      <c r="L57" s="136">
        <f t="shared" si="17"/>
        <v>-1</v>
      </c>
      <c r="M57" s="137">
        <f t="shared" si="18"/>
        <v>-698020</v>
      </c>
    </row>
    <row r="58" spans="1:13" x14ac:dyDescent="0.25">
      <c r="A58" s="141"/>
      <c r="B58" s="141"/>
      <c r="C58" s="136" t="s">
        <v>1101</v>
      </c>
      <c r="D58" s="138">
        <v>0</v>
      </c>
      <c r="E58" s="139">
        <v>0</v>
      </c>
      <c r="F58" s="138">
        <v>1</v>
      </c>
      <c r="G58" s="139">
        <v>17880</v>
      </c>
      <c r="H58" s="136">
        <v>0</v>
      </c>
      <c r="I58" s="137">
        <f t="shared" si="16"/>
        <v>17880</v>
      </c>
      <c r="J58" s="164">
        <f>'Nº Anuncis Mensual'!AB120</f>
        <v>1</v>
      </c>
      <c r="K58" s="139">
        <f>'Nº Anuncis Mensual'!AC120</f>
        <v>90000</v>
      </c>
      <c r="L58" s="136">
        <f t="shared" si="17"/>
        <v>0</v>
      </c>
      <c r="M58" s="137">
        <f t="shared" si="18"/>
        <v>72120</v>
      </c>
    </row>
    <row r="59" spans="1:13" x14ac:dyDescent="0.25">
      <c r="A59" s="142"/>
      <c r="B59" s="142"/>
      <c r="C59" s="136" t="s">
        <v>8</v>
      </c>
      <c r="D59" s="138">
        <v>2</v>
      </c>
      <c r="E59" s="139">
        <v>218519.38</v>
      </c>
      <c r="F59" s="138">
        <v>27</v>
      </c>
      <c r="G59" s="139">
        <v>1001864.9000000001</v>
      </c>
      <c r="H59" s="136">
        <f>F59-D59</f>
        <v>25</v>
      </c>
      <c r="I59" s="137">
        <f>G59-E59</f>
        <v>783345.52000000014</v>
      </c>
      <c r="J59" s="164">
        <f>'Nº Anuncis Mensual'!AB121</f>
        <v>20</v>
      </c>
      <c r="K59" s="139">
        <f>'Nº Anuncis Mensual'!AC121</f>
        <v>1045863.51</v>
      </c>
      <c r="L59" s="136">
        <f>J59-F59</f>
        <v>-7</v>
      </c>
      <c r="M59" s="137">
        <f>K59-G59</f>
        <v>43998.60999999987</v>
      </c>
    </row>
    <row r="60" spans="1:13" x14ac:dyDescent="0.25">
      <c r="A60" s="154"/>
      <c r="B60" s="154"/>
      <c r="C60" s="154" t="s">
        <v>1426</v>
      </c>
      <c r="D60" s="154">
        <v>0</v>
      </c>
      <c r="E60" s="139">
        <v>0</v>
      </c>
      <c r="F60" s="154">
        <v>0</v>
      </c>
      <c r="G60" s="139">
        <v>0</v>
      </c>
      <c r="H60" s="136">
        <f>F60-D60</f>
        <v>0</v>
      </c>
      <c r="I60" s="137">
        <f>G60-E60</f>
        <v>0</v>
      </c>
      <c r="J60" s="165">
        <f>'Nº Anuncis Mensual'!AB122</f>
        <v>0</v>
      </c>
      <c r="K60" s="139">
        <v>0</v>
      </c>
      <c r="L60" s="136">
        <f>J60-F60</f>
        <v>0</v>
      </c>
      <c r="M60" s="137">
        <f>K60-G60</f>
        <v>0</v>
      </c>
    </row>
    <row r="61" spans="1:13" x14ac:dyDescent="0.25">
      <c r="A61" s="430" t="s">
        <v>12</v>
      </c>
      <c r="B61" s="431"/>
      <c r="C61" s="432"/>
      <c r="D61" s="136">
        <f>SUM(D49:D60)</f>
        <v>35</v>
      </c>
      <c r="E61" s="137">
        <f>SUM(E49:E60)</f>
        <v>12202132.02</v>
      </c>
      <c r="F61" s="136">
        <f>SUM(F49:F60)</f>
        <v>197</v>
      </c>
      <c r="G61" s="137">
        <f>SUM(G49:G60)</f>
        <v>20056551.109999999</v>
      </c>
      <c r="H61" s="136">
        <f t="shared" ref="H61" si="21">F61-D61</f>
        <v>162</v>
      </c>
      <c r="I61" s="137">
        <f>SUM(I49:I59)</f>
        <v>7854419.0900000008</v>
      </c>
      <c r="J61" s="136">
        <f>SUM(J49:J60)</f>
        <v>234</v>
      </c>
      <c r="K61" s="137">
        <f>SUM(K49:K60)</f>
        <v>23925877.310000002</v>
      </c>
      <c r="L61" s="136">
        <f>J61-F61</f>
        <v>37</v>
      </c>
      <c r="M61" s="137">
        <f t="shared" ref="M61" si="22">K61-G61</f>
        <v>3869326.200000003</v>
      </c>
    </row>
    <row r="63" spans="1:13" x14ac:dyDescent="0.25">
      <c r="D63" s="134">
        <v>2016</v>
      </c>
      <c r="E63" s="134" t="s">
        <v>2352</v>
      </c>
      <c r="F63" s="134">
        <v>2017</v>
      </c>
      <c r="G63" s="134" t="s">
        <v>2355</v>
      </c>
      <c r="H63" s="429" t="s">
        <v>2354</v>
      </c>
      <c r="I63" s="429"/>
      <c r="J63" s="134">
        <v>2018</v>
      </c>
      <c r="K63" s="134" t="s">
        <v>5025</v>
      </c>
      <c r="L63" s="429" t="s">
        <v>5026</v>
      </c>
      <c r="M63" s="429"/>
    </row>
    <row r="64" spans="1:13" x14ac:dyDescent="0.25">
      <c r="A64" s="135" t="s">
        <v>1183</v>
      </c>
      <c r="B64" s="135" t="s">
        <v>422</v>
      </c>
      <c r="C64" s="136" t="s">
        <v>701</v>
      </c>
      <c r="D64" s="164">
        <v>64</v>
      </c>
      <c r="E64" s="139">
        <v>6560291.3499999996</v>
      </c>
      <c r="F64" s="164">
        <v>52</v>
      </c>
      <c r="G64" s="139">
        <v>5559035.3500000015</v>
      </c>
      <c r="H64" s="136">
        <f>F64-D64</f>
        <v>-12</v>
      </c>
      <c r="I64" s="137">
        <f>G64-E64</f>
        <v>-1001255.9999999981</v>
      </c>
      <c r="J64" s="164">
        <v>60</v>
      </c>
      <c r="K64" s="139">
        <v>4491455.0699999984</v>
      </c>
      <c r="L64" s="136">
        <f>J64-F64</f>
        <v>8</v>
      </c>
      <c r="M64" s="137">
        <f>K64-G64</f>
        <v>-1067580.2800000031</v>
      </c>
    </row>
    <row r="65" spans="1:13" x14ac:dyDescent="0.25">
      <c r="A65" s="141"/>
      <c r="B65" s="141"/>
      <c r="C65" s="136" t="s">
        <v>396</v>
      </c>
      <c r="D65" s="164">
        <v>22</v>
      </c>
      <c r="E65" s="149">
        <v>2700776.96</v>
      </c>
      <c r="F65" s="164">
        <v>33</v>
      </c>
      <c r="G65" s="139">
        <v>5677596.2299999995</v>
      </c>
      <c r="H65" s="136">
        <f t="shared" ref="H65:H73" si="23">F65-D65</f>
        <v>11</v>
      </c>
      <c r="I65" s="137">
        <f t="shared" ref="I65:I73" si="24">G65-E65</f>
        <v>2976819.2699999996</v>
      </c>
      <c r="J65" s="164">
        <v>24</v>
      </c>
      <c r="K65" s="149">
        <v>1658328.2599999995</v>
      </c>
      <c r="L65" s="136">
        <f t="shared" ref="L65:L73" si="25">J65-F65</f>
        <v>-9</v>
      </c>
      <c r="M65" s="137">
        <f t="shared" ref="M65:M73" si="26">K65-G65</f>
        <v>-4019267.9699999997</v>
      </c>
    </row>
    <row r="66" spans="1:13" x14ac:dyDescent="0.25">
      <c r="A66" s="141"/>
      <c r="B66" s="142"/>
      <c r="C66" s="136" t="s">
        <v>8</v>
      </c>
      <c r="D66" s="164">
        <v>7</v>
      </c>
      <c r="E66" s="139">
        <v>300568.97000000003</v>
      </c>
      <c r="F66" s="164">
        <v>10</v>
      </c>
      <c r="G66" s="139">
        <v>775289.56</v>
      </c>
      <c r="H66" s="136">
        <f t="shared" si="23"/>
        <v>3</v>
      </c>
      <c r="I66" s="137">
        <f t="shared" si="24"/>
        <v>474720.59</v>
      </c>
      <c r="J66" s="164">
        <v>7</v>
      </c>
      <c r="K66" s="139">
        <v>346920.51999999996</v>
      </c>
      <c r="L66" s="136">
        <f t="shared" si="25"/>
        <v>-3</v>
      </c>
      <c r="M66" s="137">
        <f t="shared" si="26"/>
        <v>-428369.0400000001</v>
      </c>
    </row>
    <row r="67" spans="1:13" x14ac:dyDescent="0.25">
      <c r="A67" s="141"/>
      <c r="B67" s="135" t="s">
        <v>392</v>
      </c>
      <c r="C67" s="136" t="s">
        <v>701</v>
      </c>
      <c r="D67" s="164">
        <v>3</v>
      </c>
      <c r="E67" s="151">
        <v>192192.44</v>
      </c>
      <c r="F67" s="164">
        <v>2</v>
      </c>
      <c r="G67" s="139">
        <v>158623.67000000001</v>
      </c>
      <c r="H67" s="136">
        <f t="shared" si="23"/>
        <v>-1</v>
      </c>
      <c r="I67" s="137">
        <f t="shared" si="24"/>
        <v>-33568.76999999999</v>
      </c>
      <c r="J67" s="164">
        <v>0</v>
      </c>
      <c r="K67" s="151">
        <v>0</v>
      </c>
      <c r="L67" s="136">
        <f t="shared" si="25"/>
        <v>-2</v>
      </c>
      <c r="M67" s="137">
        <f t="shared" si="26"/>
        <v>-158623.67000000001</v>
      </c>
    </row>
    <row r="68" spans="1:13" x14ac:dyDescent="0.25">
      <c r="A68" s="141"/>
      <c r="B68" s="141"/>
      <c r="C68" s="136" t="s">
        <v>3235</v>
      </c>
      <c r="D68" s="164">
        <v>19</v>
      </c>
      <c r="E68" s="152">
        <v>3390676.25</v>
      </c>
      <c r="F68" s="164">
        <v>31</v>
      </c>
      <c r="G68" s="139">
        <v>6024315.8699999992</v>
      </c>
      <c r="H68" s="136">
        <f t="shared" si="23"/>
        <v>12</v>
      </c>
      <c r="I68" s="137">
        <f t="shared" si="24"/>
        <v>2633639.6199999992</v>
      </c>
      <c r="J68" s="164">
        <v>5</v>
      </c>
      <c r="K68" s="152">
        <v>715346.34</v>
      </c>
      <c r="L68" s="136">
        <f t="shared" si="25"/>
        <v>-26</v>
      </c>
      <c r="M68" s="137">
        <f t="shared" si="26"/>
        <v>-5308969.5299999993</v>
      </c>
    </row>
    <row r="69" spans="1:13" x14ac:dyDescent="0.25">
      <c r="A69" s="141"/>
      <c r="B69" s="141"/>
      <c r="C69" s="166" t="s">
        <v>2224</v>
      </c>
      <c r="D69" s="170">
        <v>0</v>
      </c>
      <c r="E69" s="139">
        <v>0</v>
      </c>
      <c r="F69" s="164">
        <v>0</v>
      </c>
      <c r="G69" s="139">
        <v>0</v>
      </c>
      <c r="H69" s="136">
        <f t="shared" si="23"/>
        <v>0</v>
      </c>
      <c r="I69" s="137">
        <f t="shared" si="24"/>
        <v>0</v>
      </c>
      <c r="J69" s="170"/>
      <c r="K69" s="139">
        <v>0</v>
      </c>
      <c r="L69" s="136">
        <f t="shared" si="25"/>
        <v>0</v>
      </c>
      <c r="M69" s="137">
        <f t="shared" si="26"/>
        <v>0</v>
      </c>
    </row>
    <row r="70" spans="1:13" x14ac:dyDescent="0.25">
      <c r="A70" s="141"/>
      <c r="B70" s="141"/>
      <c r="C70" s="136" t="s">
        <v>1276</v>
      </c>
      <c r="D70" s="164">
        <v>3</v>
      </c>
      <c r="E70" s="153">
        <v>320361.82</v>
      </c>
      <c r="F70" s="164">
        <v>3</v>
      </c>
      <c r="G70" s="139">
        <v>278713.33</v>
      </c>
      <c r="H70" s="136">
        <f t="shared" si="23"/>
        <v>0</v>
      </c>
      <c r="I70" s="137">
        <f t="shared" si="24"/>
        <v>-41648.489999999991</v>
      </c>
      <c r="J70" s="164">
        <v>1</v>
      </c>
      <c r="K70" s="153">
        <v>74057.539999999994</v>
      </c>
      <c r="L70" s="136">
        <f t="shared" si="25"/>
        <v>-2</v>
      </c>
      <c r="M70" s="137">
        <f t="shared" si="26"/>
        <v>-204655.79000000004</v>
      </c>
    </row>
    <row r="71" spans="1:13" x14ac:dyDescent="0.25">
      <c r="A71" s="141"/>
      <c r="B71" s="141"/>
      <c r="C71" s="136" t="s">
        <v>393</v>
      </c>
      <c r="D71" s="164">
        <v>29</v>
      </c>
      <c r="E71" s="139">
        <v>2300698.86</v>
      </c>
      <c r="F71" s="164">
        <v>27</v>
      </c>
      <c r="G71" s="139">
        <v>1508458.24</v>
      </c>
      <c r="H71" s="136">
        <f t="shared" si="23"/>
        <v>-2</v>
      </c>
      <c r="I71" s="137">
        <f t="shared" si="24"/>
        <v>-792240.61999999988</v>
      </c>
      <c r="J71" s="164">
        <v>9</v>
      </c>
      <c r="K71" s="139">
        <v>471811.15</v>
      </c>
      <c r="L71" s="136">
        <f t="shared" si="25"/>
        <v>-18</v>
      </c>
      <c r="M71" s="137">
        <f t="shared" si="26"/>
        <v>-1036647.09</v>
      </c>
    </row>
    <row r="72" spans="1:13" x14ac:dyDescent="0.25">
      <c r="A72" s="141"/>
      <c r="B72" s="141"/>
      <c r="C72" s="136" t="s">
        <v>10</v>
      </c>
      <c r="D72" s="164">
        <f t="shared" ref="D72:D75" si="27">J57</f>
        <v>0</v>
      </c>
      <c r="E72" s="139">
        <f t="shared" ref="E72" si="28">K57</f>
        <v>0</v>
      </c>
      <c r="F72" s="164">
        <v>0</v>
      </c>
      <c r="G72" s="139">
        <v>0</v>
      </c>
      <c r="H72" s="136">
        <f t="shared" si="23"/>
        <v>0</v>
      </c>
      <c r="I72" s="137">
        <f t="shared" si="24"/>
        <v>0</v>
      </c>
      <c r="J72" s="164">
        <v>0</v>
      </c>
      <c r="K72" s="139">
        <v>0</v>
      </c>
      <c r="L72" s="136">
        <f t="shared" si="25"/>
        <v>0</v>
      </c>
      <c r="M72" s="137">
        <f t="shared" si="26"/>
        <v>0</v>
      </c>
    </row>
    <row r="73" spans="1:13" x14ac:dyDescent="0.25">
      <c r="A73" s="141"/>
      <c r="B73" s="141"/>
      <c r="C73" s="136" t="s">
        <v>1101</v>
      </c>
      <c r="D73" s="164">
        <v>1</v>
      </c>
      <c r="E73" s="139">
        <v>77360</v>
      </c>
      <c r="F73" s="164">
        <v>0</v>
      </c>
      <c r="G73" s="139">
        <v>0</v>
      </c>
      <c r="H73" s="136">
        <f t="shared" si="23"/>
        <v>-1</v>
      </c>
      <c r="I73" s="137">
        <f t="shared" si="24"/>
        <v>-77360</v>
      </c>
      <c r="J73" s="164">
        <v>0</v>
      </c>
      <c r="K73" s="139">
        <v>0</v>
      </c>
      <c r="L73" s="136">
        <f t="shared" si="25"/>
        <v>0</v>
      </c>
      <c r="M73" s="137">
        <f t="shared" si="26"/>
        <v>0</v>
      </c>
    </row>
    <row r="74" spans="1:13" x14ac:dyDescent="0.25">
      <c r="A74" s="142"/>
      <c r="B74" s="142"/>
      <c r="C74" s="136" t="s">
        <v>8</v>
      </c>
      <c r="D74" s="164">
        <v>20</v>
      </c>
      <c r="E74" s="139">
        <v>759921.39</v>
      </c>
      <c r="F74" s="164">
        <v>11</v>
      </c>
      <c r="G74" s="139">
        <v>665737.71</v>
      </c>
      <c r="H74" s="136">
        <f>F74-D74</f>
        <v>-9</v>
      </c>
      <c r="I74" s="137">
        <f>G74-E74</f>
        <v>-94183.680000000051</v>
      </c>
      <c r="J74" s="164">
        <v>16</v>
      </c>
      <c r="K74" s="139">
        <v>485095.94</v>
      </c>
      <c r="L74" s="136">
        <f>J74-F74</f>
        <v>5</v>
      </c>
      <c r="M74" s="137">
        <f>K74-G74</f>
        <v>-180641.76999999996</v>
      </c>
    </row>
    <row r="75" spans="1:13" x14ac:dyDescent="0.25">
      <c r="A75" s="154"/>
      <c r="B75" s="154"/>
      <c r="C75" s="154" t="s">
        <v>1426</v>
      </c>
      <c r="D75" s="165">
        <f t="shared" si="27"/>
        <v>0</v>
      </c>
      <c r="E75" s="139">
        <v>0</v>
      </c>
      <c r="F75" s="164">
        <v>0</v>
      </c>
      <c r="G75" s="139">
        <v>0</v>
      </c>
      <c r="H75" s="136">
        <f>F75-D75</f>
        <v>0</v>
      </c>
      <c r="I75" s="137">
        <f>G75-E75</f>
        <v>0</v>
      </c>
      <c r="J75" s="165">
        <v>0</v>
      </c>
      <c r="K75" s="139">
        <v>0</v>
      </c>
      <c r="L75" s="136">
        <f>J75-F75</f>
        <v>0</v>
      </c>
      <c r="M75" s="139">
        <v>0</v>
      </c>
    </row>
    <row r="76" spans="1:13" x14ac:dyDescent="0.25">
      <c r="A76" s="430" t="s">
        <v>12</v>
      </c>
      <c r="B76" s="431"/>
      <c r="C76" s="432"/>
      <c r="D76" s="172">
        <f>SUM(D64:D75)</f>
        <v>168</v>
      </c>
      <c r="E76" s="137">
        <f>SUM(E64:E75)</f>
        <v>16602848.039999999</v>
      </c>
      <c r="F76" s="172">
        <f>SUM(F64:F75)</f>
        <v>169</v>
      </c>
      <c r="G76" s="137">
        <f>SUM(G64:G75)</f>
        <v>20647769.959999997</v>
      </c>
      <c r="H76" s="136">
        <f t="shared" ref="H76" si="29">F76-D76</f>
        <v>1</v>
      </c>
      <c r="I76" s="137">
        <f>SUM(I64:I74)</f>
        <v>4044921.9200000004</v>
      </c>
      <c r="J76" s="172">
        <f>SUM(J64:J75)</f>
        <v>122</v>
      </c>
      <c r="K76" s="137">
        <f>SUM(K64:K75)</f>
        <v>8243014.8199999984</v>
      </c>
      <c r="L76" s="136">
        <f>J76-F76</f>
        <v>-47</v>
      </c>
      <c r="M76" s="137">
        <f t="shared" ref="M76" si="30">K76-G76</f>
        <v>-12404755.139999999</v>
      </c>
    </row>
    <row r="78" spans="1:13" x14ac:dyDescent="0.25">
      <c r="D78" s="134">
        <v>2018</v>
      </c>
      <c r="E78" s="134" t="s">
        <v>5025</v>
      </c>
      <c r="F78" s="134">
        <v>2019</v>
      </c>
      <c r="G78" s="134" t="s">
        <v>5027</v>
      </c>
      <c r="H78" s="429" t="s">
        <v>5028</v>
      </c>
      <c r="I78" s="429"/>
      <c r="J78" s="134">
        <v>2020</v>
      </c>
      <c r="K78" s="134" t="s">
        <v>5863</v>
      </c>
      <c r="L78" s="429" t="s">
        <v>5864</v>
      </c>
      <c r="M78" s="429"/>
    </row>
    <row r="79" spans="1:13" x14ac:dyDescent="0.25">
      <c r="A79" s="135" t="s">
        <v>1183</v>
      </c>
      <c r="B79" s="135" t="s">
        <v>422</v>
      </c>
      <c r="C79" s="136" t="s">
        <v>701</v>
      </c>
      <c r="D79" s="164">
        <v>60</v>
      </c>
      <c r="E79" s="139">
        <v>4491455.0699999984</v>
      </c>
      <c r="F79" s="164">
        <v>48</v>
      </c>
      <c r="G79" s="139">
        <v>7545203.2699999996</v>
      </c>
      <c r="H79" s="136">
        <f>F79-D79</f>
        <v>-12</v>
      </c>
      <c r="I79" s="137">
        <f>G79-E79</f>
        <v>3053748.2000000011</v>
      </c>
      <c r="J79" s="164">
        <v>124</v>
      </c>
      <c r="K79" s="139">
        <v>8111334.3799999999</v>
      </c>
      <c r="L79" s="172">
        <f>J79-F79</f>
        <v>76</v>
      </c>
      <c r="M79" s="137">
        <f>K79-G79</f>
        <v>566131.11000000034</v>
      </c>
    </row>
    <row r="80" spans="1:13" x14ac:dyDescent="0.25">
      <c r="A80" s="141"/>
      <c r="B80" s="141"/>
      <c r="C80" s="136" t="s">
        <v>396</v>
      </c>
      <c r="D80" s="164">
        <v>24</v>
      </c>
      <c r="E80" s="149">
        <v>1658328.2599999995</v>
      </c>
      <c r="F80" s="164">
        <v>40</v>
      </c>
      <c r="G80" s="149">
        <v>2923382.35</v>
      </c>
      <c r="H80" s="136">
        <f t="shared" ref="H80:H88" si="31">F80-D80</f>
        <v>16</v>
      </c>
      <c r="I80" s="137">
        <f t="shared" ref="I80:I88" si="32">G80-E80</f>
        <v>1265054.0900000005</v>
      </c>
      <c r="J80" s="164">
        <v>46</v>
      </c>
      <c r="K80" s="149">
        <v>4610722.59</v>
      </c>
      <c r="L80" s="172">
        <f t="shared" ref="L80:L91" si="33">J80-F80</f>
        <v>6</v>
      </c>
      <c r="M80" s="137">
        <f t="shared" ref="M80:M91" si="34">K80-G80</f>
        <v>1687340.2399999998</v>
      </c>
    </row>
    <row r="81" spans="1:13" x14ac:dyDescent="0.25">
      <c r="A81" s="141"/>
      <c r="B81" s="142"/>
      <c r="C81" s="136" t="s">
        <v>8</v>
      </c>
      <c r="D81" s="164">
        <v>7</v>
      </c>
      <c r="E81" s="139">
        <v>346920.51999999996</v>
      </c>
      <c r="F81" s="164">
        <v>11</v>
      </c>
      <c r="G81" s="139">
        <v>588297.25</v>
      </c>
      <c r="H81" s="136">
        <f t="shared" si="31"/>
        <v>4</v>
      </c>
      <c r="I81" s="137">
        <f t="shared" si="32"/>
        <v>241376.73000000004</v>
      </c>
      <c r="J81" s="164">
        <v>17</v>
      </c>
      <c r="K81" s="139">
        <v>809580.54</v>
      </c>
      <c r="L81" s="172">
        <f t="shared" si="33"/>
        <v>6</v>
      </c>
      <c r="M81" s="137">
        <f t="shared" si="34"/>
        <v>221283.29000000004</v>
      </c>
    </row>
    <row r="82" spans="1:13" x14ac:dyDescent="0.25">
      <c r="A82" s="141"/>
      <c r="B82" s="135" t="s">
        <v>392</v>
      </c>
      <c r="C82" s="136" t="s">
        <v>701</v>
      </c>
      <c r="D82" s="164">
        <v>0</v>
      </c>
      <c r="E82" s="151">
        <v>0</v>
      </c>
      <c r="F82" s="164">
        <v>2</v>
      </c>
      <c r="G82" s="151">
        <v>171826.9</v>
      </c>
      <c r="H82" s="136">
        <f t="shared" si="31"/>
        <v>2</v>
      </c>
      <c r="I82" s="137">
        <f t="shared" si="32"/>
        <v>171826.9</v>
      </c>
      <c r="J82" s="164">
        <v>1</v>
      </c>
      <c r="K82" s="151">
        <v>39872</v>
      </c>
      <c r="L82" s="172">
        <f t="shared" si="33"/>
        <v>-1</v>
      </c>
      <c r="M82" s="137">
        <f t="shared" si="34"/>
        <v>-131954.9</v>
      </c>
    </row>
    <row r="83" spans="1:13" x14ac:dyDescent="0.25">
      <c r="A83" s="141"/>
      <c r="B83" s="141"/>
      <c r="C83" s="136" t="s">
        <v>3235</v>
      </c>
      <c r="D83" s="164">
        <v>5</v>
      </c>
      <c r="E83" s="152">
        <v>715346.34</v>
      </c>
      <c r="F83" s="164">
        <v>43</v>
      </c>
      <c r="G83" s="152">
        <v>4206011.82</v>
      </c>
      <c r="H83" s="136">
        <f t="shared" si="31"/>
        <v>38</v>
      </c>
      <c r="I83" s="137">
        <f t="shared" si="32"/>
        <v>3490665.4800000004</v>
      </c>
      <c r="J83" s="164">
        <v>61</v>
      </c>
      <c r="K83" s="152">
        <v>2915804</v>
      </c>
      <c r="L83" s="172">
        <f t="shared" si="33"/>
        <v>18</v>
      </c>
      <c r="M83" s="137">
        <f t="shared" si="34"/>
        <v>-1290207.8200000003</v>
      </c>
    </row>
    <row r="84" spans="1:13" x14ac:dyDescent="0.25">
      <c r="A84" s="141"/>
      <c r="B84" s="141"/>
      <c r="C84" s="166" t="s">
        <v>2224</v>
      </c>
      <c r="D84" s="170"/>
      <c r="E84" s="139">
        <v>0</v>
      </c>
      <c r="F84" s="170"/>
      <c r="G84" s="139">
        <v>0</v>
      </c>
      <c r="H84" s="136">
        <f t="shared" si="31"/>
        <v>0</v>
      </c>
      <c r="I84" s="137">
        <f t="shared" si="32"/>
        <v>0</v>
      </c>
      <c r="J84" s="170">
        <v>0</v>
      </c>
      <c r="K84" s="168">
        <v>0</v>
      </c>
      <c r="L84" s="172">
        <f t="shared" si="33"/>
        <v>0</v>
      </c>
      <c r="M84" s="137">
        <f t="shared" si="34"/>
        <v>0</v>
      </c>
    </row>
    <row r="85" spans="1:13" x14ac:dyDescent="0.25">
      <c r="A85" s="141"/>
      <c r="B85" s="141"/>
      <c r="C85" s="136" t="s">
        <v>1276</v>
      </c>
      <c r="D85" s="164">
        <v>1</v>
      </c>
      <c r="E85" s="153">
        <v>74057.539999999994</v>
      </c>
      <c r="F85" s="164">
        <v>4</v>
      </c>
      <c r="G85" s="153">
        <v>278369.04000000004</v>
      </c>
      <c r="H85" s="136">
        <f t="shared" si="31"/>
        <v>3</v>
      </c>
      <c r="I85" s="137">
        <f t="shared" si="32"/>
        <v>204311.50000000006</v>
      </c>
      <c r="J85" s="164">
        <v>0</v>
      </c>
      <c r="K85" s="168">
        <v>0</v>
      </c>
      <c r="L85" s="172">
        <f t="shared" si="33"/>
        <v>-4</v>
      </c>
      <c r="M85" s="137">
        <f t="shared" si="34"/>
        <v>-278369.04000000004</v>
      </c>
    </row>
    <row r="86" spans="1:13" x14ac:dyDescent="0.25">
      <c r="A86" s="141"/>
      <c r="B86" s="141"/>
      <c r="C86" s="136" t="s">
        <v>393</v>
      </c>
      <c r="D86" s="164">
        <v>9</v>
      </c>
      <c r="E86" s="139">
        <v>471811.15</v>
      </c>
      <c r="F86" s="164">
        <v>49</v>
      </c>
      <c r="G86" s="139">
        <v>1774196.3000000003</v>
      </c>
      <c r="H86" s="136">
        <f t="shared" si="31"/>
        <v>40</v>
      </c>
      <c r="I86" s="137">
        <f t="shared" si="32"/>
        <v>1302385.1500000004</v>
      </c>
      <c r="J86" s="164">
        <v>26</v>
      </c>
      <c r="K86" s="153">
        <v>1078459.77</v>
      </c>
      <c r="L86" s="172">
        <f t="shared" si="33"/>
        <v>-23</v>
      </c>
      <c r="M86" s="137">
        <f t="shared" si="34"/>
        <v>-695736.53000000026</v>
      </c>
    </row>
    <row r="87" spans="1:13" x14ac:dyDescent="0.25">
      <c r="A87" s="141"/>
      <c r="B87" s="141"/>
      <c r="C87" s="136" t="s">
        <v>10</v>
      </c>
      <c r="D87" s="164">
        <v>0</v>
      </c>
      <c r="E87" s="139">
        <v>0</v>
      </c>
      <c r="F87" s="164">
        <v>0</v>
      </c>
      <c r="G87" s="139">
        <v>0</v>
      </c>
      <c r="H87" s="136">
        <f t="shared" si="31"/>
        <v>0</v>
      </c>
      <c r="I87" s="137">
        <f t="shared" si="32"/>
        <v>0</v>
      </c>
      <c r="J87" s="164">
        <v>0</v>
      </c>
      <c r="K87" s="139">
        <v>0</v>
      </c>
      <c r="L87" s="172">
        <f t="shared" si="33"/>
        <v>0</v>
      </c>
      <c r="M87" s="137">
        <f t="shared" si="34"/>
        <v>0</v>
      </c>
    </row>
    <row r="88" spans="1:13" x14ac:dyDescent="0.25">
      <c r="A88" s="141"/>
      <c r="B88" s="141"/>
      <c r="C88" s="136" t="s">
        <v>1101</v>
      </c>
      <c r="D88" s="164">
        <v>0</v>
      </c>
      <c r="E88" s="139">
        <v>0</v>
      </c>
      <c r="F88" s="164">
        <v>0</v>
      </c>
      <c r="G88" s="139">
        <v>0</v>
      </c>
      <c r="H88" s="136">
        <f t="shared" si="31"/>
        <v>0</v>
      </c>
      <c r="I88" s="137">
        <f t="shared" si="32"/>
        <v>0</v>
      </c>
      <c r="J88" s="164">
        <v>0</v>
      </c>
      <c r="K88" s="139">
        <v>0</v>
      </c>
      <c r="L88" s="172">
        <f t="shared" si="33"/>
        <v>0</v>
      </c>
      <c r="M88" s="137">
        <f t="shared" si="34"/>
        <v>0</v>
      </c>
    </row>
    <row r="89" spans="1:13" x14ac:dyDescent="0.25">
      <c r="A89" s="142"/>
      <c r="B89" s="142"/>
      <c r="C89" s="136" t="s">
        <v>8</v>
      </c>
      <c r="D89" s="164">
        <v>16</v>
      </c>
      <c r="E89" s="139">
        <v>485095.94</v>
      </c>
      <c r="F89" s="164">
        <v>23</v>
      </c>
      <c r="G89" s="139">
        <v>804808.63</v>
      </c>
      <c r="H89" s="136">
        <f>F89-D89</f>
        <v>7</v>
      </c>
      <c r="I89" s="137">
        <f>G89-E89</f>
        <v>319712.69</v>
      </c>
      <c r="J89" s="164">
        <v>18</v>
      </c>
      <c r="K89" s="139">
        <v>457888.89</v>
      </c>
      <c r="L89" s="172">
        <f t="shared" si="33"/>
        <v>-5</v>
      </c>
      <c r="M89" s="137">
        <f t="shared" si="34"/>
        <v>-346919.74</v>
      </c>
    </row>
    <row r="90" spans="1:13" x14ac:dyDescent="0.25">
      <c r="A90" s="154"/>
      <c r="B90" s="154"/>
      <c r="C90" s="154" t="s">
        <v>1426</v>
      </c>
      <c r="D90" s="165">
        <v>0</v>
      </c>
      <c r="E90" s="139">
        <v>0</v>
      </c>
      <c r="F90" s="165">
        <v>0</v>
      </c>
      <c r="G90" s="139">
        <v>0</v>
      </c>
      <c r="H90" s="136">
        <f>F90-D90</f>
        <v>0</v>
      </c>
      <c r="I90" s="137">
        <f>G90-E90</f>
        <v>0</v>
      </c>
      <c r="J90" s="165">
        <v>0</v>
      </c>
      <c r="K90" s="154">
        <v>0</v>
      </c>
      <c r="L90" s="172">
        <f t="shared" si="33"/>
        <v>0</v>
      </c>
      <c r="M90" s="137">
        <f t="shared" si="34"/>
        <v>0</v>
      </c>
    </row>
    <row r="91" spans="1:13" x14ac:dyDescent="0.25">
      <c r="A91" s="430" t="s">
        <v>12</v>
      </c>
      <c r="B91" s="431"/>
      <c r="C91" s="432"/>
      <c r="D91" s="172">
        <f>SUM(D79:D90)</f>
        <v>122</v>
      </c>
      <c r="E91" s="137">
        <f>SUM(E79:E90)</f>
        <v>8243014.8199999984</v>
      </c>
      <c r="F91" s="172">
        <f>SUM(F79:F90)</f>
        <v>220</v>
      </c>
      <c r="G91" s="137">
        <f>SUM(G79:G90)</f>
        <v>18292095.559999999</v>
      </c>
      <c r="H91" s="136">
        <f t="shared" ref="H91" si="35">F91-D91</f>
        <v>98</v>
      </c>
      <c r="I91" s="137">
        <f>SUM(I79:I89)</f>
        <v>10049080.740000004</v>
      </c>
      <c r="J91" s="136">
        <f>SUM(J79:J90)</f>
        <v>293</v>
      </c>
      <c r="K91" s="137">
        <f>SUM(K79:K90)</f>
        <v>18023662.169999998</v>
      </c>
      <c r="L91" s="172">
        <f t="shared" si="33"/>
        <v>73</v>
      </c>
      <c r="M91" s="137">
        <f t="shared" si="34"/>
        <v>-268433.3900000006</v>
      </c>
    </row>
    <row r="93" spans="1:13" x14ac:dyDescent="0.25">
      <c r="E93" s="150"/>
    </row>
    <row r="94" spans="1:13" x14ac:dyDescent="0.25">
      <c r="D94" s="134">
        <v>2020</v>
      </c>
      <c r="E94" s="134" t="s">
        <v>5863</v>
      </c>
      <c r="F94" s="134">
        <v>2021</v>
      </c>
      <c r="G94" s="134" t="s">
        <v>5967</v>
      </c>
      <c r="H94" s="429" t="s">
        <v>5968</v>
      </c>
      <c r="I94" s="429"/>
      <c r="J94" s="134">
        <v>2022</v>
      </c>
      <c r="K94" s="134" t="s">
        <v>6285</v>
      </c>
      <c r="L94" s="429" t="s">
        <v>6286</v>
      </c>
      <c r="M94" s="429"/>
    </row>
    <row r="95" spans="1:13" x14ac:dyDescent="0.25">
      <c r="A95" s="135" t="s">
        <v>1183</v>
      </c>
      <c r="B95" s="135" t="s">
        <v>422</v>
      </c>
      <c r="C95" s="136" t="s">
        <v>701</v>
      </c>
      <c r="D95" s="164">
        <v>124</v>
      </c>
      <c r="E95" s="139">
        <v>8111334.3799999999</v>
      </c>
      <c r="F95" s="164">
        <v>133</v>
      </c>
      <c r="G95" s="139">
        <v>13329589.92</v>
      </c>
      <c r="H95" s="136">
        <f>F95-D95</f>
        <v>9</v>
      </c>
      <c r="I95" s="137">
        <f>G95-E95</f>
        <v>5218255.54</v>
      </c>
      <c r="J95" s="164">
        <v>99</v>
      </c>
      <c r="K95" s="139">
        <v>10982307.040000001</v>
      </c>
      <c r="L95" s="172">
        <f>J95-F95</f>
        <v>-34</v>
      </c>
      <c r="M95" s="137">
        <f>K95-G95</f>
        <v>-2347282.879999999</v>
      </c>
    </row>
    <row r="96" spans="1:13" x14ac:dyDescent="0.25">
      <c r="A96" s="141"/>
      <c r="B96" s="141"/>
      <c r="C96" s="136" t="s">
        <v>396</v>
      </c>
      <c r="D96" s="164">
        <v>46</v>
      </c>
      <c r="E96" s="149">
        <v>4610722.59</v>
      </c>
      <c r="F96" s="164">
        <v>99</v>
      </c>
      <c r="G96" s="385">
        <v>12418331.48</v>
      </c>
      <c r="H96" s="136">
        <f t="shared" ref="H96:H105" si="36">F96-D96</f>
        <v>53</v>
      </c>
      <c r="I96" s="137">
        <f t="shared" ref="I96:I105" si="37">G96-E96</f>
        <v>7807608.8900000006</v>
      </c>
      <c r="J96" s="390">
        <v>78</v>
      </c>
      <c r="K96" s="391">
        <v>6518935.8800000008</v>
      </c>
      <c r="L96" s="172">
        <f t="shared" ref="L96:L107" si="38">J96-F96</f>
        <v>-21</v>
      </c>
      <c r="M96" s="137">
        <f t="shared" ref="M96:M108" si="39">K96-G96</f>
        <v>-5899395.5999999996</v>
      </c>
    </row>
    <row r="97" spans="1:13" x14ac:dyDescent="0.25">
      <c r="A97" s="141"/>
      <c r="B97" s="141"/>
      <c r="C97" s="136" t="s">
        <v>8</v>
      </c>
      <c r="D97" s="164">
        <v>17</v>
      </c>
      <c r="E97" s="139">
        <v>809580.54</v>
      </c>
      <c r="F97" s="164">
        <v>40</v>
      </c>
      <c r="G97" s="139">
        <v>1236914.1599999999</v>
      </c>
      <c r="H97" s="136">
        <f t="shared" ref="H97" si="40">F97-D97</f>
        <v>23</v>
      </c>
      <c r="I97" s="137">
        <f t="shared" ref="I97" si="41">G97-E97</f>
        <v>427333.61999999988</v>
      </c>
      <c r="J97" s="390">
        <v>38</v>
      </c>
      <c r="K97" s="391">
        <v>584649.81000000006</v>
      </c>
      <c r="L97" s="172">
        <f t="shared" si="38"/>
        <v>-2</v>
      </c>
      <c r="M97" s="137">
        <f t="shared" si="39"/>
        <v>-652264.34999999986</v>
      </c>
    </row>
    <row r="98" spans="1:13" x14ac:dyDescent="0.25">
      <c r="A98" s="141"/>
      <c r="B98" s="142"/>
      <c r="C98" s="136" t="s">
        <v>6281</v>
      </c>
      <c r="D98" s="164">
        <v>0</v>
      </c>
      <c r="E98" s="139">
        <v>0</v>
      </c>
      <c r="F98" s="164">
        <v>3</v>
      </c>
      <c r="G98" s="139">
        <v>4763745.92</v>
      </c>
      <c r="H98" s="136">
        <f t="shared" ref="H98" si="42">F98-D98</f>
        <v>3</v>
      </c>
      <c r="I98" s="137">
        <f t="shared" ref="I98" si="43">G98-E98</f>
        <v>4763745.92</v>
      </c>
      <c r="J98" s="390">
        <v>1</v>
      </c>
      <c r="K98" s="392">
        <v>3594.98</v>
      </c>
      <c r="L98" s="172">
        <f t="shared" si="38"/>
        <v>-2</v>
      </c>
      <c r="M98" s="137">
        <f t="shared" si="39"/>
        <v>-4760150.9399999995</v>
      </c>
    </row>
    <row r="99" spans="1:13" x14ac:dyDescent="0.25">
      <c r="A99" s="141"/>
      <c r="B99" s="135" t="s">
        <v>392</v>
      </c>
      <c r="C99" s="136" t="s">
        <v>701</v>
      </c>
      <c r="D99" s="164">
        <v>1</v>
      </c>
      <c r="E99" s="151">
        <v>39872</v>
      </c>
      <c r="F99" s="164">
        <v>20</v>
      </c>
      <c r="G99" s="151">
        <v>1523916.2</v>
      </c>
      <c r="H99" s="136">
        <f t="shared" si="36"/>
        <v>19</v>
      </c>
      <c r="I99" s="137">
        <f t="shared" si="37"/>
        <v>1484044.2</v>
      </c>
      <c r="J99" s="390">
        <v>4</v>
      </c>
      <c r="K99" s="392">
        <v>749576.66</v>
      </c>
      <c r="L99" s="172">
        <f t="shared" si="38"/>
        <v>-16</v>
      </c>
      <c r="M99" s="137">
        <f t="shared" si="39"/>
        <v>-774339.53999999992</v>
      </c>
    </row>
    <row r="100" spans="1:13" x14ac:dyDescent="0.25">
      <c r="A100" s="141"/>
      <c r="B100" s="141"/>
      <c r="C100" s="136" t="s">
        <v>3235</v>
      </c>
      <c r="D100" s="164">
        <v>61</v>
      </c>
      <c r="E100" s="152">
        <v>2915804</v>
      </c>
      <c r="F100" s="164">
        <v>27</v>
      </c>
      <c r="G100" s="152">
        <v>9740566.5700000003</v>
      </c>
      <c r="H100" s="136">
        <f t="shared" si="36"/>
        <v>-34</v>
      </c>
      <c r="I100" s="137">
        <f t="shared" si="37"/>
        <v>6824762.5700000003</v>
      </c>
      <c r="J100" s="164">
        <v>17</v>
      </c>
      <c r="K100" s="152">
        <v>7371101.9000000004</v>
      </c>
      <c r="L100" s="172">
        <f t="shared" si="38"/>
        <v>-10</v>
      </c>
      <c r="M100" s="137">
        <f t="shared" si="39"/>
        <v>-2369464.67</v>
      </c>
    </row>
    <row r="101" spans="1:13" x14ac:dyDescent="0.25">
      <c r="A101" s="141"/>
      <c r="B101" s="141"/>
      <c r="C101" s="166" t="s">
        <v>2224</v>
      </c>
      <c r="D101" s="170">
        <v>0</v>
      </c>
      <c r="E101" s="168">
        <v>0</v>
      </c>
      <c r="F101" s="170">
        <v>10</v>
      </c>
      <c r="G101" s="139">
        <v>314177.28000000003</v>
      </c>
      <c r="H101" s="136">
        <f t="shared" si="36"/>
        <v>10</v>
      </c>
      <c r="I101" s="137">
        <f t="shared" si="37"/>
        <v>314177.28000000003</v>
      </c>
      <c r="J101" s="170">
        <v>3</v>
      </c>
      <c r="K101" s="168">
        <v>121974.01000000001</v>
      </c>
      <c r="L101" s="172">
        <f t="shared" si="38"/>
        <v>-7</v>
      </c>
      <c r="M101" s="137">
        <f t="shared" si="39"/>
        <v>-192203.27000000002</v>
      </c>
    </row>
    <row r="102" spans="1:13" x14ac:dyDescent="0.25">
      <c r="A102" s="141"/>
      <c r="B102" s="141"/>
      <c r="C102" s="136" t="s">
        <v>396</v>
      </c>
      <c r="D102" s="164">
        <v>0</v>
      </c>
      <c r="E102" s="168">
        <v>0</v>
      </c>
      <c r="F102" s="164">
        <v>9</v>
      </c>
      <c r="G102" s="153">
        <v>434936.26</v>
      </c>
      <c r="H102" s="136">
        <f t="shared" si="36"/>
        <v>9</v>
      </c>
      <c r="I102" s="137">
        <f t="shared" si="37"/>
        <v>434936.26</v>
      </c>
      <c r="J102" s="164">
        <v>8</v>
      </c>
      <c r="K102" s="168">
        <v>1060396.2</v>
      </c>
      <c r="L102" s="172">
        <f t="shared" si="38"/>
        <v>-1</v>
      </c>
      <c r="M102" s="137">
        <f t="shared" si="39"/>
        <v>625459.93999999994</v>
      </c>
    </row>
    <row r="103" spans="1:13" x14ac:dyDescent="0.25">
      <c r="A103" s="141"/>
      <c r="B103" s="141"/>
      <c r="C103" s="136" t="s">
        <v>393</v>
      </c>
      <c r="D103" s="164">
        <v>26</v>
      </c>
      <c r="E103" s="153">
        <v>1078459.77</v>
      </c>
      <c r="F103" s="164">
        <v>67</v>
      </c>
      <c r="G103" s="139">
        <v>3235486.07</v>
      </c>
      <c r="H103" s="136">
        <f t="shared" si="36"/>
        <v>41</v>
      </c>
      <c r="I103" s="137">
        <f t="shared" si="37"/>
        <v>2157026.2999999998</v>
      </c>
      <c r="J103" s="164">
        <v>38</v>
      </c>
      <c r="K103" s="153">
        <v>1072709.3500000001</v>
      </c>
      <c r="L103" s="172">
        <f t="shared" si="38"/>
        <v>-29</v>
      </c>
      <c r="M103" s="137">
        <f t="shared" si="39"/>
        <v>-2162776.7199999997</v>
      </c>
    </row>
    <row r="104" spans="1:13" x14ac:dyDescent="0.25">
      <c r="A104" s="141"/>
      <c r="B104" s="141"/>
      <c r="C104" s="136" t="s">
        <v>10</v>
      </c>
      <c r="D104" s="164">
        <v>0</v>
      </c>
      <c r="E104" s="139">
        <v>0</v>
      </c>
      <c r="F104" s="164">
        <v>36</v>
      </c>
      <c r="G104" s="139">
        <v>1211315.73</v>
      </c>
      <c r="H104" s="136">
        <f t="shared" si="36"/>
        <v>36</v>
      </c>
      <c r="I104" s="137">
        <f t="shared" si="37"/>
        <v>1211315.73</v>
      </c>
      <c r="J104" s="164">
        <v>0</v>
      </c>
      <c r="K104" s="139">
        <v>0</v>
      </c>
      <c r="L104" s="172">
        <f t="shared" si="38"/>
        <v>-36</v>
      </c>
      <c r="M104" s="137">
        <f t="shared" si="39"/>
        <v>-1211315.73</v>
      </c>
    </row>
    <row r="105" spans="1:13" x14ac:dyDescent="0.25">
      <c r="A105" s="141"/>
      <c r="B105" s="141"/>
      <c r="C105" s="136" t="s">
        <v>1101</v>
      </c>
      <c r="D105" s="164">
        <v>0</v>
      </c>
      <c r="E105" s="139">
        <v>0</v>
      </c>
      <c r="F105" s="164">
        <v>0</v>
      </c>
      <c r="G105" s="139">
        <v>0</v>
      </c>
      <c r="H105" s="136">
        <f t="shared" si="36"/>
        <v>0</v>
      </c>
      <c r="I105" s="137">
        <f t="shared" si="37"/>
        <v>0</v>
      </c>
      <c r="J105" s="164">
        <v>0</v>
      </c>
      <c r="K105" s="139">
        <v>0</v>
      </c>
      <c r="L105" s="172">
        <f t="shared" si="38"/>
        <v>0</v>
      </c>
      <c r="M105" s="137">
        <f t="shared" si="39"/>
        <v>0</v>
      </c>
    </row>
    <row r="106" spans="1:13" x14ac:dyDescent="0.25">
      <c r="A106" s="142"/>
      <c r="B106" s="142"/>
      <c r="C106" s="136" t="s">
        <v>8</v>
      </c>
      <c r="D106" s="164">
        <v>18</v>
      </c>
      <c r="E106" s="139">
        <v>457888.89</v>
      </c>
      <c r="F106" s="164">
        <v>37</v>
      </c>
      <c r="G106" s="139">
        <v>1235706.27</v>
      </c>
      <c r="H106" s="136">
        <f>F106-D106</f>
        <v>19</v>
      </c>
      <c r="I106" s="137">
        <f>G106-E106</f>
        <v>777817.38</v>
      </c>
      <c r="J106" s="164">
        <v>27</v>
      </c>
      <c r="K106" s="139">
        <v>481599.77</v>
      </c>
      <c r="L106" s="172">
        <f t="shared" si="38"/>
        <v>-10</v>
      </c>
      <c r="M106" s="137">
        <f t="shared" si="39"/>
        <v>-754106.5</v>
      </c>
    </row>
    <row r="107" spans="1:13" x14ac:dyDescent="0.25">
      <c r="A107" s="154"/>
      <c r="B107" s="154"/>
      <c r="C107" s="154" t="s">
        <v>1426</v>
      </c>
      <c r="D107" s="165">
        <v>0</v>
      </c>
      <c r="E107" s="154">
        <v>0</v>
      </c>
      <c r="F107" s="165">
        <v>0</v>
      </c>
      <c r="G107" s="139">
        <v>0</v>
      </c>
      <c r="H107" s="136">
        <f>F107-D107</f>
        <v>0</v>
      </c>
      <c r="I107" s="137">
        <f>G107-E107</f>
        <v>0</v>
      </c>
      <c r="J107" s="165">
        <v>0</v>
      </c>
      <c r="K107" s="154">
        <v>0</v>
      </c>
      <c r="L107" s="172">
        <f t="shared" si="38"/>
        <v>0</v>
      </c>
      <c r="M107" s="137">
        <f t="shared" si="39"/>
        <v>0</v>
      </c>
    </row>
    <row r="108" spans="1:13" x14ac:dyDescent="0.25">
      <c r="A108" s="430" t="s">
        <v>12</v>
      </c>
      <c r="B108" s="431"/>
      <c r="C108" s="432"/>
      <c r="D108" s="136">
        <f>SUM(D95:D107)</f>
        <v>293</v>
      </c>
      <c r="E108" s="137">
        <f>SUM(E95:E107)</f>
        <v>18023662.169999998</v>
      </c>
      <c r="F108" s="172">
        <f>SUM(F95:F107)</f>
        <v>481</v>
      </c>
      <c r="G108" s="137">
        <f>SUM(G95:G107)</f>
        <v>49444685.859999999</v>
      </c>
      <c r="H108" s="136">
        <f t="shared" ref="H108" si="44">F108-D108</f>
        <v>188</v>
      </c>
      <c r="I108" s="137">
        <f>SUM(I95:I106)</f>
        <v>31421023.690000001</v>
      </c>
      <c r="J108" s="172">
        <f>SUM(J95:J107)</f>
        <v>313</v>
      </c>
      <c r="K108" s="137">
        <f>SUM(K95:K107)</f>
        <v>28946845.600000005</v>
      </c>
      <c r="L108" s="172">
        <f>J108-F108</f>
        <v>-168</v>
      </c>
      <c r="M108" s="137">
        <f t="shared" si="39"/>
        <v>-20497840.259999994</v>
      </c>
    </row>
    <row r="110" spans="1:13" x14ac:dyDescent="0.25">
      <c r="D110" s="134">
        <v>2022</v>
      </c>
      <c r="E110" s="134" t="s">
        <v>6285</v>
      </c>
      <c r="F110" s="134">
        <v>2023</v>
      </c>
      <c r="G110" s="134" t="s">
        <v>7391</v>
      </c>
      <c r="H110" s="429" t="s">
        <v>7390</v>
      </c>
      <c r="I110" s="429"/>
      <c r="J110" s="134">
        <v>2024</v>
      </c>
      <c r="K110" s="134" t="s">
        <v>7392</v>
      </c>
      <c r="L110" s="429" t="s">
        <v>7393</v>
      </c>
      <c r="M110" s="429"/>
    </row>
    <row r="111" spans="1:13" x14ac:dyDescent="0.25">
      <c r="A111" s="135" t="s">
        <v>1183</v>
      </c>
      <c r="B111" s="135" t="s">
        <v>422</v>
      </c>
      <c r="C111" s="136" t="s">
        <v>701</v>
      </c>
      <c r="D111" s="164">
        <v>99</v>
      </c>
      <c r="E111" s="139">
        <v>10982307.040000001</v>
      </c>
      <c r="F111" s="164">
        <v>7</v>
      </c>
      <c r="G111" s="139">
        <v>340224.37</v>
      </c>
      <c r="H111" s="136">
        <f>F111-D111</f>
        <v>-92</v>
      </c>
      <c r="I111" s="137">
        <f>G111-E111</f>
        <v>-10642082.670000002</v>
      </c>
      <c r="J111" s="164"/>
      <c r="K111" s="139"/>
      <c r="L111" s="172"/>
      <c r="M111" s="137"/>
    </row>
    <row r="112" spans="1:13" x14ac:dyDescent="0.25">
      <c r="A112" s="141"/>
      <c r="B112" s="141"/>
      <c r="C112" s="136" t="s">
        <v>396</v>
      </c>
      <c r="D112" s="164">
        <v>78</v>
      </c>
      <c r="E112" s="149">
        <v>6518935.8800000008</v>
      </c>
      <c r="F112" s="164">
        <v>7</v>
      </c>
      <c r="G112" s="385">
        <v>1038324.4</v>
      </c>
      <c r="H112" s="136">
        <f t="shared" ref="H112:H121" si="45">F112-D112</f>
        <v>-71</v>
      </c>
      <c r="I112" s="137">
        <f t="shared" ref="I112:I121" si="46">G112-E112</f>
        <v>-5480611.4800000004</v>
      </c>
      <c r="J112" s="390"/>
      <c r="K112" s="391"/>
      <c r="L112" s="172"/>
      <c r="M112" s="137"/>
    </row>
    <row r="113" spans="1:13" x14ac:dyDescent="0.25">
      <c r="A113" s="141"/>
      <c r="B113" s="141"/>
      <c r="C113" s="136" t="s">
        <v>8</v>
      </c>
      <c r="D113" s="164">
        <v>38</v>
      </c>
      <c r="E113" s="139">
        <v>584649.81000000006</v>
      </c>
      <c r="F113" s="164">
        <v>5</v>
      </c>
      <c r="G113" s="139">
        <v>576417.98999999987</v>
      </c>
      <c r="H113" s="136">
        <f t="shared" si="45"/>
        <v>-33</v>
      </c>
      <c r="I113" s="137">
        <f t="shared" si="46"/>
        <v>-8231.8200000001816</v>
      </c>
      <c r="J113" s="390"/>
      <c r="K113" s="391"/>
      <c r="L113" s="172"/>
      <c r="M113" s="137"/>
    </row>
    <row r="114" spans="1:13" x14ac:dyDescent="0.25">
      <c r="A114" s="141"/>
      <c r="B114" s="142"/>
      <c r="C114" s="136" t="s">
        <v>6281</v>
      </c>
      <c r="D114" s="164">
        <v>1</v>
      </c>
      <c r="E114" s="139">
        <v>3594.98</v>
      </c>
      <c r="F114" s="164">
        <v>0</v>
      </c>
      <c r="G114" s="139">
        <v>0</v>
      </c>
      <c r="H114" s="136">
        <f t="shared" si="45"/>
        <v>-1</v>
      </c>
      <c r="I114" s="137">
        <f t="shared" si="46"/>
        <v>-3594.98</v>
      </c>
      <c r="J114" s="390"/>
      <c r="K114" s="392"/>
      <c r="L114" s="172"/>
      <c r="M114" s="137"/>
    </row>
    <row r="115" spans="1:13" x14ac:dyDescent="0.25">
      <c r="A115" s="141"/>
      <c r="B115" s="135" t="s">
        <v>392</v>
      </c>
      <c r="C115" s="136" t="s">
        <v>701</v>
      </c>
      <c r="D115" s="164">
        <v>4</v>
      </c>
      <c r="E115" s="151">
        <v>749576.66</v>
      </c>
      <c r="F115" s="164">
        <v>2</v>
      </c>
      <c r="G115" s="151">
        <v>202671.44</v>
      </c>
      <c r="H115" s="136">
        <f t="shared" si="45"/>
        <v>-2</v>
      </c>
      <c r="I115" s="137">
        <f t="shared" si="46"/>
        <v>-546905.22</v>
      </c>
      <c r="J115" s="390"/>
      <c r="K115" s="392"/>
      <c r="L115" s="172"/>
      <c r="M115" s="137"/>
    </row>
    <row r="116" spans="1:13" x14ac:dyDescent="0.25">
      <c r="A116" s="141"/>
      <c r="B116" s="141"/>
      <c r="C116" s="136" t="s">
        <v>3235</v>
      </c>
      <c r="D116" s="164">
        <v>17</v>
      </c>
      <c r="E116" s="152">
        <v>7371101.9000000004</v>
      </c>
      <c r="F116" s="164">
        <v>20</v>
      </c>
      <c r="G116" s="152">
        <v>5500150.6999999983</v>
      </c>
      <c r="H116" s="136">
        <f t="shared" si="45"/>
        <v>3</v>
      </c>
      <c r="I116" s="137">
        <f t="shared" si="46"/>
        <v>-1870951.200000002</v>
      </c>
      <c r="J116" s="164"/>
      <c r="K116" s="152"/>
      <c r="L116" s="172"/>
      <c r="M116" s="137"/>
    </row>
    <row r="117" spans="1:13" x14ac:dyDescent="0.25">
      <c r="A117" s="141"/>
      <c r="B117" s="141"/>
      <c r="C117" s="166" t="s">
        <v>2224</v>
      </c>
      <c r="D117" s="170">
        <v>3</v>
      </c>
      <c r="E117" s="168">
        <v>121974.01000000001</v>
      </c>
      <c r="F117" s="170">
        <v>0</v>
      </c>
      <c r="G117" s="139">
        <v>0</v>
      </c>
      <c r="H117" s="136">
        <f t="shared" si="45"/>
        <v>-3</v>
      </c>
      <c r="I117" s="137">
        <f t="shared" si="46"/>
        <v>-121974.01000000001</v>
      </c>
      <c r="J117" s="170"/>
      <c r="K117" s="168"/>
      <c r="L117" s="172"/>
      <c r="M117" s="137"/>
    </row>
    <row r="118" spans="1:13" x14ac:dyDescent="0.25">
      <c r="A118" s="141"/>
      <c r="B118" s="141"/>
      <c r="C118" s="136" t="s">
        <v>396</v>
      </c>
      <c r="D118" s="164">
        <v>8</v>
      </c>
      <c r="E118" s="168">
        <v>1060396.2</v>
      </c>
      <c r="F118" s="164">
        <v>4</v>
      </c>
      <c r="G118" s="153">
        <v>170848.13</v>
      </c>
      <c r="H118" s="136">
        <f t="shared" si="45"/>
        <v>-4</v>
      </c>
      <c r="I118" s="137">
        <f t="shared" si="46"/>
        <v>-889548.07</v>
      </c>
      <c r="J118" s="164"/>
      <c r="K118" s="168"/>
      <c r="L118" s="172"/>
      <c r="M118" s="137"/>
    </row>
    <row r="119" spans="1:13" x14ac:dyDescent="0.25">
      <c r="A119" s="141"/>
      <c r="B119" s="141"/>
      <c r="C119" s="136" t="s">
        <v>393</v>
      </c>
      <c r="D119" s="164">
        <v>38</v>
      </c>
      <c r="E119" s="153">
        <v>1072709.3500000001</v>
      </c>
      <c r="F119" s="164">
        <v>18</v>
      </c>
      <c r="G119" s="139">
        <v>572509.9800000001</v>
      </c>
      <c r="H119" s="136">
        <f t="shared" si="45"/>
        <v>-20</v>
      </c>
      <c r="I119" s="137">
        <f t="shared" si="46"/>
        <v>-500199.37</v>
      </c>
      <c r="J119" s="164"/>
      <c r="K119" s="153"/>
      <c r="L119" s="172"/>
      <c r="M119" s="137"/>
    </row>
    <row r="120" spans="1:13" x14ac:dyDescent="0.25">
      <c r="A120" s="141"/>
      <c r="B120" s="141"/>
      <c r="C120" s="136" t="s">
        <v>10</v>
      </c>
      <c r="D120" s="164">
        <v>0</v>
      </c>
      <c r="E120" s="139">
        <v>0</v>
      </c>
      <c r="F120" s="164">
        <v>0</v>
      </c>
      <c r="G120" s="139">
        <v>0</v>
      </c>
      <c r="H120" s="136">
        <f t="shared" si="45"/>
        <v>0</v>
      </c>
      <c r="I120" s="137">
        <f t="shared" si="46"/>
        <v>0</v>
      </c>
      <c r="J120" s="164"/>
      <c r="K120" s="139"/>
      <c r="L120" s="172"/>
      <c r="M120" s="137"/>
    </row>
    <row r="121" spans="1:13" x14ac:dyDescent="0.25">
      <c r="A121" s="141"/>
      <c r="B121" s="141"/>
      <c r="C121" s="136" t="s">
        <v>1101</v>
      </c>
      <c r="D121" s="164">
        <v>0</v>
      </c>
      <c r="E121" s="139">
        <v>0</v>
      </c>
      <c r="F121" s="164">
        <v>0</v>
      </c>
      <c r="G121" s="139">
        <v>0</v>
      </c>
      <c r="H121" s="136">
        <f t="shared" si="45"/>
        <v>0</v>
      </c>
      <c r="I121" s="137">
        <f t="shared" si="46"/>
        <v>0</v>
      </c>
      <c r="J121" s="164"/>
      <c r="K121" s="139"/>
      <c r="L121" s="172"/>
      <c r="M121" s="137"/>
    </row>
    <row r="122" spans="1:13" x14ac:dyDescent="0.25">
      <c r="A122" s="142"/>
      <c r="B122" s="142"/>
      <c r="C122" s="136" t="s">
        <v>8</v>
      </c>
      <c r="D122" s="164">
        <v>27</v>
      </c>
      <c r="E122" s="139">
        <v>481599.77</v>
      </c>
      <c r="F122" s="164">
        <v>9</v>
      </c>
      <c r="G122" s="139">
        <v>276813.99</v>
      </c>
      <c r="H122" s="136">
        <f>F122-D122</f>
        <v>-18</v>
      </c>
      <c r="I122" s="137">
        <f>G122-E122</f>
        <v>-204785.78000000003</v>
      </c>
      <c r="J122" s="164"/>
      <c r="K122" s="139"/>
      <c r="L122" s="172"/>
      <c r="M122" s="137"/>
    </row>
    <row r="123" spans="1:13" x14ac:dyDescent="0.25">
      <c r="A123" s="154"/>
      <c r="B123" s="154"/>
      <c r="C123" s="154" t="s">
        <v>1426</v>
      </c>
      <c r="D123" s="165">
        <v>0</v>
      </c>
      <c r="E123" s="154">
        <v>0</v>
      </c>
      <c r="F123" s="165">
        <v>0</v>
      </c>
      <c r="G123" s="139">
        <v>0</v>
      </c>
      <c r="H123" s="136">
        <f>F123-D123</f>
        <v>0</v>
      </c>
      <c r="I123" s="137">
        <f>G123-E123</f>
        <v>0</v>
      </c>
      <c r="J123" s="165"/>
      <c r="K123" s="154"/>
      <c r="L123" s="172"/>
      <c r="M123" s="137"/>
    </row>
    <row r="124" spans="1:13" x14ac:dyDescent="0.25">
      <c r="A124" s="430" t="s">
        <v>12</v>
      </c>
      <c r="B124" s="431"/>
      <c r="C124" s="432"/>
      <c r="D124" s="136">
        <v>313</v>
      </c>
      <c r="E124" s="137">
        <v>28946845.600000005</v>
      </c>
      <c r="F124" s="172">
        <f>SUM(F111:F123)</f>
        <v>72</v>
      </c>
      <c r="G124" s="137">
        <f>SUM(G111:G123)</f>
        <v>8677960.9999999981</v>
      </c>
      <c r="H124" s="136">
        <f t="shared" ref="H124" si="47">F124-D124</f>
        <v>-241</v>
      </c>
      <c r="I124" s="137">
        <f>SUM(I111:I122)</f>
        <v>-20268884.600000009</v>
      </c>
      <c r="J124" s="172"/>
      <c r="K124" s="137"/>
      <c r="L124" s="172"/>
      <c r="M124" s="137"/>
    </row>
    <row r="127" spans="1:13" x14ac:dyDescent="0.25">
      <c r="A127" s="132" t="s">
        <v>6284</v>
      </c>
    </row>
    <row r="128" spans="1:13" x14ac:dyDescent="0.25">
      <c r="A128" s="132" t="s">
        <v>7213</v>
      </c>
    </row>
    <row r="129" spans="1:1" x14ac:dyDescent="0.25">
      <c r="A129" s="132" t="s">
        <v>7539</v>
      </c>
    </row>
  </sheetData>
  <mergeCells count="25">
    <mergeCell ref="A1:M1"/>
    <mergeCell ref="A16:C16"/>
    <mergeCell ref="H3:I3"/>
    <mergeCell ref="L3:M3"/>
    <mergeCell ref="H34:I34"/>
    <mergeCell ref="L34:M34"/>
    <mergeCell ref="A46:C46"/>
    <mergeCell ref="H94:I94"/>
    <mergeCell ref="L94:M94"/>
    <mergeCell ref="H18:I18"/>
    <mergeCell ref="L18:M18"/>
    <mergeCell ref="A32:C32"/>
    <mergeCell ref="H78:I78"/>
    <mergeCell ref="L78:M78"/>
    <mergeCell ref="A91:C91"/>
    <mergeCell ref="H63:I63"/>
    <mergeCell ref="L63:M63"/>
    <mergeCell ref="A76:C76"/>
    <mergeCell ref="H110:I110"/>
    <mergeCell ref="L110:M110"/>
    <mergeCell ref="A124:C124"/>
    <mergeCell ref="A108:C108"/>
    <mergeCell ref="H48:I48"/>
    <mergeCell ref="L48:M48"/>
    <mergeCell ref="A61:C61"/>
  </mergeCells>
  <phoneticPr fontId="2" type="noConversion"/>
  <printOptions horizontalCentered="1"/>
  <pageMargins left="0.39370078740157483" right="0.39370078740157483" top="0.98425196850393704" bottom="0.98425196850393704" header="0" footer="0"/>
  <pageSetup paperSize="9" scale="34" orientation="landscape" r:id="rId1"/>
  <headerFooter alignWithMargins="0"/>
  <ignoredErrors>
    <ignoredError sqref="D46 F46 J46 J61" formulaRange="1"/>
  </ignoredError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53"/>
  <sheetViews>
    <sheetView topLeftCell="A9" workbookViewId="0">
      <selection activeCell="I53" sqref="I53"/>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Total!B2807</f>
        <v>44320</v>
      </c>
      <c r="C2" s="101">
        <f>Total!C2807</f>
        <v>44342</v>
      </c>
      <c r="D2" s="112" t="s">
        <v>1092</v>
      </c>
      <c r="E2" s="332" t="str">
        <f>Total!E2807</f>
        <v>Obra Civil</v>
      </c>
      <c r="F2" s="96" t="str">
        <f>Total!F2807</f>
        <v>Control de Qualitat</v>
      </c>
      <c r="G2" s="112" t="str">
        <f>Total!G2807</f>
        <v>CQ. PC-MB-06045-C1</v>
      </c>
      <c r="H2" s="112" t="str">
        <f>Total!H2807</f>
        <v>Control de qualitat de les obres del projecte de millora local. Mesures correctores ambientals a la carretera B-402, del pk 15,500 al 16,000. Tram: La Pobla de Lillet.</v>
      </c>
      <c r="I2" s="157">
        <f>Total!I2807</f>
        <v>2414.12</v>
      </c>
    </row>
    <row r="3" spans="1:9" x14ac:dyDescent="0.2">
      <c r="A3" s="8">
        <v>2</v>
      </c>
      <c r="B3" s="101">
        <f>Total!B2808</f>
        <v>44320</v>
      </c>
      <c r="C3" s="101">
        <f>Total!C2808</f>
        <v>44349</v>
      </c>
      <c r="D3" s="112" t="s">
        <v>1092</v>
      </c>
      <c r="E3" s="332" t="str">
        <f>Total!E2808</f>
        <v>Edificació</v>
      </c>
      <c r="F3" s="96" t="str">
        <f>Total!F2808</f>
        <v>Projectes i Direccions d'Obra</v>
      </c>
      <c r="G3" s="112" t="str">
        <f>Total!G2808</f>
        <v>PE+DO. JVP-20243. Nova licitac</v>
      </c>
      <c r="H3" s="112" t="str">
        <f>Total!H2808</f>
        <v>Redacció del projecte i la posterior direcció de les obres de l'Actualització del projecte d'Obres RAM de rehabilitació i reforma de la Infermeria, Atenció primària, salut mental i farmàcia del Centre Penitenciari de Quatre Camins.</v>
      </c>
      <c r="I3" s="157">
        <f>Total!I2808</f>
        <v>366412.83</v>
      </c>
    </row>
    <row r="4" spans="1:9" x14ac:dyDescent="0.2">
      <c r="A4" s="8">
        <v>3</v>
      </c>
      <c r="B4" s="101">
        <f>Total!B2809</f>
        <v>44320</v>
      </c>
      <c r="C4" s="101">
        <f>Total!C2809</f>
        <v>44342</v>
      </c>
      <c r="D4" s="112" t="s">
        <v>1092</v>
      </c>
      <c r="E4" s="332" t="str">
        <f>Total!E2809</f>
        <v>Obra Civil</v>
      </c>
      <c r="F4" s="96" t="str">
        <f>Total!F2809</f>
        <v>Direcció d'obra</v>
      </c>
      <c r="G4" s="112" t="str">
        <f>Total!G2809</f>
        <v>DO. PC-MB-06045-C1</v>
      </c>
      <c r="H4" s="112" t="str">
        <f>Total!H2809</f>
        <v>Direcció de les obres del projecte de millora local. Mesures correctores ambientals a la carretera B-402, del pk 15,500 al 16,000. Tram: La Pobla de Lillet.</v>
      </c>
      <c r="I4" s="157">
        <f>Total!I2809</f>
        <v>11703.12</v>
      </c>
    </row>
    <row r="5" spans="1:9" x14ac:dyDescent="0.2">
      <c r="A5" s="8">
        <v>4</v>
      </c>
      <c r="B5" s="101">
        <f>Total!B2810</f>
        <v>44321</v>
      </c>
      <c r="C5" s="101">
        <f>Total!C2810</f>
        <v>44342</v>
      </c>
      <c r="D5" s="112" t="s">
        <v>1092</v>
      </c>
      <c r="E5" s="332" t="str">
        <f>Total!E2810</f>
        <v>Obra Civil</v>
      </c>
      <c r="F5" s="96" t="str">
        <f>Total!F2810</f>
        <v>Direcció d'obra</v>
      </c>
      <c r="G5" s="112" t="str">
        <f>Total!G2810</f>
        <v>PC. SPD-21241</v>
      </c>
      <c r="H5" s="112" t="str">
        <f>Total!H2810</f>
        <v>Redacció del projecte d'estesa de fibra òptica per canalització existent a la carretera GI-400 entre Alp i la connexió amb la N-260.</v>
      </c>
      <c r="I5" s="157">
        <f>Total!I2810</f>
        <v>12396.69</v>
      </c>
    </row>
    <row r="6" spans="1:9" x14ac:dyDescent="0.2">
      <c r="A6" s="8">
        <v>5</v>
      </c>
      <c r="B6" s="101">
        <f>Total!B2812</f>
        <v>44321</v>
      </c>
      <c r="C6" s="101">
        <f>Total!C2812</f>
        <v>44354</v>
      </c>
      <c r="D6" s="112" t="s">
        <v>1092</v>
      </c>
      <c r="E6" s="332" t="str">
        <f>Total!E2812</f>
        <v>Edificació</v>
      </c>
      <c r="F6" s="96" t="str">
        <f>Total!F2812</f>
        <v>Projectes i Direccions d'Obra</v>
      </c>
      <c r="G6" s="112" t="str">
        <f>Total!G2812</f>
        <v>PE+DO CAP-19250</v>
      </c>
      <c r="H6" s="112" t="str">
        <f>Total!H2812</f>
        <v>Redacció del projecte bàsic i executiu i la posterior direcció de les obres del Nou Centre d'Atenció Primària d'Almenar.</v>
      </c>
      <c r="I6" s="157">
        <f>Total!I2812</f>
        <v>260400.02</v>
      </c>
    </row>
    <row r="7" spans="1:9" x14ac:dyDescent="0.2">
      <c r="A7" s="8">
        <v>6</v>
      </c>
      <c r="B7" s="101">
        <f>Total!B2813</f>
        <v>44322</v>
      </c>
      <c r="C7" s="101">
        <f>Total!C2813</f>
        <v>44347</v>
      </c>
      <c r="D7" s="112" t="s">
        <v>1092</v>
      </c>
      <c r="E7" s="332" t="str">
        <f>Total!E2813</f>
        <v>Obra Civil</v>
      </c>
      <c r="F7" s="96" t="str">
        <f>Total!F2813</f>
        <v>Direccions d'Obra</v>
      </c>
      <c r="G7" s="112" t="str">
        <f>Total!G2813</f>
        <v>DO. TM-00509.2-C11.02</v>
      </c>
      <c r="H7" s="112" t="str">
        <f>Total!H2813</f>
        <v>Contracte de serveis per a la direcció de les obres d'urbanització del carrer Anselm Riu, entre el Passeig Can Zam i el Carrer Edison. Santa Coloma de Gramenet.</v>
      </c>
      <c r="I7" s="157">
        <f>Total!I2813</f>
        <v>32144.42</v>
      </c>
    </row>
    <row r="8" spans="1:9" x14ac:dyDescent="0.2">
      <c r="A8" s="8">
        <v>7</v>
      </c>
      <c r="B8" s="101">
        <f>Total!B2814</f>
        <v>44322</v>
      </c>
      <c r="C8" s="101">
        <f>Total!C2814</f>
        <v>44347</v>
      </c>
      <c r="D8" s="112" t="s">
        <v>1092</v>
      </c>
      <c r="E8" s="332" t="str">
        <f>Total!E2814</f>
        <v>Obra Civil</v>
      </c>
      <c r="F8" s="96" t="str">
        <f>Total!F2814</f>
        <v>Direccions d'Obra</v>
      </c>
      <c r="G8" s="112" t="str">
        <f>Total!G2814</f>
        <v>CSS. TM-00509.2-C11.02</v>
      </c>
      <c r="H8" s="112" t="str">
        <f>Total!H2814</f>
        <v>Contracte de serveis per a l'assistència tècnica de coordinació de seguretat i salut de les obres del projecte constructiu d'urbanització del carrer Anselm Riu, entre el Passeig Can Zam i el carrer Edison. Santa Coloma de Gramenet.</v>
      </c>
      <c r="I8" s="157">
        <f>Total!I2814</f>
        <v>9038.4</v>
      </c>
    </row>
    <row r="9" spans="1:9" x14ac:dyDescent="0.2">
      <c r="A9" s="8">
        <v>8</v>
      </c>
      <c r="B9" s="101">
        <f>Total!B2815</f>
        <v>44322</v>
      </c>
      <c r="C9" s="101">
        <f>Total!C2815</f>
        <v>44347</v>
      </c>
      <c r="D9" s="112" t="s">
        <v>1092</v>
      </c>
      <c r="E9" s="332" t="str">
        <f>Total!E2815</f>
        <v>Obra Civil</v>
      </c>
      <c r="F9" s="96" t="str">
        <f>Total!F2815</f>
        <v>Control de Qualitat</v>
      </c>
      <c r="G9" s="112" t="str">
        <f>Total!G2815</f>
        <v>CQ. TM-00509.2-C11.02</v>
      </c>
      <c r="H9" s="112" t="str">
        <f>Total!H2815</f>
        <v>Contracte de serveis per a l'assistència tècnica de control de qualitat de les obres d'urbanització del carrer Anselm Riu, entre el Passeig Can Zam i el carrer Edison. Santa Coloma de Gramenet.</v>
      </c>
      <c r="I9" s="157">
        <f>Total!I2815</f>
        <v>11793.83</v>
      </c>
    </row>
    <row r="10" spans="1:9" x14ac:dyDescent="0.2">
      <c r="A10" s="8">
        <v>9</v>
      </c>
      <c r="B10" s="101">
        <f>Total!B2817</f>
        <v>44327</v>
      </c>
      <c r="C10" s="101">
        <f>Total!C2817</f>
        <v>44347</v>
      </c>
      <c r="D10" s="112" t="s">
        <v>1092</v>
      </c>
      <c r="E10" s="332" t="str">
        <f>Total!E2817</f>
        <v>Obra Civil</v>
      </c>
      <c r="F10" s="96" t="str">
        <f>Total!F2817</f>
        <v>Control de Qualitat</v>
      </c>
      <c r="G10" s="112" t="str">
        <f>Total!G2817</f>
        <v>CQ. MB-15053</v>
      </c>
      <c r="H10" s="112" t="str">
        <f>Total!H2817</f>
        <v>Control de qualitat de les obres del projecte constructiu de millora loca. Seguretat viària. Millora de les característiques superficials del ferm i reestudi de la secció transversal. Ctra. C-55, del pk 0,380 al 5,075. Abrera-Olesa de Montserrat.</v>
      </c>
      <c r="I10" s="157">
        <f>Total!I2817</f>
        <v>20022.830000000002</v>
      </c>
    </row>
    <row r="11" spans="1:9" x14ac:dyDescent="0.2">
      <c r="A11" s="8">
        <v>10</v>
      </c>
      <c r="B11" s="101">
        <f>Total!B2818</f>
        <v>44327</v>
      </c>
      <c r="C11" s="101">
        <f>Total!C2818</f>
        <v>44347</v>
      </c>
      <c r="D11" s="112" t="s">
        <v>1092</v>
      </c>
      <c r="E11" s="332" t="str">
        <f>Total!E2818</f>
        <v>Obra Civil</v>
      </c>
      <c r="F11" s="96" t="str">
        <f>Total!F2818</f>
        <v>Direccions d'Obra</v>
      </c>
      <c r="G11" s="112" t="str">
        <f>Total!G2818</f>
        <v>CSS. MB-15053</v>
      </c>
      <c r="H11" s="112" t="str">
        <f>Total!H2818</f>
        <v>Coord. Seguretat i Salut de les obres del projecte constructiu de millora loca. Seguretat viària. Millora de les característiques superficials del ferm i reestudi de la secció transversal. Ctra. C-55, del pk 0,380 al 5,075. Abrera-Olesa de Montserrat.</v>
      </c>
      <c r="I11" s="157">
        <f>Total!I2818</f>
        <v>17448</v>
      </c>
    </row>
    <row r="12" spans="1:9" x14ac:dyDescent="0.2">
      <c r="A12" s="8">
        <v>11</v>
      </c>
      <c r="B12" s="101">
        <f>Total!B2819</f>
        <v>44327</v>
      </c>
      <c r="C12" s="101">
        <f>Total!C2819</f>
        <v>44347</v>
      </c>
      <c r="D12" s="112" t="s">
        <v>1092</v>
      </c>
      <c r="E12" s="332" t="str">
        <f>Total!E2819</f>
        <v>Obra Civil</v>
      </c>
      <c r="F12" s="96" t="str">
        <f>Total!F2819</f>
        <v>Direccions d'Obra</v>
      </c>
      <c r="G12" s="112" t="str">
        <f>Total!G2819</f>
        <v>DO. MB-15053</v>
      </c>
      <c r="H12" s="112" t="str">
        <f>Total!H2819</f>
        <v>Direcció de les obres del projecte constructiu de millora loca. Seguretat viària. Millora de les característiques superficials del ferm i reestudi de la secció transversal. Ctra. C-55, del pk 0,380 al 5,075. Abrera-Olesa de Montserrat.</v>
      </c>
      <c r="I12" s="157">
        <f>Total!I2819</f>
        <v>64596</v>
      </c>
    </row>
    <row r="13" spans="1:9" x14ac:dyDescent="0.2">
      <c r="A13" s="8">
        <v>12</v>
      </c>
      <c r="B13" s="101">
        <f>Total!B2820</f>
        <v>44328</v>
      </c>
      <c r="C13" s="101">
        <f>Total!C2820</f>
        <v>44354</v>
      </c>
      <c r="D13" s="112" t="s">
        <v>1092</v>
      </c>
      <c r="E13" s="332" t="str">
        <f>Total!E2820</f>
        <v>Obra Civil</v>
      </c>
      <c r="F13" s="96" t="str">
        <f>Total!F2820</f>
        <v>Projectes</v>
      </c>
      <c r="G13" s="112" t="str">
        <f>Total!G2820</f>
        <v>PM. TM-00509. 4E-M2</v>
      </c>
      <c r="H13" s="112" t="str">
        <f>Total!H2820</f>
        <v>Redacció del projecte modificat 2 d'execució de les obres de la Línia 9 de Metro: Tram 3r Zona Universitària-Sagrera Meridiana. Complements d'estructura interior, via i catenària del túnel 3. Tram: Zona Universitària-Sagrera Meridiana.</v>
      </c>
      <c r="I13" s="157">
        <f>Total!I2820</f>
        <v>225000</v>
      </c>
    </row>
    <row r="14" spans="1:9" x14ac:dyDescent="0.2">
      <c r="A14" s="8">
        <v>13</v>
      </c>
      <c r="B14" s="101">
        <f>Total!B2821</f>
        <v>44328</v>
      </c>
      <c r="C14" s="101">
        <f>Total!C2821</f>
        <v>44347</v>
      </c>
      <c r="D14" s="112" t="s">
        <v>1092</v>
      </c>
      <c r="E14" s="332" t="str">
        <f>Total!E2821</f>
        <v>Obra Civil</v>
      </c>
      <c r="F14" s="96" t="str">
        <f>Total!F2821</f>
        <v>Projectes</v>
      </c>
      <c r="G14" s="112" t="str">
        <f>Total!G2821</f>
        <v>PC. SC. PAS-21237</v>
      </c>
      <c r="H14" s="112" t="str">
        <f>Total!H2821</f>
        <v>Redacció del Plec Conservació Ambiental. Conservació pistes forestals Parc Nacional d'Aigüestortes i Estany de Sant Maurici.</v>
      </c>
      <c r="I14" s="157">
        <f>Total!I2821</f>
        <v>50500</v>
      </c>
    </row>
    <row r="15" spans="1:9" x14ac:dyDescent="0.2">
      <c r="A15" s="8">
        <v>14</v>
      </c>
      <c r="B15" s="101">
        <f>Total!B2822</f>
        <v>44329</v>
      </c>
      <c r="C15" s="101">
        <f>Total!C2822</f>
        <v>44347</v>
      </c>
      <c r="D15" s="112" t="s">
        <v>1092</v>
      </c>
      <c r="E15" s="332" t="str">
        <f>Total!E2822</f>
        <v>Obra Civil</v>
      </c>
      <c r="F15" s="96" t="str">
        <f>Total!F2822</f>
        <v>Projectes</v>
      </c>
      <c r="G15" s="112" t="str">
        <f>Total!G2822</f>
        <v>PC. PC-CGB-20061</v>
      </c>
      <c r="H15" s="112" t="str">
        <f>Total!H2822</f>
        <v>Assistència tècnica per a la redacció del projecte constructiu "Mesures de seguretat viària a la C-243c. Itinerari per a vianants del PK 1+000 al PK 2+400, i construcció de cunetes trepitjables del PK 10+900 al 12+900. Castellbisbal - Terrassa".</v>
      </c>
      <c r="I15" s="157">
        <f>Total!I2822</f>
        <v>31500</v>
      </c>
    </row>
    <row r="16" spans="1:9" x14ac:dyDescent="0.2">
      <c r="A16" s="8">
        <v>15</v>
      </c>
      <c r="B16" s="101">
        <f>Total!B2823</f>
        <v>44330</v>
      </c>
      <c r="C16" s="101">
        <f>Total!C2823</f>
        <v>44354</v>
      </c>
      <c r="D16" s="112" t="s">
        <v>1092</v>
      </c>
      <c r="E16" s="332" t="str">
        <f>Total!E2823</f>
        <v>Obra Civil</v>
      </c>
      <c r="F16" s="96" t="str">
        <f>Total!F2823</f>
        <v>Projectes</v>
      </c>
      <c r="G16" s="112" t="str">
        <f>Total!G2823</f>
        <v>PC.TF-11225.F3</v>
      </c>
      <c r="H16" s="112" t="str">
        <f>Total!H2823</f>
        <v>Contracte de serveis per a l'assistència tècnica per a la redacció del projecte constructiu del perllongament de la línia Llobregat ¿ Anoia d'FGC a Barcelona. Plaça Espanya- Gràcia. Senyalització i enclavaments.</v>
      </c>
      <c r="I16" s="157">
        <f>Total!I2823</f>
        <v>139042.41</v>
      </c>
    </row>
    <row r="17" spans="1:9" x14ac:dyDescent="0.2">
      <c r="A17" s="8">
        <v>16</v>
      </c>
      <c r="B17" s="101">
        <f>Total!B2824</f>
        <v>44330</v>
      </c>
      <c r="C17" s="101">
        <f>Total!C2824</f>
        <v>44361</v>
      </c>
      <c r="D17" s="112" t="s">
        <v>1092</v>
      </c>
      <c r="E17" s="332" t="str">
        <f>Total!E2824</f>
        <v>Obra Civil</v>
      </c>
      <c r="F17" s="96" t="str">
        <f>Total!F2824</f>
        <v>Projectes</v>
      </c>
      <c r="G17" s="112" t="str">
        <f>Total!G2824</f>
        <v>PC.TF-11225.F2</v>
      </c>
      <c r="H17" s="112" t="str">
        <f>Total!H2824</f>
        <v>Contracte de serveis per a l'assistència tècnica per a la redacció del projecte constructiu del perllongament de la línia Llobregat ¿ Anoia d'FGC a Barcelona. Plaça Espanya-Gràcia. Superestructura de via i catenària.</v>
      </c>
      <c r="I17" s="157">
        <f>Total!I2824</f>
        <v>251624.72</v>
      </c>
    </row>
    <row r="18" spans="1:9" x14ac:dyDescent="0.2">
      <c r="A18" s="8">
        <v>17</v>
      </c>
      <c r="B18" s="101">
        <f>Total!B2825</f>
        <v>44330</v>
      </c>
      <c r="C18" s="101">
        <f>Total!C2825</f>
        <v>44347</v>
      </c>
      <c r="D18" s="112" t="s">
        <v>1092</v>
      </c>
      <c r="E18" s="332" t="str">
        <f>Total!E2825</f>
        <v>Obra Civil</v>
      </c>
      <c r="F18" s="96" t="str">
        <f>Total!F2825</f>
        <v>Direccions d'obra</v>
      </c>
      <c r="G18" s="112" t="str">
        <f>Total!G2825</f>
        <v>DO. SPD-20261.2</v>
      </c>
      <c r="H18" s="112" t="str">
        <f>Total!H2825</f>
        <v>Contracte de serveis per a la direcció de les obres de "troncal de fibra òptica, tram: Les Borges Blanques-Montblanc". Fase 2 (Ciutadilla-Solivella).</v>
      </c>
      <c r="I18" s="157">
        <f>Total!I2825</f>
        <v>28962.29</v>
      </c>
    </row>
    <row r="19" spans="1:9" x14ac:dyDescent="0.2">
      <c r="A19" s="8">
        <v>18</v>
      </c>
      <c r="B19" s="101">
        <f>Total!B2826</f>
        <v>44330</v>
      </c>
      <c r="C19" s="101">
        <f>Total!C2826</f>
        <v>44347</v>
      </c>
      <c r="D19" s="112" t="s">
        <v>1092</v>
      </c>
      <c r="E19" s="332" t="str">
        <f>Total!E2826</f>
        <v>Obra Civil</v>
      </c>
      <c r="F19" s="96" t="str">
        <f>Total!F2826</f>
        <v>Projectes</v>
      </c>
      <c r="G19" s="112" t="str">
        <f>Total!G2826</f>
        <v>PC.R0-21221</v>
      </c>
      <c r="H19" s="112" t="str">
        <f>Total!H2826</f>
        <v>Contracte de serveis per a l'assistència tècnica per a la redacció del Projecte constructiu de renovació per obsolescència d'equipaments per al sistema de videovigilància de la L9 de Metro de Barcelona.</v>
      </c>
      <c r="I19" s="157">
        <f>Total!I2826</f>
        <v>40000</v>
      </c>
    </row>
    <row r="20" spans="1:9" x14ac:dyDescent="0.2">
      <c r="A20" s="8">
        <v>19</v>
      </c>
      <c r="B20" s="101">
        <f>Total!B2828</f>
        <v>44330</v>
      </c>
      <c r="C20" s="101">
        <f>Total!C2828</f>
        <v>44361</v>
      </c>
      <c r="D20" s="112" t="s">
        <v>1092</v>
      </c>
      <c r="E20" s="332" t="str">
        <f>Total!E2828</f>
        <v>Obra Civil</v>
      </c>
      <c r="F20" s="96" t="str">
        <f>Total!F2828</f>
        <v>Projectes</v>
      </c>
      <c r="G20" s="112" t="str">
        <f>Total!G2828</f>
        <v>PC.TF-11225.F7</v>
      </c>
      <c r="H20" s="112" t="str">
        <f>Total!H2828</f>
        <v>Contracte de serveis per a l'assistència tècnica per a la redacció del projecte constructiu del perllongament de la Línia Llobregat - Anoia d'FGC a Barcelona. Plaça Espanya - Gràcia. Instal·lacions i arquitectura de l'estació de Gràcia.</v>
      </c>
      <c r="I20" s="157">
        <f>Total!I2828</f>
        <v>216550.45</v>
      </c>
    </row>
    <row r="21" spans="1:9" x14ac:dyDescent="0.2">
      <c r="A21" s="8">
        <v>20</v>
      </c>
      <c r="B21" s="101">
        <f>Total!B2829</f>
        <v>44330</v>
      </c>
      <c r="C21" s="101">
        <f>Total!C2829</f>
        <v>44347</v>
      </c>
      <c r="D21" s="112" t="s">
        <v>1092</v>
      </c>
      <c r="E21" s="332" t="str">
        <f>Total!E2829</f>
        <v>Obra Civil</v>
      </c>
      <c r="F21" s="96" t="str">
        <f>Total!F2829</f>
        <v>Direccions d'obra</v>
      </c>
      <c r="G21" s="112" t="str">
        <f>Total!G2829</f>
        <v>DO. SPD-20259.1</v>
      </c>
      <c r="H21" s="112" t="str">
        <f>Total!H2829</f>
        <v>Contracte de serveis per a la direcció de les obres de "Xarxa de fibra òptica, tram: Reus - Valls".</v>
      </c>
      <c r="I21" s="157">
        <f>Total!I2829</f>
        <v>39762.67</v>
      </c>
    </row>
    <row r="22" spans="1:9" x14ac:dyDescent="0.2">
      <c r="A22" s="8">
        <v>21</v>
      </c>
      <c r="B22" s="101">
        <f>Total!B2830</f>
        <v>44330</v>
      </c>
      <c r="C22" s="101">
        <f>Total!C2830</f>
        <v>44347</v>
      </c>
      <c r="D22" s="112" t="s">
        <v>1092</v>
      </c>
      <c r="E22" s="332" t="str">
        <f>Total!E2830</f>
        <v>Obra Civil</v>
      </c>
      <c r="F22" s="96" t="str">
        <f>Total!F2830</f>
        <v>Direccions d'obra</v>
      </c>
      <c r="G22" s="112" t="str">
        <f>Total!G2830</f>
        <v>DO. SPD-20263.1+1</v>
      </c>
      <c r="H22" s="112" t="str">
        <f>Total!H2830</f>
        <v>Contracte de serveis per a la direcció de les obres de "Xarxa de fibra òptica, tram: Lleida ¿ Móra la Nova". (Lleida). Fase 1 (Lleida-Alcanó). Clau: SPD-20263.1 i Fase 2 (Alcanó-Límit província).</v>
      </c>
      <c r="I22" s="157">
        <f>Total!I2830</f>
        <v>75602.8</v>
      </c>
    </row>
    <row r="23" spans="1:9" x14ac:dyDescent="0.2">
      <c r="A23" s="8">
        <v>22</v>
      </c>
      <c r="B23" s="101">
        <f>Total!B2831</f>
        <v>44330</v>
      </c>
      <c r="C23" s="101">
        <f>Total!C2831</f>
        <v>44347</v>
      </c>
      <c r="D23" s="112" t="s">
        <v>1092</v>
      </c>
      <c r="E23" s="332" t="str">
        <f>Total!E2831</f>
        <v>Obra Civil</v>
      </c>
      <c r="F23" s="96" t="str">
        <f>Total!F2831</f>
        <v>Direccions d'obra</v>
      </c>
      <c r="G23" s="112" t="str">
        <f>Total!G2831</f>
        <v>DO. SPD-20323</v>
      </c>
      <c r="H23" s="112" t="str">
        <f>Total!H2831</f>
        <v>Contracte de serveis per a la direcció de les obres de "Xarxa de fibra òptica, tram: Borges Blanques ¿ Sant Martí de Riucorb".</v>
      </c>
      <c r="I23" s="157">
        <f>Total!I2831</f>
        <v>29620.51</v>
      </c>
    </row>
    <row r="24" spans="1:9" x14ac:dyDescent="0.2">
      <c r="A24" s="8">
        <v>23</v>
      </c>
      <c r="B24" s="101">
        <f>Total!B2832</f>
        <v>44330</v>
      </c>
      <c r="C24" s="101">
        <f>Total!C2832</f>
        <v>44347</v>
      </c>
      <c r="D24" s="112" t="s">
        <v>1092</v>
      </c>
      <c r="E24" s="332" t="str">
        <f>Total!E2832</f>
        <v>Obra Civil</v>
      </c>
      <c r="F24" s="96" t="str">
        <f>Total!F2832</f>
        <v>Direccions d'obra</v>
      </c>
      <c r="G24" s="112" t="str">
        <f>Total!G2832</f>
        <v>CSS. PRL-21001</v>
      </c>
      <c r="H24" s="112" t="str">
        <f>Total!H2832</f>
        <v>Contracte de serveis per a la Supervisió de la Prevenció de Riscos Laborals i de la Coordinació de la Seguretat i Salut de les obres de la Línia 9 del metro de Barcelona.</v>
      </c>
      <c r="I24" s="157">
        <f>Total!I2832</f>
        <v>99000</v>
      </c>
    </row>
    <row r="25" spans="1:9" x14ac:dyDescent="0.2">
      <c r="A25" s="8">
        <v>24</v>
      </c>
      <c r="B25" s="101">
        <f>Total!B2833</f>
        <v>44330</v>
      </c>
      <c r="C25" s="101">
        <f>Total!C2833</f>
        <v>44361</v>
      </c>
      <c r="D25" s="112" t="s">
        <v>1092</v>
      </c>
      <c r="E25" s="332" t="str">
        <f>Total!E2833</f>
        <v>Obra Civil</v>
      </c>
      <c r="F25" s="96" t="str">
        <f>Total!F2833</f>
        <v>Projectes</v>
      </c>
      <c r="G25" s="112" t="str">
        <f>Total!G2833</f>
        <v>PC. TF-11225.F6</v>
      </c>
      <c r="H25" s="112" t="str">
        <f>Total!H2833</f>
        <v>Contracte de serveis per a l'assistència tècnica per a la redacció del projecte constructiu del perllongament de la Línia Llobregat - Anoia d'FGC a Barcelona. Plaça Espanya - Gràcia. Instal·lacions i arquitectura de l'estació de Francesc Macià.</v>
      </c>
      <c r="I25" s="157">
        <f>Total!I2833</f>
        <v>216550.45</v>
      </c>
    </row>
    <row r="26" spans="1:9" x14ac:dyDescent="0.2">
      <c r="A26" s="8">
        <v>25</v>
      </c>
      <c r="B26" s="101">
        <f>Total!B2834</f>
        <v>44333</v>
      </c>
      <c r="C26" s="101">
        <f>Total!C2834</f>
        <v>44361</v>
      </c>
      <c r="D26" s="112" t="s">
        <v>1092</v>
      </c>
      <c r="E26" s="332" t="str">
        <f>Total!E2834</f>
        <v>Obra Civil</v>
      </c>
      <c r="F26" s="96" t="str">
        <f>Total!F2834</f>
        <v>Projectes</v>
      </c>
      <c r="G26" s="112" t="str">
        <f>Total!G2834</f>
        <v>PC. TF-11225.F5</v>
      </c>
      <c r="H26" s="112" t="str">
        <f>Total!H2834</f>
        <v>Contracte de serveis per a l'assistència tècnica per a la redacció del projecte constructiu del perllongament de la Línia Llobregat - Anoia d'FGC a Barcelona. Plaça Espanya - Gràcia. Instal·lacions i arquitectura de l'estació d'Hospital Clínic.</v>
      </c>
      <c r="I26" s="157">
        <f>Total!I2834</f>
        <v>229508.91</v>
      </c>
    </row>
    <row r="27" spans="1:9" x14ac:dyDescent="0.2">
      <c r="A27" s="8">
        <v>26</v>
      </c>
      <c r="B27" s="101">
        <f>Total!B2835</f>
        <v>44333</v>
      </c>
      <c r="C27" s="101">
        <f>Total!C2835</f>
        <v>44361</v>
      </c>
      <c r="D27" s="112" t="s">
        <v>1092</v>
      </c>
      <c r="E27" s="332" t="str">
        <f>Total!E2835</f>
        <v>Obra Civil</v>
      </c>
      <c r="F27" s="96" t="str">
        <f>Total!F2835</f>
        <v>Projectes</v>
      </c>
      <c r="G27" s="112" t="str">
        <f>Total!G2835</f>
        <v>PC. TF-11225.F4</v>
      </c>
      <c r="H27" s="112" t="str">
        <f>Total!H2835</f>
        <v>Redacció del projecte constructiu del perllongament de la Línia Llobregat - Anoia d'FGC a Barcelona. Plaça Espanya - Gràcia. Alimentació elèctrica, comunicacions i instal·lacions no ferroviàries de túnel i sortides d'emergència.</v>
      </c>
      <c r="I27" s="157">
        <f>Total!I2835</f>
        <v>389876.78</v>
      </c>
    </row>
    <row r="28" spans="1:9" x14ac:dyDescent="0.2">
      <c r="A28" s="8">
        <v>27</v>
      </c>
      <c r="B28" s="101">
        <f>Total!B2836</f>
        <v>44338</v>
      </c>
      <c r="C28" s="101">
        <f>Total!C2836</f>
        <v>44354</v>
      </c>
      <c r="D28" s="112" t="s">
        <v>1092</v>
      </c>
      <c r="E28" s="332" t="str">
        <f>Total!E2836</f>
        <v>Obra Civil</v>
      </c>
      <c r="F28" s="96" t="str">
        <f>Total!F2836</f>
        <v>Projectes</v>
      </c>
      <c r="G28" s="112" t="str">
        <f>Total!G2836</f>
        <v>EV. EA. PSE-19401</v>
      </c>
      <c r="H28" s="112" t="str">
        <f>Total!H2836</f>
        <v>Contracte de serveis per a la redacció de l'Estudi Ambiental. Recuperació i adequació ambiental de la Timoneda d'Alfés.</v>
      </c>
      <c r="I28" s="157">
        <f>Total!I2836</f>
        <v>28700</v>
      </c>
    </row>
    <row r="29" spans="1:9" x14ac:dyDescent="0.2">
      <c r="A29" s="8">
        <v>28</v>
      </c>
      <c r="B29" s="101">
        <f>Total!B2837</f>
        <v>44337</v>
      </c>
      <c r="C29" s="101">
        <f>Total!C2837</f>
        <v>44354</v>
      </c>
      <c r="D29" s="112" t="s">
        <v>1092</v>
      </c>
      <c r="E29" s="332" t="str">
        <f>Total!E2837</f>
        <v>Obra Civil</v>
      </c>
      <c r="F29" s="96" t="str">
        <f>Total!F2837</f>
        <v>Direccions d'Obra</v>
      </c>
      <c r="G29" s="112" t="str">
        <f>Total!G2837</f>
        <v>CSS. SPD-20264.1</v>
      </c>
      <c r="H29" s="112" t="str">
        <f>Total!H2837</f>
        <v>Contracte de serveis per a l'assistència tècnica de coordinació de seguretat i salut de les obres del projecte constructiu de xarxa de fibra òptica. Tram: Magraners (Lleida) ¿ Móra la Nova (Tram Lleida). Tram: límit província LL-T ¿ Móra la Nova.</v>
      </c>
      <c r="I29" s="157">
        <f>Total!I2837</f>
        <v>5400</v>
      </c>
    </row>
    <row r="30" spans="1:9" x14ac:dyDescent="0.2">
      <c r="A30" s="8">
        <v>29</v>
      </c>
      <c r="B30" s="101">
        <f>Total!B2838</f>
        <v>44337</v>
      </c>
      <c r="C30" s="101">
        <f>Total!C2838</f>
        <v>44354</v>
      </c>
      <c r="D30" s="112" t="s">
        <v>1092</v>
      </c>
      <c r="E30" s="332" t="str">
        <f>Total!E2838</f>
        <v>Obra Civil</v>
      </c>
      <c r="F30" s="96" t="str">
        <f>Total!F2838</f>
        <v>Direccions d'Obra</v>
      </c>
      <c r="G30" s="112" t="str">
        <f>Total!G2838</f>
        <v>CSS. SPD-20259.1</v>
      </c>
      <c r="H30" s="112" t="str">
        <f>Total!H2838</f>
        <v>Contracte de serveis per a l'assistència tècnica de coordinació de seguretat i salut de les obres del projecte constructiu de xarxa de fibra òptica. Tram: Reus - Valls.</v>
      </c>
      <c r="I30" s="157">
        <f>Total!I2838</f>
        <v>5400</v>
      </c>
    </row>
    <row r="31" spans="1:9" x14ac:dyDescent="0.2">
      <c r="A31" s="8">
        <v>30</v>
      </c>
      <c r="B31" s="101">
        <f>Total!B2839</f>
        <v>44337</v>
      </c>
      <c r="C31" s="101">
        <f>Total!C2839</f>
        <v>44354</v>
      </c>
      <c r="D31" s="112" t="s">
        <v>1092</v>
      </c>
      <c r="E31" s="332" t="str">
        <f>Total!E2839</f>
        <v>Obra Civil</v>
      </c>
      <c r="F31" s="96" t="str">
        <f>Total!F2839</f>
        <v>Direccions d'Obra</v>
      </c>
      <c r="G31" s="112" t="str">
        <f>Total!G2839</f>
        <v>PC. PC-VL-03014</v>
      </c>
      <c r="H31" s="112" t="str">
        <f>Total!H2839</f>
        <v>Contracte de serveis per a l'assistència tècnica per a la redacció del projecte constructiu "Variant de la C-233 des del PK 78+000 al 81+000. Vilanova de Bellpuig".</v>
      </c>
      <c r="I31" s="157">
        <f>Total!I2839</f>
        <v>91900</v>
      </c>
    </row>
    <row r="32" spans="1:9" x14ac:dyDescent="0.2">
      <c r="A32" s="8">
        <v>31</v>
      </c>
      <c r="B32" s="101">
        <f>Total!B2840</f>
        <v>44337</v>
      </c>
      <c r="C32" s="101">
        <f>Total!C2840</f>
        <v>44354</v>
      </c>
      <c r="D32" s="112" t="s">
        <v>1092</v>
      </c>
      <c r="E32" s="332" t="str">
        <f>Total!E2840</f>
        <v>Edificació</v>
      </c>
      <c r="F32" s="96" t="str">
        <f>Total!F2840</f>
        <v>Projectes i Direccions Facultatives</v>
      </c>
      <c r="G32" s="112" t="str">
        <f>Total!G2840</f>
        <v>PE+DF. JVX-20307</v>
      </c>
      <c r="H32" s="112" t="str">
        <f>Total!H2840</f>
        <v>Redacció del projecte bàsic i executiu i la posterior direcció facultativa de les obres RAM per la modernització del sistema de climatització, CCTV, intrusió, PDCI i megafonia, de l'edifici judicial de menors de Tarragona.</v>
      </c>
      <c r="I32" s="157">
        <f>Total!I2840</f>
        <v>56196.35</v>
      </c>
    </row>
    <row r="33" spans="1:9" x14ac:dyDescent="0.2">
      <c r="A33" s="8">
        <v>32</v>
      </c>
      <c r="B33" s="101">
        <f>Total!B2841</f>
        <v>44337</v>
      </c>
      <c r="C33" s="101">
        <f>Total!C2841</f>
        <v>44354</v>
      </c>
      <c r="D33" s="112" t="s">
        <v>1092</v>
      </c>
      <c r="E33" s="332" t="str">
        <f>Total!E2841</f>
        <v>Obra Civil</v>
      </c>
      <c r="F33" s="96" t="str">
        <f>Total!F2841</f>
        <v>Direccions d'Obra</v>
      </c>
      <c r="G33" s="112" t="str">
        <f>Total!G2841</f>
        <v>CSS. SPD-20261.2</v>
      </c>
      <c r="H33" s="112" t="str">
        <f>Total!H2841</f>
        <v>Contracte de serveis per a l'assistència tècnica de coordinació de seguretat i salut de les obres del projecte constructiu de troncal de fibra òptica. Tram: Borges Blanques-Montblanc. Fase 2 (Ciutadilla-Solivella).</v>
      </c>
      <c r="I33" s="157">
        <f>Total!I2841</f>
        <v>5400</v>
      </c>
    </row>
    <row r="34" spans="1:9" x14ac:dyDescent="0.2">
      <c r="A34" s="8">
        <v>33</v>
      </c>
      <c r="B34" s="101">
        <f>Total!B2842</f>
        <v>44337</v>
      </c>
      <c r="C34" s="101">
        <f>Total!C2842</f>
        <v>44354</v>
      </c>
      <c r="D34" s="112" t="s">
        <v>1092</v>
      </c>
      <c r="E34" s="332" t="str">
        <f>Total!E2842</f>
        <v>Obra Civil</v>
      </c>
      <c r="F34" s="96" t="str">
        <f>Total!F2842</f>
        <v>Direccions d'Obra</v>
      </c>
      <c r="G34" s="112" t="str">
        <f>Total!G2842</f>
        <v>CSS. SPD-20323</v>
      </c>
      <c r="H34" s="112" t="str">
        <f>Total!H2842</f>
        <v>Contracte de serveis per a l'assistència tècnica de coordinació de seguretat i salut de les obres del projecte constructiu de desplegament de la xarxa de fibra òptica. Troncal Borges Blanques - Sant Martí de Riucorb.</v>
      </c>
      <c r="I34" s="157">
        <f>Total!I2842</f>
        <v>3780</v>
      </c>
    </row>
    <row r="35" spans="1:9" x14ac:dyDescent="0.2">
      <c r="A35" s="8">
        <v>34</v>
      </c>
      <c r="B35" s="101">
        <f>Total!B2843</f>
        <v>44337</v>
      </c>
      <c r="C35" s="101">
        <f>Total!C2843</f>
        <v>44354</v>
      </c>
      <c r="D35" s="112" t="s">
        <v>1092</v>
      </c>
      <c r="E35" s="332" t="str">
        <f>Total!E2843</f>
        <v>Obra Civil</v>
      </c>
      <c r="F35" s="96" t="str">
        <f>Total!F2843</f>
        <v>Projectes</v>
      </c>
      <c r="G35" s="112" t="str">
        <f>Total!G2843</f>
        <v>PC. XC-15021.3</v>
      </c>
      <c r="H35" s="112" t="str">
        <f>Total!H2843</f>
        <v>Contracte de serveis per a l'assistència tècnica per a la redacció del projecte constructiu "Carril bici al llarg del Maresme. Arenys de Mar i Canet de Mar - Sant Pol de Mar".</v>
      </c>
      <c r="I35" s="157">
        <f>Total!I2843</f>
        <v>99400</v>
      </c>
    </row>
    <row r="36" spans="1:9" x14ac:dyDescent="0.2">
      <c r="A36" s="8">
        <v>35</v>
      </c>
      <c r="B36" s="101">
        <f>Total!B2844</f>
        <v>44341</v>
      </c>
      <c r="C36" s="101">
        <f>Total!C2844</f>
        <v>44361</v>
      </c>
      <c r="D36" s="112" t="s">
        <v>1092</v>
      </c>
      <c r="E36" s="332" t="str">
        <f>Total!E2844</f>
        <v>Obra Civil</v>
      </c>
      <c r="F36" s="96" t="str">
        <f>Total!F2844</f>
        <v>Direccions d'Obra</v>
      </c>
      <c r="G36" s="112" t="str">
        <f>Total!G2844</f>
        <v>ATAM. JC-19235 Lot 1 i Lot 2</v>
      </c>
      <c r="H36" s="112" t="str">
        <f>Total!H2844</f>
        <v>Contracte de serveis per a l'assistència tècnica ambiental de les obres del projecte constructiu del nou col·lector de salmorres. Conca del Llobregat. Ramal Llobregat. Tram: Abrera - Castellgalí. Lot 1 i Lot 2.</v>
      </c>
      <c r="I36" s="157">
        <f>Total!I2844</f>
        <v>204139.8</v>
      </c>
    </row>
    <row r="37" spans="1:9" x14ac:dyDescent="0.2">
      <c r="A37" s="8">
        <v>36</v>
      </c>
      <c r="B37" s="101">
        <f>Total!B2845</f>
        <v>44341</v>
      </c>
      <c r="C37" s="101">
        <f>Total!C2845</f>
        <v>44361</v>
      </c>
      <c r="D37" s="112" t="s">
        <v>1092</v>
      </c>
      <c r="E37" s="332" t="str">
        <f>Total!E2845</f>
        <v>Obra Civil</v>
      </c>
      <c r="F37" s="96" t="str">
        <f>Total!F2845</f>
        <v>Control de Qualitat</v>
      </c>
      <c r="G37" s="112" t="str">
        <f>Total!G2845</f>
        <v>CQ. JC-19235 - Lot 1</v>
      </c>
      <c r="H37" s="112" t="str">
        <f>Total!H2845</f>
        <v>Contracte de serveis per a l'assistència tècnica de control de qualitat de les obres del projecte constructiu del nou col·lector de salmorres. Conca del Llobregat. Ramal Llobregat. Tram Castellgalí - Abrera. Lot 1: Tram Castellgalí - El Cairat. Lot 1.</v>
      </c>
      <c r="I37" s="157">
        <f>Total!I2845</f>
        <v>127401.33</v>
      </c>
    </row>
    <row r="38" spans="1:9" x14ac:dyDescent="0.2">
      <c r="A38" s="8">
        <v>37</v>
      </c>
      <c r="B38" s="101">
        <f>Total!B2846</f>
        <v>44341</v>
      </c>
      <c r="C38" s="101">
        <f>Total!C2846</f>
        <v>44361</v>
      </c>
      <c r="D38" s="112" t="s">
        <v>1092</v>
      </c>
      <c r="E38" s="332" t="str">
        <f>Total!E2846</f>
        <v>Obra Civil</v>
      </c>
      <c r="F38" s="96" t="str">
        <f>Total!F2846</f>
        <v>Control de Qualitat</v>
      </c>
      <c r="G38" s="112" t="str">
        <f>Total!G2846</f>
        <v>CQ. JC-19235 - Lot 2</v>
      </c>
      <c r="H38" s="112" t="str">
        <f>Total!H2846</f>
        <v>Contracte de serveis per a l'assistència tècnica de control de qualitat de les obres del projecte constructiu del nou col·lector de salmorres. Conca del Llobregat. Ramal Llobregat. Tram Castellgalí - Abrera. Lot 2: Tram El Cairat - Abrera. Lot 2.</v>
      </c>
      <c r="I38" s="157">
        <f>Total!I2846</f>
        <v>68843.23</v>
      </c>
    </row>
    <row r="39" spans="1:9" x14ac:dyDescent="0.2">
      <c r="A39" s="8">
        <v>38</v>
      </c>
      <c r="B39" s="101">
        <f>Total!B2847</f>
        <v>44341</v>
      </c>
      <c r="C39" s="101">
        <f>Total!C2847</f>
        <v>44368</v>
      </c>
      <c r="D39" s="112" t="s">
        <v>1092</v>
      </c>
      <c r="E39" s="332" t="str">
        <f>Total!E2847</f>
        <v>Obra Civil</v>
      </c>
      <c r="F39" s="96" t="str">
        <f>Total!F2847</f>
        <v>Direccions d'Obra</v>
      </c>
      <c r="G39" s="112" t="str">
        <f>Total!G2847</f>
        <v>CSS. JC-19235</v>
      </c>
      <c r="H39" s="112" t="str">
        <f>Total!H2847</f>
        <v>Contracte de serveis per a l'assistència tècnica de coordinació de seguretat i salut de les obres del projecte constructiu del nou col·lector de salmorres. Conca del Llobregat. Ramal Llobregat. Tram: Abrera - Castellgalí. Lot 1 i Lot 2.</v>
      </c>
      <c r="I39" s="157">
        <f>Total!I2847</f>
        <v>216906</v>
      </c>
    </row>
    <row r="40" spans="1:9" x14ac:dyDescent="0.2">
      <c r="A40" s="8">
        <v>39</v>
      </c>
      <c r="B40" s="101">
        <f>Total!B2848</f>
        <v>44341</v>
      </c>
      <c r="C40" s="101">
        <f>Total!C2848</f>
        <v>44368</v>
      </c>
      <c r="D40" s="112" t="s">
        <v>1092</v>
      </c>
      <c r="E40" s="332" t="str">
        <f>Total!E2848</f>
        <v>Obra Civil</v>
      </c>
      <c r="F40" s="96" t="str">
        <f>Total!F2848</f>
        <v>Direccions d'Obra</v>
      </c>
      <c r="G40" s="112" t="str">
        <f>Total!G2848</f>
        <v>DO. JC-19235 - Lot 2</v>
      </c>
      <c r="H40" s="112" t="str">
        <f>Total!H2848</f>
        <v>Contracte de serveis per a la direcció de les obres del projecte constructiu del nou col·lector de salmorres. Conca del Llobregat. Ramal Llobregat. Tram Castellgalí - Abrera. Lot 2: Tram El Cairat - Abrera. Lot 2.</v>
      </c>
      <c r="I40" s="157">
        <f>Total!I2848</f>
        <v>582738.4</v>
      </c>
    </row>
    <row r="41" spans="1:9" x14ac:dyDescent="0.2">
      <c r="A41" s="8">
        <v>40</v>
      </c>
      <c r="B41" s="101">
        <f>Total!B2849</f>
        <v>44341</v>
      </c>
      <c r="C41" s="101">
        <f>Total!C2849</f>
        <v>44368</v>
      </c>
      <c r="D41" s="112" t="s">
        <v>1092</v>
      </c>
      <c r="E41" s="332" t="str">
        <f>Total!E2849</f>
        <v>Obra Civil</v>
      </c>
      <c r="F41" s="96" t="str">
        <f>Total!F2849</f>
        <v>Direccions d'Obra</v>
      </c>
      <c r="G41" s="112" t="str">
        <f>Total!G2849</f>
        <v>DO. JC-19235 - Lot 1</v>
      </c>
      <c r="H41" s="112" t="str">
        <f>Total!H2849</f>
        <v>Contracte de serveis per a la direcció de les obres del projecte constructiu del nou col·lector de salmorres. Conca del Llobregat. Ramal Llobregat. Tram Castellgalí - Abrera. Lot 1: Tram Castellgalí - El Cairat. Lot 1.</v>
      </c>
      <c r="I41" s="157">
        <f>Total!I2849</f>
        <v>930527.2</v>
      </c>
    </row>
    <row r="42" spans="1:9" x14ac:dyDescent="0.2">
      <c r="A42" s="8">
        <v>41</v>
      </c>
      <c r="B42" s="101">
        <f>Total!B2850</f>
        <v>44342</v>
      </c>
      <c r="C42" s="101">
        <f>Total!C2850</f>
        <v>44361</v>
      </c>
      <c r="D42" s="112" t="s">
        <v>1092</v>
      </c>
      <c r="E42" s="332" t="str">
        <f>Total!E2850</f>
        <v>Obra Civil</v>
      </c>
      <c r="F42" s="96" t="str">
        <f>Total!F2850</f>
        <v>Projectes</v>
      </c>
      <c r="G42" s="112" t="str">
        <f>Total!G2850</f>
        <v>PT-CIB-20095+PC-CIB-20095.F1</v>
      </c>
      <c r="H42" s="112" t="str">
        <f>Total!H2850</f>
        <v>Redacció projecte de traçat i proj. Constructiu per al reestudi de la secció transversal de la B-140 del pk 2,220 al 5,440 i nou enllaç amb l'accés a l'AP-7 i B-142 a Polinyà al pk 4,750 de la B140. Sabadell-Santa Perpètua de la Mogoda....</v>
      </c>
      <c r="I42" s="157">
        <f>Total!I2850</f>
        <v>195200</v>
      </c>
    </row>
    <row r="43" spans="1:9" x14ac:dyDescent="0.2">
      <c r="A43" s="8">
        <v>42</v>
      </c>
      <c r="B43" s="101">
        <f>Total!B2851</f>
        <v>44342</v>
      </c>
      <c r="C43" s="101">
        <f>Total!C2851</f>
        <v>44361</v>
      </c>
      <c r="D43" s="112" t="s">
        <v>1092</v>
      </c>
      <c r="E43" s="332" t="str">
        <f>Total!E2851</f>
        <v>Obra Civil</v>
      </c>
      <c r="F43" s="96" t="str">
        <f>Total!F2851</f>
        <v>Projectes</v>
      </c>
      <c r="G43" s="112" t="str">
        <f>Total!G2851</f>
        <v>CSS. SPD-20263.1+SPD-20263.2</v>
      </c>
      <c r="H43" s="112" t="str">
        <f>Total!H2851</f>
        <v>Assist. Tècnica conjunta de coordinació de seguretat i salut de les obres dels projectes constructius de xarxa de fibra òptica. Tram: Lleida-Móra la Nova (Lleida). Fase 1 (Lleida-Alcanó) i Fase 2 (Alcanó-límit província).</v>
      </c>
      <c r="I43" s="157">
        <f>Total!I2851</f>
        <v>8100</v>
      </c>
    </row>
    <row r="44" spans="1:9" x14ac:dyDescent="0.2">
      <c r="A44" s="8">
        <v>43</v>
      </c>
      <c r="B44" s="101">
        <f>Total!B2852</f>
        <v>44344</v>
      </c>
      <c r="C44" s="101">
        <f>Total!C2852</f>
        <v>44361</v>
      </c>
      <c r="D44" s="112" t="s">
        <v>1092</v>
      </c>
      <c r="E44" s="332" t="str">
        <f>Total!E2852</f>
        <v>Obra Civil</v>
      </c>
      <c r="F44" s="96" t="str">
        <f>Total!F2852</f>
        <v>Projectes</v>
      </c>
      <c r="G44" s="112" t="str">
        <f>Total!G2852</f>
        <v>PC. SPD-21244</v>
      </c>
      <c r="H44" s="112" t="str">
        <f>Total!H2852</f>
        <v>Contracte de serveis per a l'assistència tècnica per a la redacció del projecte de Troncal de Fibra Òptica entre les poblacions de Vilardida i Torredembarra.</v>
      </c>
      <c r="I44" s="157">
        <f>Total!I2852</f>
        <v>21487.599999999999</v>
      </c>
    </row>
    <row r="45" spans="1:9" x14ac:dyDescent="0.2">
      <c r="A45" s="8">
        <v>44</v>
      </c>
      <c r="B45" s="101">
        <f>Total!B2853</f>
        <v>44344</v>
      </c>
      <c r="C45" s="101">
        <f>Total!C2853</f>
        <v>44361</v>
      </c>
      <c r="D45" s="112" t="s">
        <v>1092</v>
      </c>
      <c r="E45" s="332" t="str">
        <f>Total!E2853</f>
        <v>Obra Civil</v>
      </c>
      <c r="F45" s="96" t="str">
        <f>Total!F2853</f>
        <v>Projectes</v>
      </c>
      <c r="G45" s="112" t="str">
        <f>Total!G2853</f>
        <v>PC. PC-CGB-20091</v>
      </c>
      <c r="H45" s="112" t="str">
        <f>Total!H2853</f>
        <v>Contracte de serveis per a l'assistència tècnica per a la redacció del projecte constructiu "Passarel·la de vianants a l'N-II al PK 664+300. Sant Pol de Mar".</v>
      </c>
      <c r="I45" s="157">
        <f>Total!I2853</f>
        <v>25000</v>
      </c>
    </row>
    <row r="46" spans="1:9" x14ac:dyDescent="0.2">
      <c r="A46" s="8">
        <v>45</v>
      </c>
      <c r="B46" s="101">
        <f>Total!B2854</f>
        <v>44344</v>
      </c>
      <c r="C46" s="101">
        <f>Total!C2854</f>
        <v>44361</v>
      </c>
      <c r="D46" s="112" t="s">
        <v>1092</v>
      </c>
      <c r="E46" s="332" t="str">
        <f>Total!E2854</f>
        <v>Edificació</v>
      </c>
      <c r="F46" s="96" t="str">
        <f>Total!F2854</f>
        <v>Direccions d'Obra</v>
      </c>
      <c r="G46" s="112" t="str">
        <f>Total!G2854</f>
        <v>DO. UPA-18278</v>
      </c>
      <c r="H46" s="112" t="str">
        <f>Total!H2854</f>
        <v>Contracte de serveis per a la direcció de les obres del projecte constructiu d'enderroc, neteja del sòl i millora ambiental a la finca El Vinyet al terme municipal de Tarragona.</v>
      </c>
      <c r="I46" s="157">
        <f>Total!I2854</f>
        <v>22342.34</v>
      </c>
    </row>
    <row r="47" spans="1:9" x14ac:dyDescent="0.2">
      <c r="A47" s="8">
        <v>46</v>
      </c>
      <c r="B47" s="101">
        <f>Total!B2855</f>
        <v>44344</v>
      </c>
      <c r="C47" s="101">
        <f>Total!C2855</f>
        <v>44361</v>
      </c>
      <c r="D47" s="112" t="s">
        <v>1092</v>
      </c>
      <c r="E47" s="332" t="str">
        <f>Total!E2855</f>
        <v>Edificació</v>
      </c>
      <c r="F47" s="96" t="str">
        <f>Total!F2855</f>
        <v>Control de Qualitat</v>
      </c>
      <c r="G47" s="112" t="str">
        <f>Total!G2855</f>
        <v>CQ. UPA-18278</v>
      </c>
      <c r="H47" s="112" t="str">
        <f>Total!H2855</f>
        <v>Contracte de serveis per a l'assistència tècnica de control de qualitat de les obres del projecte constructiu d'enderroc, neteja del sòl i millora ambiental a la finca el Vinyet al terme municipal de Tarragona.</v>
      </c>
      <c r="I47" s="157">
        <f>Total!I2855</f>
        <v>6719.28</v>
      </c>
    </row>
    <row r="48" spans="1:9" x14ac:dyDescent="0.2">
      <c r="A48" s="8">
        <v>47</v>
      </c>
      <c r="B48" s="101">
        <f>Total!B2856</f>
        <v>44344</v>
      </c>
      <c r="C48" s="101">
        <f>Total!C2856</f>
        <v>44361</v>
      </c>
      <c r="D48" s="112" t="s">
        <v>1092</v>
      </c>
      <c r="E48" s="332" t="str">
        <f>Total!E2856</f>
        <v>Obra Civil</v>
      </c>
      <c r="F48" s="96" t="str">
        <f>Total!F2856</f>
        <v>Projectes</v>
      </c>
      <c r="G48" s="112" t="str">
        <f>Total!G2856</f>
        <v>PC. SPD-21243</v>
      </c>
      <c r="H48" s="112" t="str">
        <f>Total!H2856</f>
        <v>Contracte de serveis per a l'assistència tècnica per a la redacció del Projecte de Troncal de Fibra Òptica entre els municipis de Vilaseca i Cambrils.</v>
      </c>
      <c r="I48" s="157">
        <f>Total!I2856</f>
        <v>20661.16</v>
      </c>
    </row>
    <row r="49" spans="1:9" x14ac:dyDescent="0.2">
      <c r="A49" s="8">
        <v>48</v>
      </c>
      <c r="B49" s="101">
        <f>Total!B2857</f>
        <v>44344</v>
      </c>
      <c r="C49" s="101">
        <f>Total!C2857</f>
        <v>44361</v>
      </c>
      <c r="D49" s="112" t="s">
        <v>1092</v>
      </c>
      <c r="E49" s="332" t="str">
        <f>Total!E2857</f>
        <v>Obra Civil</v>
      </c>
      <c r="F49" s="96" t="str">
        <f>Total!F2857</f>
        <v>Projectes</v>
      </c>
      <c r="G49" s="112" t="str">
        <f>Total!G2857</f>
        <v>PM.TM-00509.5K-M1</v>
      </c>
      <c r="H49" s="112" t="str">
        <f>Total!H2857</f>
        <v>Contracte de serveis per a l'assistència tècnica per a la redacció del projecte modificat 1 d'execució de les obres del projecte constructiu de pou Campus Nord de l'L9 de Metro de Barcelona. Pantalles.</v>
      </c>
      <c r="I49" s="157">
        <f>Total!I2857</f>
        <v>100000</v>
      </c>
    </row>
    <row r="50" spans="1:9" x14ac:dyDescent="0.2">
      <c r="A50" s="8">
        <v>49</v>
      </c>
      <c r="B50" s="101">
        <f>Total!B2858</f>
        <v>44344</v>
      </c>
      <c r="C50" s="101">
        <f>Total!C2858</f>
        <v>44361</v>
      </c>
      <c r="D50" s="112" t="s">
        <v>1092</v>
      </c>
      <c r="E50" s="332" t="str">
        <f>Total!E2858</f>
        <v>Obra Civil</v>
      </c>
      <c r="F50" s="96" t="str">
        <f>Total!F2858</f>
        <v>Projectes</v>
      </c>
      <c r="G50" s="112" t="str">
        <f>Total!G2858</f>
        <v>PC. PC-CGE-21010</v>
      </c>
      <c r="H50" s="112" t="str">
        <f>Total!H2858</f>
        <v>Contracte de serveis per a l'assistència tècnica per a la redacció del projecte constructiu "Estabilització de talussos a l'N-230b del PK 20+000 al 22+500, T-333 del PK 26+500 al 29+500 i T-330 del PK 17+500 a 22+500. Xerta-Horta Sant Joan".</v>
      </c>
      <c r="I50" s="157">
        <f>Total!I2858</f>
        <v>45300</v>
      </c>
    </row>
    <row r="51" spans="1:9" x14ac:dyDescent="0.2">
      <c r="A51" s="8">
        <v>50</v>
      </c>
      <c r="B51" s="101">
        <f>Total!B2859</f>
        <v>44344</v>
      </c>
      <c r="C51" s="101">
        <f>Total!C2859</f>
        <v>44361</v>
      </c>
      <c r="D51" s="112" t="s">
        <v>1092</v>
      </c>
      <c r="E51" s="332" t="str">
        <f>Total!E2859</f>
        <v>Obra Civil</v>
      </c>
      <c r="F51" s="96" t="str">
        <f>Total!F2859</f>
        <v>Projectes</v>
      </c>
      <c r="G51" s="112" t="str">
        <f>Total!G2859</f>
        <v>ES-MB-15053</v>
      </c>
      <c r="H51" s="112" t="str">
        <f>Total!H2859</f>
        <v>Redacció de l'estudi d'auditoria de seguretat de les obres de millora local. Seguretat viària. Millora de les característiques superficials del ferm i reestudi de la secció transversal. Carretera C-55, del PK 0+380 al 5+075. Abrera - Olesa de Montserrat.</v>
      </c>
      <c r="I51" s="157">
        <f>Total!I2859</f>
        <v>12536.4</v>
      </c>
    </row>
    <row r="52" spans="1:9" x14ac:dyDescent="0.2">
      <c r="A52" s="8">
        <v>51</v>
      </c>
      <c r="B52" s="101">
        <f>Total!B2860</f>
        <v>44344</v>
      </c>
      <c r="C52" s="101">
        <f>Total!C2860</f>
        <v>44361</v>
      </c>
      <c r="D52" s="112" t="s">
        <v>1092</v>
      </c>
      <c r="E52" s="332" t="str">
        <f>Total!E2860</f>
        <v>Edificació</v>
      </c>
      <c r="F52" s="96" t="str">
        <f>Total!F2860</f>
        <v>Direcció d'Execució</v>
      </c>
      <c r="G52" s="112" t="str">
        <f>Total!G2860</f>
        <v>CSS. UPA-18278</v>
      </c>
      <c r="H52" s="112" t="str">
        <f>Total!H2860</f>
        <v>Contracte de serveis per a l'assistència tècnica de coordinació de seguretat i salut de les obres del projecte constructiu d'enderroc, neteja del sòl i millora ambiental a la finca el Vinyet al terme municipal de Tarragona.</v>
      </c>
      <c r="I52" s="157">
        <f>Total!I2860</f>
        <v>4508.3999999999996</v>
      </c>
    </row>
    <row r="53" spans="1:9" x14ac:dyDescent="0.2">
      <c r="I53" s="126">
        <f>SUM(I2:I52)</f>
        <v>5760059.7400000012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46"/>
  <sheetViews>
    <sheetView topLeftCell="A13" workbookViewId="0">
      <selection activeCell="A13"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Total!B2763</f>
        <v>44287</v>
      </c>
      <c r="C2" s="101">
        <f>Total!C2763</f>
        <v>44307</v>
      </c>
      <c r="D2" s="112" t="s">
        <v>1092</v>
      </c>
      <c r="E2" s="332" t="str">
        <f>Total!E2763</f>
        <v>Obra Civil</v>
      </c>
      <c r="F2" s="96" t="str">
        <f>Total!F2763</f>
        <v>Projectes</v>
      </c>
      <c r="G2" s="112" t="str">
        <f>Total!G2763</f>
        <v>PC. MG-06156.1</v>
      </c>
      <c r="H2" s="112" t="str">
        <f>Total!H2763</f>
        <v>Redacció del projecte constructiu de passera sobre la riera d'Ardenya i formació d'itinerari de vianants a la GI-503, pk 9,300. Maçanet de Cabrenys.</v>
      </c>
      <c r="I2" s="157">
        <f>Total!I2763</f>
        <v>27000</v>
      </c>
    </row>
    <row r="3" spans="1:9" x14ac:dyDescent="0.2">
      <c r="A3" s="8">
        <v>2</v>
      </c>
      <c r="B3" s="101">
        <f>Total!B2764</f>
        <v>44287</v>
      </c>
      <c r="C3" s="101">
        <f>Total!C2764</f>
        <v>44307</v>
      </c>
      <c r="D3" s="112" t="s">
        <v>1092</v>
      </c>
      <c r="E3" s="332" t="str">
        <f>Total!E2764</f>
        <v>Obra Civil</v>
      </c>
      <c r="F3" s="96" t="str">
        <f>Total!F2764</f>
        <v>Direccions d'Obra</v>
      </c>
      <c r="G3" s="112" t="str">
        <f>Total!G2764</f>
        <v>CSS. PC-CMB-17044-AA</v>
      </c>
      <c r="H3" s="112" t="str">
        <f>Total!H2764</f>
        <v>Coord. S.S. de les obres del projecte constructiu de millora local. Seguretat viària. Reestudi de la secció transversal i millora de diversos elements funcionals de la ctra Bp-1417, del pk 0,000 al 11,460. Tram: Barceloa-Sant Cugat del Vallès. 2 lots.</v>
      </c>
      <c r="I3" s="157">
        <f>Total!I2764</f>
        <v>6288</v>
      </c>
    </row>
    <row r="4" spans="1:9" x14ac:dyDescent="0.2">
      <c r="A4" s="8">
        <v>3</v>
      </c>
      <c r="B4" s="101">
        <f>Total!B2765</f>
        <v>44287</v>
      </c>
      <c r="C4" s="101">
        <f>Total!C2765</f>
        <v>44307</v>
      </c>
      <c r="D4" s="112" t="s">
        <v>1092</v>
      </c>
      <c r="E4" s="332" t="str">
        <f>Total!E2765</f>
        <v>Obra Civil</v>
      </c>
      <c r="F4" s="96" t="str">
        <f>Total!F2765</f>
        <v>Control de Qualitat</v>
      </c>
      <c r="G4" s="112" t="str">
        <f>Total!G2765</f>
        <v>CQ. PC-CMB-17044-AA</v>
      </c>
      <c r="H4" s="112" t="str">
        <f>Total!H2765</f>
        <v>Control de qualitat d'obres del projecte constructiu de millora local. Seguretat viària. Reestudi de la secció transversal i millora de diversos elements funcionals de la ctra Bp-1417, del pk 0,000 al 11,460. Tram: Barceloa-Sant Cugat del Vallès. 2 lots.</v>
      </c>
      <c r="I4" s="157">
        <f>Total!I2765</f>
        <v>7402.03</v>
      </c>
    </row>
    <row r="5" spans="1:9" x14ac:dyDescent="0.2">
      <c r="A5" s="8">
        <v>4</v>
      </c>
      <c r="B5" s="101">
        <f>Total!B2766</f>
        <v>44287</v>
      </c>
      <c r="C5" s="101">
        <f>Total!C2766</f>
        <v>44307</v>
      </c>
      <c r="D5" s="112" t="s">
        <v>1092</v>
      </c>
      <c r="E5" s="332" t="str">
        <f>Total!E2766</f>
        <v>Obra Civil</v>
      </c>
      <c r="F5" s="96" t="str">
        <f>Total!F2766</f>
        <v>Direccions d'Obra</v>
      </c>
      <c r="G5" s="112" t="str">
        <f>Total!G2766</f>
        <v>DO. PC-CMB-17044-AA</v>
      </c>
      <c r="H5" s="112" t="str">
        <f>Total!H2766</f>
        <v>Direcció de les obres de millora local. Seguretat viària. Reestudi de la secció transversal i millora de diversos elements funcionals de la ctra Bp-1417, del pk 0,000 al 11,460. Tram: Barceloa-Sant Cugat del Vallès. 2 lots.</v>
      </c>
      <c r="I5" s="157">
        <f>Total!I2766</f>
        <v>26869.4</v>
      </c>
    </row>
    <row r="6" spans="1:9" x14ac:dyDescent="0.2">
      <c r="A6" s="8">
        <v>5</v>
      </c>
      <c r="B6" s="101">
        <f>Total!B2767</f>
        <v>44293</v>
      </c>
      <c r="C6" s="101">
        <f>Total!C2767</f>
        <v>44312</v>
      </c>
      <c r="D6" s="112" t="s">
        <v>1092</v>
      </c>
      <c r="E6" s="332" t="str">
        <f>Total!E2767</f>
        <v>Obra Civil</v>
      </c>
      <c r="F6" s="96" t="str">
        <f>Total!F2767</f>
        <v>Direccions d'Obra</v>
      </c>
      <c r="G6" s="112" t="str">
        <f>Total!G2767</f>
        <v>DO. VX-16278</v>
      </c>
      <c r="H6" s="112" t="str">
        <f>Total!H2767</f>
        <v>Serveis per a la direcció de les obres del projecte constructiu de la modernització del reg a la zona dels Torrents de Valls. Fase 2.</v>
      </c>
      <c r="I6" s="157">
        <f>Total!I2767</f>
        <v>178724.69</v>
      </c>
    </row>
    <row r="7" spans="1:9" x14ac:dyDescent="0.2">
      <c r="A7" s="8">
        <v>6</v>
      </c>
      <c r="B7" s="101">
        <f>Total!B2768</f>
        <v>44293</v>
      </c>
      <c r="C7" s="101">
        <f>Total!C2768</f>
        <v>44314</v>
      </c>
      <c r="D7" s="112" t="s">
        <v>1092</v>
      </c>
      <c r="E7" s="332" t="str">
        <f>Total!E2768</f>
        <v>Edificació</v>
      </c>
      <c r="F7" s="96" t="str">
        <f>Total!F2768</f>
        <v>Projectes i Direccions Facultatives</v>
      </c>
      <c r="G7" s="112" t="str">
        <f>Total!G2768</f>
        <v>PE+DF. PCR-21225</v>
      </c>
      <c r="H7" s="112" t="str">
        <f>Total!H2768</f>
        <v>Redacció del projecte bàsic i executiu i la posterior direcció facultativa de les obres RAM de reforma per l'adequació del CAT de Vilajuïga com a nova Seu del Parc Natural de Cap de Creus.</v>
      </c>
      <c r="I7" s="157">
        <f>Total!I2768</f>
        <v>11000</v>
      </c>
    </row>
    <row r="8" spans="1:9" x14ac:dyDescent="0.2">
      <c r="A8" s="8">
        <v>7</v>
      </c>
      <c r="B8" s="101">
        <f>Total!B2769</f>
        <v>44294</v>
      </c>
      <c r="C8" s="101">
        <f>Total!C2769</f>
        <v>44314</v>
      </c>
      <c r="D8" s="112" t="s">
        <v>1092</v>
      </c>
      <c r="E8" s="332" t="str">
        <f>Total!E2769</f>
        <v>Edificació</v>
      </c>
      <c r="F8" s="96" t="str">
        <f>Total!F2769</f>
        <v>Direccions d'execució</v>
      </c>
      <c r="G8" s="112" t="str">
        <f>Total!G2769</f>
        <v>DE. S17-INV-02542 (VO1)</v>
      </c>
      <c r="H8" s="112" t="str">
        <f>Total!H2769</f>
        <v>Direcció d'execució de les obres de rehabilitació de soleres i espais afectats per acció d'escòries siderúrgiques a l'IES Rovira i Forns de Santa Perpètua de la Mogoda.</v>
      </c>
      <c r="I8" s="157">
        <f>Total!I2769</f>
        <v>16000</v>
      </c>
    </row>
    <row r="9" spans="1:9" x14ac:dyDescent="0.2">
      <c r="A9" s="8">
        <v>8</v>
      </c>
      <c r="B9" s="101">
        <f>Total!B2770</f>
        <v>44294</v>
      </c>
      <c r="C9" s="101">
        <f>Total!C2770</f>
        <v>44312</v>
      </c>
      <c r="D9" s="112" t="s">
        <v>1092</v>
      </c>
      <c r="E9" s="332" t="str">
        <f>Total!E2770</f>
        <v>Edificació</v>
      </c>
      <c r="F9" s="96" t="str">
        <f>Total!F2770</f>
        <v>Control de Qualitat</v>
      </c>
      <c r="G9" s="112" t="str">
        <f>Total!G2770</f>
        <v>CQ. JJV-18286.1</v>
      </c>
      <c r="H9" s="112" t="str">
        <f>Total!H2770</f>
        <v>Control de qualitat de l'execució de les obres d'adequació i reforma dels ascensor dels edificis judicials de Lleida, Tarragona, Girona, Tortosa i Mataró.</v>
      </c>
      <c r="I9" s="157">
        <f>Total!I2770</f>
        <v>16908.3</v>
      </c>
    </row>
    <row r="10" spans="1:9" x14ac:dyDescent="0.2">
      <c r="A10" s="8">
        <v>9</v>
      </c>
      <c r="B10" s="101">
        <f>Total!B2771</f>
        <v>44294</v>
      </c>
      <c r="C10" s="101">
        <f>Total!C2771</f>
        <v>44312</v>
      </c>
      <c r="D10" s="112" t="s">
        <v>1092</v>
      </c>
      <c r="E10" s="332" t="str">
        <f>Total!E2771</f>
        <v>Obra Civil</v>
      </c>
      <c r="F10" s="96" t="str">
        <f>Total!F2771</f>
        <v>Projectes</v>
      </c>
      <c r="G10" s="112" t="str">
        <f>Total!G2771</f>
        <v>PC. PC-CPG-21003</v>
      </c>
      <c r="H10" s="112" t="str">
        <f>Total!H2771</f>
        <v>Redacció del projecte constructiu "Eixample i ordenació d'accessos a la GI-555 del pk 0,000 a l'1,350. Sils.</v>
      </c>
      <c r="I10" s="157">
        <f>Total!I2771</f>
        <v>100300</v>
      </c>
    </row>
    <row r="11" spans="1:9" x14ac:dyDescent="0.2">
      <c r="A11" s="8">
        <v>10</v>
      </c>
      <c r="B11" s="101">
        <f>Total!B2772</f>
        <v>44294</v>
      </c>
      <c r="C11" s="101">
        <f>Total!C2772</f>
        <v>44314</v>
      </c>
      <c r="D11" s="112" t="s">
        <v>1092</v>
      </c>
      <c r="E11" s="332" t="str">
        <f>Total!E2772</f>
        <v>Edificació</v>
      </c>
      <c r="F11" s="96" t="str">
        <f>Total!F2772</f>
        <v>Control de Qualitat</v>
      </c>
      <c r="G11" s="112" t="str">
        <f>Total!G2772</f>
        <v>CQ. S17-INV-02542 (VO1)</v>
      </c>
      <c r="H11" s="112" t="str">
        <f>Total!H2772</f>
        <v>Control de qualitat de les obres de rehabilitació de soleres i espais afectats per acció d'escòries siderúrgiques a l'IES Rovira i Fonrs de Santa Perpètua de la Mogoda.</v>
      </c>
      <c r="I11" s="157">
        <f>Total!I2772</f>
        <v>5572.06</v>
      </c>
    </row>
    <row r="12" spans="1:9" x14ac:dyDescent="0.2">
      <c r="A12" s="8">
        <v>11</v>
      </c>
      <c r="B12" s="101">
        <f>Total!B2773</f>
        <v>44294</v>
      </c>
      <c r="C12" s="101">
        <f>Total!C2773</f>
        <v>44314</v>
      </c>
      <c r="D12" s="112" t="s">
        <v>1092</v>
      </c>
      <c r="E12" s="332" t="str">
        <f>Total!E2773</f>
        <v>Edificació</v>
      </c>
      <c r="F12" s="96" t="str">
        <f>Total!F2773</f>
        <v>Direccions d'Obra</v>
      </c>
      <c r="G12" s="112" t="str">
        <f>Total!G2773</f>
        <v>DO. S17-INV-02542 (VO1)</v>
      </c>
      <c r="H12" s="112" t="str">
        <f>Total!H2773</f>
        <v>Direcció de les obres de rehabilitació de soleres i espais afectats per acció d'escòries siderúrgiques a l'IES Rovira i Fonrs de Santa Perpètua de la Mogoda.</v>
      </c>
      <c r="I12" s="157">
        <f>Total!I2773</f>
        <v>19200</v>
      </c>
    </row>
    <row r="13" spans="1:9" x14ac:dyDescent="0.2">
      <c r="A13" s="8">
        <v>12</v>
      </c>
      <c r="B13" s="101">
        <f>Total!B2774</f>
        <v>44294</v>
      </c>
      <c r="C13" s="101">
        <f>Total!C2774</f>
        <v>44312</v>
      </c>
      <c r="D13" s="112" t="s">
        <v>1092</v>
      </c>
      <c r="E13" s="332" t="str">
        <f>Total!E2774</f>
        <v>Edificació</v>
      </c>
      <c r="F13" s="96" t="str">
        <f>Total!F2774</f>
        <v>Projectes</v>
      </c>
      <c r="G13" s="112" t="str">
        <f>Total!G2774</f>
        <v>E1. JVX-20274</v>
      </c>
      <c r="H13" s="112" t="str">
        <f>Total!H2774</f>
        <v>Assistència tècnica per a la redacció del Dictamen estructural i estudi de patologies del Centre Penitenciari de Ponent situat a la ciutat de Lleida.</v>
      </c>
      <c r="I13" s="157">
        <f>Total!I2774</f>
        <v>33500</v>
      </c>
    </row>
    <row r="14" spans="1:9" x14ac:dyDescent="0.2">
      <c r="A14" s="8">
        <v>13</v>
      </c>
      <c r="B14" s="101">
        <f>Total!B2775</f>
        <v>44294</v>
      </c>
      <c r="C14" s="101">
        <f>Total!C2775</f>
        <v>44312</v>
      </c>
      <c r="D14" s="112" t="s">
        <v>1092</v>
      </c>
      <c r="E14" s="332" t="str">
        <f>Total!E2775</f>
        <v>Obra Civil</v>
      </c>
      <c r="F14" s="96" t="str">
        <f>Total!F2775</f>
        <v>Control de Qualitat</v>
      </c>
      <c r="G14" s="112" t="str">
        <f>Total!G2775</f>
        <v>CQ. VX-16278</v>
      </c>
      <c r="H14" s="112" t="str">
        <f>Total!H2775</f>
        <v>Assistència tècnica de control de qualitat de les obres del projecte constructiu de la modernització del reg a la zona dels Torrents de Valls.</v>
      </c>
      <c r="I14" s="157">
        <f>Total!I2775</f>
        <v>43870.19</v>
      </c>
    </row>
    <row r="15" spans="1:9" x14ac:dyDescent="0.2">
      <c r="A15" s="8">
        <v>14</v>
      </c>
      <c r="B15" s="101">
        <f>Total!B2776</f>
        <v>44294</v>
      </c>
      <c r="C15" s="101">
        <f>Total!C2776</f>
        <v>44312</v>
      </c>
      <c r="D15" s="112" t="s">
        <v>1092</v>
      </c>
      <c r="E15" s="332" t="str">
        <f>Total!E2776</f>
        <v>Edificació</v>
      </c>
      <c r="F15" s="96" t="str">
        <f>Total!F2776</f>
        <v>Direccions d'execució</v>
      </c>
      <c r="G15" s="112" t="str">
        <f>Total!G2776</f>
        <v>DE. JJV-18286.1</v>
      </c>
      <c r="H15" s="112" t="str">
        <f>Total!H2776</f>
        <v>Direcció d'execució de les obres d'adequació i reforma dels ascensor dels edificis judicials de Lleida, Tarragona, Girona, Tortosa i Mataró.</v>
      </c>
      <c r="I15" s="157">
        <f>Total!I2776</f>
        <v>41000</v>
      </c>
    </row>
    <row r="16" spans="1:9" x14ac:dyDescent="0.2">
      <c r="A16" s="8">
        <v>15</v>
      </c>
      <c r="B16" s="101">
        <f>Total!B2777</f>
        <v>44294</v>
      </c>
      <c r="C16" s="101">
        <f>Total!C2777</f>
        <v>44312</v>
      </c>
      <c r="D16" s="112" t="s">
        <v>1092</v>
      </c>
      <c r="E16" s="332" t="str">
        <f>Total!E2777</f>
        <v>Obra Civil</v>
      </c>
      <c r="F16" s="96" t="str">
        <f>Total!F2777</f>
        <v>Projectes</v>
      </c>
      <c r="G16" s="112" t="str">
        <f>Total!G2777</f>
        <v>PC. MB-15028-C1</v>
      </c>
      <c r="H16" s="112" t="str">
        <f>Total!H2777</f>
        <v>Redacció del projecte constructiu complementari d'instal·lació dels elements necessaris pel sistema de peatge virtual tancat a la C-58, a l'alçada del pk 24,000 de l'autopista C-16. Terrassa.</v>
      </c>
      <c r="I16" s="157">
        <f>Total!I2777</f>
        <v>38619.32</v>
      </c>
    </row>
    <row r="17" spans="1:9" x14ac:dyDescent="0.2">
      <c r="A17" s="8">
        <v>16</v>
      </c>
      <c r="B17" s="101">
        <f>Total!B2778</f>
        <v>44294</v>
      </c>
      <c r="C17" s="101">
        <f>Total!C2778</f>
        <v>44312</v>
      </c>
      <c r="D17" s="112" t="s">
        <v>1092</v>
      </c>
      <c r="E17" s="332" t="str">
        <f>Total!E2778</f>
        <v>Edificació</v>
      </c>
      <c r="F17" s="96" t="str">
        <f>Total!F2778</f>
        <v>Direccions d'Obra</v>
      </c>
      <c r="G17" s="112" t="str">
        <f>Total!G2778</f>
        <v>CSS. JJV-18286.1</v>
      </c>
      <c r="H17" s="112" t="str">
        <f>Total!H2778</f>
        <v>Assistència tècnica de coordinació de seguretat i salut de les obres d'adequació i reforma dels ascensor dels edificis judicials de Lleida, Tarragona, Girona, Tortosa i Mataró.</v>
      </c>
      <c r="I17" s="157">
        <f>Total!I2778</f>
        <v>12300</v>
      </c>
    </row>
    <row r="18" spans="1:9" x14ac:dyDescent="0.2">
      <c r="A18" s="8">
        <v>17</v>
      </c>
      <c r="B18" s="101">
        <f>Total!B2779</f>
        <v>44294</v>
      </c>
      <c r="C18" s="101">
        <f>Total!C2779</f>
        <v>44312</v>
      </c>
      <c r="D18" s="112" t="s">
        <v>1092</v>
      </c>
      <c r="E18" s="332" t="str">
        <f>Total!E2779</f>
        <v>Obra Civil</v>
      </c>
      <c r="F18" s="96" t="str">
        <f>Total!F2779</f>
        <v>Direccions d'Obra</v>
      </c>
      <c r="G18" s="112" t="str">
        <f>Total!G2779</f>
        <v>ATAM. VX-16278</v>
      </c>
      <c r="H18" s="112" t="str">
        <f>Total!H2779</f>
        <v>Assistència tècnica ambiental de les obres del projecte constructiu de la modernització del reg a la zona dels Torrents de Valls. Fase 2.</v>
      </c>
      <c r="I18" s="157">
        <f>Total!I2779</f>
        <v>17554.68</v>
      </c>
    </row>
    <row r="19" spans="1:9" x14ac:dyDescent="0.2">
      <c r="A19" s="8">
        <v>18</v>
      </c>
      <c r="B19" s="101">
        <f>Total!B2780</f>
        <v>44294</v>
      </c>
      <c r="C19" s="101">
        <f>Total!C2780</f>
        <v>44312</v>
      </c>
      <c r="D19" s="112" t="s">
        <v>1092</v>
      </c>
      <c r="E19" s="332" t="str">
        <f>Total!E2780</f>
        <v>Obra Civil</v>
      </c>
      <c r="F19" s="96" t="str">
        <f>Total!F2780</f>
        <v>Direccions d'Obra</v>
      </c>
      <c r="G19" s="112" t="str">
        <f>Total!G2780</f>
        <v>CSS. VX-16278</v>
      </c>
      <c r="H19" s="112" t="str">
        <f>Total!H2780</f>
        <v>Assistència tècnica de coordinacio de seguretat i salut de les obres del projecte constructiu de la modernització del reg a la zona dels Torrents de Valls. Fase 2.</v>
      </c>
      <c r="I19" s="157">
        <f>Total!I2780</f>
        <v>20160</v>
      </c>
    </row>
    <row r="20" spans="1:9" x14ac:dyDescent="0.2">
      <c r="A20" s="8">
        <v>19</v>
      </c>
      <c r="B20" s="101">
        <f>Total!B2781</f>
        <v>44295</v>
      </c>
      <c r="C20" s="101">
        <f>Total!C2781</f>
        <v>44326</v>
      </c>
      <c r="D20" s="112" t="s">
        <v>1092</v>
      </c>
      <c r="E20" s="332" t="str">
        <f>Total!E2781</f>
        <v>Edificació</v>
      </c>
      <c r="F20" s="96" t="str">
        <f>Total!F2781</f>
        <v>Projectes i Direccions d'Obra</v>
      </c>
      <c r="G20" s="112" t="str">
        <f>Total!G2781</f>
        <v>PE+DO HBB-18344</v>
      </c>
      <c r="H20" s="112" t="str">
        <f>Total!H2781</f>
        <v>Redacció del projecte bàsic i executiu i la posterior direcció de les obres de reforma de les plantes 1a i 3a (antics quiròfans) per a adequar-les a unitats d'hospitalització de l'Hospital de Bellvitge, de l'Hospitalet de Llobregat.</v>
      </c>
      <c r="I20" s="157">
        <f>Total!I2781</f>
        <v>826077.32</v>
      </c>
    </row>
    <row r="21" spans="1:9" x14ac:dyDescent="0.2">
      <c r="A21" s="8">
        <v>20</v>
      </c>
      <c r="B21" s="101">
        <f>Total!B2782</f>
        <v>44299</v>
      </c>
      <c r="C21" s="101">
        <f>Total!C2782</f>
        <v>44333</v>
      </c>
      <c r="D21" s="112" t="s">
        <v>1092</v>
      </c>
      <c r="E21" s="332" t="str">
        <f>Total!E2782</f>
        <v>Edificació</v>
      </c>
      <c r="F21" s="96" t="str">
        <f>Total!F2782</f>
        <v>Direccions d'Obra</v>
      </c>
      <c r="G21" s="112" t="str">
        <f>Total!G2782</f>
        <v>PE+DO VGM-18352</v>
      </c>
      <c r="H21" s="112" t="str">
        <f>Total!H2782</f>
        <v>Serv. Per a l'assistència tècnica per a la Red. del Proj. Baàsic i executiu i la posterior direcció de les obres de Condicionament millora i posta en normativa de diverses infra. I serveis en el recient de l'Inst. de Seguretat Pública de CAT, ISPC 2019-20</v>
      </c>
      <c r="I21" s="157">
        <f>Total!I2782</f>
        <v>439629.37</v>
      </c>
    </row>
    <row r="22" spans="1:9" x14ac:dyDescent="0.2">
      <c r="A22" s="8">
        <v>21</v>
      </c>
      <c r="B22" s="101">
        <f>Total!B2783</f>
        <v>44300</v>
      </c>
      <c r="C22" s="101">
        <f>Total!C2783</f>
        <v>44319</v>
      </c>
      <c r="D22" s="112" t="s">
        <v>1092</v>
      </c>
      <c r="E22" s="332" t="str">
        <f>Total!E2783</f>
        <v>Obra Civil</v>
      </c>
      <c r="F22" s="96" t="str">
        <f>Total!F2783</f>
        <v>Control de Qualitat</v>
      </c>
      <c r="G22" s="112" t="str">
        <f>Total!G2783</f>
        <v>CQ. PC-CMG-18029-AA</v>
      </c>
      <c r="H22" s="112" t="str">
        <f>Total!H2783</f>
        <v>Control de qualitat de les obres de millora de la seguretat viària. Regulació semafòrica de la cruïlla de la C-252 amb el c/ Canonge Iglesias. C-252, pk 11,710. Verges.</v>
      </c>
      <c r="I22" s="157">
        <f>Total!I2783</f>
        <v>1621.07</v>
      </c>
    </row>
    <row r="23" spans="1:9" x14ac:dyDescent="0.2">
      <c r="A23" s="8">
        <v>22</v>
      </c>
      <c r="B23" s="101">
        <f>Total!B2784</f>
        <v>44300</v>
      </c>
      <c r="C23" s="101">
        <f>Total!C2784</f>
        <v>44319</v>
      </c>
      <c r="D23" s="112" t="s">
        <v>1092</v>
      </c>
      <c r="E23" s="332" t="str">
        <f>Total!E2784</f>
        <v>Edificació</v>
      </c>
      <c r="F23" s="96" t="str">
        <f>Total!F2784</f>
        <v>Control de Qualitat</v>
      </c>
      <c r="G23" s="112" t="str">
        <f>Total!G2784</f>
        <v>CQ. CAP-18201.A</v>
      </c>
      <c r="H23" s="112" t="str">
        <f>Total!H2784</f>
        <v>Control de qualitat de les obres d'ampliació i reforma del Centre d'Atenció Primària Doctor Josep Torner i Fors, de Malgrat de Mar.</v>
      </c>
      <c r="I23" s="157">
        <f>Total!I2784</f>
        <v>30681.29</v>
      </c>
    </row>
    <row r="24" spans="1:9" x14ac:dyDescent="0.2">
      <c r="A24" s="8">
        <v>23</v>
      </c>
      <c r="B24" s="101">
        <f>Total!B2785</f>
        <v>44300</v>
      </c>
      <c r="C24" s="101">
        <f>Total!C2785</f>
        <v>44319</v>
      </c>
      <c r="D24" s="112" t="s">
        <v>1092</v>
      </c>
      <c r="E24" s="332" t="str">
        <f>Total!E2785</f>
        <v>Obra Civil</v>
      </c>
      <c r="F24" s="96" t="str">
        <f>Total!F2785</f>
        <v>Direccions d'Obra</v>
      </c>
      <c r="G24" s="112" t="str">
        <f>Total!G2785</f>
        <v>DO. PC-CMG-18029-AA</v>
      </c>
      <c r="H24" s="112" t="str">
        <f>Total!H2785</f>
        <v>Direcció de les obres de millora de la seguretat viària. Regulació semafòrica de la cruïlla de la C-252 amb el c/ Canonge Iglesias. C-252, pk 11,710. Verges.</v>
      </c>
      <c r="I24" s="157">
        <f>Total!I2785</f>
        <v>3956.42</v>
      </c>
    </row>
    <row r="25" spans="1:9" x14ac:dyDescent="0.2">
      <c r="A25" s="8">
        <v>24</v>
      </c>
      <c r="B25" s="101">
        <f>Total!B2786</f>
        <v>44300</v>
      </c>
      <c r="C25" s="101">
        <f>Total!C2786</f>
        <v>44319</v>
      </c>
      <c r="D25" s="112" t="s">
        <v>1092</v>
      </c>
      <c r="E25" s="332" t="str">
        <f>Total!E2786</f>
        <v>Edificació</v>
      </c>
      <c r="F25" s="96" t="str">
        <f>Total!F2786</f>
        <v>Direccions d'execució</v>
      </c>
      <c r="G25" s="112" t="str">
        <f>Total!G2786</f>
        <v>DE. CAP-18201.A</v>
      </c>
      <c r="H25" s="112" t="str">
        <f>Total!H2786</f>
        <v>Direcció d'execució de les obres d'ampliació i reforma del Centre d'Atenció Primària Doctor Josep Torner i Fors, de Malgrat de Mar.</v>
      </c>
      <c r="I25" s="157">
        <f>Total!I2786</f>
        <v>98504.51</v>
      </c>
    </row>
    <row r="26" spans="1:9" x14ac:dyDescent="0.2">
      <c r="A26" s="8">
        <v>25</v>
      </c>
      <c r="B26" s="101">
        <f>Total!B2787</f>
        <v>44300</v>
      </c>
      <c r="C26" s="101">
        <f>Total!C2787</f>
        <v>44319</v>
      </c>
      <c r="D26" s="112" t="s">
        <v>1092</v>
      </c>
      <c r="E26" s="332" t="str">
        <f>Total!E2787</f>
        <v>Edificació</v>
      </c>
      <c r="F26" s="96" t="str">
        <f>Total!F2787</f>
        <v>Direccions d'execució</v>
      </c>
      <c r="G26" s="112" t="str">
        <f>Total!G2787</f>
        <v>CSS. CAP-18201.A</v>
      </c>
      <c r="H26" s="112" t="str">
        <f>Total!H2787</f>
        <v>Assistència tècnica de coordinació de seguretat i salut de les obres d'ampliació i reforma del Centre d'Atenció Primària Doctor Josep Torner i Fors, de Malgrat de Mar.</v>
      </c>
      <c r="I26" s="157">
        <f>Total!I2787</f>
        <v>29544</v>
      </c>
    </row>
    <row r="27" spans="1:9" x14ac:dyDescent="0.2">
      <c r="A27" s="8">
        <v>26</v>
      </c>
      <c r="B27" s="101">
        <f>Total!B2788</f>
        <v>44308</v>
      </c>
      <c r="C27" s="101">
        <f>Total!C2788</f>
        <v>44333</v>
      </c>
      <c r="D27" s="112" t="s">
        <v>1092</v>
      </c>
      <c r="E27" s="332" t="str">
        <f>Total!E2788</f>
        <v>Obra Civil</v>
      </c>
      <c r="F27" s="96" t="str">
        <f>Total!F2788</f>
        <v>Direccions d'Obra</v>
      </c>
      <c r="G27" s="112" t="str">
        <f>Total!G2788</f>
        <v>CSS. PC-CAB-17064</v>
      </c>
      <c r="H27" s="112" t="str">
        <f>Total!H2788</f>
        <v>Assistència Tècnica de coordinació de seguretat i salut de les obres del projecte constructiu de millora general. Condicionament del vial entre la carretera B-300 al PK 16+210 i la carretera BV-3002 al PK 10+342, al límit comarcal. Tram: Pinós.</v>
      </c>
      <c r="I27" s="157">
        <f>Total!I2788</f>
        <v>11400</v>
      </c>
    </row>
    <row r="28" spans="1:9" x14ac:dyDescent="0.2">
      <c r="A28" s="8">
        <v>27</v>
      </c>
      <c r="B28" s="101">
        <f>Total!B2789</f>
        <v>44308</v>
      </c>
      <c r="C28" s="101">
        <f>Total!C2789</f>
        <v>44333</v>
      </c>
      <c r="D28" s="112" t="s">
        <v>1092</v>
      </c>
      <c r="E28" s="332" t="str">
        <f>Total!E2789</f>
        <v>Obra Civil</v>
      </c>
      <c r="F28" s="96" t="str">
        <f>Total!F2789</f>
        <v>Control de Qualitat</v>
      </c>
      <c r="G28" s="112" t="str">
        <f>Total!G2789</f>
        <v>CQ. PC-CAB-17064</v>
      </c>
      <c r="H28" s="112" t="str">
        <f>Total!H2789</f>
        <v>Assistència Tècnica de control de qualitat de les obres del projecte constructiu de millora general. Condicionament del vial entre la carretera B-300 al PK 16+210 i la carretera BV-3002 al PK 10+342, al límit comarcal. Tram: Pinós.</v>
      </c>
      <c r="I28" s="157">
        <f>Total!I2789</f>
        <v>30552.93</v>
      </c>
    </row>
    <row r="29" spans="1:9" x14ac:dyDescent="0.2">
      <c r="A29" s="8">
        <v>28</v>
      </c>
      <c r="B29" s="101">
        <f>Total!B2790</f>
        <v>44308</v>
      </c>
      <c r="C29" s="101">
        <f>Total!C2790</f>
        <v>44326</v>
      </c>
      <c r="D29" s="112" t="s">
        <v>1092</v>
      </c>
      <c r="E29" s="332" t="str">
        <f>Total!E2790</f>
        <v>Edificació</v>
      </c>
      <c r="F29" s="96" t="str">
        <f>Total!F2790</f>
        <v>Control de Qualitat</v>
      </c>
      <c r="G29" s="112" t="str">
        <f>Total!G2790</f>
        <v>CQ. PGM-19259</v>
      </c>
      <c r="H29" s="112" t="str">
        <f>Total!H2790</f>
        <v>Control de qualitat de les obres del tancament i pavimentació dels patis exteriors i la cotxera del Parc de Bombers de Figueres.</v>
      </c>
      <c r="I29" s="157">
        <f>Total!I2790</f>
        <v>3951.67</v>
      </c>
    </row>
    <row r="30" spans="1:9" x14ac:dyDescent="0.2">
      <c r="A30" s="8">
        <v>29</v>
      </c>
      <c r="B30" s="101">
        <f>Total!B2791</f>
        <v>44308</v>
      </c>
      <c r="C30" s="101">
        <f>Total!C2791</f>
        <v>44333</v>
      </c>
      <c r="D30" s="112" t="s">
        <v>1092</v>
      </c>
      <c r="E30" s="332" t="str">
        <f>Total!E2791</f>
        <v>Obra Civil</v>
      </c>
      <c r="F30" s="96" t="str">
        <f>Total!F2791</f>
        <v>Direccions d'Obra</v>
      </c>
      <c r="G30" s="112" t="str">
        <f>Total!G2791</f>
        <v>DO. PC-CAB-17064</v>
      </c>
      <c r="H30" s="112" t="str">
        <f>Total!H2791</f>
        <v>Direcció de les obres del projecte constructiu de millora general. Condicionament del vial entre la carretera B-300 al PK 16+210 i la carretera BV-3002 al PK 10+342, al límit comarcal. Tram: Pinós.</v>
      </c>
      <c r="I30" s="157">
        <f>Total!I2791</f>
        <v>132729.38</v>
      </c>
    </row>
    <row r="31" spans="1:9" x14ac:dyDescent="0.2">
      <c r="A31" s="8">
        <v>30</v>
      </c>
      <c r="B31" s="101">
        <f>Total!B2792</f>
        <v>44308</v>
      </c>
      <c r="C31" s="101">
        <f>Total!C2792</f>
        <v>44333</v>
      </c>
      <c r="D31" s="112" t="s">
        <v>1092</v>
      </c>
      <c r="E31" s="332" t="str">
        <f>Total!E2792</f>
        <v>Obra Civil</v>
      </c>
      <c r="F31" s="96" t="str">
        <f>Total!F2792</f>
        <v>Direccions d'Obra</v>
      </c>
      <c r="G31" s="112" t="str">
        <f>Total!G2792</f>
        <v>ATAM. PC-CAB-17064</v>
      </c>
      <c r="H31" s="112" t="str">
        <f>Total!H2792</f>
        <v>Assistència tècnica ambiental de les obres del projecte constructiu de millora general. Condicionament del vial entre la carretera B-300 al PK 16+210 i la carretera BV-3002 al PK 10+342, al límit comarcal. Tram: Pinós.</v>
      </c>
      <c r="I31" s="157">
        <f>Total!I2792</f>
        <v>14229.96</v>
      </c>
    </row>
    <row r="32" spans="1:9" x14ac:dyDescent="0.2">
      <c r="A32" s="8">
        <v>31</v>
      </c>
      <c r="B32" s="101">
        <f>Total!B2793</f>
        <v>44309</v>
      </c>
      <c r="C32" s="101">
        <f>Total!C2793</f>
        <v>44326</v>
      </c>
      <c r="D32" s="112" t="s">
        <v>1092</v>
      </c>
      <c r="E32" s="332" t="str">
        <f>Total!E2793</f>
        <v>Obra Civil</v>
      </c>
      <c r="F32" s="96" t="str">
        <f>Total!F2793</f>
        <v>Direccions d'Obra</v>
      </c>
      <c r="G32" s="112" t="str">
        <f>Total!G2793</f>
        <v>ATAM. TX-16249.A</v>
      </c>
      <c r="H32" s="112" t="str">
        <f>Total!H2793</f>
        <v>Contracte de serveis per a l'assistència tècnica ambiental de les obres de mitigació del risc d'inundació al barri de la Salut del terme municipal de Salou (Tarragonès).</v>
      </c>
      <c r="I32" s="157">
        <f>Total!I2793</f>
        <v>36306.36</v>
      </c>
    </row>
    <row r="33" spans="1:9" x14ac:dyDescent="0.2">
      <c r="A33" s="8">
        <v>32</v>
      </c>
      <c r="B33" s="101">
        <f>Total!B2794</f>
        <v>44309</v>
      </c>
      <c r="C33" s="101">
        <f>Total!C2794</f>
        <v>44326</v>
      </c>
      <c r="D33" s="112" t="s">
        <v>1092</v>
      </c>
      <c r="E33" s="332" t="str">
        <f>Total!E2794</f>
        <v>Obra Civil</v>
      </c>
      <c r="F33" s="96" t="str">
        <f>Total!F2794</f>
        <v>Direccions d'Obra</v>
      </c>
      <c r="G33" s="112" t="str">
        <f>Total!G2794</f>
        <v>CSS. TX-16249.A</v>
      </c>
      <c r="H33" s="112" t="str">
        <f>Total!H2794</f>
        <v>Contracte de serveis per a l'assistència tècnica de coordinació de seguretat i salut de les obres del projecte constructiu de mitigació del risc d'inundació al barri de la Salut del terme municipal de Salou (Tarragonès).</v>
      </c>
      <c r="I33" s="157">
        <f>Total!I2794</f>
        <v>44912.4</v>
      </c>
    </row>
    <row r="34" spans="1:9" x14ac:dyDescent="0.2">
      <c r="A34" s="8">
        <v>33</v>
      </c>
      <c r="B34" s="101">
        <f>Total!B2795</f>
        <v>44309</v>
      </c>
      <c r="C34" s="101">
        <f>Total!C2795</f>
        <v>44342</v>
      </c>
      <c r="D34" s="112" t="s">
        <v>1092</v>
      </c>
      <c r="E34" s="332" t="str">
        <f>Total!E2795</f>
        <v>Obra Civil</v>
      </c>
      <c r="F34" s="96" t="str">
        <f>Total!F2795</f>
        <v>Direccions d'Obra</v>
      </c>
      <c r="G34" s="112" t="str">
        <f>Total!G2795</f>
        <v>DO. TX-16249.A</v>
      </c>
      <c r="H34" s="112" t="str">
        <f>Total!H2795</f>
        <v>Contracte de serveis per a la direcció de les obres de mitigació del risc d'inundació al barri de La Salut del Terme Municipal de Salou (Tarragonès).</v>
      </c>
      <c r="I34" s="157">
        <f>Total!I2795</f>
        <v>367373.76</v>
      </c>
    </row>
    <row r="35" spans="1:9" x14ac:dyDescent="0.2">
      <c r="A35" s="8">
        <v>34</v>
      </c>
      <c r="B35" s="101">
        <f>Total!B2796</f>
        <v>44309</v>
      </c>
      <c r="C35" s="101">
        <f>Total!C2796</f>
        <v>44326</v>
      </c>
      <c r="D35" s="112" t="s">
        <v>1092</v>
      </c>
      <c r="E35" s="332" t="str">
        <f>Total!E2796</f>
        <v>Obra Civil</v>
      </c>
      <c r="F35" s="96" t="str">
        <f>Total!F2796</f>
        <v>Control de Qualitat</v>
      </c>
      <c r="G35" s="112" t="str">
        <f>Total!G2796</f>
        <v>CQ. TX-16249.A</v>
      </c>
      <c r="H35" s="112" t="str">
        <f>Total!H2796</f>
        <v>Contracte de serveis per a l'assistència tècnica de control de qualitat de les obres de mitigació del risc d'inundació al barri de La Salut del Terme Municipal de Salou(Tarragonès).</v>
      </c>
      <c r="I35" s="157">
        <f>Total!I2796</f>
        <v>79842.19</v>
      </c>
    </row>
    <row r="36" spans="1:9" x14ac:dyDescent="0.2">
      <c r="A36" s="8">
        <v>35</v>
      </c>
      <c r="B36" s="101">
        <f>Total!B2797</f>
        <v>44309</v>
      </c>
      <c r="C36" s="101">
        <f>Total!C2797</f>
        <v>44326</v>
      </c>
      <c r="D36" s="112" t="s">
        <v>1092</v>
      </c>
      <c r="E36" s="332" t="str">
        <f>Total!E2797</f>
        <v>Obra Civil</v>
      </c>
      <c r="F36" s="96" t="str">
        <f>Total!F2797</f>
        <v>Projectes</v>
      </c>
      <c r="G36" s="112" t="str">
        <f>Total!G2797</f>
        <v>PC. RAE-21216</v>
      </c>
      <c r="H36" s="112" t="str">
        <f>Total!H2797</f>
        <v>Contracte de serveis per a l'assistència tècnica per a la redacció del projecte constructiu. Restauració Ambiental de l'activitat extractiva "Pla de Bàscara" a Bàscara. Alt Empordà.</v>
      </c>
      <c r="I36" s="157">
        <f>Total!I2797</f>
        <v>18500</v>
      </c>
    </row>
    <row r="37" spans="1:9" x14ac:dyDescent="0.2">
      <c r="A37" s="8">
        <v>36</v>
      </c>
      <c r="B37" s="101">
        <f>Total!B2798</f>
        <v>44313</v>
      </c>
      <c r="C37" s="101">
        <f>Total!C2798</f>
        <v>44333</v>
      </c>
      <c r="D37" s="112" t="s">
        <v>1092</v>
      </c>
      <c r="E37" s="332" t="str">
        <f>Total!E2798</f>
        <v>Edificació</v>
      </c>
      <c r="F37" s="96" t="str">
        <f>Total!F2798</f>
        <v>Direccions d'execució</v>
      </c>
      <c r="G37" s="112" t="str">
        <f>Total!G2798</f>
        <v>DE. CCG-16233</v>
      </c>
      <c r="H37" s="112" t="str">
        <f>Total!H2798</f>
        <v>Direcció d'execució de les obres de nova construcció d'una comissaria de Districte de la Policia de la Generalitat-Mossos d'Esquadra a La Jonquera.</v>
      </c>
      <c r="I37" s="157">
        <f>Total!I2798</f>
        <v>61157.02</v>
      </c>
    </row>
    <row r="38" spans="1:9" x14ac:dyDescent="0.2">
      <c r="A38" s="8">
        <v>37</v>
      </c>
      <c r="B38" s="101">
        <f>Total!B2799</f>
        <v>44313</v>
      </c>
      <c r="C38" s="101">
        <f>Total!C2799</f>
        <v>44333</v>
      </c>
      <c r="D38" s="112" t="s">
        <v>1092</v>
      </c>
      <c r="E38" s="332" t="str">
        <f>Total!E2799</f>
        <v>Edificació</v>
      </c>
      <c r="F38" s="96" t="str">
        <f>Total!F2799</f>
        <v>Direccions d'execució</v>
      </c>
      <c r="G38" s="112" t="str">
        <f>Total!G2799</f>
        <v>CSS. CCG-16233</v>
      </c>
      <c r="H38" s="112" t="str">
        <f>Total!H2799</f>
        <v>Serveis per a l'assistència tècnica de coordinació de seguretat i salut de les obres de nova construcció d'una comissaria de Districte de la Policia de la Generalitat-Mossos d'Esquadra a La Jonquera.</v>
      </c>
      <c r="I38" s="157">
        <f>Total!I2799</f>
        <v>22152</v>
      </c>
    </row>
    <row r="39" spans="1:9" x14ac:dyDescent="0.2">
      <c r="A39" s="8">
        <v>38</v>
      </c>
      <c r="B39" s="101">
        <f>Total!B2800</f>
        <v>44313</v>
      </c>
      <c r="C39" s="101">
        <f>Total!C2800</f>
        <v>44333</v>
      </c>
      <c r="D39" s="112" t="s">
        <v>1092</v>
      </c>
      <c r="E39" s="332" t="str">
        <f>Total!E2800</f>
        <v>Edificació</v>
      </c>
      <c r="F39" s="96" t="str">
        <f>Total!F2800</f>
        <v>Control de Qualitat</v>
      </c>
      <c r="G39" s="112" t="str">
        <f>Total!G2800</f>
        <v>CQ. CCG-16233</v>
      </c>
      <c r="H39" s="112" t="str">
        <f>Total!H2800</f>
        <v>Serveis per a l'assistència tècnica de control de qualitat  de les obres de nova construcció d'una comissaria de Districte de la Policia de la Generalitat-Mossos d'Esquadra a La Jonquera.</v>
      </c>
      <c r="I39" s="157">
        <f>Total!I2800</f>
        <v>35503.620000000003</v>
      </c>
    </row>
    <row r="40" spans="1:9" x14ac:dyDescent="0.2">
      <c r="A40" s="8">
        <v>39</v>
      </c>
      <c r="B40" s="101">
        <f>Total!B2801</f>
        <v>44315</v>
      </c>
      <c r="C40" s="101">
        <f>Total!C2801</f>
        <v>44333</v>
      </c>
      <c r="D40" s="112" t="s">
        <v>1092</v>
      </c>
      <c r="E40" s="332" t="str">
        <f>Total!E2801</f>
        <v>Obra Civil</v>
      </c>
      <c r="F40" s="96" t="str">
        <f>Total!F2801</f>
        <v>Control de Qualitat</v>
      </c>
      <c r="G40" s="112" t="str">
        <f>Total!G2801</f>
        <v>CQ. PC-CML-17082-AA</v>
      </c>
      <c r="H40" s="112" t="str">
        <f>Total!H2801</f>
        <v>Control de qualitat de les obres de millora local. Millora de traçat de l'accés a les pistes d'esquí del Port del Compte des de la carretera LV-4241 al pk 23,290. Tram: Coll de Jou (Guixers).</v>
      </c>
      <c r="I40" s="157">
        <f>Total!I2801</f>
        <v>13994.85</v>
      </c>
    </row>
    <row r="41" spans="1:9" x14ac:dyDescent="0.2">
      <c r="A41" s="8">
        <v>40</v>
      </c>
      <c r="B41" s="101">
        <f>Total!B2802</f>
        <v>44315</v>
      </c>
      <c r="C41" s="101">
        <f>Total!C2802</f>
        <v>44333</v>
      </c>
      <c r="D41" s="112" t="s">
        <v>1092</v>
      </c>
      <c r="E41" s="332" t="str">
        <f>Total!E2802</f>
        <v>Edificació</v>
      </c>
      <c r="F41" s="96" t="str">
        <f>Total!F2802</f>
        <v>Control de Qualitat</v>
      </c>
      <c r="G41" s="112" t="str">
        <f>Total!G2802</f>
        <v>CQ. JVP-18329</v>
      </c>
      <c r="H41" s="112" t="str">
        <f>Total!H2802</f>
        <v>Control de qualitat de les obres de la instal·lació elèctrica del Centre Penitenciari de Ponent a Lleida.</v>
      </c>
      <c r="I41" s="157">
        <f>Total!I2802</f>
        <v>6097.01</v>
      </c>
    </row>
    <row r="42" spans="1:9" x14ac:dyDescent="0.2">
      <c r="A42" s="8">
        <v>41</v>
      </c>
      <c r="B42" s="101">
        <f>Total!B2803</f>
        <v>44315</v>
      </c>
      <c r="C42" s="101">
        <f>Total!C2803</f>
        <v>44333</v>
      </c>
      <c r="D42" s="112" t="s">
        <v>1092</v>
      </c>
      <c r="E42" s="332" t="str">
        <f>Total!E2803</f>
        <v>Obra Civil</v>
      </c>
      <c r="F42" s="96" t="str">
        <f>Total!F2803</f>
        <v>Direccions d'Obra</v>
      </c>
      <c r="G42" s="112" t="str">
        <f>Total!G2803</f>
        <v>DO. PC-CML-17082-AA</v>
      </c>
      <c r="H42" s="112" t="str">
        <f>Total!H2803</f>
        <v>Direcció de les obres de millora local. Millora de traçat de l'accés a les pistes d'esquí del Port del Compte des de la carretera LV-4241 al pk 23,290. Tram: Coll de Jou (Guixers).</v>
      </c>
      <c r="I42" s="157">
        <f>Total!I2803</f>
        <v>44545.919999999998</v>
      </c>
    </row>
    <row r="43" spans="1:9" x14ac:dyDescent="0.2">
      <c r="A43" s="8">
        <v>42</v>
      </c>
      <c r="B43" s="101">
        <f>Total!B2804</f>
        <v>44315</v>
      </c>
      <c r="C43" s="101">
        <f>Total!C2804</f>
        <v>44333</v>
      </c>
      <c r="D43" s="112" t="s">
        <v>1092</v>
      </c>
      <c r="E43" s="332" t="str">
        <f>Total!E2804</f>
        <v>Obra Civil</v>
      </c>
      <c r="F43" s="96" t="str">
        <f>Total!F2804</f>
        <v>Direccions d'Obra</v>
      </c>
      <c r="G43" s="112" t="str">
        <f>Total!G2804</f>
        <v>CSS. PC-CML-17082-AA</v>
      </c>
      <c r="H43" s="112" t="str">
        <f>Total!H2804</f>
        <v>Coordinació de seguretat i salut de les obres de millora local. Millora de traçat de l'accés a les pistes d'esquí del Port del Compte des de la carretera LV-4241 al pk 23,290. Tram: Coll de Jou (Guixers).</v>
      </c>
      <c r="I43" s="157">
        <f>Total!I2804</f>
        <v>14256</v>
      </c>
    </row>
    <row r="44" spans="1:9" x14ac:dyDescent="0.2">
      <c r="A44" s="8">
        <v>43</v>
      </c>
      <c r="B44" s="101">
        <f>Total!B2805</f>
        <v>44315</v>
      </c>
      <c r="C44" s="101">
        <f>Total!C2805</f>
        <v>44333</v>
      </c>
      <c r="D44" s="112" t="s">
        <v>1092</v>
      </c>
      <c r="E44" s="332" t="str">
        <f>Total!E2805</f>
        <v>Edificació</v>
      </c>
      <c r="F44" s="96" t="str">
        <f>Total!F2805</f>
        <v>Direccions d'execució</v>
      </c>
      <c r="G44" s="112" t="str">
        <f>Total!G2805</f>
        <v>DE. JVP-18329</v>
      </c>
      <c r="H44" s="112" t="str">
        <f>Total!H2805</f>
        <v>Direcció d'execució de les obres de la instal·lació elèctrica del Centre Penitenciari de Ponent a Lleida.</v>
      </c>
      <c r="I44" s="157">
        <f>Total!I2805</f>
        <v>28000</v>
      </c>
    </row>
    <row r="45" spans="1:9" x14ac:dyDescent="0.2">
      <c r="A45" s="8">
        <v>44</v>
      </c>
      <c r="B45" s="101">
        <f>Total!B2806</f>
        <v>44315</v>
      </c>
      <c r="C45" s="101">
        <f>Total!C2806</f>
        <v>44333</v>
      </c>
      <c r="D45" s="112" t="s">
        <v>1092</v>
      </c>
      <c r="E45" s="332" t="str">
        <f>Total!E2806</f>
        <v>Edificació</v>
      </c>
      <c r="F45" s="96" t="str">
        <f>Total!F2806</f>
        <v>Direccions d'execució</v>
      </c>
      <c r="G45" s="112" t="str">
        <f>Total!G2806</f>
        <v>CSS. JVP-18329</v>
      </c>
      <c r="H45" s="112" t="str">
        <f>Total!H2806</f>
        <v>Coordinació de seguretat i salut de les obres de la instal·lació elèctrica del Centre Penitenciari de Ponent a Lleida.</v>
      </c>
      <c r="I45" s="157">
        <f>Total!I2806</f>
        <v>8244</v>
      </c>
    </row>
    <row r="46" spans="1:9" x14ac:dyDescent="0.2">
      <c r="I46" s="126">
        <f>SUM(I2:I45)</f>
        <v>3026031.7199999993</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30"/>
  <sheetViews>
    <sheetView workbookViewId="0">
      <selection activeCell="I30" sqref="I30"/>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Total!B2733</f>
        <v>44259</v>
      </c>
      <c r="C2" s="101">
        <f>Total!C2733</f>
        <v>44279</v>
      </c>
      <c r="D2" s="112" t="s">
        <v>1092</v>
      </c>
      <c r="E2" s="332" t="str">
        <f>Total!E2733</f>
        <v>Edificació</v>
      </c>
      <c r="F2" s="96" t="str">
        <f>Total!F2733</f>
        <v>Control de Qualitat</v>
      </c>
      <c r="G2" s="112" t="str">
        <f>Total!G2733</f>
        <v>CQ. ICF 19294</v>
      </c>
      <c r="H2" s="112" t="str">
        <f>Total!H2733</f>
        <v>Serveis per a l'assistència tècnica per al control de qualitat de les obres de reforma de la planta primera i zones comunes de la planta primera, segona i tercera de l'edifici situat a la Via Augusta 252 de Barcelona.</v>
      </c>
      <c r="I2" s="157">
        <f>Total!I2733</f>
        <v>7709.16</v>
      </c>
    </row>
    <row r="3" spans="1:9" x14ac:dyDescent="0.2">
      <c r="A3" s="8">
        <v>2</v>
      </c>
      <c r="B3" s="101">
        <f>Total!B2734</f>
        <v>44259</v>
      </c>
      <c r="C3" s="101">
        <f>Total!C2734</f>
        <v>44279</v>
      </c>
      <c r="D3" s="112" t="s">
        <v>1092</v>
      </c>
      <c r="E3" s="332" t="str">
        <f>Total!E2734</f>
        <v>Edificació</v>
      </c>
      <c r="F3" s="96" t="str">
        <f>Total!F2734</f>
        <v>Direcció d'Execució</v>
      </c>
      <c r="G3" s="112" t="str">
        <f>Total!G2734</f>
        <v>DE. ICF 19294</v>
      </c>
      <c r="H3" s="112" t="str">
        <f>Total!H2734</f>
        <v>Serveis per a la direcció d'execució de les obres de reforma de la planta primera i zones comunes de la planta primera, segona i tercera de l'edifici situat a la Via Augusta 252 de Barcelona.</v>
      </c>
      <c r="I3" s="157">
        <f>Total!I2734</f>
        <v>23078.93</v>
      </c>
    </row>
    <row r="4" spans="1:9" x14ac:dyDescent="0.2">
      <c r="A4" s="8">
        <v>3</v>
      </c>
      <c r="B4" s="101">
        <f>Total!B2735</f>
        <v>44259</v>
      </c>
      <c r="C4" s="101">
        <f>Total!C2735</f>
        <v>44279</v>
      </c>
      <c r="D4" s="112" t="s">
        <v>1092</v>
      </c>
      <c r="E4" s="332" t="str">
        <f>Total!E2735</f>
        <v>Edificació</v>
      </c>
      <c r="F4" s="96" t="str">
        <f>Total!F2735</f>
        <v>Direcció d'Execució</v>
      </c>
      <c r="G4" s="112" t="str">
        <f>Total!G2735</f>
        <v>CSS. ICF 19294</v>
      </c>
      <c r="H4" s="112" t="str">
        <f>Total!H2735</f>
        <v>Serveis per a l'assistència tècnica de coordinació de seguretat i salut de les obres de reforma de la planta primera i zones comunes de la planta primera, segona i tercera de l'edifici situat a la Via Augusta 252 de Barcelona.</v>
      </c>
      <c r="I4" s="157">
        <f>Total!I2735</f>
        <v>6912</v>
      </c>
    </row>
    <row r="5" spans="1:9" x14ac:dyDescent="0.2">
      <c r="A5" s="8">
        <v>4</v>
      </c>
      <c r="B5" s="101">
        <f>Total!B2736</f>
        <v>44260</v>
      </c>
      <c r="C5" s="101">
        <f>Total!C2736</f>
        <v>44277</v>
      </c>
      <c r="D5" s="112" t="s">
        <v>1092</v>
      </c>
      <c r="E5" s="332" t="str">
        <f>Total!E2736</f>
        <v>Obra Civil</v>
      </c>
      <c r="F5" s="96" t="str">
        <f>Total!F2736</f>
        <v>Projectes</v>
      </c>
      <c r="G5" s="112" t="str">
        <f>Total!G2736</f>
        <v>PC. PC-CIE-20092</v>
      </c>
      <c r="H5" s="112" t="str">
        <f>Total!H2736</f>
        <v>Contracte de serveis per a la redacció del projecte constructiu. Millora de característiques superficials i reestudi de secció transversal a la C-12 del pk 34,500 al 40,900. Xerta-Benifallet.</v>
      </c>
      <c r="I5" s="157">
        <f>Total!I2736</f>
        <v>153060</v>
      </c>
    </row>
    <row r="6" spans="1:9" x14ac:dyDescent="0.2">
      <c r="A6" s="8">
        <v>5</v>
      </c>
      <c r="B6" s="101">
        <f>Total!B2737</f>
        <v>44260</v>
      </c>
      <c r="C6" s="101">
        <f>Total!C2737</f>
        <v>44277</v>
      </c>
      <c r="D6" s="112" t="s">
        <v>1092</v>
      </c>
      <c r="E6" s="332" t="str">
        <f>Total!E2737</f>
        <v>Obra Civil</v>
      </c>
      <c r="F6" s="96" t="str">
        <f>Total!F2737</f>
        <v>Projectes</v>
      </c>
      <c r="G6" s="112" t="str">
        <f>Total!G2737</f>
        <v>PC. PC-CIE-20093</v>
      </c>
      <c r="H6" s="112" t="str">
        <f>Total!H2737</f>
        <v>Contracte de serveis per a la redacció del projecte constructiu. Millora de característiques superficials i reestudi de secció transversal a la C-12 del pk 56,400 al 61,500. Ginestar-Móra la Nova.</v>
      </c>
      <c r="I6" s="157">
        <f>Total!I2737</f>
        <v>153040</v>
      </c>
    </row>
    <row r="7" spans="1:9" x14ac:dyDescent="0.2">
      <c r="A7" s="8">
        <v>6</v>
      </c>
      <c r="B7" s="101">
        <f>Total!B2738</f>
        <v>44260</v>
      </c>
      <c r="C7" s="101">
        <f>Total!C2738</f>
        <v>44277</v>
      </c>
      <c r="D7" s="112" t="s">
        <v>1092</v>
      </c>
      <c r="E7" s="332" t="str">
        <f>Total!E2738</f>
        <v>Obra Civil</v>
      </c>
      <c r="F7" s="96" t="str">
        <f>Total!F2738</f>
        <v>Projectes</v>
      </c>
      <c r="G7" s="112" t="str">
        <f>Total!G2738</f>
        <v>PC. PC-CIE-20094</v>
      </c>
      <c r="H7" s="112" t="str">
        <f>Total!H2738</f>
        <v>Contracte de serveis per a la redacció del projecte constructiu. Millora de característiques superficials i reestudi de secció transversal a la C-12 del pk 79,600 al 86,100. Ascó-Flix.</v>
      </c>
      <c r="I7" s="157">
        <f>Total!I2738</f>
        <v>153600</v>
      </c>
    </row>
    <row r="8" spans="1:9" x14ac:dyDescent="0.2">
      <c r="A8" s="8">
        <v>7</v>
      </c>
      <c r="B8" s="101">
        <f>Total!B2739</f>
        <v>44265</v>
      </c>
      <c r="C8" s="101">
        <f>Total!C2739</f>
        <v>44284</v>
      </c>
      <c r="D8" s="112" t="s">
        <v>1092</v>
      </c>
      <c r="E8" s="332" t="str">
        <f>Total!E2739</f>
        <v>Obra Civil</v>
      </c>
      <c r="F8" s="96" t="str">
        <f>Total!F2739</f>
        <v>Projectes</v>
      </c>
      <c r="G8" s="112" t="str">
        <f>Total!G2739</f>
        <v>PC. PC-CPT-18198</v>
      </c>
      <c r="H8" s="112" t="str">
        <f>Total!H2739</f>
        <v>Contracte de serveis per a la redacció del projecte constructiu. Millora de l'accés a Mas del Plata a la C-37 al pk 23,000. Cabra del Camp.</v>
      </c>
      <c r="I8" s="157">
        <f>Total!I2739</f>
        <v>25000</v>
      </c>
    </row>
    <row r="9" spans="1:9" x14ac:dyDescent="0.2">
      <c r="A9" s="8">
        <v>8</v>
      </c>
      <c r="B9" s="101">
        <f>Total!B2740</f>
        <v>44272</v>
      </c>
      <c r="C9" s="101">
        <f>Total!C2740</f>
        <v>44293</v>
      </c>
      <c r="D9" s="112" t="s">
        <v>1092</v>
      </c>
      <c r="E9" s="332" t="str">
        <f>Total!E2740</f>
        <v>Obra Civil</v>
      </c>
      <c r="F9" s="96" t="str">
        <f>Total!F2740</f>
        <v>Direccions d'obra</v>
      </c>
      <c r="G9" s="112" t="str">
        <f>Total!G2740</f>
        <v>CSS. TM-00509.4B-M5 F1</v>
      </c>
      <c r="H9" s="112" t="str">
        <f>Total!H2740</f>
        <v>Coord. S.S. de les obres del projecte modificat núm. 5 de la Línia 9 de Metro de Barcelona. Tram 3r Zona Universitària - Sagrera Meridiana. Estacions Prat de la Riba, Sarrià, Mandri i Pous de Ventilació. Fase 1: Cobriment estació Mandri.</v>
      </c>
      <c r="I9" s="157">
        <f>Total!I2740</f>
        <v>20064</v>
      </c>
    </row>
    <row r="10" spans="1:9" x14ac:dyDescent="0.2">
      <c r="A10" s="8">
        <v>9</v>
      </c>
      <c r="B10" s="101">
        <f>Total!B2741</f>
        <v>44277</v>
      </c>
      <c r="C10" s="101">
        <f>Total!C2741</f>
        <v>44298</v>
      </c>
      <c r="D10" s="112" t="s">
        <v>1092</v>
      </c>
      <c r="E10" s="332" t="str">
        <f>Total!E2741</f>
        <v>Edificació</v>
      </c>
      <c r="F10" s="96" t="str">
        <f>Total!F2741</f>
        <v>Projectes i Direccions Facultatives</v>
      </c>
      <c r="G10" s="112" t="str">
        <f>Total!G2741</f>
        <v>PE+DF. XME-21536</v>
      </c>
      <c r="H10" s="112" t="str">
        <f>Total!H2741</f>
        <v>Contracte de serveis per a l'assistència tècnica per a la redacció del projecte executiu i l'estudi de seguretat i salut i la posterior Dir. Facult. de les obres RAM 2021 als Serveis Territorials a les Terres de l'Ebre (II): Escola Sant Salvador (Godall).</v>
      </c>
      <c r="I10" s="157">
        <f>Total!I2741</f>
        <v>19363.22</v>
      </c>
    </row>
    <row r="11" spans="1:9" x14ac:dyDescent="0.2">
      <c r="A11" s="8">
        <v>10</v>
      </c>
      <c r="B11" s="101">
        <f>Total!B2742</f>
        <v>44279</v>
      </c>
      <c r="C11" s="101">
        <f>Total!C2742</f>
        <v>44298</v>
      </c>
      <c r="D11" s="112" t="s">
        <v>1092</v>
      </c>
      <c r="E11" s="332" t="str">
        <f>Total!E2742</f>
        <v>Edificació</v>
      </c>
      <c r="F11" s="96" t="str">
        <f>Total!F2742</f>
        <v>Projectes</v>
      </c>
      <c r="G11" s="112" t="str">
        <f>Total!G2742</f>
        <v>E1. JVX-20253</v>
      </c>
      <c r="H11" s="112" t="str">
        <f>Total!H2742</f>
        <v>Assistència tècnica per a la redacció del dictament estructural i estudi de patologies del Centre Penitenciari de Brians 1.</v>
      </c>
      <c r="I11" s="157">
        <f>Total!I2742</f>
        <v>43000</v>
      </c>
    </row>
    <row r="12" spans="1:9" x14ac:dyDescent="0.2">
      <c r="A12" s="8">
        <v>11</v>
      </c>
      <c r="B12" s="101">
        <f>Total!B2743</f>
        <v>44279</v>
      </c>
      <c r="C12" s="101">
        <f>Total!C2743</f>
        <v>44298</v>
      </c>
      <c r="D12" s="112" t="s">
        <v>1092</v>
      </c>
      <c r="E12" s="332" t="str">
        <f>Total!E2743</f>
        <v>Edificació</v>
      </c>
      <c r="F12" s="96" t="str">
        <f>Total!F2743</f>
        <v>Projectes</v>
      </c>
      <c r="G12" s="112" t="str">
        <f>Total!G2743</f>
        <v>E1. JVX-20254</v>
      </c>
      <c r="H12" s="112" t="str">
        <f>Total!H2743</f>
        <v>Assistència tècnica per a la redacció del dictament estructural i estudi de patologies del Centre Penitenciari de Quatre Camins.</v>
      </c>
      <c r="I12" s="157">
        <f>Total!I2743</f>
        <v>45500</v>
      </c>
    </row>
    <row r="13" spans="1:9" x14ac:dyDescent="0.2">
      <c r="A13" s="8">
        <v>12</v>
      </c>
      <c r="B13" s="101">
        <f>Total!B2744</f>
        <v>44279</v>
      </c>
      <c r="C13" s="101">
        <f>Total!C2744</f>
        <v>44298</v>
      </c>
      <c r="D13" s="112" t="s">
        <v>1092</v>
      </c>
      <c r="E13" s="332" t="str">
        <f>Total!E2744</f>
        <v>Obra Civil</v>
      </c>
      <c r="F13" s="96" t="str">
        <f>Total!F2744</f>
        <v xml:space="preserve">Projectes </v>
      </c>
      <c r="G13" s="112" t="str">
        <f>Total!G2744</f>
        <v>EX-MB-14021.1</v>
      </c>
      <c r="H13" s="112" t="str">
        <f>Total!H2744</f>
        <v>Redacció de l'estudi d'auditoria de seguretat de les obres de millora local. Seguretat viària. Millora de les característiques superficials del ferm i reestudi de la secció transversal. Ctra. C-35 del pk 49,860 al 55,450. Tram: Vilalaba Sasserra-S. Celoni</v>
      </c>
      <c r="I13" s="157">
        <f>Total!I2744</f>
        <v>12425</v>
      </c>
    </row>
    <row r="14" spans="1:9" x14ac:dyDescent="0.2">
      <c r="A14" s="8">
        <v>13</v>
      </c>
      <c r="B14" s="101">
        <f>Total!B2745</f>
        <v>44279</v>
      </c>
      <c r="C14" s="101">
        <f>Total!C2745</f>
        <v>44298</v>
      </c>
      <c r="D14" s="112" t="s">
        <v>1092</v>
      </c>
      <c r="E14" s="332" t="str">
        <f>Total!E2745</f>
        <v>Edificació</v>
      </c>
      <c r="F14" s="96" t="str">
        <f>Total!F2745</f>
        <v>Direccións d'Obra</v>
      </c>
      <c r="G14" s="112" t="str">
        <f>Total!G2745</f>
        <v>CSS. CAP-17281</v>
      </c>
      <c r="H14" s="112" t="str">
        <f>Total!H2745</f>
        <v>Assistència tècnica de coordinació de seguretat i salut de les obres del projecte executiu d'ampliació i reforma del Centre d'Atenció Primària de Tona.</v>
      </c>
      <c r="I14" s="157">
        <f>Total!I2745</f>
        <v>20760</v>
      </c>
    </row>
    <row r="15" spans="1:9" x14ac:dyDescent="0.2">
      <c r="A15" s="8">
        <v>14</v>
      </c>
      <c r="B15" s="101">
        <f>Total!B2746</f>
        <v>44279</v>
      </c>
      <c r="C15" s="101">
        <f>Total!C2746</f>
        <v>44298</v>
      </c>
      <c r="D15" s="112" t="s">
        <v>1092</v>
      </c>
      <c r="E15" s="332" t="str">
        <f>Total!E2746</f>
        <v>Edificació</v>
      </c>
      <c r="F15" s="96" t="str">
        <f>Total!F2746</f>
        <v>Control de Qualitat</v>
      </c>
      <c r="G15" s="112" t="str">
        <f>Total!G2746</f>
        <v>CQ. CAP-17281</v>
      </c>
      <c r="H15" s="112" t="str">
        <f>Total!H2746</f>
        <v>Assistència tècnica de control de qualitat de les obres del projecte executiu d'ampliació i reforma del Centre d'Atenció Primària de Tona.</v>
      </c>
      <c r="I15" s="157">
        <f>Total!I2746</f>
        <v>21278.42</v>
      </c>
    </row>
    <row r="16" spans="1:9" x14ac:dyDescent="0.2">
      <c r="A16" s="8">
        <v>15</v>
      </c>
      <c r="B16" s="101">
        <f>Total!B2747</f>
        <v>44279</v>
      </c>
      <c r="C16" s="101">
        <f>Total!C2747</f>
        <v>44298</v>
      </c>
      <c r="D16" s="112" t="s">
        <v>1092</v>
      </c>
      <c r="E16" s="332" t="str">
        <f>Total!E2747</f>
        <v>Edificació</v>
      </c>
      <c r="F16" s="96" t="str">
        <f>Total!F2747</f>
        <v>Direccions d'execució</v>
      </c>
      <c r="G16" s="112" t="str">
        <f>Total!G2747</f>
        <v>DE. CAP-17281</v>
      </c>
      <c r="H16" s="112" t="str">
        <f>Total!H2747</f>
        <v>Direcció d'execució de les obres del projecte executiu d'ampliació i reforma del Centre d'Atenció Primària de Tona.</v>
      </c>
      <c r="I16" s="157">
        <f>Total!I2747</f>
        <v>83136.800000000003</v>
      </c>
    </row>
    <row r="17" spans="1:9" x14ac:dyDescent="0.2">
      <c r="A17" s="8">
        <v>16</v>
      </c>
      <c r="B17" s="101">
        <f>Total!B2748</f>
        <v>44279</v>
      </c>
      <c r="C17" s="101">
        <f>Total!C2748</f>
        <v>44298</v>
      </c>
      <c r="D17" s="112" t="s">
        <v>1092</v>
      </c>
      <c r="E17" s="332" t="str">
        <f>Total!E2748</f>
        <v>Obra Civil</v>
      </c>
      <c r="F17" s="96" t="str">
        <f>Total!F2748</f>
        <v>Projectes</v>
      </c>
      <c r="G17" s="112" t="str">
        <f>Total!G2748</f>
        <v>PC. RO-21219</v>
      </c>
      <c r="H17" s="112" t="str">
        <f>Total!H2748</f>
        <v>Redacció del projecte constructiu per a la renovació de l'enllumenat del tarrer de la Zona Franca i d'una part de la ventilació del taller de Can Zam de la L9 del metro de Barcelona.</v>
      </c>
      <c r="I17" s="157">
        <f>Total!I2748</f>
        <v>60000</v>
      </c>
    </row>
    <row r="18" spans="1:9" x14ac:dyDescent="0.2">
      <c r="A18" s="8">
        <v>17</v>
      </c>
      <c r="B18" s="101">
        <f>Total!B2749</f>
        <v>44284</v>
      </c>
      <c r="C18" s="101">
        <f>Total!C2749</f>
        <v>44300</v>
      </c>
      <c r="D18" s="112" t="s">
        <v>1092</v>
      </c>
      <c r="E18" s="332" t="str">
        <f>Total!E2749</f>
        <v>Obra Civil</v>
      </c>
      <c r="F18" s="96" t="str">
        <f>Total!F2749</f>
        <v>Projectes</v>
      </c>
      <c r="G18" s="112" t="str">
        <f>Total!G2749</f>
        <v>PC. XB-16010 (AMPL)</v>
      </c>
      <c r="H18" s="112" t="str">
        <f>Total!H2749</f>
        <v>Contracte de serveis per a l'assistència tècnica per a la redacció del Projecte Constructiu "Millora local. Via verda a la carretera BV-4501, del PK 2+470 (parc de l'Agulla) al 5+960. Tram: Manresa - Santpedor".</v>
      </c>
      <c r="I18" s="157">
        <f>Total!I2749</f>
        <v>26600</v>
      </c>
    </row>
    <row r="19" spans="1:9" x14ac:dyDescent="0.2">
      <c r="A19" s="8">
        <v>18</v>
      </c>
      <c r="B19" s="101">
        <f>Total!B2751</f>
        <v>44284</v>
      </c>
      <c r="C19" s="101">
        <f>Total!C2751</f>
        <v>44312</v>
      </c>
      <c r="D19" s="112" t="s">
        <v>1092</v>
      </c>
      <c r="E19" s="332" t="str">
        <f>Total!E2751</f>
        <v>Obra Civil</v>
      </c>
      <c r="F19" s="96" t="str">
        <f>Total!F2751</f>
        <v>Projectes</v>
      </c>
      <c r="G19" s="112" t="str">
        <f>Total!G2751</f>
        <v>PC. R0-21220</v>
      </c>
      <c r="H19" s="112" t="str">
        <f>Total!H2751</f>
        <v>Contracte de serveis per a l'assistència tècnica per a la redacció del Projecte constructiu de renovació del sistema de protecció contra incendis de la L9 de metro de Barcelona.</v>
      </c>
      <c r="I19" s="157">
        <f>Total!I2751</f>
        <v>250000</v>
      </c>
    </row>
    <row r="20" spans="1:9" x14ac:dyDescent="0.2">
      <c r="A20" s="8">
        <v>19</v>
      </c>
      <c r="B20" s="101">
        <f>Total!B2752</f>
        <v>44284</v>
      </c>
      <c r="C20" s="101">
        <f>Total!C2752</f>
        <v>44312</v>
      </c>
      <c r="D20" s="112" t="s">
        <v>1092</v>
      </c>
      <c r="E20" s="332" t="str">
        <f>Total!E2752</f>
        <v>Edificació</v>
      </c>
      <c r="F20" s="96" t="str">
        <f>Total!F2752</f>
        <v>Projectes i Direccions d'Obra</v>
      </c>
      <c r="G20" s="112" t="str">
        <f>Total!G2752</f>
        <v>PE+DO. PGB-19202</v>
      </c>
      <c r="H20" s="112" t="str">
        <f>Total!H2752</f>
        <v>Concurs de projectes per a l'assistència tècnica per a la redacció del projecte bàsic i executiu i la posterior direcció de les obres del Nou edifici tècnic de Regió a Sant Fruitós del Bages.</v>
      </c>
      <c r="I20" s="157">
        <f>Total!I2752</f>
        <v>510083.19</v>
      </c>
    </row>
    <row r="21" spans="1:9" x14ac:dyDescent="0.2">
      <c r="A21" s="8">
        <v>20</v>
      </c>
      <c r="B21" s="101">
        <f>Total!B2754</f>
        <v>44285</v>
      </c>
      <c r="C21" s="101">
        <f>Total!C2754</f>
        <v>44305</v>
      </c>
      <c r="D21" s="112" t="s">
        <v>1092</v>
      </c>
      <c r="E21" s="332" t="str">
        <f>Total!E2754</f>
        <v>Obra Civil</v>
      </c>
      <c r="F21" s="96" t="str">
        <f>Total!F2754</f>
        <v>Projectes</v>
      </c>
      <c r="G21" s="112" t="str">
        <f>Total!G2754</f>
        <v>PC. PC-CPB-20090</v>
      </c>
      <c r="H21" s="112" t="str">
        <f>Total!H2754</f>
        <v>Contracte de serveis per a l'assistència tècnica per a la redacció del projecte constructiu "Rotonda a la B-140 al PK 1+250. Sabadell - Barberà del Vallès".</v>
      </c>
      <c r="I21" s="157">
        <f>Total!I2754</f>
        <v>46130</v>
      </c>
    </row>
    <row r="22" spans="1:9" x14ac:dyDescent="0.2">
      <c r="A22" s="8">
        <v>21</v>
      </c>
      <c r="B22" s="101">
        <f>Total!B2755</f>
        <v>44285</v>
      </c>
      <c r="C22" s="101">
        <f>Total!C2755</f>
        <v>44305</v>
      </c>
      <c r="D22" s="112" t="s">
        <v>1092</v>
      </c>
      <c r="E22" s="332" t="str">
        <f>Total!E2755</f>
        <v>Obra Civil</v>
      </c>
      <c r="F22" s="96" t="str">
        <f>Total!F2755</f>
        <v>Projectes</v>
      </c>
      <c r="G22" s="112" t="str">
        <f>Total!G2755</f>
        <v>PC. PC-BNB-20084</v>
      </c>
      <c r="H22" s="112" t="str">
        <f>Total!H2755</f>
        <v>Contracte de serveis per a la redacció del projecte constructiu "Via ciclista a la C-31 del PK 186+110 al 186+485. Gavà - Viladecans".</v>
      </c>
      <c r="I22" s="157">
        <f>Total!I2755</f>
        <v>29000</v>
      </c>
    </row>
    <row r="23" spans="1:9" x14ac:dyDescent="0.2">
      <c r="A23" s="8">
        <v>22</v>
      </c>
      <c r="B23" s="101">
        <f>Total!B2756</f>
        <v>44285</v>
      </c>
      <c r="C23" s="101">
        <f>Total!C2756</f>
        <v>44305</v>
      </c>
      <c r="D23" s="112" t="s">
        <v>1092</v>
      </c>
      <c r="E23" s="332" t="str">
        <f>Total!E2756</f>
        <v>Edificació</v>
      </c>
      <c r="F23" s="96" t="str">
        <f>Total!F2756</f>
        <v>Projectes</v>
      </c>
      <c r="G23" s="112" t="str">
        <f>Total!G2756</f>
        <v>PC. RAE-21201</v>
      </c>
      <c r="H23" s="112" t="str">
        <f>Total!H2756</f>
        <v>Contracte de serveis per a l'assistència tècnica per a la redacció del projecte constructiu. Restauració Ambiental de l'activitat extractiva "Can Magí Vidal" a El Montmell. Baix Penedès.</v>
      </c>
      <c r="I23" s="157">
        <f>Total!I2756</f>
        <v>21500</v>
      </c>
    </row>
    <row r="24" spans="1:9" x14ac:dyDescent="0.2">
      <c r="A24" s="8">
        <v>23</v>
      </c>
      <c r="B24" s="101">
        <f>Total!B2757</f>
        <v>44285</v>
      </c>
      <c r="C24" s="101">
        <f>Total!C2757</f>
        <v>44305</v>
      </c>
      <c r="D24" s="112" t="s">
        <v>1092</v>
      </c>
      <c r="E24" s="332" t="str">
        <f>Total!E2757</f>
        <v>Edificació</v>
      </c>
      <c r="F24" s="96" t="str">
        <f>Total!F2757</f>
        <v>Control de Qualitat</v>
      </c>
      <c r="G24" s="112" t="str">
        <f>Total!G2757</f>
        <v>CQ. CGM-17252</v>
      </c>
      <c r="H24" s="112" t="str">
        <f>Total!H2757</f>
        <v>Contracte de serveis per a l'assistència tècnica de control de qualitat de les Obres RAM d'adaptació per autoconsum d'instal·lacions fotovoltaiques i canvis d'enllumenat exterior a sistema LED a diverses comissaries de mossos.</v>
      </c>
      <c r="I24" s="157">
        <f>Total!I2757</f>
        <v>13805</v>
      </c>
    </row>
    <row r="25" spans="1:9" x14ac:dyDescent="0.2">
      <c r="A25" s="8">
        <v>24</v>
      </c>
      <c r="B25" s="101">
        <f>Total!B2758</f>
        <v>44285</v>
      </c>
      <c r="C25" s="101">
        <f>Total!C2758</f>
        <v>44305</v>
      </c>
      <c r="D25" s="112" t="s">
        <v>1092</v>
      </c>
      <c r="E25" s="332" t="str">
        <f>Total!E2758</f>
        <v>Edificació</v>
      </c>
      <c r="F25" s="96" t="str">
        <f>Total!F2758</f>
        <v>Direccions d'execució</v>
      </c>
      <c r="G25" s="112" t="str">
        <f>Total!G2758</f>
        <v>DE. CGM-17252</v>
      </c>
      <c r="H25" s="112" t="str">
        <f>Total!H2758</f>
        <v>Contracte de serveis per a la direcció d'execució de les obres RAM d'adaptació per autoconsum d'instal·lacions fotovoltaiques i canvis d'enllumenat exterior a sistema LED a diverses comissaries de mossos.</v>
      </c>
      <c r="I25" s="157">
        <f>Total!I2758</f>
        <v>24000</v>
      </c>
    </row>
    <row r="26" spans="1:9" x14ac:dyDescent="0.2">
      <c r="A26" s="8">
        <v>25</v>
      </c>
      <c r="B26" s="101">
        <f>Total!B2759</f>
        <v>44285</v>
      </c>
      <c r="C26" s="101">
        <f>Total!C2759</f>
        <v>44305</v>
      </c>
      <c r="D26" s="112" t="s">
        <v>1092</v>
      </c>
      <c r="E26" s="332" t="str">
        <f>Total!E2759</f>
        <v>Edificació</v>
      </c>
      <c r="F26" s="96" t="str">
        <f>Total!F2759</f>
        <v>Projectes i Direccions Facultatives</v>
      </c>
      <c r="G26" s="112" t="str">
        <f>Total!G2759</f>
        <v>PE+DF. JVX-20306</v>
      </c>
      <c r="H26" s="112" t="str">
        <f>Total!H2759</f>
        <v>Assistència tècnica per a la redacció del projecte bàsic i executiu i la posterior direcció facultativa de les obres RAM de reforma de l'envolupant i les instal·lacions de climatització, PDCI, CCTV, intrusió i megafonia de la seu Judicial de Cervera.</v>
      </c>
      <c r="I26" s="157">
        <f>Total!I2759</f>
        <v>68181.820000000007</v>
      </c>
    </row>
    <row r="27" spans="1:9" x14ac:dyDescent="0.2">
      <c r="A27" s="8">
        <v>26</v>
      </c>
      <c r="B27" s="101">
        <f>Total!B2760</f>
        <v>44285</v>
      </c>
      <c r="C27" s="101">
        <f>Total!C2760</f>
        <v>44305</v>
      </c>
      <c r="D27" s="112" t="s">
        <v>1092</v>
      </c>
      <c r="E27" s="332" t="str">
        <f>Total!E2760</f>
        <v>Edificació</v>
      </c>
      <c r="F27" s="96" t="str">
        <f>Total!F2760</f>
        <v>Projectes i Direccions Facultatives</v>
      </c>
      <c r="G27" s="112" t="str">
        <f>Total!G2760</f>
        <v>PE+DF. VBM-21217</v>
      </c>
      <c r="H27" s="112" t="str">
        <f>Total!H2760</f>
        <v>Assistència tècnica per a la redacció del projecte bàsic i executiu i la posterior direcció facultativa de les obres RAM de reforma, adaptació i mesures correctores a de la Seu del Departament d'Interior per la obtenció de la llicència ambiental Fase 2.</v>
      </c>
      <c r="I27" s="157">
        <f>Total!I2760</f>
        <v>48685.53</v>
      </c>
    </row>
    <row r="28" spans="1:9" x14ac:dyDescent="0.2">
      <c r="A28" s="8">
        <v>27</v>
      </c>
      <c r="B28" s="101">
        <f>Total!B2761</f>
        <v>44285</v>
      </c>
      <c r="C28" s="101">
        <f>Total!C2761</f>
        <v>44305</v>
      </c>
      <c r="D28" s="112" t="s">
        <v>1092</v>
      </c>
      <c r="E28" s="332" t="str">
        <f>Total!E2761</f>
        <v>Edificació</v>
      </c>
      <c r="F28" s="96" t="str">
        <f>Total!F2761</f>
        <v>Direccions d'execució</v>
      </c>
      <c r="G28" s="112" t="str">
        <f>Total!G2761</f>
        <v>CSS. CGM-17252</v>
      </c>
      <c r="H28" s="112" t="str">
        <f>Total!H2761</f>
        <v>Assistència tècnica de coordinació de seguretat i salut del projecte d'execució per a les obres RAM d'adaptació per autoconsum d'instal·lacions fotovoltaiques i canvis d'enllumenat exterior a sistema LED a diverses comissaries de mossos.</v>
      </c>
      <c r="I28" s="157">
        <f>Total!I2761</f>
        <v>7200</v>
      </c>
    </row>
    <row r="29" spans="1:9" x14ac:dyDescent="0.2">
      <c r="A29" s="8">
        <v>28</v>
      </c>
      <c r="B29" s="101">
        <f>Total!B2762</f>
        <v>44286</v>
      </c>
      <c r="C29" s="101">
        <f>Total!C2762</f>
        <v>44305</v>
      </c>
      <c r="D29" s="112" t="s">
        <v>1092</v>
      </c>
      <c r="E29" s="332" t="str">
        <f>Total!E2762</f>
        <v>Obra Civil</v>
      </c>
      <c r="F29" s="96" t="str">
        <f>Total!F2762</f>
        <v>Direccions d'Obra</v>
      </c>
      <c r="G29" s="112" t="str">
        <f>Total!G2762</f>
        <v>ATAM. AL-02134.1-AA</v>
      </c>
      <c r="H29" s="112" t="str">
        <f>Total!H2762</f>
        <v>Contracte de serveis per a l'Assistència Tècnica Ambiental de les obres de millora general. Condicionament del pas de Comiols. Carreteres C-14, L-512 i C-1412b. Del PK 104+700 de la C-14 fins el PK 1+140 de l'L-512. Tram: Artesa de Segre.</v>
      </c>
      <c r="I29" s="157">
        <f>Total!I2762</f>
        <v>22187.22</v>
      </c>
    </row>
    <row r="30" spans="1:9" x14ac:dyDescent="0.2">
      <c r="I30" s="126">
        <f>SUM(I2:I29)</f>
        <v>1915300.29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38"/>
  <sheetViews>
    <sheetView topLeftCell="A10" workbookViewId="0">
      <selection activeCell="B38" sqref="B38"/>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Total!B2696</f>
        <v>44229</v>
      </c>
      <c r="C2" s="101">
        <f>Total!C2696</f>
        <v>44249</v>
      </c>
      <c r="D2" s="112" t="s">
        <v>1092</v>
      </c>
      <c r="E2" s="332" t="str">
        <f>Total!E2696</f>
        <v>Obra Civil</v>
      </c>
      <c r="F2" s="96" t="str">
        <f>Total!F2696</f>
        <v>Control de Qualitat</v>
      </c>
      <c r="G2" s="112" t="str">
        <f>Total!G2696</f>
        <v>CQ. PC.CMB-17103</v>
      </c>
      <c r="H2" s="112" t="str">
        <f>Total!H2696</f>
        <v>Assistència tècnica de Control de Qualitat de les obres de la rotonda a la intersecció de l'N-II al pk 647,685 amb el Camí Ral El Ravalet i obres complementàries.</v>
      </c>
      <c r="I2" s="157">
        <f>Total!I2696</f>
        <v>9383.3700000000008</v>
      </c>
    </row>
    <row r="3" spans="1:9" x14ac:dyDescent="0.2">
      <c r="A3" s="8">
        <v>2</v>
      </c>
      <c r="B3" s="101">
        <f>Total!B2697</f>
        <v>44229</v>
      </c>
      <c r="C3" s="101">
        <f>Total!C2697</f>
        <v>44249</v>
      </c>
      <c r="D3" s="112" t="s">
        <v>1092</v>
      </c>
      <c r="E3" s="332" t="str">
        <f>Total!E2697</f>
        <v>Obra Civil</v>
      </c>
      <c r="F3" s="96" t="str">
        <f>Total!F2697</f>
        <v>Direccions d'Obra</v>
      </c>
      <c r="G3" s="112" t="str">
        <f>Total!G2697</f>
        <v>DO. PC.CMB-17103</v>
      </c>
      <c r="H3" s="112" t="str">
        <f>Total!H2697</f>
        <v>Direcció de les obres de la rotonda a la intersecció de l'N-II al pk 647,685 amb el Camí Ral El Ravalet i obres complementàries. Mataró.</v>
      </c>
      <c r="I3" s="157">
        <f>Total!I2697</f>
        <v>28560</v>
      </c>
    </row>
    <row r="4" spans="1:9" x14ac:dyDescent="0.2">
      <c r="A4" s="8">
        <v>3</v>
      </c>
      <c r="B4" s="101">
        <f>Total!B2698</f>
        <v>44229</v>
      </c>
      <c r="C4" s="101">
        <f>Total!C2698</f>
        <v>44249</v>
      </c>
      <c r="D4" s="112" t="s">
        <v>1092</v>
      </c>
      <c r="E4" s="332" t="str">
        <f>Total!E2698</f>
        <v>Obra Civil</v>
      </c>
      <c r="F4" s="96" t="str">
        <f>Total!F2698</f>
        <v>Direccions d'Obra</v>
      </c>
      <c r="G4" s="112" t="str">
        <f>Total!G2698</f>
        <v>CSS. PC.CMB-17103</v>
      </c>
      <c r="H4" s="112" t="str">
        <f>Total!H2698</f>
        <v>Assistència tècnica de coordinacio de seguretat i salut de les obres de la rotonda a la intersecció de l'N-II al pk 647,685 amb el Camí Ral El Ravalet i obres complementàries. Mataró.</v>
      </c>
      <c r="I4" s="157">
        <f>Total!I2698</f>
        <v>9000</v>
      </c>
    </row>
    <row r="5" spans="1:9" x14ac:dyDescent="0.2">
      <c r="A5" s="8">
        <v>4</v>
      </c>
      <c r="B5" s="101">
        <f>Total!B2699</f>
        <v>44229</v>
      </c>
      <c r="C5" s="101">
        <f>Total!C2699</f>
        <v>44249</v>
      </c>
      <c r="D5" s="112" t="s">
        <v>1092</v>
      </c>
      <c r="E5" s="332" t="str">
        <f>Total!E2699</f>
        <v>Edificació</v>
      </c>
      <c r="F5" s="96" t="str">
        <f>Total!F2699</f>
        <v>Direccions d'execució</v>
      </c>
      <c r="G5" s="112" t="str">
        <f>Total!G2699</f>
        <v>DE. S73-FGC-04467</v>
      </c>
      <c r="H5" s="112" t="str">
        <f>Total!H2699</f>
        <v>Direcció d'execució de les obres d'instal·lació solar fotovoltaica de 86 KWn per autoconsum a la coberta de la Seu Corporativa d'Infraestructures. cat.</v>
      </c>
      <c r="I5" s="157">
        <f>Total!I2699</f>
        <v>9422</v>
      </c>
    </row>
    <row r="6" spans="1:9" x14ac:dyDescent="0.2">
      <c r="A6" s="8">
        <v>5</v>
      </c>
      <c r="B6" s="101">
        <f>Total!B2700</f>
        <v>44230</v>
      </c>
      <c r="C6" s="101">
        <f>Total!C2700</f>
        <v>44256</v>
      </c>
      <c r="D6" s="112" t="s">
        <v>1092</v>
      </c>
      <c r="E6" s="332" t="str">
        <f>Total!E2700</f>
        <v>Obra Civil</v>
      </c>
      <c r="F6" s="96" t="str">
        <f>Total!F2700</f>
        <v>Projectes</v>
      </c>
      <c r="G6" s="112" t="str">
        <f>Total!G2700</f>
        <v>PC. PC-CPC-20079</v>
      </c>
      <c r="H6" s="112" t="str">
        <f>Total!H2700</f>
        <v>Contracte de serveis per a la redacció del projecte constructiu. Eixamplament i millora del traçat de la B-420 del pk 9,390 al 13,920, intersecció amb la C-26. Navès-l'Espunyola.</v>
      </c>
      <c r="I6" s="157">
        <f>Total!I2700</f>
        <v>223600</v>
      </c>
    </row>
    <row r="7" spans="1:9" x14ac:dyDescent="0.2">
      <c r="A7" s="8">
        <v>6</v>
      </c>
      <c r="B7" s="101">
        <f>Total!B2701</f>
        <v>44230</v>
      </c>
      <c r="C7" s="101">
        <f>Total!C2701</f>
        <v>44249</v>
      </c>
      <c r="D7" s="112" t="s">
        <v>1092</v>
      </c>
      <c r="E7" s="332" t="str">
        <f>Total!E2701</f>
        <v>Edificació</v>
      </c>
      <c r="F7" s="96" t="str">
        <f>Total!F2701</f>
        <v>Control de Qualitat</v>
      </c>
      <c r="G7" s="112" t="str">
        <f>Total!G2701</f>
        <v>CQ. IAM-16251</v>
      </c>
      <c r="H7" s="112" t="str">
        <f>Total!H2701</f>
        <v>Control de qualitat de les bores de 1a fase: Substitució edifici C per a cicles formatius: mecànica, transport i manteniment de vehicles, instal·lació i manteniment, química, a l'Institut de Mollet del Vallès.</v>
      </c>
      <c r="I7" s="157">
        <f>Total!I2701</f>
        <v>19024.77</v>
      </c>
    </row>
    <row r="8" spans="1:9" x14ac:dyDescent="0.2">
      <c r="A8" s="8">
        <v>7</v>
      </c>
      <c r="B8" s="101">
        <f>Total!B2702</f>
        <v>44230</v>
      </c>
      <c r="C8" s="101">
        <f>Total!C2702</f>
        <v>44249</v>
      </c>
      <c r="D8" s="112" t="s">
        <v>1092</v>
      </c>
      <c r="E8" s="332" t="str">
        <f>Total!E2702</f>
        <v>Edificació</v>
      </c>
      <c r="F8" s="96" t="str">
        <f>Total!F2702</f>
        <v>Direccions d'execució</v>
      </c>
      <c r="G8" s="112" t="str">
        <f>Total!G2702</f>
        <v>CSS. IAM-16251</v>
      </c>
      <c r="H8" s="112" t="str">
        <f>Total!H2702</f>
        <v>Assitència tècnica de coordiació de seguretat i salut de les obres de 1a fase: Substitució edifici C per a cicles formatius: mecànica, transport i manteniment de vehicles, instal·lació i manteniment, química, a l'Institut de Mollet del Vallès.</v>
      </c>
      <c r="I8" s="157">
        <f>Total!I2702</f>
        <v>47160</v>
      </c>
    </row>
    <row r="9" spans="1:9" x14ac:dyDescent="0.2">
      <c r="A9" s="8">
        <v>8</v>
      </c>
      <c r="B9" s="101">
        <f>Total!B2703</f>
        <v>44230</v>
      </c>
      <c r="C9" s="101">
        <f>Total!C2703</f>
        <v>44251</v>
      </c>
      <c r="D9" s="112" t="s">
        <v>1092</v>
      </c>
      <c r="E9" s="332" t="str">
        <f>Total!E2703</f>
        <v>Obra Civil</v>
      </c>
      <c r="F9" s="96" t="str">
        <f>Total!F2703</f>
        <v>Projectes</v>
      </c>
      <c r="G9" s="112" t="str">
        <f>Total!G2703</f>
        <v>PC. PC-CGE-20078</v>
      </c>
      <c r="H9" s="112" t="str">
        <f>Total!H2703</f>
        <v>Contracte de serveis per a la redacció del projecte constructiu. Adequació dels sistemes de contenció de vehicles a la T-340, TV-3022, TV-3319, TV-3403, TV-3405, TV-3454 i TV-7231.</v>
      </c>
      <c r="I9" s="157">
        <f>Total!I2703</f>
        <v>72940</v>
      </c>
    </row>
    <row r="10" spans="1:9" x14ac:dyDescent="0.2">
      <c r="A10" s="8">
        <v>9</v>
      </c>
      <c r="B10" s="101">
        <f>Total!B2704</f>
        <v>44230</v>
      </c>
      <c r="C10" s="101">
        <f>Total!C2704</f>
        <v>44249</v>
      </c>
      <c r="D10" s="112" t="s">
        <v>1092</v>
      </c>
      <c r="E10" s="332" t="str">
        <f>Total!E2704</f>
        <v>Edificació</v>
      </c>
      <c r="F10" s="96" t="str">
        <f>Total!F2704</f>
        <v>Direccions d'execució</v>
      </c>
      <c r="G10" s="112" t="str">
        <f>Total!G2704</f>
        <v>DE. IAM-16251</v>
      </c>
      <c r="H10" s="112" t="str">
        <f>Total!H2704</f>
        <v>Assitència tècnica per a la direcció d'execució de les obres de 1a fase: Substitució edifici C per a cicles formatius: mecànica, transport i manteniment de vehicles, instal·lació i manteniment, química, a l'Institut de Mollet del Vallès.</v>
      </c>
      <c r="I10" s="157">
        <f>Total!I2704</f>
        <v>157715.56</v>
      </c>
    </row>
    <row r="11" spans="1:9" x14ac:dyDescent="0.2">
      <c r="A11" s="8">
        <v>10</v>
      </c>
      <c r="B11" s="101">
        <f>Total!B2705</f>
        <v>44230</v>
      </c>
      <c r="C11" s="101">
        <f>Total!C2705</f>
        <v>44249</v>
      </c>
      <c r="D11" s="112" t="s">
        <v>1092</v>
      </c>
      <c r="E11" s="332" t="str">
        <f>Total!E2705</f>
        <v>Edificació</v>
      </c>
      <c r="F11" s="96" t="str">
        <f>Total!F2705</f>
        <v>Projectes</v>
      </c>
      <c r="G11" s="112" t="str">
        <f>Total!G2705</f>
        <v>EV. E6-MA-21900</v>
      </c>
      <c r="H11" s="112" t="str">
        <f>Total!H2705</f>
        <v>Assistència tècnica per la planificació de la gestió la campanya 2021-2022 en les finques de compensació de l'àmbit del Regadiu Segarra-Garrigues.</v>
      </c>
      <c r="I11" s="157">
        <f>Total!I2705</f>
        <v>26300.880000000001</v>
      </c>
    </row>
    <row r="12" spans="1:9" x14ac:dyDescent="0.2">
      <c r="A12" s="8">
        <v>11</v>
      </c>
      <c r="B12" s="101">
        <f>Total!B2706</f>
        <v>44232</v>
      </c>
      <c r="C12" s="101">
        <f>Total!C2706</f>
        <v>44251</v>
      </c>
      <c r="D12" s="112" t="s">
        <v>1092</v>
      </c>
      <c r="E12" s="332" t="str">
        <f>Total!E2706</f>
        <v>Edificació</v>
      </c>
      <c r="F12" s="96" t="str">
        <f>Total!F2706</f>
        <v>Direccions d'execució</v>
      </c>
      <c r="G12" s="112" t="str">
        <f>Total!G2706</f>
        <v>CSS. PNL-17265</v>
      </c>
      <c r="H12" s="112" t="str">
        <f>Total!H2706</f>
        <v>Coordinació de seguretat i salut de les obres del projecte de nova construcció Escola 4 unitats a l'Escola Ramón Perelló de Vilagrassa (Urgell). Lot 1: Nova construcció escola 4 unitats (excepte urbanització). Lot 2: Urbanització exterior.</v>
      </c>
      <c r="I12" s="157">
        <f>Total!I2706</f>
        <v>12252</v>
      </c>
    </row>
    <row r="13" spans="1:9" x14ac:dyDescent="0.2">
      <c r="A13" s="8">
        <v>12</v>
      </c>
      <c r="B13" s="101">
        <f>Total!B2707</f>
        <v>44232</v>
      </c>
      <c r="C13" s="101">
        <f>Total!C2707</f>
        <v>44251</v>
      </c>
      <c r="D13" s="112" t="s">
        <v>1092</v>
      </c>
      <c r="E13" s="332" t="str">
        <f>Total!E2707</f>
        <v>Edificació</v>
      </c>
      <c r="F13" s="96" t="str">
        <f>Total!F2707</f>
        <v>Direccions d'execució</v>
      </c>
      <c r="G13" s="112" t="str">
        <f>Total!G2707</f>
        <v>DE. PNL-17265</v>
      </c>
      <c r="H13" s="112" t="str">
        <f>Total!H2707</f>
        <v>Direcció d'execució de les obres del projecte de nova construcció Escola 4 unitats a l'Escola Ramón Perelló de Vilagrassa (Urgell).</v>
      </c>
      <c r="I13" s="157">
        <f>Total!I2707</f>
        <v>40853.199999999997</v>
      </c>
    </row>
    <row r="14" spans="1:9" x14ac:dyDescent="0.2">
      <c r="A14" s="8">
        <v>13</v>
      </c>
      <c r="B14" s="101">
        <f>Total!B2708</f>
        <v>44232</v>
      </c>
      <c r="C14" s="101">
        <f>Total!C2708</f>
        <v>44251</v>
      </c>
      <c r="D14" s="112" t="s">
        <v>1092</v>
      </c>
      <c r="E14" s="332" t="str">
        <f>Total!E2708</f>
        <v>Edificació</v>
      </c>
      <c r="F14" s="96" t="str">
        <f>Total!F2708</f>
        <v>Control de Qualitat</v>
      </c>
      <c r="G14" s="112" t="str">
        <f>Total!G2708</f>
        <v>CQ. PNL-17265</v>
      </c>
      <c r="H14" s="112" t="str">
        <f>Total!H2708</f>
        <v>Control de qualitat de les obres del projecte de nova construcció Escola 4 unitats a l'Escola Ramón Perelló de Vilagrassa (Urgell).</v>
      </c>
      <c r="I14" s="157">
        <f>Total!I2708</f>
        <v>17072.759999999998</v>
      </c>
    </row>
    <row r="15" spans="1:9" x14ac:dyDescent="0.2">
      <c r="A15" s="8">
        <v>14</v>
      </c>
      <c r="B15" s="101">
        <f>Total!B2709</f>
        <v>44235</v>
      </c>
      <c r="C15" s="101">
        <f>Total!C2709</f>
        <v>44251</v>
      </c>
      <c r="D15" s="112" t="s">
        <v>1092</v>
      </c>
      <c r="E15" s="332" t="str">
        <f>Total!E2709</f>
        <v>Edificació</v>
      </c>
      <c r="F15" s="96" t="str">
        <f>Total!F2709</f>
        <v>Projectes i Direccions Facultatives</v>
      </c>
      <c r="G15" s="112" t="str">
        <f>Total!G2709</f>
        <v>PE+DF. JSX-20302</v>
      </c>
      <c r="H15" s="112" t="str">
        <f>Total!H2709</f>
        <v>Redacció del projecte executiu i la posterior direcció facultativa de les obres RAM per a la construcció del Memorial del Camp de la Bota "Bosc d'empremtes", en el districte Diagonal-Besòs de Barcelona.</v>
      </c>
      <c r="I15" s="157">
        <f>Total!I2709</f>
        <v>30000</v>
      </c>
    </row>
    <row r="16" spans="1:9" x14ac:dyDescent="0.2">
      <c r="A16" s="8">
        <v>15</v>
      </c>
      <c r="B16" s="101">
        <f>Total!B2710</f>
        <v>44236</v>
      </c>
      <c r="C16" s="101">
        <f>Total!C2710</f>
        <v>44256</v>
      </c>
      <c r="D16" s="112" t="s">
        <v>1092</v>
      </c>
      <c r="E16" s="332" t="str">
        <f>Total!E2710</f>
        <v>Obra Civil</v>
      </c>
      <c r="F16" s="96" t="str">
        <f>Total!F2710</f>
        <v>Projectes</v>
      </c>
      <c r="G16" s="112" t="str">
        <f>Total!G2710</f>
        <v>EV. EA. JS-19254</v>
      </c>
      <c r="H16" s="112" t="str">
        <f>Total!H2710</f>
        <v>Assistència tècnica per a la redacció del document ambiental del projecte d'adequació de l'emissari submarí Vila-seca / Salou i instal·lacions de sanejament en alta afectades per l'ampliació del Port de Tarragona.</v>
      </c>
      <c r="I16" s="157">
        <f>Total!I2710</f>
        <v>12500</v>
      </c>
    </row>
    <row r="17" spans="1:9" x14ac:dyDescent="0.2">
      <c r="A17" s="8">
        <v>16</v>
      </c>
      <c r="B17" s="101">
        <f>Total!B2712</f>
        <v>44238</v>
      </c>
      <c r="C17" s="101">
        <f>Total!C2712</f>
        <v>44256</v>
      </c>
      <c r="D17" s="112" t="s">
        <v>1092</v>
      </c>
      <c r="E17" s="332" t="str">
        <f>Total!E2712</f>
        <v>Edificació</v>
      </c>
      <c r="F17" s="96" t="str">
        <f>Total!F2712</f>
        <v>Projectes</v>
      </c>
      <c r="G17" s="112" t="str">
        <f>Total!G2712</f>
        <v>E4. JVX-20252</v>
      </c>
      <c r="H17" s="112" t="str">
        <f>Total!H2712</f>
        <v>Redacció de l'Estudi previ d'aixecament de plànols d'arquitectura i instal·lacions, realitzacío d'ITE i Certificació Energètica del Centre Penitenciari Ponent, el Centre Obert Lleida, el C. Penitenciari Wad Ras, el C. Obert de Barcelona 2, C. Obert Girona</v>
      </c>
      <c r="I17" s="157">
        <f>Total!I2712</f>
        <v>104290</v>
      </c>
    </row>
    <row r="18" spans="1:9" x14ac:dyDescent="0.2">
      <c r="A18" s="8">
        <v>17</v>
      </c>
      <c r="B18" s="101">
        <f>Total!B2713</f>
        <v>44239</v>
      </c>
      <c r="C18" s="101">
        <f>Total!C2713</f>
        <v>44256</v>
      </c>
      <c r="D18" s="112" t="s">
        <v>1092</v>
      </c>
      <c r="E18" s="332" t="str">
        <f>Total!E2713</f>
        <v>Obra Civil</v>
      </c>
      <c r="F18" s="96" t="str">
        <f>Total!F2713</f>
        <v>Projectes</v>
      </c>
      <c r="G18" s="112" t="str">
        <f>Total!G2713</f>
        <v>EV. ES-MA-21900</v>
      </c>
      <c r="H18" s="112" t="str">
        <f>Total!H2713</f>
        <v>Serveis per a la redacció de l'Estudi i seguiment de la població d'esparver cendrós a la Plana de Lleida, localització de nius. Mesures correctores i compensatòries del regadiu del sistema Segarra-Garrigues. Campanya 2021-2022.</v>
      </c>
      <c r="I18" s="157">
        <f>Total!I2713</f>
        <v>32783.760000000002</v>
      </c>
    </row>
    <row r="19" spans="1:9" x14ac:dyDescent="0.2">
      <c r="A19" s="8">
        <v>18</v>
      </c>
      <c r="B19" s="101">
        <f>Total!B2714</f>
        <v>44239</v>
      </c>
      <c r="C19" s="101">
        <f>Total!C2714</f>
        <v>44258</v>
      </c>
      <c r="D19" s="112" t="s">
        <v>1092</v>
      </c>
      <c r="E19" s="332" t="str">
        <f>Total!E2714</f>
        <v>Obra Civil</v>
      </c>
      <c r="F19" s="96" t="str">
        <f>Total!F2714</f>
        <v>Projectes</v>
      </c>
      <c r="G19" s="112" t="str">
        <f>Total!G2714</f>
        <v>EV. EX.CAB-17038</v>
      </c>
      <c r="H19" s="112" t="str">
        <f>Total!H2714</f>
        <v>Serveis per a l'assistència tècnica per a la redacció del document ambiental del condicionament del tercer carrir de la C-16 del pk 22,000 al 23,800. Terrassa.</v>
      </c>
      <c r="I19" s="157">
        <f>Total!I2714</f>
        <v>18410</v>
      </c>
    </row>
    <row r="20" spans="1:9" x14ac:dyDescent="0.2">
      <c r="A20" s="8">
        <v>19</v>
      </c>
      <c r="B20" s="101">
        <f>Total!B2715</f>
        <v>44244</v>
      </c>
      <c r="C20" s="101">
        <f>Total!C2715</f>
        <v>44270</v>
      </c>
      <c r="D20" s="112" t="s">
        <v>1092</v>
      </c>
      <c r="E20" s="332" t="str">
        <f>Total!E2715</f>
        <v>Edificació</v>
      </c>
      <c r="F20" s="96" t="str">
        <f>Total!F2715</f>
        <v>Projectes i Direccions d'Obra</v>
      </c>
      <c r="G20" s="112" t="str">
        <f>Total!G2715</f>
        <v>PE+DO. CLT-18323</v>
      </c>
      <c r="H20" s="112" t="str">
        <f>Total!H2715</f>
        <v>Redacció del projecte bàsic i executiu i la posterior direcció d'obra de construccio del nou Consultori Local de Cabrils.</v>
      </c>
      <c r="I20" s="157">
        <f>Total!I2715</f>
        <v>216303.38</v>
      </c>
    </row>
    <row r="21" spans="1:9" x14ac:dyDescent="0.2">
      <c r="A21" s="8">
        <v>20</v>
      </c>
      <c r="B21" s="101">
        <f>Total!B2716</f>
        <v>44246</v>
      </c>
      <c r="C21" s="101">
        <f>Total!C2716</f>
        <v>44263</v>
      </c>
      <c r="D21" s="112" t="s">
        <v>1092</v>
      </c>
      <c r="E21" s="332" t="str">
        <f>Total!E2716</f>
        <v>Obra Civil</v>
      </c>
      <c r="F21" s="96" t="str">
        <f>Total!F2716</f>
        <v>Direccions d'Obra</v>
      </c>
      <c r="G21" s="112" t="str">
        <f>Total!G2716</f>
        <v>CSS. MG-14079-C1</v>
      </c>
      <c r="H21" s="112" t="str">
        <f>Total!H2716</f>
        <v>Serveis per a l'assistència tècnica de coordinació de seguretat i salut de les obres del projecte complementari núm. 1 d'estabilització de talús a l'N-141e, pk 111,170. Bescanó.</v>
      </c>
      <c r="I21" s="157">
        <f>Total!I2716</f>
        <v>1320</v>
      </c>
    </row>
    <row r="22" spans="1:9" x14ac:dyDescent="0.2">
      <c r="A22" s="8">
        <v>21</v>
      </c>
      <c r="B22" s="101">
        <f>Total!B2717</f>
        <v>44246</v>
      </c>
      <c r="C22" s="101">
        <f>Total!C2717</f>
        <v>44263</v>
      </c>
      <c r="D22" s="112" t="s">
        <v>1092</v>
      </c>
      <c r="E22" s="332" t="str">
        <f>Total!E2717</f>
        <v>Edificació</v>
      </c>
      <c r="F22" s="96" t="str">
        <f>Total!F2717</f>
        <v>Direccions d'execució</v>
      </c>
      <c r="G22" s="112" t="str">
        <f>Total!G2717</f>
        <v>DE. PNT-17275</v>
      </c>
      <c r="H22" s="112" t="str">
        <f>Total!H2717</f>
        <v>Serves per a l'assistència tècnica per a la direcció d'execució de les obres de nova construcció Escola 1 línia a Maspujols (Baix Camp).</v>
      </c>
      <c r="I22" s="157">
        <f>Total!I2717</f>
        <v>98139.56</v>
      </c>
    </row>
    <row r="23" spans="1:9" x14ac:dyDescent="0.2">
      <c r="A23" s="8">
        <v>22</v>
      </c>
      <c r="B23" s="101">
        <f>Total!B2718</f>
        <v>44246</v>
      </c>
      <c r="C23" s="101">
        <f>Total!C2718</f>
        <v>44263</v>
      </c>
      <c r="D23" s="112" t="s">
        <v>1092</v>
      </c>
      <c r="E23" s="332" t="str">
        <f>Total!E2718</f>
        <v>Obra Civil</v>
      </c>
      <c r="F23" s="96" t="str">
        <f>Total!F2718</f>
        <v>Direccions d'Obra</v>
      </c>
      <c r="G23" s="112" t="str">
        <f>Total!G2718</f>
        <v>DO. MG-14079-C1</v>
      </c>
      <c r="H23" s="112" t="str">
        <f>Total!H2718</f>
        <v>Serveis per a la direcció de les obres del projecte complementari núm. 1 d'estabilització de talús a l'N-141e, pk 111,170. Bescanó.</v>
      </c>
      <c r="I23" s="157">
        <f>Total!I2718</f>
        <v>3633.35</v>
      </c>
    </row>
    <row r="24" spans="1:9" x14ac:dyDescent="0.2">
      <c r="A24" s="8">
        <v>23</v>
      </c>
      <c r="B24" s="101">
        <f>Total!B2719</f>
        <v>44246</v>
      </c>
      <c r="C24" s="101">
        <f>Total!C2719</f>
        <v>44263</v>
      </c>
      <c r="D24" s="112" t="s">
        <v>1092</v>
      </c>
      <c r="E24" s="332" t="str">
        <f>Total!E2719</f>
        <v>Edificació</v>
      </c>
      <c r="F24" s="96" t="str">
        <f>Total!F2719</f>
        <v>Control de Qualitat</v>
      </c>
      <c r="G24" s="112" t="str">
        <f>Total!G2719</f>
        <v>CQ. RAM-21900</v>
      </c>
      <c r="H24" s="112" t="str">
        <f>Total!H2719</f>
        <v>Serveis per a l'assistència tècnica de control de qualitat de les obres RAM 2021 del Departament d'Educació. 4 lots.</v>
      </c>
      <c r="I24" s="157">
        <f>Total!I2719</f>
        <v>83269.679999999993</v>
      </c>
    </row>
    <row r="25" spans="1:9" x14ac:dyDescent="0.2">
      <c r="A25" s="8">
        <v>24</v>
      </c>
      <c r="B25" s="101">
        <f>Total!B2720</f>
        <v>44246</v>
      </c>
      <c r="C25" s="101">
        <f>Total!C2720</f>
        <v>44263</v>
      </c>
      <c r="D25" s="112" t="s">
        <v>1092</v>
      </c>
      <c r="E25" s="332" t="str">
        <f>Total!E2720</f>
        <v>Edificació</v>
      </c>
      <c r="F25" s="96" t="str">
        <f>Total!F2720</f>
        <v>Control de Qualitat</v>
      </c>
      <c r="G25" s="112" t="str">
        <f>Total!G2720</f>
        <v>CQ. PNT-17275</v>
      </c>
      <c r="H25" s="112" t="str">
        <f>Total!H2720</f>
        <v>Serveis per a l'assistència tècnica de control de qualitat de les obres de nova construcció Escola 1 línia a Maspujols (Baix Camp).</v>
      </c>
      <c r="I25" s="157">
        <f>Total!I2720</f>
        <v>65853.31</v>
      </c>
    </row>
    <row r="26" spans="1:9" x14ac:dyDescent="0.2">
      <c r="A26" s="8">
        <v>25</v>
      </c>
      <c r="B26" s="101">
        <f>Total!B2721</f>
        <v>44246</v>
      </c>
      <c r="C26" s="101">
        <f>Total!C2721</f>
        <v>44263</v>
      </c>
      <c r="D26" s="112" t="s">
        <v>1092</v>
      </c>
      <c r="E26" s="332" t="str">
        <f>Total!E2721</f>
        <v>Edificació</v>
      </c>
      <c r="F26" s="96" t="str">
        <f>Total!F2721</f>
        <v>Direccions d'execució</v>
      </c>
      <c r="G26" s="112" t="str">
        <f>Total!G2721</f>
        <v>CSS. PNT-17275</v>
      </c>
      <c r="H26" s="112" t="str">
        <f>Total!H2721</f>
        <v>Serveis per a l'assistència tècnica de coordinació de seguretat i salut de les obres de nova construcció Escola 1 línia a Maspujols (Baix Camp). Lot 1: Nova construcció. Lot 2: Urbanització exterior.</v>
      </c>
      <c r="I26" s="157">
        <f>Total!I2721</f>
        <v>29400</v>
      </c>
    </row>
    <row r="27" spans="1:9" x14ac:dyDescent="0.2">
      <c r="A27" s="8">
        <v>26</v>
      </c>
      <c r="B27" s="101">
        <f>Total!B2722</f>
        <v>44250</v>
      </c>
      <c r="C27" s="101">
        <f>Total!C2722</f>
        <v>44277</v>
      </c>
      <c r="D27" s="112" t="s">
        <v>1092</v>
      </c>
      <c r="E27" s="332" t="str">
        <f>Total!E2722</f>
        <v>Obra Civil</v>
      </c>
      <c r="F27" s="96" t="str">
        <f>Total!F2722</f>
        <v>Projectes</v>
      </c>
      <c r="G27" s="112" t="str">
        <f>Total!G2722</f>
        <v>EV.E16-TM-02609</v>
      </c>
      <c r="H27" s="112" t="str">
        <f>Total!H2722</f>
        <v>Contracte de serveis per a l'assistència tècnica per a la redacció del "Pla General d'Obsolescència 2021 de la L9 del Metro de Barcelona".</v>
      </c>
      <c r="I27" s="157">
        <f>Total!I2722</f>
        <v>300000</v>
      </c>
    </row>
    <row r="28" spans="1:9" x14ac:dyDescent="0.2">
      <c r="A28" s="8">
        <v>27</v>
      </c>
      <c r="B28" s="101">
        <f>Total!B2723</f>
        <v>44252</v>
      </c>
      <c r="C28" s="101">
        <f>Total!C2723</f>
        <v>44270</v>
      </c>
      <c r="D28" s="112" t="s">
        <v>1092</v>
      </c>
      <c r="E28" s="332" t="str">
        <f>Total!E2723</f>
        <v>Edificació</v>
      </c>
      <c r="F28" s="96" t="str">
        <f>Total!F2723</f>
        <v>Projectes</v>
      </c>
      <c r="G28" s="112" t="str">
        <f>Total!G2723</f>
        <v>PC. PCR-20286</v>
      </c>
      <c r="H28" s="112" t="str">
        <f>Total!H2723</f>
        <v>Contracte de serveis per a l'assistència tècnica per a la redacció del Projecte Constructiu. Instal·lació de camps de boies ecològiques al Parc Natural del Cap de Creus.</v>
      </c>
      <c r="I28" s="157">
        <f>Total!I2723</f>
        <v>47300</v>
      </c>
    </row>
    <row r="29" spans="1:9" x14ac:dyDescent="0.2">
      <c r="A29" s="8">
        <v>28</v>
      </c>
      <c r="B29" s="101">
        <f>Total!B2724</f>
        <v>44252</v>
      </c>
      <c r="C29" s="101">
        <f>Total!C2724</f>
        <v>44270</v>
      </c>
      <c r="D29" s="112" t="s">
        <v>1092</v>
      </c>
      <c r="E29" s="332" t="str">
        <f>Total!E2724</f>
        <v>Edificació</v>
      </c>
      <c r="F29" s="96" t="str">
        <f>Total!F2724</f>
        <v>Projectes</v>
      </c>
      <c r="G29" s="112" t="str">
        <f>Total!G2724</f>
        <v>E1. JVV-20270</v>
      </c>
      <c r="H29" s="112" t="str">
        <f>Total!H2724</f>
        <v>Contracte de serveis per a l'assistència tècnica per a la redacció del Dictamen estructural i estudi de patologies de les edificacions prefabricades en els Centres Penitenciaris de Brians 1 i de Quatre Camins.</v>
      </c>
      <c r="I29" s="157">
        <f>Total!I2724</f>
        <v>27200</v>
      </c>
    </row>
    <row r="30" spans="1:9" x14ac:dyDescent="0.2">
      <c r="A30" s="8">
        <v>29</v>
      </c>
      <c r="B30" s="101">
        <f>Total!B2725</f>
        <v>44252</v>
      </c>
      <c r="C30" s="101">
        <f>Total!C2725</f>
        <v>44270</v>
      </c>
      <c r="D30" s="112" t="s">
        <v>1092</v>
      </c>
      <c r="E30" s="332" t="str">
        <f>Total!E2725</f>
        <v>Obra Civil</v>
      </c>
      <c r="F30" s="96" t="str">
        <f>Total!F2725</f>
        <v>Control de Qualitat</v>
      </c>
      <c r="G30" s="112" t="str">
        <f>Total!G2725</f>
        <v>CQ. ME-15057</v>
      </c>
      <c r="H30" s="112" t="str">
        <f>Total!H2725</f>
        <v>Contracte de serveis per a l'assistència tècnica de control de qualitat de les obres de millora local. Millora de nus. Millora d'intersecció a la carretera C-12, PK 79+490. Tram: Ascó.</v>
      </c>
      <c r="I30" s="157">
        <f>Total!I2725</f>
        <v>12659.55</v>
      </c>
    </row>
    <row r="31" spans="1:9" x14ac:dyDescent="0.2">
      <c r="A31" s="8">
        <v>30</v>
      </c>
      <c r="B31" s="101">
        <f>Total!B2726</f>
        <v>44252</v>
      </c>
      <c r="C31" s="101">
        <f>Total!C2726</f>
        <v>44270</v>
      </c>
      <c r="D31" s="112" t="s">
        <v>1092</v>
      </c>
      <c r="E31" s="332" t="str">
        <f>Total!E2726</f>
        <v>Obra Civil</v>
      </c>
      <c r="F31" s="96" t="str">
        <f>Total!F2726</f>
        <v>Direccions d'Obra</v>
      </c>
      <c r="G31" s="112" t="str">
        <f>Total!G2726</f>
        <v>DO. ME-15057</v>
      </c>
      <c r="H31" s="112" t="str">
        <f>Total!H2726</f>
        <v>Contracte de serveis per a la direcció de les obres de millora local. Millora de nus. Millora d'intersecció a la carretera C-12, PK 79+490. Tram: Ascó.</v>
      </c>
      <c r="I31" s="157">
        <f>Total!I2726</f>
        <v>38115.67</v>
      </c>
    </row>
    <row r="32" spans="1:9" x14ac:dyDescent="0.2">
      <c r="A32" s="8">
        <v>31</v>
      </c>
      <c r="B32" s="101">
        <f>Total!B2727</f>
        <v>44252</v>
      </c>
      <c r="C32" s="101">
        <f>Total!C2727</f>
        <v>44270</v>
      </c>
      <c r="D32" s="112" t="s">
        <v>1092</v>
      </c>
      <c r="E32" s="332" t="str">
        <f>Total!E2727</f>
        <v>Obra Civil</v>
      </c>
      <c r="F32" s="96" t="str">
        <f>Total!F2727</f>
        <v>Projectes</v>
      </c>
      <c r="G32" s="112" t="str">
        <f>Total!G2727</f>
        <v>EV. EX-CGC-20034</v>
      </c>
      <c r="H32" s="112" t="str">
        <f>Total!H2727</f>
        <v>Contracte de serveis per a l'assistència tècnica per a la redacció de l'estudi d'identificació de trams de concentració d'accidents de la xarxa de carreteres de la Generalitat de Catalunya (2016-2020).</v>
      </c>
      <c r="I32" s="157">
        <f>Total!I2727</f>
        <v>40000</v>
      </c>
    </row>
    <row r="33" spans="1:9" x14ac:dyDescent="0.2">
      <c r="A33" s="8">
        <v>32</v>
      </c>
      <c r="B33" s="101">
        <f>Total!B2728</f>
        <v>44252</v>
      </c>
      <c r="C33" s="101">
        <f>Total!C2728</f>
        <v>44270</v>
      </c>
      <c r="D33" s="112" t="s">
        <v>1092</v>
      </c>
      <c r="E33" s="332" t="str">
        <f>Total!E2728</f>
        <v>Obra Civil</v>
      </c>
      <c r="F33" s="96" t="str">
        <f>Total!F2728</f>
        <v>Direccions d'Obra</v>
      </c>
      <c r="G33" s="112" t="str">
        <f>Total!G2728</f>
        <v>CSS. ME-15057</v>
      </c>
      <c r="H33" s="112" t="str">
        <f>Total!H2728</f>
        <v>Contracte de serveis per a l'assistència tècnica de coordinació de seguretat i salut de les obres de millora local. Millora de nus. Millora d'intersecció a la carretera C-12, PK 79+490. Tram: Ascó.</v>
      </c>
      <c r="I33" s="157">
        <f>Total!I2728</f>
        <v>9684</v>
      </c>
    </row>
    <row r="34" spans="1:9" x14ac:dyDescent="0.2">
      <c r="A34" s="8">
        <v>33</v>
      </c>
      <c r="B34" s="101">
        <f>Total!B2729</f>
        <v>44253</v>
      </c>
      <c r="C34" s="101">
        <f>Total!C2729</f>
        <v>44272</v>
      </c>
      <c r="D34" s="112" t="s">
        <v>1092</v>
      </c>
      <c r="E34" s="332" t="str">
        <f>Total!E2729</f>
        <v>Obra Civil</v>
      </c>
      <c r="F34" s="96" t="str">
        <f>Total!F2729</f>
        <v>Direccions d'Obra</v>
      </c>
      <c r="G34" s="112" t="str">
        <f>Total!G2729</f>
        <v>DO. AL-02134.1-AA</v>
      </c>
      <c r="H34" s="112" t="str">
        <f>Total!H2729</f>
        <v>Direcció de les obres de millora general. Condicionament del pas de Comiols. Ctres. C-14,L-512 i C-1412b. Del pk 104,700 de la C-14 fins el pk 1,140 de l'L-512. Tram: Artesa de Segre.</v>
      </c>
      <c r="I34" s="157">
        <f>Total!I2729</f>
        <v>154874.57</v>
      </c>
    </row>
    <row r="35" spans="1:9" x14ac:dyDescent="0.2">
      <c r="A35" s="8">
        <v>34</v>
      </c>
      <c r="B35" s="101">
        <f>Total!B2730</f>
        <v>44253</v>
      </c>
      <c r="C35" s="101">
        <f>Total!C2730</f>
        <v>44272</v>
      </c>
      <c r="D35" s="112" t="s">
        <v>1092</v>
      </c>
      <c r="E35" s="332" t="str">
        <f>Total!E2730</f>
        <v>Obra Civil</v>
      </c>
      <c r="F35" s="96" t="str">
        <f>Total!F2730</f>
        <v>Projectes</v>
      </c>
      <c r="G35" s="112" t="str">
        <f>Total!G2730</f>
        <v>EP. EP54</v>
      </c>
      <c r="H35" s="112" t="str">
        <f>Total!H2730</f>
        <v>Contracte de serveis per a l'Assistència tècnica per a la realització dels treballs de topografia i de replanteig de projectes corresponents als estudis i projectes d'obra civil i d'edificació.</v>
      </c>
      <c r="I35" s="157">
        <f>Total!I2730</f>
        <v>180000</v>
      </c>
    </row>
    <row r="36" spans="1:9" x14ac:dyDescent="0.2">
      <c r="A36" s="8">
        <v>35</v>
      </c>
      <c r="B36" s="101">
        <f>Total!B2731</f>
        <v>44253</v>
      </c>
      <c r="C36" s="101">
        <f>Total!C2731</f>
        <v>44272</v>
      </c>
      <c r="D36" s="112" t="s">
        <v>1092</v>
      </c>
      <c r="E36" s="332" t="str">
        <f>Total!E2731</f>
        <v>Obra Civil</v>
      </c>
      <c r="F36" s="96" t="str">
        <f>Total!F2731</f>
        <v>Direccions d'Obra</v>
      </c>
      <c r="G36" s="112" t="str">
        <f>Total!G2731</f>
        <v>CSS. AL-02134.1-AA</v>
      </c>
      <c r="H36" s="112" t="str">
        <f>Total!H2731</f>
        <v>Assistència tècnica de coordinació de seguretat i salut de les obres de Millora general. Condicionament del pas de Comiols. Ctres. C-14,L-512 i C-1412b. Del pk 104,700 de la C-14 fins el pk 1,140 de l'L-512. Tram: Artesa de Segre.</v>
      </c>
      <c r="I36" s="157">
        <f>Total!I2731</f>
        <v>30936</v>
      </c>
    </row>
    <row r="37" spans="1:9" x14ac:dyDescent="0.2">
      <c r="A37" s="8">
        <v>36</v>
      </c>
      <c r="B37" s="101">
        <f>Total!B2732</f>
        <v>44253</v>
      </c>
      <c r="C37" s="101">
        <f>Total!C2732</f>
        <v>44272</v>
      </c>
      <c r="D37" s="112" t="s">
        <v>1092</v>
      </c>
      <c r="E37" s="332" t="str">
        <f>Total!E2732</f>
        <v>Obra Civil</v>
      </c>
      <c r="F37" s="96" t="str">
        <f>Total!F2732</f>
        <v>Control de Qualitat</v>
      </c>
      <c r="G37" s="112" t="str">
        <f>Total!G2732</f>
        <v>CQ. AL-02134.1-AA</v>
      </c>
      <c r="H37" s="112" t="str">
        <f>Total!H2732</f>
        <v>Assistència tècnica de control de qualitat de les obres de Millora general. Condicionament del pas de Comiols. Ctres. C-14,L-512 i C-1412b. Del pk 104,700 de la C-14 fins el pk 1,140 de l'L-512. Tram: Artesa de Segre.</v>
      </c>
      <c r="I37" s="157">
        <f>Total!I2732</f>
        <v>42336.71</v>
      </c>
    </row>
    <row r="38" spans="1:9" x14ac:dyDescent="0.2">
      <c r="I38" s="126">
        <f>SUM(I2:I37)</f>
        <v>2252294.08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25"/>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Total!B2673</f>
        <v>44204</v>
      </c>
      <c r="C2" s="101">
        <f>Total!C2673</f>
        <v>44221</v>
      </c>
      <c r="D2" s="112" t="s">
        <v>1092</v>
      </c>
      <c r="E2" s="332" t="str">
        <f>Total!E2673</f>
        <v>Obra Civil</v>
      </c>
      <c r="F2" s="96" t="str">
        <f>Total!F2673</f>
        <v>Control de Qualitat</v>
      </c>
      <c r="G2" s="112" t="str">
        <f>Total!G2673</f>
        <v>CQ. MB-14021.1</v>
      </c>
      <c r="H2" s="112" t="str">
        <f>Total!H2673</f>
        <v>Control de qualitat de les obres de millora local. Seguretat viària. Millora de les característiques superficials del ferm i reestudi de la secció transversal. Ctra. C-35 del pk 49,860 al 55,450. Tram: Vilalba Sasserra-Sant Celoni.</v>
      </c>
      <c r="I2" s="157">
        <f>Total!I2673</f>
        <v>43844.79</v>
      </c>
    </row>
    <row r="3" spans="1:9" x14ac:dyDescent="0.2">
      <c r="A3" s="8">
        <v>2</v>
      </c>
      <c r="B3" s="101">
        <f>Total!B2674</f>
        <v>44204</v>
      </c>
      <c r="C3" s="101">
        <f>Total!C2674</f>
        <v>44221</v>
      </c>
      <c r="D3" s="112" t="s">
        <v>1092</v>
      </c>
      <c r="E3" s="332" t="str">
        <f>Total!E2674</f>
        <v>Obra Civil</v>
      </c>
      <c r="F3" s="96" t="str">
        <f>Total!F2674</f>
        <v>Direcció d'obra</v>
      </c>
      <c r="G3" s="112" t="str">
        <f>Total!G2674</f>
        <v>DO. MB-14021.1</v>
      </c>
      <c r="H3" s="112" t="str">
        <f>Total!H2674</f>
        <v>Direcció de les obres de millora local. Seguretat viària. Millora de les característiques superficials del ferm i reestudi de la secció transversal. Ctra. C-35 del pk 49,860 al 55,450. Tram: Vilalba Sasserra-Sant Celoni.</v>
      </c>
      <c r="I3" s="157">
        <f>Total!I2674</f>
        <v>140000</v>
      </c>
    </row>
    <row r="4" spans="1:9" x14ac:dyDescent="0.2">
      <c r="A4" s="8">
        <v>3</v>
      </c>
      <c r="B4" s="101">
        <f>Total!B2675</f>
        <v>44204</v>
      </c>
      <c r="C4" s="101">
        <f>Total!C2675</f>
        <v>44221</v>
      </c>
      <c r="D4" s="112" t="s">
        <v>1092</v>
      </c>
      <c r="E4" s="332" t="str">
        <f>Total!E2675</f>
        <v>Obra Civil</v>
      </c>
      <c r="F4" s="96" t="str">
        <f>Total!F2675</f>
        <v>Direcció d'obra</v>
      </c>
      <c r="G4" s="112" t="str">
        <f>Total!G2675</f>
        <v>CSS. MB-14021.1</v>
      </c>
      <c r="H4" s="112" t="str">
        <f>Total!H2675</f>
        <v>Coordinació de seguretat i salut de les obres de millora local. Seguretat viària. Millora de les característiques superficials del ferm i reestudi de la secció transversal. Ctra. C-35 del pk 49,860 al 55,450. Tram: Vilalba Sasserra-Sant Celoni. Lots 1 i 2</v>
      </c>
      <c r="I4" s="157">
        <f>Total!I2675</f>
        <v>24600</v>
      </c>
    </row>
    <row r="5" spans="1:9" x14ac:dyDescent="0.2">
      <c r="A5" s="8">
        <v>4</v>
      </c>
      <c r="B5" s="101">
        <f>Total!B2676</f>
        <v>44207</v>
      </c>
      <c r="C5" s="101">
        <f>Total!C2676</f>
        <v>44223</v>
      </c>
      <c r="D5" s="112" t="s">
        <v>1092</v>
      </c>
      <c r="E5" s="332" t="str">
        <f>Total!E2676</f>
        <v>Obra Civil</v>
      </c>
      <c r="F5" s="96" t="str">
        <f>Total!F2676</f>
        <v>Projectes</v>
      </c>
      <c r="G5" s="112" t="str">
        <f>Total!G2676</f>
        <v>EV. E1-MA-21900</v>
      </c>
      <c r="H5" s="112" t="str">
        <f>Total!H2676</f>
        <v>Assistència tècnica per a la redacció del seguiment de les finques gestionades als Secans Orientals. Mesures correctores i compensatòries del regadiu del sistema Segarra-Garrigues. Campanya 2021-20222.</v>
      </c>
      <c r="I5" s="157">
        <f>Total!I2676</f>
        <v>43342.559999999998</v>
      </c>
    </row>
    <row r="6" spans="1:9" x14ac:dyDescent="0.2">
      <c r="A6" s="8">
        <v>5</v>
      </c>
      <c r="B6" s="101">
        <f>Total!B2677</f>
        <v>44207</v>
      </c>
      <c r="C6" s="101">
        <f>Total!C2677</f>
        <v>44223</v>
      </c>
      <c r="D6" s="112" t="s">
        <v>1092</v>
      </c>
      <c r="E6" s="332" t="str">
        <f>Total!E2677</f>
        <v>Obra Civil</v>
      </c>
      <c r="F6" s="96" t="str">
        <f>Total!F2677</f>
        <v>Projectes</v>
      </c>
      <c r="G6" s="112" t="str">
        <f>Total!G2677</f>
        <v>EV. E2-MA-21900</v>
      </c>
      <c r="H6" s="112" t="str">
        <f>Total!H2677</f>
        <v>Assistència tècnica per a la redacció del seguiment de les finques gestionades als Secans Occidentals. Mesures correctores i compensatòries del regadiu del sistema Segarra-Garrigues. Campanya 2021-2022.</v>
      </c>
      <c r="I6" s="157">
        <f>Total!I2677</f>
        <v>23852.1</v>
      </c>
    </row>
    <row r="7" spans="1:9" x14ac:dyDescent="0.2">
      <c r="A7" s="8">
        <v>6</v>
      </c>
      <c r="B7" s="101">
        <f>Total!B2678</f>
        <v>44208</v>
      </c>
      <c r="C7" s="101">
        <f>Total!C2678</f>
        <v>44228</v>
      </c>
      <c r="D7" s="112" t="s">
        <v>1092</v>
      </c>
      <c r="E7" s="332" t="str">
        <f>Total!E2678</f>
        <v>Obra Civil</v>
      </c>
      <c r="F7" s="96" t="str">
        <f>Total!F2678</f>
        <v xml:space="preserve">Projectes </v>
      </c>
      <c r="G7" s="112" t="str">
        <f>Total!G2678</f>
        <v>PC. MG-03053-A2</v>
      </c>
      <c r="H7" s="112" t="str">
        <f>Total!H2678</f>
        <v>Redacció del projecte constructiu d'ordenació d'accessos i adequació a l'entorn urbà a la C-253, del pk 46,260 al 18,620. Calonge.</v>
      </c>
      <c r="I7" s="157">
        <f>Total!I2678</f>
        <v>48000</v>
      </c>
    </row>
    <row r="8" spans="1:9" x14ac:dyDescent="0.2">
      <c r="A8" s="8">
        <v>7</v>
      </c>
      <c r="B8" s="101">
        <f>Total!B2679</f>
        <v>44208</v>
      </c>
      <c r="C8" s="101">
        <f>Total!C2679</f>
        <v>44223</v>
      </c>
      <c r="D8" s="112" t="s">
        <v>1092</v>
      </c>
      <c r="E8" s="332" t="str">
        <f>Total!E2679</f>
        <v>Obra Civil</v>
      </c>
      <c r="F8" s="96" t="str">
        <f>Total!F2679</f>
        <v xml:space="preserve">Projectes </v>
      </c>
      <c r="G8" s="112" t="str">
        <f>Total!G2679</f>
        <v>EV. E3-MA-21900</v>
      </c>
      <c r="H8" s="112" t="str">
        <f>Total!H2679</f>
        <v>Redacció de l'estudi i seguiment. Cens de mascles de sisó en Àrees pilot dels secans orientals i els regs històrics del Canalet de Tàrrega. Mesures correctores i compensatòries del regadiu del sistema Segarra-Garrigues. Campanya 2021-2022.</v>
      </c>
      <c r="I8" s="157">
        <f>Total!I2679</f>
        <v>23952.9</v>
      </c>
    </row>
    <row r="9" spans="1:9" x14ac:dyDescent="0.2">
      <c r="A9" s="8">
        <v>8</v>
      </c>
      <c r="B9" s="101">
        <f>Total!B2680</f>
        <v>44208</v>
      </c>
      <c r="C9" s="101">
        <f>Total!C2680</f>
        <v>44223</v>
      </c>
      <c r="D9" s="112" t="s">
        <v>1092</v>
      </c>
      <c r="E9" s="332" t="str">
        <f>Total!E2680</f>
        <v>Obra Civil</v>
      </c>
      <c r="F9" s="96" t="str">
        <f>Total!F2680</f>
        <v xml:space="preserve">Projectes </v>
      </c>
      <c r="G9" s="112" t="str">
        <f>Total!G2680</f>
        <v>EV. E4-MA-21900</v>
      </c>
      <c r="H9" s="112" t="str">
        <f>Total!H2680</f>
        <v>Redacció de l'estudi i seguiment de la població de xoriguer petit de la Plana de Lleida, anàlisi de l'ocupació de torres i caixes niu. Mesures correctores i compensatòries del regadiu del sistema Segarra-Garrigues. Campanya 2021-2022.</v>
      </c>
      <c r="I9" s="157">
        <f>Total!I2680</f>
        <v>26541.200000000001</v>
      </c>
    </row>
    <row r="10" spans="1:9" x14ac:dyDescent="0.2">
      <c r="A10" s="8">
        <v>9</v>
      </c>
      <c r="B10" s="101">
        <f>Total!B2681</f>
        <v>44210</v>
      </c>
      <c r="C10" s="101">
        <f>Total!C2681</f>
        <v>44228</v>
      </c>
      <c r="D10" s="112" t="s">
        <v>1092</v>
      </c>
      <c r="E10" s="332" t="str">
        <f>Total!E2681</f>
        <v>Obra Civil</v>
      </c>
      <c r="F10" s="96" t="str">
        <f>Total!F2681</f>
        <v>Projectes</v>
      </c>
      <c r="G10" s="112" t="str">
        <f>Total!G2681</f>
        <v>PC. SPD-20320</v>
      </c>
      <c r="H10" s="112" t="str">
        <f>Total!H2681</f>
        <v>Contracte de serveis per a l'assistència tècnica per a la redacció del projecte de desplegament xarxa de fibra òptica. Bloc Penedès - C. Barberà.</v>
      </c>
      <c r="I10" s="157">
        <f>Total!I2681</f>
        <v>42148.76</v>
      </c>
    </row>
    <row r="11" spans="1:9" x14ac:dyDescent="0.2">
      <c r="A11" s="8">
        <v>10</v>
      </c>
      <c r="B11" s="101">
        <f>Total!B2682</f>
        <v>44210</v>
      </c>
      <c r="C11" s="101">
        <f>Total!C2682</f>
        <v>44242</v>
      </c>
      <c r="D11" s="112" t="s">
        <v>1092</v>
      </c>
      <c r="E11" s="332" t="str">
        <f>Total!E2682</f>
        <v>Obra Civil</v>
      </c>
      <c r="F11" s="96" t="str">
        <f>Total!F2682</f>
        <v>Direccions d'Obra</v>
      </c>
      <c r="G11" s="112" t="str">
        <f>Total!G2682</f>
        <v>DO. R0-17208</v>
      </c>
      <c r="H11" s="112" t="str">
        <f>Total!H2682</f>
        <v>Direcció de les obres de migració del Post de Comandament Central i Telecomandaments de la Línia 9 i telecomandament d'Estacions de Línies Convencionals. Metro de Barcelona.</v>
      </c>
      <c r="I11" s="157">
        <f>Total!I2682</f>
        <v>1497866.66</v>
      </c>
    </row>
    <row r="12" spans="1:9" x14ac:dyDescent="0.2">
      <c r="A12" s="8">
        <v>11</v>
      </c>
      <c r="B12" s="101">
        <f>Total!B2683</f>
        <v>44210</v>
      </c>
      <c r="C12" s="101">
        <f>Total!C2683</f>
        <v>44230</v>
      </c>
      <c r="D12" s="112" t="s">
        <v>1092</v>
      </c>
      <c r="E12" s="332" t="str">
        <f>Total!E2683</f>
        <v>Obra Civil</v>
      </c>
      <c r="F12" s="96" t="str">
        <f>Total!F2683</f>
        <v>Direccions d'Obra</v>
      </c>
      <c r="G12" s="112" t="str">
        <f>Total!G2683</f>
        <v>CSS. R0-17208</v>
      </c>
      <c r="H12" s="112" t="str">
        <f>Total!H2683</f>
        <v>Coordinació de seguretat i salut de les obres del projecte constructiu de migració del Post de Comandament Central i Telecomandaments de Línia 9 i Telecomandament d'Estacions de Línies Convencionals. Metro de Barcelona. Lot 1 i Lot 2.</v>
      </c>
      <c r="I12" s="157">
        <f>Total!I2683</f>
        <v>98400</v>
      </c>
    </row>
    <row r="13" spans="1:9" x14ac:dyDescent="0.2">
      <c r="A13" s="8">
        <v>12</v>
      </c>
      <c r="B13" s="101">
        <f>Total!B2684</f>
        <v>44210</v>
      </c>
      <c r="C13" s="101">
        <f>Total!C2684</f>
        <v>44230</v>
      </c>
      <c r="D13" s="112" t="s">
        <v>1092</v>
      </c>
      <c r="E13" s="332" t="str">
        <f>Total!E2684</f>
        <v>Obra Civil</v>
      </c>
      <c r="F13" s="96" t="str">
        <f>Total!F2684</f>
        <v>Control de Qualitat</v>
      </c>
      <c r="G13" s="112" t="str">
        <f>Total!G2684</f>
        <v>CQ. R0-17208</v>
      </c>
      <c r="H13" s="112" t="str">
        <f>Total!H2684</f>
        <v>Control de qualitat de les obres de migració del Post de Comandament Central i Telecomandaments de la Línia 9 i telecomandament d'Estacions de Línies Convencionals. Metro de Barcelona.</v>
      </c>
      <c r="I13" s="157">
        <f>Total!I2684</f>
        <v>182400</v>
      </c>
    </row>
    <row r="14" spans="1:9" x14ac:dyDescent="0.2">
      <c r="A14" s="8">
        <v>13</v>
      </c>
      <c r="B14" s="101">
        <f>Total!B2685</f>
        <v>44210</v>
      </c>
      <c r="C14" s="101">
        <f>Total!C2685</f>
        <v>44228</v>
      </c>
      <c r="D14" s="112" t="s">
        <v>1092</v>
      </c>
      <c r="E14" s="332" t="str">
        <f>Total!E2685</f>
        <v>Obra Civil</v>
      </c>
      <c r="F14" s="96" t="str">
        <f>Total!F2685</f>
        <v>Projectes</v>
      </c>
      <c r="G14" s="112" t="str">
        <f>Total!G2685</f>
        <v>PC. SPD-20312</v>
      </c>
      <c r="H14" s="112" t="str">
        <f>Total!H2685</f>
        <v>Contracte de serveis per a l'assistència tècnica per a la redacció del projecte de desplegament xarxa de fibra òptica. Bloc  Zona Balaguer.</v>
      </c>
      <c r="I14" s="157">
        <f>Total!I2685</f>
        <v>37190.080000000002</v>
      </c>
    </row>
    <row r="15" spans="1:9" x14ac:dyDescent="0.2">
      <c r="A15" s="8">
        <v>14</v>
      </c>
      <c r="B15" s="101">
        <f>Total!B2686</f>
        <v>44210</v>
      </c>
      <c r="C15" s="101">
        <f>Total!C2686</f>
        <v>44228</v>
      </c>
      <c r="D15" s="112" t="s">
        <v>1092</v>
      </c>
      <c r="E15" s="332" t="str">
        <f>Total!E2686</f>
        <v>Obra Civil</v>
      </c>
      <c r="F15" s="96" t="str">
        <f>Total!F2686</f>
        <v>Projectes</v>
      </c>
      <c r="G15" s="112" t="str">
        <f>Total!G2686</f>
        <v>PC. SPD-20313</v>
      </c>
      <c r="H15" s="112" t="str">
        <f>Total!H2686</f>
        <v>Contracte de serveis per a l'assistència tècnica per a la redacció del projecte de desplegament xarxa de fibra òptica. Bloc  Zona Guissona.</v>
      </c>
      <c r="I15" s="157">
        <f>Total!I2686</f>
        <v>43801.65</v>
      </c>
    </row>
    <row r="16" spans="1:9" x14ac:dyDescent="0.2">
      <c r="A16" s="8">
        <v>15</v>
      </c>
      <c r="B16" s="101">
        <f>Total!B2687</f>
        <v>44215</v>
      </c>
      <c r="C16" s="101">
        <f>Total!C2687</f>
        <v>44230</v>
      </c>
      <c r="D16" s="112" t="s">
        <v>1092</v>
      </c>
      <c r="E16" s="332" t="str">
        <f>Total!E2687</f>
        <v>Obra Civil</v>
      </c>
      <c r="F16" s="96" t="str">
        <f>Total!F2687</f>
        <v>Projectes</v>
      </c>
      <c r="G16" s="112" t="str">
        <f>Total!G2687</f>
        <v>PC. SPD-20314</v>
      </c>
      <c r="H16" s="112" t="str">
        <f>Total!H2687</f>
        <v>Contracte de serveis per a l'assistència tècnica per a la redacció del projecte de desplegament xarxa de fibra òptica. Bloc Berguedà.</v>
      </c>
      <c r="I16" s="157">
        <f>Total!I2687</f>
        <v>47107.44</v>
      </c>
    </row>
    <row r="17" spans="1:9" x14ac:dyDescent="0.2">
      <c r="A17" s="8">
        <v>16</v>
      </c>
      <c r="B17" s="101">
        <f>Total!B2688</f>
        <v>44215</v>
      </c>
      <c r="C17" s="101">
        <f>Total!C2688</f>
        <v>44230</v>
      </c>
      <c r="D17" s="112" t="s">
        <v>1092</v>
      </c>
      <c r="E17" s="332" t="str">
        <f>Total!E2688</f>
        <v>Obra Civil</v>
      </c>
      <c r="F17" s="96" t="str">
        <f>Total!F2688</f>
        <v>Projectes</v>
      </c>
      <c r="G17" s="112" t="str">
        <f>Total!G2688</f>
        <v>PC. SPD-20317</v>
      </c>
      <c r="H17" s="112" t="str">
        <f>Total!H2688</f>
        <v>Contracte de serveis per a l'assistència tècnica per a la redacció del projecte de desplegament xarxa de fibra òptica. Bloc Central.</v>
      </c>
      <c r="I17" s="157">
        <f>Total!I2688</f>
        <v>32231.4</v>
      </c>
    </row>
    <row r="18" spans="1:9" x14ac:dyDescent="0.2">
      <c r="A18" s="8">
        <v>17</v>
      </c>
      <c r="B18" s="101">
        <f>Total!B2689</f>
        <v>44215</v>
      </c>
      <c r="C18" s="101">
        <f>Total!C2689</f>
        <v>44230</v>
      </c>
      <c r="D18" s="112" t="s">
        <v>1092</v>
      </c>
      <c r="E18" s="332" t="str">
        <f>Total!E2689</f>
        <v>Obra Civil</v>
      </c>
      <c r="F18" s="96" t="str">
        <f>Total!F2689</f>
        <v>Projectes</v>
      </c>
      <c r="G18" s="112" t="str">
        <f>Total!G2689</f>
        <v>PC. SPD-20315</v>
      </c>
      <c r="H18" s="112" t="str">
        <f>Total!H2689</f>
        <v>Contracte de serveis per a l'assistència tècnica per a la redacció del projecte de desplegament xarxa de fibra òptica. Bloc Zona Riopllès.</v>
      </c>
      <c r="I18" s="157">
        <f>Total!I2689</f>
        <v>48760.33</v>
      </c>
    </row>
    <row r="19" spans="1:9" x14ac:dyDescent="0.2">
      <c r="A19" s="8">
        <v>18</v>
      </c>
      <c r="B19" s="101">
        <f>Total!B2690</f>
        <v>44218</v>
      </c>
      <c r="C19" s="101">
        <f>Total!C2690</f>
        <v>44249</v>
      </c>
      <c r="D19" s="112" t="s">
        <v>1092</v>
      </c>
      <c r="E19" s="332" t="str">
        <f>Total!E2690</f>
        <v>Obra Civil</v>
      </c>
      <c r="F19" s="96" t="str">
        <f>Total!F2690</f>
        <v>Projectes</v>
      </c>
      <c r="G19" s="112" t="str">
        <f>Total!G2690</f>
        <v>PC. AB-08021.1</v>
      </c>
      <c r="H19" s="112" t="str">
        <f>Total!H2690</f>
        <v>Contracte de serveis per a la redacció del projecte constructiu. Eixamplament i millora del traçat a la C-26 del pk 129,960 al 142,800. L'Espunyola-Avià.</v>
      </c>
      <c r="I19" s="157">
        <f>Total!I2690</f>
        <v>357280</v>
      </c>
    </row>
    <row r="20" spans="1:9" x14ac:dyDescent="0.2">
      <c r="A20" s="8">
        <v>19</v>
      </c>
      <c r="B20" s="101">
        <f>Total!B2691</f>
        <v>44221</v>
      </c>
      <c r="C20" s="101">
        <f>Total!C2691</f>
        <v>44237</v>
      </c>
      <c r="D20" s="112" t="s">
        <v>1092</v>
      </c>
      <c r="E20" s="332" t="str">
        <f>Total!E2691</f>
        <v>Edificació</v>
      </c>
      <c r="F20" s="96" t="str">
        <f>Total!F2691</f>
        <v>Projectes</v>
      </c>
      <c r="G20" s="112" t="str">
        <f>Total!G2691</f>
        <v>EG. EG27</v>
      </c>
      <c r="H20" s="112" t="str">
        <f>Total!H2691</f>
        <v>Contracte de serveis per a l'assistència tècnica per a la realització dels informes preliminars dels emplaçaments dels projectes d'edificació.</v>
      </c>
      <c r="I20" s="157">
        <f>Total!I2691</f>
        <v>130000</v>
      </c>
    </row>
    <row r="21" spans="1:9" x14ac:dyDescent="0.2">
      <c r="A21" s="8">
        <v>20</v>
      </c>
      <c r="B21" s="101">
        <f>Total!B2692</f>
        <v>44222</v>
      </c>
      <c r="C21" s="101">
        <f>Total!C2692</f>
        <v>44242</v>
      </c>
      <c r="D21" s="112" t="s">
        <v>1092</v>
      </c>
      <c r="E21" s="332" t="str">
        <f>Total!E2692</f>
        <v>Obra Civil</v>
      </c>
      <c r="F21" s="96" t="str">
        <f>Total!F2692</f>
        <v>Projectes</v>
      </c>
      <c r="G21" s="112" t="str">
        <f>Total!G2692</f>
        <v>IA. IA-AL-02134-A1</v>
      </c>
      <c r="H21" s="112" t="str">
        <f>Total!H2692</f>
        <v>Assistència tècnica per a la redacció de l'estudi d'impacte ambiental del condicionament del Pas de Comiols a l'L-512 i la C-1412b. Artesa de Segre-Isona i Conca Dellà.</v>
      </c>
      <c r="I21" s="157">
        <f>Total!I2692</f>
        <v>89000</v>
      </c>
    </row>
    <row r="22" spans="1:9" x14ac:dyDescent="0.2">
      <c r="A22" s="8">
        <v>21</v>
      </c>
      <c r="B22" s="101">
        <f>Total!B2693</f>
        <v>44222</v>
      </c>
      <c r="C22" s="101">
        <f>Total!C2693</f>
        <v>44242</v>
      </c>
      <c r="D22" s="112" t="s">
        <v>1092</v>
      </c>
      <c r="E22" s="332" t="str">
        <f>Total!E2693</f>
        <v>Obra Civil</v>
      </c>
      <c r="F22" s="96" t="str">
        <f>Total!F2693</f>
        <v>Projectes</v>
      </c>
      <c r="G22" s="112" t="str">
        <f>Total!G2693</f>
        <v>PC. AL-02134.1-A1</v>
      </c>
      <c r="H22" s="112" t="str">
        <f>Total!H2693</f>
        <v>Assistència tècnica per a la redacció del projecte constructiu de condicionament del Pas de Comiols a l'L-512 i C-1412b. Artesa de Segre.</v>
      </c>
      <c r="I22" s="157">
        <f>Total!I2693</f>
        <v>135920</v>
      </c>
    </row>
    <row r="23" spans="1:9" x14ac:dyDescent="0.2">
      <c r="A23" s="8">
        <v>22</v>
      </c>
      <c r="B23" s="101">
        <f>Total!B2694</f>
        <v>44222</v>
      </c>
      <c r="C23" s="101">
        <f>Total!C2694</f>
        <v>44242</v>
      </c>
      <c r="D23" s="112" t="s">
        <v>1092</v>
      </c>
      <c r="E23" s="332" t="str">
        <f>Total!E2694</f>
        <v>Obra Civil</v>
      </c>
      <c r="F23" s="96" t="str">
        <f>Total!F2694</f>
        <v>Projectes</v>
      </c>
      <c r="G23" s="112" t="str">
        <f>Total!G2694</f>
        <v>EI. EI-VB-10035-A1</v>
      </c>
      <c r="H23" s="112" t="str">
        <f>Total!H2694</f>
        <v>Serveis per a la redacció del 'estudi informatiu. Varinat a la B-231, del pk 0,600 al 3,400. Esparreguera.</v>
      </c>
      <c r="I23" s="157">
        <f>Total!I2694</f>
        <v>76500</v>
      </c>
    </row>
    <row r="24" spans="1:9" x14ac:dyDescent="0.2">
      <c r="A24" s="8">
        <v>23</v>
      </c>
      <c r="B24" s="101">
        <f>Total!B2695</f>
        <v>44222</v>
      </c>
      <c r="C24" s="101">
        <f>Total!C2695</f>
        <v>44242</v>
      </c>
      <c r="D24" s="112" t="s">
        <v>1092</v>
      </c>
      <c r="E24" s="332" t="str">
        <f>Total!E2695</f>
        <v>Obra Civil</v>
      </c>
      <c r="F24" s="96" t="str">
        <f>Total!F2695</f>
        <v>Projectes</v>
      </c>
      <c r="G24" s="112" t="str">
        <f>Total!G2695</f>
        <v>EI. EI-AB-08021.2</v>
      </c>
      <c r="H24" s="112" t="str">
        <f>Total!H2695</f>
        <v>Serveis per a la redacció de l'estudi informatiu. Eixamplament i millora del traçat a la C-26 del pk 141,800 al 144,050. Avià - Berga.</v>
      </c>
      <c r="I24" s="157">
        <f>Total!I2695</f>
        <v>32100</v>
      </c>
    </row>
    <row r="25" spans="1:9" x14ac:dyDescent="0.2">
      <c r="I25" s="126">
        <f>SUM(I2:I24)</f>
        <v>3224839.8699999996</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54"/>
  <sheetViews>
    <sheetView topLeftCell="A10" workbookViewId="0">
      <selection activeCell="I32" sqref="I32"/>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Total!B2617</f>
        <v>44166</v>
      </c>
      <c r="C2" s="101">
        <f>Total!C2617</f>
        <v>44188</v>
      </c>
      <c r="D2" s="112" t="s">
        <v>1092</v>
      </c>
      <c r="E2" s="332" t="str">
        <f>Total!E2617</f>
        <v>Obra Civil</v>
      </c>
      <c r="F2" s="96" t="str">
        <f>Total!F2617</f>
        <v>Projectes</v>
      </c>
      <c r="G2" s="112" t="str">
        <f>Total!G2617</f>
        <v>PC. PC-CPB-20060</v>
      </c>
      <c r="H2" s="112" t="str">
        <f>Total!H2617</f>
        <v>Contracte de serveis per a l'assistència tècnica per a la redacció del projecte constructiu de rotonda a la C-243c al PK 2+800 a Can Santeugini. Castellbisbal.</v>
      </c>
      <c r="I2" s="157">
        <f>Total!I2617</f>
        <v>31500</v>
      </c>
    </row>
    <row r="3" spans="1:9" x14ac:dyDescent="0.2">
      <c r="A3" s="8">
        <v>2</v>
      </c>
      <c r="B3" s="101">
        <f>Total!B2618</f>
        <v>44166</v>
      </c>
      <c r="C3" s="101">
        <f>Total!C2618</f>
        <v>44188</v>
      </c>
      <c r="D3" s="112" t="s">
        <v>1092</v>
      </c>
      <c r="E3" s="332" t="str">
        <f>Total!E2618</f>
        <v>Obra Civil</v>
      </c>
      <c r="F3" s="96" t="str">
        <f>Total!F2618</f>
        <v>Projectes</v>
      </c>
      <c r="G3" s="112" t="str">
        <f>Total!G2618</f>
        <v>PC. XL-03169-A1</v>
      </c>
      <c r="H3" s="112" t="str">
        <f>Total!H2618</f>
        <v>Contracte de serveis per a l'assistència tècnica per a la redacció del projecte constructiu de la variant de Seròs, de la LP-7041, PK 11+675 a la C-45, PK 15+410. Seròs.</v>
      </c>
      <c r="I3" s="157">
        <f>Total!I2618</f>
        <v>94200</v>
      </c>
    </row>
    <row r="4" spans="1:9" x14ac:dyDescent="0.2">
      <c r="A4" s="8">
        <v>3</v>
      </c>
      <c r="B4" s="101">
        <f>Total!B2619</f>
        <v>44166</v>
      </c>
      <c r="C4" s="101">
        <f>Total!C2619</f>
        <v>44188</v>
      </c>
      <c r="D4" s="112" t="s">
        <v>1092</v>
      </c>
      <c r="E4" s="332" t="str">
        <f>Total!E2619</f>
        <v>Obra Civil</v>
      </c>
      <c r="F4" s="96" t="str">
        <f>Total!F2619</f>
        <v>Projectes</v>
      </c>
      <c r="G4" s="112" t="str">
        <f>Total!G2619</f>
        <v>EV. EX-CGC-20034</v>
      </c>
      <c r="H4" s="112" t="str">
        <f>Total!H2619</f>
        <v>Contracte de serveis per a l'assistència tècnica per a la redacció de l'estudi d'identificació de trams de concentració d'accidents de la xarxa de carreteres de la Generalitat de Catalunya (2016-2020).</v>
      </c>
      <c r="I4" s="157">
        <f>Total!I2619</f>
        <v>40000</v>
      </c>
    </row>
    <row r="5" spans="1:9" x14ac:dyDescent="0.2">
      <c r="A5" s="8">
        <v>4</v>
      </c>
      <c r="B5" s="101">
        <f>Total!B2620</f>
        <v>44168</v>
      </c>
      <c r="C5" s="101">
        <f>Total!C2620</f>
        <v>44207</v>
      </c>
      <c r="D5" s="112" t="s">
        <v>1092</v>
      </c>
      <c r="E5" s="332" t="str">
        <f>Total!E2620</f>
        <v>Edificació</v>
      </c>
      <c r="F5" s="96" t="str">
        <f>Total!F2620</f>
        <v>Direccions d'execució</v>
      </c>
      <c r="G5" s="112" t="str">
        <f>Total!G2620</f>
        <v>CSS. CAP-18277</v>
      </c>
      <c r="H5" s="112" t="str">
        <f>Total!H2620</f>
        <v>Serveis per a l'assistència tècnica de coordinació de seguretat i salut de les obres del projecte executiu del nou servei de rehabilitació del Centre d'Atenció Primària de Falset.</v>
      </c>
      <c r="I5" s="157">
        <f>Total!I2620</f>
        <v>13800</v>
      </c>
    </row>
    <row r="6" spans="1:9" x14ac:dyDescent="0.2">
      <c r="A6" s="8">
        <v>5</v>
      </c>
      <c r="B6" s="101">
        <f>Total!B2621</f>
        <v>44168</v>
      </c>
      <c r="C6" s="101">
        <f>Total!C2621</f>
        <v>44207</v>
      </c>
      <c r="D6" s="112" t="s">
        <v>1092</v>
      </c>
      <c r="E6" s="332" t="str">
        <f>Total!E2621</f>
        <v>Edificació</v>
      </c>
      <c r="F6" s="96" t="str">
        <f>Total!F2621</f>
        <v>Control de Qualitat</v>
      </c>
      <c r="G6" s="112" t="str">
        <f>Total!G2621</f>
        <v>CQ. CAP-18277</v>
      </c>
      <c r="H6" s="112" t="str">
        <f>Total!H2621</f>
        <v>Serveis per a l'assistència tècnica de control de qualitat de les obres del nou servei de rehabilitació del Centre d'Atenció Primària de Falset.</v>
      </c>
      <c r="I6" s="157">
        <f>Total!I2621</f>
        <v>20251.32</v>
      </c>
    </row>
    <row r="7" spans="1:9" x14ac:dyDescent="0.2">
      <c r="A7" s="8">
        <v>7</v>
      </c>
      <c r="B7" s="101">
        <f>Total!B2623</f>
        <v>44168</v>
      </c>
      <c r="C7" s="101">
        <f>Total!C2623</f>
        <v>44207</v>
      </c>
      <c r="D7" s="112" t="s">
        <v>1092</v>
      </c>
      <c r="E7" s="332" t="str">
        <f>Total!E2623</f>
        <v>Edificació</v>
      </c>
      <c r="F7" s="96" t="str">
        <f>Total!F2623</f>
        <v>Direccions d'execució</v>
      </c>
      <c r="G7" s="112" t="str">
        <f>Total!G2623</f>
        <v>DE. CAP-18277</v>
      </c>
      <c r="H7" s="112" t="str">
        <f>Total!H2623</f>
        <v>Direcció d'execució de les obres del nou servei de rehabilitació del Centre d'Atenció Primària de Falset.</v>
      </c>
      <c r="I7" s="157">
        <f>Total!I2623</f>
        <v>46157.87</v>
      </c>
    </row>
    <row r="8" spans="1:9" x14ac:dyDescent="0.2">
      <c r="A8" s="8">
        <v>8</v>
      </c>
      <c r="B8" s="101">
        <f>Total!B2624</f>
        <v>44169</v>
      </c>
      <c r="C8" s="101">
        <f>Total!C2624</f>
        <v>44207</v>
      </c>
      <c r="D8" s="112" t="s">
        <v>1092</v>
      </c>
      <c r="E8" s="332" t="str">
        <f>Total!E2624</f>
        <v>Edificació</v>
      </c>
      <c r="F8" s="96" t="str">
        <f>Total!F2624</f>
        <v>Projectes</v>
      </c>
      <c r="G8" s="112" t="str">
        <f>Total!G2624</f>
        <v>E3. JVX-20252</v>
      </c>
      <c r="H8" s="112" t="str">
        <f>Total!H2624</f>
        <v>Redacció de l'estudi previ d'aixecament de plànols d'arquitectura i instal·lacions, realització d'ITE i Certificació Energètica del Centre Penitenciari Quatre Camins.</v>
      </c>
      <c r="I8" s="157">
        <f>Total!I2624</f>
        <v>142000</v>
      </c>
    </row>
    <row r="9" spans="1:9" x14ac:dyDescent="0.2">
      <c r="A9" s="8">
        <v>9</v>
      </c>
      <c r="B9" s="101">
        <f>Total!B2625</f>
        <v>44169</v>
      </c>
      <c r="C9" s="101">
        <f>Total!C2625</f>
        <v>44207</v>
      </c>
      <c r="D9" s="112" t="s">
        <v>1092</v>
      </c>
      <c r="E9" s="332" t="str">
        <f>Total!E2625</f>
        <v>Edificació</v>
      </c>
      <c r="F9" s="96" t="str">
        <f>Total!F2625</f>
        <v>Direccions Integrades</v>
      </c>
      <c r="G9" s="112" t="str">
        <f>Total!G2625</f>
        <v>DO.TM-00509.58+TM-00509.53.2</v>
      </c>
      <c r="H9" s="112" t="str">
        <f>Total!H2625</f>
        <v>Direcció conjunta de les obres del "proj. constructiu per millorar les condicions ambientals en els llocs de treball en el Tarrer i els accessos als trens en la cotxera de la Zona Franca de L9", i "dels Tallers i Cotxeres de la L9 del Metro de BCN. F2".</v>
      </c>
      <c r="I9" s="157">
        <f>Total!I2625</f>
        <v>43560</v>
      </c>
    </row>
    <row r="10" spans="1:9" x14ac:dyDescent="0.2">
      <c r="A10" s="8">
        <v>10</v>
      </c>
      <c r="B10" s="101">
        <f>Total!B2626</f>
        <v>44169</v>
      </c>
      <c r="C10" s="101">
        <f>Total!C2626</f>
        <v>44207</v>
      </c>
      <c r="D10" s="112" t="s">
        <v>1092</v>
      </c>
      <c r="E10" s="332" t="str">
        <f>Total!E2626</f>
        <v>Edificació</v>
      </c>
      <c r="F10" s="96" t="str">
        <f>Total!F2626</f>
        <v>Control de Qualitat</v>
      </c>
      <c r="G10" s="112" t="str">
        <f>Total!G2626</f>
        <v>CQ.TM-00509.58+TM-00509.53.2</v>
      </c>
      <c r="H10" s="112" t="str">
        <f>Total!H2626</f>
        <v>CQ conjunta de les obres del "proj. constructiu per millorar les condicions ambientals en els llocs de treball en el Tarrer i els accessos als trens en la cotxera de la Zona Franca de L9", i "dels Tallers i Cotxeres de la L9 del Metro de BCN. F2".</v>
      </c>
      <c r="I10" s="157">
        <f>Total!I2626</f>
        <v>10824.44</v>
      </c>
    </row>
    <row r="11" spans="1:9" x14ac:dyDescent="0.2">
      <c r="A11" s="8">
        <v>11</v>
      </c>
      <c r="B11" s="101">
        <f>Total!B2627</f>
        <v>44169</v>
      </c>
      <c r="C11" s="101">
        <f>Total!C2627</f>
        <v>44207</v>
      </c>
      <c r="D11" s="112" t="s">
        <v>1092</v>
      </c>
      <c r="E11" s="332" t="str">
        <f>Total!E2627</f>
        <v>Edificació</v>
      </c>
      <c r="F11" s="96" t="str">
        <f>Total!F2627</f>
        <v>Projectes</v>
      </c>
      <c r="G11" s="112" t="str">
        <f>Total!G2627</f>
        <v>E2. JVX-20252</v>
      </c>
      <c r="H11" s="112" t="str">
        <f>Total!H2627</f>
        <v>Redacció de l'estudi previ d'aixecament de plànols d'arquitectura i instal·lacions, realització d'ITE i Certificació Energètica del Centre Penitenciari Brians 2.</v>
      </c>
      <c r="I11" s="157">
        <f>Total!I2627</f>
        <v>133200</v>
      </c>
    </row>
    <row r="12" spans="1:9" x14ac:dyDescent="0.2">
      <c r="A12" s="8">
        <v>12</v>
      </c>
      <c r="B12" s="101">
        <f>Total!B2628</f>
        <v>44169</v>
      </c>
      <c r="C12" s="101">
        <f>Total!C2628</f>
        <v>44207</v>
      </c>
      <c r="D12" s="112" t="s">
        <v>1092</v>
      </c>
      <c r="E12" s="332" t="str">
        <f>Total!E2628</f>
        <v>Edificació</v>
      </c>
      <c r="F12" s="96" t="str">
        <f>Total!F2628</f>
        <v>Direccions d'execució</v>
      </c>
      <c r="G12" s="112" t="str">
        <f>Total!G2628</f>
        <v>CSS.TM-00509.58+TM-00509.53.2</v>
      </c>
      <c r="H12" s="112" t="str">
        <f>Total!H2628</f>
        <v>Coord. SS conjunta de les obres del "proj. constructiu per millorar les condicions ambientals en els llocs de treball en el Tarrer i els accessos als trens en la cotxera de la Zona Franca de L9", i "dels Tallers i Cotxeres de la L9 del Metro de BCN. F2".</v>
      </c>
      <c r="I12" s="157">
        <f>Total!I2628</f>
        <v>9960</v>
      </c>
    </row>
    <row r="13" spans="1:9" x14ac:dyDescent="0.2">
      <c r="A13" s="8">
        <v>13</v>
      </c>
      <c r="B13" s="101">
        <f>Total!B2629</f>
        <v>44169</v>
      </c>
      <c r="C13" s="101">
        <f>Total!C2629</f>
        <v>44207</v>
      </c>
      <c r="D13" s="112" t="s">
        <v>1092</v>
      </c>
      <c r="E13" s="332" t="str">
        <f>Total!E2629</f>
        <v>Edificació</v>
      </c>
      <c r="F13" s="96" t="str">
        <f>Total!F2629</f>
        <v>Projectes</v>
      </c>
      <c r="G13" s="112" t="str">
        <f>Total!G2629</f>
        <v>E1. JVX-20252</v>
      </c>
      <c r="H13" s="112" t="str">
        <f>Total!H2629</f>
        <v>Redacció de l'estudi previ d'aixecament de plànols d'arquitectura i instal·lacions, realització d'ITE i Certificació Energètica del Centre Penitenciari Brians 1.</v>
      </c>
      <c r="I13" s="157">
        <f>Total!I2629</f>
        <v>135300</v>
      </c>
    </row>
    <row r="14" spans="1:9" x14ac:dyDescent="0.2">
      <c r="A14" s="8">
        <v>14</v>
      </c>
      <c r="B14" s="101">
        <f>Total!B2630</f>
        <v>44169</v>
      </c>
      <c r="C14" s="101">
        <f>Total!C2630</f>
        <v>44186</v>
      </c>
      <c r="D14" s="112" t="s">
        <v>1092</v>
      </c>
      <c r="E14" s="332" t="str">
        <f>Total!E2630</f>
        <v>Obra Civil</v>
      </c>
      <c r="F14" s="96" t="str">
        <f>Total!F2630</f>
        <v>Projectes</v>
      </c>
      <c r="G14" s="112" t="str">
        <f>Total!G2630</f>
        <v>EX-TF-11225.F1</v>
      </c>
      <c r="H14" s="112" t="str">
        <f>Total!H2630</f>
        <v>Redacció de l'estudi d'auditoria tècnica del projecte de perllongament de la línia Llobregat - Anoia d'FGC a Barcelona. Plaça Espanya - Gràcia. Infraestructura</v>
      </c>
      <c r="I14" s="157">
        <f>Total!I2630</f>
        <v>97470</v>
      </c>
    </row>
    <row r="15" spans="1:9" x14ac:dyDescent="0.2">
      <c r="A15" s="8">
        <v>15</v>
      </c>
      <c r="B15" s="101">
        <f>Total!B2634</f>
        <v>44176</v>
      </c>
      <c r="C15" s="101">
        <f>Total!C2634</f>
        <v>44214</v>
      </c>
      <c r="D15" s="112" t="s">
        <v>1092</v>
      </c>
      <c r="E15" s="332" t="str">
        <f>Total!E2634</f>
        <v>Obra Civil</v>
      </c>
      <c r="F15" s="96" t="str">
        <f>Total!F2634</f>
        <v>Direccions d'Obra</v>
      </c>
      <c r="G15" s="112" t="str">
        <f>Total!G2634</f>
        <v>ATAM. AB-15032.F2</v>
      </c>
      <c r="H15" s="112" t="str">
        <f>Total!H2634</f>
        <v>Contracte de serveis per a l'assistència tècnica ambiental per a les obres de millora general. Tercer carril calçada sentit nord a la carretera C- 17, del PK 15+100 al 18+700. Tram: Parets del Vallès - Granollers.</v>
      </c>
      <c r="I15" s="157">
        <f>Total!I2634</f>
        <v>62172</v>
      </c>
    </row>
    <row r="16" spans="1:9" x14ac:dyDescent="0.2">
      <c r="A16" s="8">
        <v>16</v>
      </c>
      <c r="B16" s="101">
        <f>Total!B2635</f>
        <v>44176</v>
      </c>
      <c r="C16" s="101">
        <f>Total!C2635</f>
        <v>44207</v>
      </c>
      <c r="D16" s="112" t="s">
        <v>1092</v>
      </c>
      <c r="E16" s="332" t="str">
        <f>Total!E2635</f>
        <v>Obra Civil</v>
      </c>
      <c r="F16" s="96" t="str">
        <f>Total!F2635</f>
        <v>Direccions d'Obra</v>
      </c>
      <c r="G16" s="112" t="str">
        <f>Total!G2635</f>
        <v>DO. AB-15032.F2</v>
      </c>
      <c r="H16" s="112" t="str">
        <f>Total!H2635</f>
        <v>Contracte de serveis per a la direcció de les obres de millora general. Tercer carril calçada sentit nord a la carretera C- 17, del PK 15+100 al 18+700. Tram: Parets del Vallès ¿ Granollers.</v>
      </c>
      <c r="I16" s="157">
        <f>Total!I2635</f>
        <v>612480</v>
      </c>
    </row>
    <row r="17" spans="1:9" x14ac:dyDescent="0.2">
      <c r="A17" s="8">
        <v>17</v>
      </c>
      <c r="B17" s="101">
        <f>Total!B2636</f>
        <v>44176</v>
      </c>
      <c r="C17" s="101">
        <f>Total!C2636</f>
        <v>44200</v>
      </c>
      <c r="D17" s="112" t="s">
        <v>1092</v>
      </c>
      <c r="E17" s="332" t="str">
        <f>Total!E2636</f>
        <v>Obra Civil</v>
      </c>
      <c r="F17" s="96" t="str">
        <f>Total!F2636</f>
        <v>Control de Qualitat</v>
      </c>
      <c r="G17" s="112" t="str">
        <f>Total!G2636</f>
        <v>CQ. AB-15032.F2</v>
      </c>
      <c r="H17" s="112" t="str">
        <f>Total!H2636</f>
        <v>Contracte de serveis per a l'assistència tècnica de control de qualitat de les obres de millora general. Tercer carril calçada sentit nord a la carretera C- 17, del PK 15+100 al 18+700. Tram: Parets del Vallès ¿ Granollers.</v>
      </c>
      <c r="I17" s="157">
        <f>Total!I2636</f>
        <v>178725</v>
      </c>
    </row>
    <row r="18" spans="1:9" x14ac:dyDescent="0.2">
      <c r="A18" s="8">
        <v>18</v>
      </c>
      <c r="B18" s="101">
        <f>Total!B2637</f>
        <v>44176</v>
      </c>
      <c r="C18" s="101">
        <f>Total!C2637</f>
        <v>44200</v>
      </c>
      <c r="D18" s="112" t="s">
        <v>1092</v>
      </c>
      <c r="E18" s="332" t="str">
        <f>Total!E2637</f>
        <v>Obra Civil</v>
      </c>
      <c r="F18" s="96" t="str">
        <f>Total!F2637</f>
        <v>Direccions d'Obra</v>
      </c>
      <c r="G18" s="112" t="str">
        <f>Total!G2637</f>
        <v>CSS. AB-15032.F2</v>
      </c>
      <c r="H18" s="112" t="str">
        <f>Total!H2637</f>
        <v>Assistència tècnica de coordinació de seguretat i salut de les obres del projecte constructiu de millora general. Tercer carril calçada sentit nord a la carretera C-17, del PK 15+100 al 18+700. Tram: Parets del Vallès - Granollers.</v>
      </c>
      <c r="I18" s="157">
        <f>Total!I2637</f>
        <v>103200</v>
      </c>
    </row>
    <row r="19" spans="1:9" x14ac:dyDescent="0.2">
      <c r="A19" s="8">
        <v>19</v>
      </c>
      <c r="B19" s="101">
        <f>Total!B2638</f>
        <v>44183</v>
      </c>
      <c r="C19" s="101">
        <f>Total!C2638</f>
        <v>44209</v>
      </c>
      <c r="D19" s="112" t="s">
        <v>1092</v>
      </c>
      <c r="E19" s="332" t="str">
        <f>Total!E2638</f>
        <v>Edificació</v>
      </c>
      <c r="F19" s="96" t="str">
        <f>Total!F2638</f>
        <v>Control de Qualitat</v>
      </c>
      <c r="G19" s="112" t="str">
        <f>Total!G2638</f>
        <v>CQ. CAP-17280</v>
      </c>
      <c r="H19" s="112" t="str">
        <f>Total!H2638</f>
        <v>Control de qualitat de les obres del nou Centre d'Atenció Primària El Papiol.</v>
      </c>
      <c r="I19" s="157">
        <f>Total!I2638</f>
        <v>20281.47</v>
      </c>
    </row>
    <row r="20" spans="1:9" x14ac:dyDescent="0.2">
      <c r="A20" s="8">
        <v>20</v>
      </c>
      <c r="B20" s="101">
        <f>Total!B2639</f>
        <v>44183</v>
      </c>
      <c r="C20" s="101">
        <f>Total!C2639</f>
        <v>44209</v>
      </c>
      <c r="D20" s="112" t="s">
        <v>1092</v>
      </c>
      <c r="E20" s="332" t="str">
        <f>Total!E2639</f>
        <v>Edificació</v>
      </c>
      <c r="F20" s="96" t="str">
        <f>Total!F2639</f>
        <v>Direcció d'Execució</v>
      </c>
      <c r="G20" s="112" t="str">
        <f>Total!G2639</f>
        <v>DE. CAP-17280</v>
      </c>
      <c r="H20" s="112" t="str">
        <f>Total!H2639</f>
        <v>Serveis per a la direcció d'execució de les obres del nou Centre d'Atenció Primària El Papiol.</v>
      </c>
      <c r="I20" s="157">
        <f>Total!I2639</f>
        <v>69236.800000000003</v>
      </c>
    </row>
    <row r="21" spans="1:9" x14ac:dyDescent="0.2">
      <c r="A21" s="8">
        <v>21</v>
      </c>
      <c r="B21" s="101">
        <f>Total!B2640</f>
        <v>36878</v>
      </c>
      <c r="C21" s="101">
        <f>Total!C2640</f>
        <v>44209</v>
      </c>
      <c r="D21" s="112" t="s">
        <v>1092</v>
      </c>
      <c r="E21" s="332" t="str">
        <f>Total!E2640</f>
        <v>Edificació</v>
      </c>
      <c r="F21" s="96" t="str">
        <f>Total!F2640</f>
        <v>Direcció d'Execució</v>
      </c>
      <c r="G21" s="112" t="str">
        <f>Total!G2640</f>
        <v>CSS. CAP-17280</v>
      </c>
      <c r="H21" s="112" t="str">
        <f>Total!H2640</f>
        <v>Serveis per a l'assistència tècnica de coordinació de seguretat i salut de les obres del nou Centre d'Atenció Primària El Papiol.</v>
      </c>
      <c r="I21" s="157">
        <f>Total!I2640</f>
        <v>20760</v>
      </c>
    </row>
    <row r="22" spans="1:9" x14ac:dyDescent="0.2">
      <c r="A22" s="8">
        <v>22</v>
      </c>
      <c r="B22" s="101">
        <f>Total!B2641</f>
        <v>44183</v>
      </c>
      <c r="C22" s="101">
        <f>Total!C2641</f>
        <v>44209</v>
      </c>
      <c r="D22" s="112" t="s">
        <v>1092</v>
      </c>
      <c r="E22" s="332" t="str">
        <f>Total!E2641</f>
        <v>Obra Civil</v>
      </c>
      <c r="F22" s="96" t="str">
        <f>Total!F2641</f>
        <v>Projectes</v>
      </c>
      <c r="G22" s="112" t="str">
        <f>Total!G2641</f>
        <v>EV. EX-CIC-20049</v>
      </c>
      <c r="H22" s="112" t="str">
        <f>Total!H2641</f>
        <v>Redacció de l'estudi: "Auditories de seguretat viària d'actuacions en trams de la xarxa de carreteres de la Generalitat de Catalunya en l'àmbit de les ctres. C-12 al Montsià, Baix Ebre, Ribera d'Ebre i Segrià, i C-16 al Berguedà.</v>
      </c>
      <c r="I22" s="157">
        <f>Total!I2641</f>
        <v>42000</v>
      </c>
    </row>
    <row r="23" spans="1:9" x14ac:dyDescent="0.2">
      <c r="A23" s="8">
        <v>23</v>
      </c>
      <c r="B23" s="101">
        <f>Total!B2642</f>
        <v>44186</v>
      </c>
      <c r="C23" s="101">
        <f>Total!C2642</f>
        <v>44214</v>
      </c>
      <c r="D23" s="112" t="s">
        <v>1092</v>
      </c>
      <c r="E23" s="332" t="str">
        <f>Total!E2642</f>
        <v>Obra Civil</v>
      </c>
      <c r="F23" s="96" t="str">
        <f>Total!F2642</f>
        <v>Direcció d'obra</v>
      </c>
      <c r="G23" s="112" t="str">
        <f>Total!G2642</f>
        <v>DO. XG-10021.3</v>
      </c>
      <c r="H23" s="112" t="str">
        <f>Total!H2642</f>
        <v>Direcció de les obres del projecte de millora local. Via verda a l'entorn de la carretera C-31, del PK 0+750 de la GIV-6228 (el Pont del Príncep) al PK 1+250 de la carretera GIV-6211 (connexió amb l'itinerari del riu Manol). Tram: Vilamalla - Figueres.</v>
      </c>
      <c r="I23" s="157">
        <f>Total!I2642</f>
        <v>44506.67</v>
      </c>
    </row>
    <row r="24" spans="1:9" x14ac:dyDescent="0.2">
      <c r="A24" s="8">
        <v>24</v>
      </c>
      <c r="B24" s="101">
        <f>Total!B2643</f>
        <v>44186</v>
      </c>
      <c r="C24" s="101">
        <f>Total!C2643</f>
        <v>44214</v>
      </c>
      <c r="D24" s="112" t="s">
        <v>1092</v>
      </c>
      <c r="E24" s="332" t="str">
        <f>Total!E2643</f>
        <v>Obra Civil</v>
      </c>
      <c r="F24" s="96" t="str">
        <f>Total!F2643</f>
        <v>Control de Qualitat</v>
      </c>
      <c r="G24" s="112" t="str">
        <f>Total!G2643</f>
        <v>CQ. XG-10021.3</v>
      </c>
      <c r="H24" s="112" t="str">
        <f>Total!H2643</f>
        <v>CQ de les obres del projecte de millora local. Via verda a l'entorn de la carretera C-31, del PK 0+750 de la GIV-6228 (el Pont del Príncep) al PK 1+250 de la carretera GIV-6211 (connexió amb l'itinerari del riu Manol). Tram: Vilamalla - Figueres.</v>
      </c>
      <c r="I24" s="157">
        <f>Total!I2643</f>
        <v>10876.11</v>
      </c>
    </row>
    <row r="25" spans="1:9" x14ac:dyDescent="0.2">
      <c r="A25" s="8">
        <v>25</v>
      </c>
      <c r="B25" s="101">
        <f>Total!B2644</f>
        <v>44186</v>
      </c>
      <c r="C25" s="101">
        <f>Total!C2644</f>
        <v>44214</v>
      </c>
      <c r="D25" s="112" t="s">
        <v>1092</v>
      </c>
      <c r="E25" s="332" t="str">
        <f>Total!E2644</f>
        <v>Obra Civil</v>
      </c>
      <c r="F25" s="96" t="str">
        <f>Total!F2644</f>
        <v>Direcció d'obra</v>
      </c>
      <c r="G25" s="112" t="str">
        <f>Total!G2644</f>
        <v>CSS. XXB-20026</v>
      </c>
      <c r="H25" s="112" t="str">
        <f>Total!H2644</f>
        <v>Contracte de serveis per a l'assistència tècnica de coordinació de seguretat i salut de les obres del projecte d'execució de les obres de derivació de la canonada de l'ens d'abastament d'Aigua Ter-Llobregat al Municipi de Calaf.</v>
      </c>
      <c r="I25" s="157">
        <f>Total!I2644</f>
        <v>1680</v>
      </c>
    </row>
    <row r="26" spans="1:9" x14ac:dyDescent="0.2">
      <c r="A26" s="8">
        <v>26</v>
      </c>
      <c r="B26" s="101">
        <f>Total!B2645</f>
        <v>44186</v>
      </c>
      <c r="C26" s="101">
        <f>Total!C2645</f>
        <v>44214</v>
      </c>
      <c r="D26" s="112" t="s">
        <v>1092</v>
      </c>
      <c r="E26" s="332" t="str">
        <f>Total!E2645</f>
        <v>Obra Civil</v>
      </c>
      <c r="F26" s="96" t="str">
        <f>Total!F2645</f>
        <v>Direcció d'obra</v>
      </c>
      <c r="G26" s="112" t="str">
        <f>Total!G2645</f>
        <v>CSS. XG-10021.3</v>
      </c>
      <c r="H26" s="112" t="str">
        <f>Total!H2645</f>
        <v>Coord. S.S. de les obres del projecte de millora local. Via verda a l'entorn de la carretera C-31, del PK 0+750 de la GIV-6228 (el Pont del Príncep) al PK 1+250 de la carretera GIV-6211 (connexió amb l'itinerari del riu Manol). Tram: Vilamalla - Figueres.</v>
      </c>
      <c r="I26" s="157">
        <f>Total!I2645</f>
        <v>11400</v>
      </c>
    </row>
    <row r="27" spans="1:9" x14ac:dyDescent="0.2">
      <c r="A27" s="8">
        <v>27</v>
      </c>
      <c r="B27" s="101">
        <f>Total!B2646</f>
        <v>44186</v>
      </c>
      <c r="C27" s="101">
        <f>Total!C2646</f>
        <v>44214</v>
      </c>
      <c r="D27" s="112" t="s">
        <v>1092</v>
      </c>
      <c r="E27" s="332" t="str">
        <f>Total!E2646</f>
        <v>Obra Civil</v>
      </c>
      <c r="F27" s="96" t="str">
        <f>Total!F2646</f>
        <v>Direcció d'obra</v>
      </c>
      <c r="G27" s="112" t="str">
        <f>Total!G2646</f>
        <v>DO. XXB-20026</v>
      </c>
      <c r="H27" s="112" t="str">
        <f>Total!H2646</f>
        <v>Contracte de serveis per a la direcció de les obres del projecte d'execució de les obres de derivació de la canonada de l'ens d'abastament d'Aigua Ter-Llobregat al Municipi de Calaf.</v>
      </c>
      <c r="I27" s="157">
        <f>Total!I2646</f>
        <v>6522.35</v>
      </c>
    </row>
    <row r="28" spans="1:9" x14ac:dyDescent="0.2">
      <c r="A28" s="8">
        <v>28</v>
      </c>
      <c r="B28" s="101">
        <f>Total!B2647</f>
        <v>44186</v>
      </c>
      <c r="C28" s="101">
        <f>Total!C2647</f>
        <v>44214</v>
      </c>
      <c r="D28" s="112" t="s">
        <v>1092</v>
      </c>
      <c r="E28" s="332" t="str">
        <f>Total!E2647</f>
        <v>Obra Civil</v>
      </c>
      <c r="F28" s="96" t="str">
        <f>Total!F2647</f>
        <v>Control de Qualitat</v>
      </c>
      <c r="G28" s="112" t="str">
        <f>Total!G2647</f>
        <v>CQ. XXB-20026</v>
      </c>
      <c r="H28" s="112" t="str">
        <f>Total!H2647</f>
        <v>Contracte de serveis per a l'assistència tècnica de Control de Qualitat de les obres del projecte d'execució de les obres de derivació de la canonada de l'ens d'abastament d'Aigua Ter-Llobregat al Municipi de Calaf.</v>
      </c>
      <c r="I28" s="157">
        <f>Total!I2647</f>
        <v>4296.0200000000004</v>
      </c>
    </row>
    <row r="29" spans="1:9" x14ac:dyDescent="0.2">
      <c r="A29" s="8">
        <v>29</v>
      </c>
      <c r="B29" s="101">
        <f>Total!B2648</f>
        <v>44188</v>
      </c>
      <c r="C29" s="101">
        <f>Total!C2648</f>
        <v>44207</v>
      </c>
      <c r="D29" s="112" t="s">
        <v>1092</v>
      </c>
      <c r="E29" s="332" t="str">
        <f>Total!E2648</f>
        <v>Obra Civil</v>
      </c>
      <c r="F29" s="96" t="str">
        <f>Total!F2648</f>
        <v>Projectes</v>
      </c>
      <c r="G29" s="112" t="str">
        <f>Total!G2648</f>
        <v>EI. EI-VB-15008</v>
      </c>
      <c r="H29" s="112" t="str">
        <f>Total!H2648</f>
        <v>Redacció de l'estudi informatiu: "Varinat de Sentmenat, entre el pk 31,200 de la C-1415a, el pk 34,000 de la C-1413a i el pk 8,000 de la B-142. Sentmenat.</v>
      </c>
      <c r="I29" s="157">
        <f>Total!I2648</f>
        <v>95520</v>
      </c>
    </row>
    <row r="30" spans="1:9" x14ac:dyDescent="0.2">
      <c r="A30" s="8">
        <v>30</v>
      </c>
      <c r="B30" s="101">
        <f>Total!B2649</f>
        <v>44188</v>
      </c>
      <c r="C30" s="101">
        <f>Total!C2649</f>
        <v>44216</v>
      </c>
      <c r="D30" s="112" t="s">
        <v>1092</v>
      </c>
      <c r="E30" s="332" t="str">
        <f>Total!E2649</f>
        <v>Obra Civil</v>
      </c>
      <c r="F30" s="96" t="str">
        <f>Total!F2649</f>
        <v>Projectes</v>
      </c>
      <c r="G30" s="112" t="str">
        <f>Total!G2649</f>
        <v>PC. PC-CGB-20065</v>
      </c>
      <c r="H30" s="112" t="str">
        <f>Total!H2649</f>
        <v>Redacció del projecte constructiu: "Mesures de seguretat viària i pacificació a la C-243c, entre la intersecció amb la BV-1201 i la cruïlla de Can Solà, del pk 9,400 al 10,700. Ullastrell-Terrassa.</v>
      </c>
      <c r="I30" s="157">
        <f>Total!I2649</f>
        <v>64450</v>
      </c>
    </row>
    <row r="31" spans="1:9" x14ac:dyDescent="0.2">
      <c r="A31" s="8">
        <v>31</v>
      </c>
      <c r="B31" s="101">
        <f>Total!B2650</f>
        <v>44188</v>
      </c>
      <c r="C31" s="101">
        <f>Total!C2650</f>
        <v>44207</v>
      </c>
      <c r="D31" s="112" t="s">
        <v>1092</v>
      </c>
      <c r="E31" s="332" t="str">
        <f>Total!E2650</f>
        <v>Obra Civil</v>
      </c>
      <c r="F31" s="96" t="str">
        <f>Total!F2650</f>
        <v>Projectes</v>
      </c>
      <c r="G31" s="112" t="str">
        <f>Total!G2650</f>
        <v>PR. AB-16002-C2</v>
      </c>
      <c r="H31" s="112" t="str">
        <f>Total!H2650</f>
        <v>Redacció del projecte constructiu: "Ampliació de la xarxa de camins agrícoles i millora dels camins existents a l'entorn de la C-15, entre el pk 10,900 i el 28,200. Olèrdola-Sant Pere de Riudebitlles.</v>
      </c>
      <c r="I31" s="157">
        <f>Total!I2650</f>
        <v>94550</v>
      </c>
    </row>
    <row r="32" spans="1:9" x14ac:dyDescent="0.2">
      <c r="A32" s="8">
        <v>32</v>
      </c>
      <c r="B32" s="101">
        <f>Total!B2651</f>
        <v>44189</v>
      </c>
      <c r="C32" s="101">
        <f>Total!C2651</f>
        <v>44207</v>
      </c>
      <c r="D32" s="112" t="s">
        <v>1092</v>
      </c>
      <c r="E32" s="332" t="str">
        <f>Total!E2651</f>
        <v>Obra Civil</v>
      </c>
      <c r="F32" s="96" t="str">
        <f>Total!F2651</f>
        <v>Projectes</v>
      </c>
      <c r="G32" s="112" t="str">
        <f>Total!G2651</f>
        <v>PC. PC-CPT-20058</v>
      </c>
      <c r="H32" s="112" t="str">
        <f>Total!H2651</f>
        <v>Serveis per a l'assistència tècnica per a la redacció del projecte constructiu "Rotonda urbana a la T-322 i la T-323 al pk 5,060. Mont-roig del Camp.</v>
      </c>
      <c r="I32" s="157">
        <f>Total!I2651</f>
        <v>31500</v>
      </c>
    </row>
    <row r="33" spans="1:9" x14ac:dyDescent="0.2">
      <c r="A33" s="8">
        <v>33</v>
      </c>
      <c r="B33" s="101">
        <f>Total!B2652</f>
        <v>44189</v>
      </c>
      <c r="C33" s="101">
        <f>Total!C2652</f>
        <v>44209</v>
      </c>
      <c r="D33" s="112" t="s">
        <v>1092</v>
      </c>
      <c r="E33" s="332" t="str">
        <f>Total!E2652</f>
        <v>Obra Civil</v>
      </c>
      <c r="F33" s="96" t="str">
        <f>Total!F2652</f>
        <v>Projectes</v>
      </c>
      <c r="G33" s="112" t="str">
        <f>Total!G2652</f>
        <v>IA. IA-VB-15008-A1</v>
      </c>
      <c r="H33" s="112" t="str">
        <f>Total!H2652</f>
        <v>Redacció de l'estuid d'impacte ambiental de la variant de Sentmenat, entre el pk 31,200 de la C-1415a, el pk 34,000 de la C-1413a i el pk 8,000 de la B-142. Sentmenat.</v>
      </c>
      <c r="I33" s="157">
        <f>Total!I2652</f>
        <v>44450</v>
      </c>
    </row>
    <row r="34" spans="1:9" x14ac:dyDescent="0.2">
      <c r="A34" s="8">
        <v>34</v>
      </c>
      <c r="B34" s="101">
        <f>Total!B2653</f>
        <v>44189</v>
      </c>
      <c r="C34" s="101">
        <f>Total!C2653</f>
        <v>44209</v>
      </c>
      <c r="D34" s="112" t="s">
        <v>1092</v>
      </c>
      <c r="E34" s="332" t="str">
        <f>Total!E2653</f>
        <v>Obra Civil</v>
      </c>
      <c r="F34" s="96" t="str">
        <f>Total!F2653</f>
        <v>Direccions d'obra</v>
      </c>
      <c r="G34" s="112" t="str">
        <f>Total!G2653</f>
        <v>CSS. PC-NB-15065</v>
      </c>
      <c r="H34" s="112" t="str">
        <f>Total!H2653</f>
        <v>Assitència tècnica de coordinació de seguretat i salut de les obres del projecte constructiu de millora general. Nova carretera. Nou accés a Igualada sud des de la C-37, al pk 64,400. Tram: Vilanova del Camí-Igualda.</v>
      </c>
      <c r="I34" s="157">
        <f>Total!I2653</f>
        <v>73200</v>
      </c>
    </row>
    <row r="35" spans="1:9" x14ac:dyDescent="0.2">
      <c r="A35" s="8">
        <v>35</v>
      </c>
      <c r="B35" s="101">
        <f>Total!B2654</f>
        <v>44189</v>
      </c>
      <c r="C35" s="101">
        <f>Total!C2654</f>
        <v>44221</v>
      </c>
      <c r="D35" s="112" t="s">
        <v>1092</v>
      </c>
      <c r="E35" s="332" t="str">
        <f>Total!E2654</f>
        <v>Obra Civil</v>
      </c>
      <c r="F35" s="96" t="str">
        <f>Total!F2654</f>
        <v>Direccions d'obra</v>
      </c>
      <c r="G35" s="112" t="str">
        <f>Total!G2654</f>
        <v>DO. PC-NB-15065</v>
      </c>
      <c r="H35" s="112" t="str">
        <f>Total!H2654</f>
        <v>Direcció de les obres de millora general. Nova carretera. Nou accés a Igualada sud des de la C-37, al pk 64,400. Tram: Vilanova del Camí-Igualda.</v>
      </c>
      <c r="I35" s="157">
        <f>Total!I2654</f>
        <v>402760</v>
      </c>
    </row>
    <row r="36" spans="1:9" x14ac:dyDescent="0.2">
      <c r="A36" s="8">
        <v>36</v>
      </c>
      <c r="B36" s="101">
        <f>Total!B2655</f>
        <v>44189</v>
      </c>
      <c r="C36" s="101">
        <f>Total!C2655</f>
        <v>44209</v>
      </c>
      <c r="D36" s="112" t="s">
        <v>1092</v>
      </c>
      <c r="E36" s="332" t="str">
        <f>Total!E2655</f>
        <v>Obra Civil</v>
      </c>
      <c r="F36" s="96" t="str">
        <f>Total!F2655</f>
        <v>Control de Qualitat</v>
      </c>
      <c r="G36" s="112" t="str">
        <f>Total!G2655</f>
        <v>CQ. PC-NB-15065</v>
      </c>
      <c r="H36" s="112" t="str">
        <f>Total!H2655</f>
        <v>Control de qualitat de les obres de millora general. Nova carretera. Nou accés a Igualada sud des de la C-37, al pk 64,400. Tram: Vilanova del Camí-Igualda.</v>
      </c>
      <c r="I36" s="157">
        <f>Total!I2655</f>
        <v>111730.36</v>
      </c>
    </row>
    <row r="37" spans="1:9" x14ac:dyDescent="0.2">
      <c r="A37" s="8">
        <v>37</v>
      </c>
      <c r="B37" s="101">
        <f>Total!B2656</f>
        <v>44189</v>
      </c>
      <c r="C37" s="101">
        <f>Total!C2656</f>
        <v>44209</v>
      </c>
      <c r="D37" s="112" t="s">
        <v>1092</v>
      </c>
      <c r="E37" s="332" t="str">
        <f>Total!E2656</f>
        <v>Obra Civil</v>
      </c>
      <c r="F37" s="96" t="str">
        <f>Total!F2656</f>
        <v>Direccions d'obra</v>
      </c>
      <c r="G37" s="112" t="str">
        <f>Total!G2656</f>
        <v>ATAM. NB-15065</v>
      </c>
      <c r="H37" s="112" t="str">
        <f>Total!H2656</f>
        <v>Assistència tècnica ambiental de les obres del nou accés a Igualada sud des de la C-37, al pk 64,400. Tram: Vilanova del Camí-Igualda.</v>
      </c>
      <c r="I37" s="157">
        <f>Total!I2656</f>
        <v>62172</v>
      </c>
    </row>
    <row r="38" spans="1:9" x14ac:dyDescent="0.2">
      <c r="A38" s="8">
        <v>38</v>
      </c>
      <c r="B38" s="101">
        <f>Total!B2657</f>
        <v>44193</v>
      </c>
      <c r="C38" s="101">
        <f>Total!C2657</f>
        <v>44214</v>
      </c>
      <c r="D38" s="112" t="s">
        <v>1092</v>
      </c>
      <c r="E38" s="332" t="str">
        <f>Total!E2657</f>
        <v>Obra Civil</v>
      </c>
      <c r="F38" s="96" t="str">
        <f>Total!F2657</f>
        <v>Projectes</v>
      </c>
      <c r="G38" s="112" t="str">
        <f>Total!G2657</f>
        <v>PC. PC-CPC-20035</v>
      </c>
      <c r="H38" s="112" t="str">
        <f>Total!H2657</f>
        <v>Redaccio del projecte constructiu. Estudi i implantació de millores de seguretat viària per a motoristes a la xarxa de carreteres de la Generalitat. Any 2020.</v>
      </c>
      <c r="I38" s="157">
        <f>Total!I2657</f>
        <v>81000</v>
      </c>
    </row>
    <row r="39" spans="1:9" x14ac:dyDescent="0.2">
      <c r="A39" s="8">
        <v>39</v>
      </c>
      <c r="B39" s="101">
        <f>Total!B2658</f>
        <v>44193</v>
      </c>
      <c r="C39" s="101">
        <f>Total!C2658</f>
        <v>44214</v>
      </c>
      <c r="D39" s="112" t="s">
        <v>1092</v>
      </c>
      <c r="E39" s="332" t="str">
        <f>Total!E2658</f>
        <v>Obra Civil</v>
      </c>
      <c r="F39" s="96" t="str">
        <f>Total!F2658</f>
        <v>Projectes</v>
      </c>
      <c r="G39" s="112" t="str">
        <f>Total!G2658</f>
        <v>PC. ML-06044.1</v>
      </c>
      <c r="H39" s="112" t="str">
        <f>Total!H2658</f>
        <v>Redacció del projecte constructiu. Ordenació d'accessos a la L-311, del pk 3,540 al 12,840. Cervera-Guissona.</v>
      </c>
      <c r="I39" s="157">
        <f>Total!I2658</f>
        <v>35500</v>
      </c>
    </row>
    <row r="40" spans="1:9" x14ac:dyDescent="0.2">
      <c r="A40" s="8">
        <v>40</v>
      </c>
      <c r="B40" s="101">
        <f>Total!B2659</f>
        <v>44193</v>
      </c>
      <c r="C40" s="101">
        <f>Total!C2659</f>
        <v>44214</v>
      </c>
      <c r="D40" s="112" t="s">
        <v>1092</v>
      </c>
      <c r="E40" s="332" t="str">
        <f>Total!E2659</f>
        <v>Obra Civil</v>
      </c>
      <c r="F40" s="96" t="str">
        <f>Total!F2659</f>
        <v>Projectes</v>
      </c>
      <c r="G40" s="112" t="str">
        <f>Total!G2659</f>
        <v>PC. PC-CGB-20055</v>
      </c>
      <c r="H40" s="112" t="str">
        <f>Total!H2659</f>
        <v>Redacció del projecte constructiu de rehabilitació de les obres de fàbrica de la C-55 al pk 8,349 i de la C-58 al pk 30,254. Olesa de Montserrat-Vacarisses.</v>
      </c>
      <c r="I40" s="157">
        <f>Total!I2659</f>
        <v>31500</v>
      </c>
    </row>
    <row r="41" spans="1:9" x14ac:dyDescent="0.2">
      <c r="A41" s="8">
        <v>41</v>
      </c>
      <c r="B41" s="101">
        <f>Total!B2660</f>
        <v>44194</v>
      </c>
      <c r="C41" s="101">
        <f>Total!C2660</f>
        <v>44235</v>
      </c>
      <c r="D41" s="112" t="s">
        <v>1092</v>
      </c>
      <c r="E41" s="332" t="str">
        <f>Total!E2660</f>
        <v>Obra Civil</v>
      </c>
      <c r="F41" s="96" t="str">
        <f>Total!F2660</f>
        <v>Direccions d'obra</v>
      </c>
      <c r="G41" s="112" t="str">
        <f>Total!G2660</f>
        <v>DO. R0-17209</v>
      </c>
      <c r="H41" s="112" t="str">
        <f>Total!H2660</f>
        <v>Direcció de les obres del projecte constructiu de la nova xarxa de transport i accés IP de la L9 de metro Barcelona.</v>
      </c>
      <c r="I41" s="157">
        <f>Total!I2660</f>
        <v>404653.33</v>
      </c>
    </row>
    <row r="42" spans="1:9" x14ac:dyDescent="0.2">
      <c r="A42" s="8">
        <v>42</v>
      </c>
      <c r="B42" s="101">
        <f>Total!B2661</f>
        <v>44194</v>
      </c>
      <c r="C42" s="101">
        <f>Total!C2661</f>
        <v>44221</v>
      </c>
      <c r="D42" s="112" t="s">
        <v>1092</v>
      </c>
      <c r="E42" s="332" t="str">
        <f>Total!E2661</f>
        <v>Obra Civil</v>
      </c>
      <c r="F42" s="96" t="str">
        <f>Total!F2661</f>
        <v>Direccions d'obra</v>
      </c>
      <c r="G42" s="112" t="str">
        <f>Total!G2661</f>
        <v>CSS. R0-17209</v>
      </c>
      <c r="H42" s="112" t="str">
        <f>Total!H2661</f>
        <v>Coordinació de seguretat i salut de les obres del projecte constructiu de la nova xarxa de transport i accés IP de la L9 de metro Barcelona.</v>
      </c>
      <c r="I42" s="157">
        <f>Total!I2661</f>
        <v>33600</v>
      </c>
    </row>
    <row r="43" spans="1:9" x14ac:dyDescent="0.2">
      <c r="A43" s="8">
        <v>43</v>
      </c>
      <c r="B43" s="101">
        <f>Total!B2662</f>
        <v>44194</v>
      </c>
      <c r="C43" s="101">
        <f>Total!C2662</f>
        <v>44221</v>
      </c>
      <c r="D43" s="112" t="s">
        <v>1092</v>
      </c>
      <c r="E43" s="332" t="str">
        <f>Total!E2662</f>
        <v>Obra Civil</v>
      </c>
      <c r="F43" s="96" t="str">
        <f>Total!F2662</f>
        <v>Control de Qualitat</v>
      </c>
      <c r="G43" s="112" t="str">
        <f>Total!G2662</f>
        <v>CQ. R0-17209</v>
      </c>
      <c r="H43" s="112" t="str">
        <f>Total!H2662</f>
        <v>Control de qualitat de les obres del projecte constructiu de la nova xarxa de transport i accés IP de la L9 de metro Barcelona.</v>
      </c>
      <c r="I43" s="157">
        <f>Total!I2662</f>
        <v>76800</v>
      </c>
    </row>
    <row r="44" spans="1:9" x14ac:dyDescent="0.2">
      <c r="A44" s="8">
        <v>44</v>
      </c>
      <c r="B44" s="101">
        <f>Total!B2663</f>
        <v>44195</v>
      </c>
      <c r="C44" s="101">
        <f>Total!C2663</f>
        <v>44221</v>
      </c>
      <c r="D44" s="112" t="s">
        <v>1092</v>
      </c>
      <c r="E44" s="332" t="str">
        <f>Total!E2663</f>
        <v>Obra Civil</v>
      </c>
      <c r="F44" s="96" t="str">
        <f>Total!F2663</f>
        <v>Projectes</v>
      </c>
      <c r="G44" s="112" t="str">
        <f>Total!G2663</f>
        <v>PC. SPD-20309</v>
      </c>
      <c r="H44" s="112" t="str">
        <f>Total!H2663</f>
        <v>Redacció del projecte de desplegament xarxa de fibra òptica. Bloc Terres de l'Ebre Sud.</v>
      </c>
      <c r="I44" s="157">
        <f>Total!I2663</f>
        <v>49586.78</v>
      </c>
    </row>
    <row r="45" spans="1:9" x14ac:dyDescent="0.2">
      <c r="A45" s="8">
        <v>45</v>
      </c>
      <c r="B45" s="101">
        <f>Total!B2664</f>
        <v>44195</v>
      </c>
      <c r="C45" s="101">
        <f>Total!C2664</f>
        <v>44221</v>
      </c>
      <c r="D45" s="112" t="s">
        <v>1092</v>
      </c>
      <c r="E45" s="332" t="str">
        <f>Total!E2664</f>
        <v>Obra Civil</v>
      </c>
      <c r="F45" s="96" t="str">
        <f>Total!F2664</f>
        <v>Projectes</v>
      </c>
      <c r="G45" s="112" t="str">
        <f>Total!G2664</f>
        <v>PC. SPD-20310</v>
      </c>
      <c r="H45" s="112" t="str">
        <f>Total!H2664</f>
        <v>Redacció del projecte de desplegament xarxa de fibra òptica. Bloc Alt Pirineu.</v>
      </c>
      <c r="I45" s="157">
        <f>Total!I2664</f>
        <v>28925.62</v>
      </c>
    </row>
    <row r="46" spans="1:9" x14ac:dyDescent="0.2">
      <c r="A46" s="8">
        <v>46</v>
      </c>
      <c r="B46" s="101">
        <f>Total!B2665</f>
        <v>44195</v>
      </c>
      <c r="C46" s="101">
        <f>Total!C2665</f>
        <v>44221</v>
      </c>
      <c r="D46" s="112" t="s">
        <v>1092</v>
      </c>
      <c r="E46" s="332" t="str">
        <f>Total!E2665</f>
        <v>Obra Civil</v>
      </c>
      <c r="F46" s="96" t="str">
        <f>Total!F2665</f>
        <v>Projectes</v>
      </c>
      <c r="G46" s="112" t="str">
        <f>Total!G2665</f>
        <v>PC. SPD-20316</v>
      </c>
      <c r="H46" s="112" t="str">
        <f>Total!H2665</f>
        <v>Redacció del projecte de desplegament xarxa de fibra òptica. Bloc Zona Hostalric.</v>
      </c>
      <c r="I46" s="157">
        <f>Total!I2665</f>
        <v>28925.62</v>
      </c>
    </row>
    <row r="47" spans="1:9" x14ac:dyDescent="0.2">
      <c r="A47" s="8">
        <v>47</v>
      </c>
      <c r="B47" s="101">
        <f>Total!B2666</f>
        <v>44195</v>
      </c>
      <c r="C47" s="101">
        <f>Total!C2666</f>
        <v>44221</v>
      </c>
      <c r="D47" s="112" t="s">
        <v>1092</v>
      </c>
      <c r="E47" s="332" t="str">
        <f>Total!E2666</f>
        <v>Obra Civil</v>
      </c>
      <c r="F47" s="96" t="str">
        <f>Total!F2666</f>
        <v>Projectes</v>
      </c>
      <c r="G47" s="112" t="str">
        <f>Total!G2666</f>
        <v>PC. SPD-20319</v>
      </c>
      <c r="H47" s="112" t="str">
        <f>Total!H2666</f>
        <v>Redacció del projecte de desplegament xarxa de fibra òptica. Bloc  Alt Empordà.</v>
      </c>
      <c r="I47" s="157">
        <f>Total!I2666</f>
        <v>59504.13</v>
      </c>
    </row>
    <row r="48" spans="1:9" x14ac:dyDescent="0.2">
      <c r="A48" s="8">
        <v>48</v>
      </c>
      <c r="B48" s="101">
        <f>Total!B2667</f>
        <v>44195</v>
      </c>
      <c r="C48" s="101">
        <f>Total!C2667</f>
        <v>44221</v>
      </c>
      <c r="D48" s="112" t="s">
        <v>1092</v>
      </c>
      <c r="E48" s="332" t="str">
        <f>Total!E2667</f>
        <v>Obra Civil</v>
      </c>
      <c r="F48" s="96" t="str">
        <f>Total!F2667</f>
        <v>Projectes</v>
      </c>
      <c r="G48" s="112" t="str">
        <f>Total!G2667</f>
        <v>PC. SPD-20311</v>
      </c>
      <c r="H48" s="112" t="str">
        <f>Total!H2667</f>
        <v>Redacció del projecte de desplegament xarxa de fibra òptica. Bloc  Terres de l'Ebre Nord.</v>
      </c>
      <c r="I48" s="157">
        <f>Total!I2667</f>
        <v>43801.65</v>
      </c>
    </row>
    <row r="49" spans="1:9" x14ac:dyDescent="0.2">
      <c r="A49" s="8">
        <v>49</v>
      </c>
      <c r="B49" s="101">
        <f>Total!B2668</f>
        <v>44195</v>
      </c>
      <c r="C49" s="101">
        <f>Total!C2668</f>
        <v>44228</v>
      </c>
      <c r="D49" s="112" t="s">
        <v>1092</v>
      </c>
      <c r="E49" s="332" t="str">
        <f>Total!E2668</f>
        <v>Edificació</v>
      </c>
      <c r="F49" s="96" t="str">
        <f>Total!F2668</f>
        <v>Projectes i Direccions d'Obra</v>
      </c>
      <c r="G49" s="112" t="str">
        <f>Total!G2668</f>
        <v>PE+DO. CAP-18336</v>
      </c>
      <c r="H49" s="112" t="str">
        <f>Total!H2668</f>
        <v>Redacció del projecte bàsic i executiu i la posterior direcció de les obres d'ampliació i reforma del Centre d'Atenció Primària de Sant Fruitós de Bages.</v>
      </c>
      <c r="I49" s="157">
        <f>Total!I2668</f>
        <v>282340.78999999998</v>
      </c>
    </row>
    <row r="50" spans="1:9" x14ac:dyDescent="0.2">
      <c r="A50" s="8">
        <v>50</v>
      </c>
      <c r="B50" s="101">
        <f>Total!B2669</f>
        <v>44195</v>
      </c>
      <c r="C50" s="101">
        <f>Total!C2669</f>
        <v>44221</v>
      </c>
      <c r="D50" s="112" t="s">
        <v>1092</v>
      </c>
      <c r="E50" s="332" t="str">
        <f>Total!E2669</f>
        <v>Obra Civil</v>
      </c>
      <c r="F50" s="96" t="str">
        <f>Total!F2669</f>
        <v>Projectes</v>
      </c>
      <c r="G50" s="112" t="str">
        <f>Total!G2669</f>
        <v>PC. SPD-20318</v>
      </c>
      <c r="H50" s="112" t="str">
        <f>Total!H2669</f>
        <v>Redacció del projecte de desplegament xarxa de fibra òptica. Bloc  Baix Empordà.</v>
      </c>
      <c r="I50" s="157">
        <f>Total!I2669</f>
        <v>41322.31</v>
      </c>
    </row>
    <row r="51" spans="1:9" x14ac:dyDescent="0.2">
      <c r="A51" s="8">
        <v>51</v>
      </c>
      <c r="B51" s="101">
        <f>Total!B2670</f>
        <v>44196</v>
      </c>
      <c r="C51" s="101">
        <f>Total!C2670</f>
        <v>44214</v>
      </c>
      <c r="D51" s="112" t="s">
        <v>1092</v>
      </c>
      <c r="E51" s="332" t="str">
        <f>Total!E2670</f>
        <v>Obra Civil</v>
      </c>
      <c r="F51" s="96" t="str">
        <f>Total!F2670</f>
        <v>Projectes</v>
      </c>
      <c r="G51" s="112" t="str">
        <f>Total!G2670</f>
        <v>IA. IA-TB-16238</v>
      </c>
      <c r="H51" s="112" t="str">
        <f>Total!H2670</f>
        <v>Redacció de l'estudi d'impacte ambiental del projecte d'arranjament de la resclosa de Colomers als TTMM de Foixà i Colomers.</v>
      </c>
      <c r="I51" s="157">
        <f>Total!I2670</f>
        <v>19331.599999999999</v>
      </c>
    </row>
    <row r="52" spans="1:9" x14ac:dyDescent="0.2">
      <c r="A52" s="8">
        <v>52</v>
      </c>
      <c r="B52" s="101">
        <f>Total!B2671</f>
        <v>44196</v>
      </c>
      <c r="C52" s="101">
        <f>Total!C2671</f>
        <v>44214</v>
      </c>
      <c r="D52" s="112" t="s">
        <v>1092</v>
      </c>
      <c r="E52" s="332" t="str">
        <f>Total!E2671</f>
        <v>Obra Civil</v>
      </c>
      <c r="F52" s="96" t="str">
        <f>Total!F2671</f>
        <v>Projectes</v>
      </c>
      <c r="G52" s="112" t="str">
        <f>Total!G2671</f>
        <v>PC. PC-CGB-20054</v>
      </c>
      <c r="H52" s="112" t="str">
        <f>Total!H2671</f>
        <v>Redacció del projecte constructiu: "Rehabilitació de l'obra de fàbrica a la B-120 al pk 9,490. Viladecavalls.</v>
      </c>
      <c r="I52" s="157">
        <f>Total!I2671</f>
        <v>31500</v>
      </c>
    </row>
    <row r="53" spans="1:9" x14ac:dyDescent="0.2">
      <c r="A53" s="8">
        <v>53</v>
      </c>
      <c r="B53" s="101">
        <f>Total!B2672</f>
        <v>44196</v>
      </c>
      <c r="C53" s="101">
        <f>Total!C2672</f>
        <v>44216</v>
      </c>
      <c r="D53" s="112" t="s">
        <v>1092</v>
      </c>
      <c r="E53" s="332" t="str">
        <f>Total!E2672</f>
        <v>Obra Civil</v>
      </c>
      <c r="F53" s="96" t="str">
        <f>Total!F2672</f>
        <v>Projectes</v>
      </c>
      <c r="G53" s="112" t="str">
        <f>Total!G2672</f>
        <v>IA. IA-AB-08021.2</v>
      </c>
      <c r="H53" s="112" t="str">
        <f>Total!H2672</f>
        <v>Redacció de l'estudi d'impacte ambiental de l'Eixamplament i millora del traçat a la C-26 del pk 141,800 al 144,050. Avià-Berga.</v>
      </c>
      <c r="I53" s="157">
        <f>Total!I2672</f>
        <v>16300</v>
      </c>
    </row>
    <row r="54" spans="1:9" x14ac:dyDescent="0.2">
      <c r="I54" s="126">
        <f>SUM(I2:I53)</f>
        <v>4251284.2399999993</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63"/>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Total!B2556</f>
        <v>44137</v>
      </c>
      <c r="C2" s="101">
        <f>Total!C2556</f>
        <v>44153</v>
      </c>
      <c r="D2" s="112" t="s">
        <v>1092</v>
      </c>
      <c r="E2" s="332" t="str">
        <f>Total!E2556</f>
        <v>Obra Civil</v>
      </c>
      <c r="F2" s="96" t="str">
        <f>Total!F2556</f>
        <v>Projectes</v>
      </c>
      <c r="G2" s="112" t="str">
        <f>Total!G2556</f>
        <v>EX.TF-11225.F1</v>
      </c>
      <c r="H2" s="112" t="str">
        <f>Total!H2556</f>
        <v>Contracte de serveis per a l'Assistència Tècnica per a la redacció de l'estudi d'auditoria tècnica del projecte de Perllongament de la línia Llobregat - Anoia d'FGC a Barcelona. Plaça Espanya Gràcia. Infraestructura.</v>
      </c>
      <c r="I2" s="157">
        <f>Total!I2556</f>
        <v>97470</v>
      </c>
    </row>
    <row r="3" spans="1:9" x14ac:dyDescent="0.2">
      <c r="A3" s="8">
        <v>2</v>
      </c>
      <c r="B3" s="101">
        <f>Total!B2557</f>
        <v>44140</v>
      </c>
      <c r="C3" s="101">
        <f>Total!C2557</f>
        <v>44165</v>
      </c>
      <c r="D3" s="112" t="s">
        <v>1092</v>
      </c>
      <c r="E3" s="332" t="str">
        <f>Total!E2557</f>
        <v>Edificació</v>
      </c>
      <c r="F3" s="96" t="str">
        <f>Total!F2557</f>
        <v>Projectes i Direccions d'Obra</v>
      </c>
      <c r="G3" s="112" t="str">
        <f>Total!G2557</f>
        <v>PE+DO. PGM-19209</v>
      </c>
      <c r="H3" s="112" t="str">
        <f>Total!H2557</f>
        <v>Redacció del projecte bàsic i executiu i la posterior direcció de les obres RAM per a l'actualització del projecte de reforma i ampliació del Parc de Bombers de Terrassa.</v>
      </c>
      <c r="I3" s="157">
        <f>Total!I2557</f>
        <v>279526.37</v>
      </c>
    </row>
    <row r="4" spans="1:9" x14ac:dyDescent="0.2">
      <c r="A4" s="8">
        <v>3</v>
      </c>
      <c r="B4" s="101">
        <f>Total!B2558</f>
        <v>44145</v>
      </c>
      <c r="C4" s="101">
        <f>Total!C2558</f>
        <v>44179</v>
      </c>
      <c r="D4" s="112" t="s">
        <v>1092</v>
      </c>
      <c r="E4" s="332" t="str">
        <f>Total!E2558</f>
        <v>Obra Civil</v>
      </c>
      <c r="F4" s="96" t="str">
        <f>Total!F2558</f>
        <v>Projectes</v>
      </c>
      <c r="G4" s="112" t="str">
        <f>Total!G2558</f>
        <v>PC. PC-MIB-19036</v>
      </c>
      <c r="H4" s="112" t="str">
        <f>Total!H2558</f>
        <v>Contracte de serveis per a l'assistència tècnica per a la redacció del projecte constructiu "Renovació de la senyalització ATP-ATO de la L4 d'FMB".</v>
      </c>
      <c r="I4" s="157">
        <f>Total!I2558</f>
        <v>565000</v>
      </c>
    </row>
    <row r="5" spans="1:9" x14ac:dyDescent="0.2">
      <c r="A5" s="8">
        <v>4</v>
      </c>
      <c r="B5" s="101">
        <f>Total!B2559</f>
        <v>44147</v>
      </c>
      <c r="C5" s="101">
        <f>Total!C2559</f>
        <v>44167</v>
      </c>
      <c r="D5" s="112" t="s">
        <v>1092</v>
      </c>
      <c r="E5" s="332" t="str">
        <f>Total!E2559</f>
        <v>Obra Civil</v>
      </c>
      <c r="F5" s="96" t="str">
        <f>Total!F2559</f>
        <v>Direccions d'Obra</v>
      </c>
      <c r="G5" s="112" t="str">
        <f>Total!G2559</f>
        <v>DO. MB-15013</v>
      </c>
      <c r="H5" s="112" t="str">
        <f>Total!H2559</f>
        <v>Contracte de serveis per a la direcció de les obres de millora local. Apantallament acústic. Carretera C-17 entre el PK 27+400 i el 33+450 (TM la Garriga), i entre el PK 34+700 i el 39+950 (TM Tagamanent). Tram: la Garriga - Tagamanent.</v>
      </c>
      <c r="I5" s="157">
        <f>Total!I2559</f>
        <v>45106.67</v>
      </c>
    </row>
    <row r="6" spans="1:9" x14ac:dyDescent="0.2">
      <c r="A6" s="8">
        <v>5</v>
      </c>
      <c r="B6" s="101">
        <f>Total!B2560</f>
        <v>44147</v>
      </c>
      <c r="C6" s="101">
        <f>Total!C2560</f>
        <v>44167</v>
      </c>
      <c r="D6" s="112" t="s">
        <v>1092</v>
      </c>
      <c r="E6" s="332" t="str">
        <f>Total!E2560</f>
        <v>Obra Civil</v>
      </c>
      <c r="F6" s="96" t="str">
        <f>Total!F2560</f>
        <v>Control de Qualitat</v>
      </c>
      <c r="G6" s="112" t="str">
        <f>Total!G2560</f>
        <v>CQ. MB-15013</v>
      </c>
      <c r="H6" s="112" t="str">
        <f>Total!H2560</f>
        <v>Control de qualitat de les obres de millora local. Apantallament acústic. Carretera C-17 entre el PK 27+400 i el 33+450 (TM La Garriga), i entre el PK 34+700 i el 39+950 (TM Tagamanent). Tram: La Garriga - Tagamanent.</v>
      </c>
      <c r="I6" s="157">
        <f>Total!I2560</f>
        <v>10055.709999999999</v>
      </c>
    </row>
    <row r="7" spans="1:9" x14ac:dyDescent="0.2">
      <c r="A7" s="8">
        <v>6</v>
      </c>
      <c r="B7" s="101">
        <f>Total!B2561</f>
        <v>44147</v>
      </c>
      <c r="C7" s="101">
        <f>Total!C2561</f>
        <v>44167</v>
      </c>
      <c r="D7" s="112" t="s">
        <v>1092</v>
      </c>
      <c r="E7" s="332" t="str">
        <f>Total!E2561</f>
        <v>Obra Civil</v>
      </c>
      <c r="F7" s="96" t="str">
        <f>Total!F2561</f>
        <v>Direccions d'Obra</v>
      </c>
      <c r="G7" s="112" t="str">
        <f>Total!G2561</f>
        <v>CSS. MB-15013</v>
      </c>
      <c r="H7" s="112" t="str">
        <f>Total!H2561</f>
        <v>Coordinació de seguretat i salut de les obres del projecte constructiu de millora local. Apantallament acústic. Carretera C-17 entre el PK 27+400 i el 33+450 (TM la Garriga), i entre el PK 34+700 i el 39+950 (TM Tagamanent). Tram: la Garriga - Tagamanent.</v>
      </c>
      <c r="I7" s="157">
        <f>Total!I2561</f>
        <v>11400</v>
      </c>
    </row>
    <row r="8" spans="1:9" x14ac:dyDescent="0.2">
      <c r="A8" s="8">
        <v>7</v>
      </c>
      <c r="B8" s="101">
        <f>Total!B2562</f>
        <v>44148</v>
      </c>
      <c r="C8" s="101">
        <f>Total!C2562</f>
        <v>44167</v>
      </c>
      <c r="D8" s="112" t="s">
        <v>1092</v>
      </c>
      <c r="E8" s="332" t="str">
        <f>Total!E2562</f>
        <v>Edificació</v>
      </c>
      <c r="F8" s="96" t="str">
        <f>Total!F2562</f>
        <v>Direccions d'execució</v>
      </c>
      <c r="G8" s="112" t="str">
        <f>Total!G2562</f>
        <v>CSS. HLL-14319.A+HLL-17273.A</v>
      </c>
      <c r="H8" s="112" t="str">
        <f>Total!H2562</f>
        <v>Coord. S.S. conjunta de les obres d'Ampliació i reforma del Bloc Quirúrgic de l'Hospital Arnau de Vilanova de Lleida i Instal·lacions de l'Ampliació i reforma del Bloc Quirúrgic de l'Hospital Arnau de Vilanova de Lleida.</v>
      </c>
      <c r="I8" s="157">
        <f>Total!I2562</f>
        <v>172800</v>
      </c>
    </row>
    <row r="9" spans="1:9" x14ac:dyDescent="0.2">
      <c r="A9" s="8">
        <v>8</v>
      </c>
      <c r="B9" s="101">
        <f>Total!B2563</f>
        <v>44148</v>
      </c>
      <c r="C9" s="101">
        <f>Total!C2563</f>
        <v>44167</v>
      </c>
      <c r="D9" s="112" t="s">
        <v>1092</v>
      </c>
      <c r="E9" s="332" t="str">
        <f>Total!E2563</f>
        <v>Edificació</v>
      </c>
      <c r="F9" s="96" t="str">
        <f>Total!F2563</f>
        <v>Control de Qualitat</v>
      </c>
      <c r="G9" s="112" t="str">
        <f>Total!G2563</f>
        <v>CQ. HLL-14319.A + HLL-17273.A</v>
      </c>
      <c r="H9" s="112" t="str">
        <f>Total!H2563</f>
        <v>Control de qualitat conjunta de les obres d'Ampliació i reforma del Bloc Quirúrgic de l'Hospital Arnau de Vilanova de Lleida i Instal·lacions de l'Ampliació i reforma del Bloc Quirúrgic de l'Hospital Arnau de Vilanova de Lleida.</v>
      </c>
      <c r="I9" s="157">
        <f>Total!I2563</f>
        <v>159907.23000000001</v>
      </c>
    </row>
    <row r="10" spans="1:9" x14ac:dyDescent="0.2">
      <c r="A10" s="8">
        <v>9</v>
      </c>
      <c r="B10" s="101">
        <f>Total!B2564</f>
        <v>44148</v>
      </c>
      <c r="C10" s="101">
        <f>Total!C2564</f>
        <v>44179</v>
      </c>
      <c r="D10" s="112" t="s">
        <v>1092</v>
      </c>
      <c r="E10" s="332" t="str">
        <f>Total!E2564</f>
        <v>Edificació</v>
      </c>
      <c r="F10" s="96" t="str">
        <f>Total!F2564</f>
        <v>Direccions d'execució</v>
      </c>
      <c r="G10" s="112" t="str">
        <f>Total!G2564</f>
        <v>DE. HLL-14319.A + HLL-17273.A</v>
      </c>
      <c r="H10" s="112" t="str">
        <f>Total!H2564</f>
        <v>Direcció d'execució conjunta de les obres d'Ampliació i reforma del Bloc Quirúrgic de l'Hospital Arnau de Vilanova de Lleida i Instal·lacions de l'Ampliació i reforma del Bloc Quirúrgic de l'Hospital Arnau de Vilanova de Lleida.</v>
      </c>
      <c r="I10" s="157">
        <f>Total!I2564</f>
        <v>576036.18000000005</v>
      </c>
    </row>
    <row r="11" spans="1:9" x14ac:dyDescent="0.2">
      <c r="A11" s="8">
        <v>10</v>
      </c>
      <c r="B11" s="101">
        <f>Total!B2565</f>
        <v>44152</v>
      </c>
      <c r="C11" s="101">
        <f>Total!C2565</f>
        <v>44174</v>
      </c>
      <c r="D11" s="112" t="s">
        <v>1092</v>
      </c>
      <c r="E11" s="332" t="str">
        <f>Total!E2565</f>
        <v>Edificació</v>
      </c>
      <c r="F11" s="96" t="str">
        <f>Total!F2565</f>
        <v>Control de Qualitat</v>
      </c>
      <c r="G11" s="112" t="str">
        <f>Total!G2565</f>
        <v>CQ. HHB-18276.A</v>
      </c>
      <c r="H11" s="112" t="str">
        <f>Total!H2565</f>
        <v>Contracte de serveis per a l'assistència tècnica de control de qualitat de les obres del projecte actualitzat de connexió d'escomesa elèctrica a l'Hospital Vall d'Hebron, de Barcelona, 2a. fase.</v>
      </c>
      <c r="I11" s="157">
        <f>Total!I2565</f>
        <v>60427.76</v>
      </c>
    </row>
    <row r="12" spans="1:9" x14ac:dyDescent="0.2">
      <c r="A12" s="8">
        <v>11</v>
      </c>
      <c r="B12" s="101">
        <f>Total!B2566</f>
        <v>44152</v>
      </c>
      <c r="C12" s="101">
        <f>Total!C2566</f>
        <v>44172</v>
      </c>
      <c r="D12" s="112" t="s">
        <v>1092</v>
      </c>
      <c r="E12" s="332" t="str">
        <f>Total!E2566</f>
        <v>Edificació</v>
      </c>
      <c r="F12" s="96" t="str">
        <f>Total!F2566</f>
        <v>Direccions d'execució</v>
      </c>
      <c r="G12" s="112" t="str">
        <f>Total!G2566</f>
        <v>CSS. HHB-18276.A</v>
      </c>
      <c r="H12" s="112" t="str">
        <f>Total!H2566</f>
        <v>Contracte de serveis per a l'assistència tècnica de coordinació de seguretat i salut de les obres del projecte actualitzat de connexió d'escomesa elèctrica a l'Hospital Vall d'Hebron, de Barcelona, 2a fase.</v>
      </c>
      <c r="I12" s="157">
        <f>Total!I2566</f>
        <v>26760</v>
      </c>
    </row>
    <row r="13" spans="1:9" x14ac:dyDescent="0.2">
      <c r="A13" s="8">
        <v>12</v>
      </c>
      <c r="B13" s="101">
        <f>Total!B2567</f>
        <v>44152</v>
      </c>
      <c r="C13" s="101">
        <f>Total!C2567</f>
        <v>44172</v>
      </c>
      <c r="D13" s="112" t="s">
        <v>1092</v>
      </c>
      <c r="E13" s="332" t="str">
        <f>Total!E2567</f>
        <v>Edificació</v>
      </c>
      <c r="F13" s="96" t="str">
        <f>Total!F2567</f>
        <v>Direccions d'execució</v>
      </c>
      <c r="G13" s="112" t="str">
        <f>Total!G2567</f>
        <v>DE. HHB-18276.A</v>
      </c>
      <c r="H13" s="112" t="str">
        <f>Total!H2567</f>
        <v>Contracte de serveis per a l'assistència tècnica de direcció d'execució de les obres del projecte actualitzat de connexió d'escomesa elèctrica a l'Hospital Vall d'Hebron, de Barcelona, 2a. fase.</v>
      </c>
      <c r="I13" s="157">
        <f>Total!I2567</f>
        <v>89406.64</v>
      </c>
    </row>
    <row r="14" spans="1:9" x14ac:dyDescent="0.2">
      <c r="A14" s="8">
        <v>13</v>
      </c>
      <c r="B14" s="101">
        <f>Total!B2568</f>
        <v>44155</v>
      </c>
      <c r="C14" s="101">
        <f>Total!C2568</f>
        <v>44174</v>
      </c>
      <c r="D14" s="112" t="s">
        <v>1092</v>
      </c>
      <c r="E14" s="332" t="str">
        <f>Total!E2568</f>
        <v>Obra Civil</v>
      </c>
      <c r="F14" s="96" t="str">
        <f>Total!F2568</f>
        <v>Direccions d'obra</v>
      </c>
      <c r="G14" s="112" t="str">
        <f>Total!G2568</f>
        <v>DO. TM-11018.1</v>
      </c>
      <c r="H14" s="112" t="str">
        <f>Total!H2568</f>
        <v>Direcció de les obres de millora de l'accessibilitat de l'estació de Vallcarca de la Línia 3 dels FMB. Ascensor de carrer. Barcelona.</v>
      </c>
      <c r="I14" s="157">
        <f>Total!I2568</f>
        <v>51333.34</v>
      </c>
    </row>
    <row r="15" spans="1:9" x14ac:dyDescent="0.2">
      <c r="A15" s="8">
        <v>14</v>
      </c>
      <c r="B15" s="101">
        <f>Total!B2569</f>
        <v>44155</v>
      </c>
      <c r="C15" s="101">
        <f>Total!C2569</f>
        <v>44172</v>
      </c>
      <c r="D15" s="112" t="s">
        <v>1092</v>
      </c>
      <c r="E15" s="332" t="str">
        <f>Total!E2569</f>
        <v>Obra Civil</v>
      </c>
      <c r="F15" s="96" t="str">
        <f>Total!F2569</f>
        <v>Projectes</v>
      </c>
      <c r="G15" s="112" t="str">
        <f>Total!G2569</f>
        <v>E2-INF-20500</v>
      </c>
      <c r="H15" s="112" t="str">
        <f>Total!H2569</f>
        <v>Serveis d'assistèncai tècnia per a la investigació i assessorament en temes geotècnics de les infraestructures gestionades per INFCAT i per l'ens IFERCAT.</v>
      </c>
      <c r="I15" s="157">
        <f>Total!I2569</f>
        <v>100000</v>
      </c>
    </row>
    <row r="16" spans="1:9" x14ac:dyDescent="0.2">
      <c r="A16" s="8">
        <v>15</v>
      </c>
      <c r="B16" s="101">
        <f>Total!B2570</f>
        <v>44155</v>
      </c>
      <c r="C16" s="101">
        <f>Total!C2570</f>
        <v>44172</v>
      </c>
      <c r="D16" s="112" t="s">
        <v>1092</v>
      </c>
      <c r="E16" s="332" t="str">
        <f>Total!E2570</f>
        <v>Edificació</v>
      </c>
      <c r="F16" s="96" t="str">
        <f>Total!F2570</f>
        <v>Projectes</v>
      </c>
      <c r="G16" s="112" t="str">
        <f>Total!G2570</f>
        <v>E1-INF-20500</v>
      </c>
      <c r="H16" s="112" t="str">
        <f>Total!H2570</f>
        <v>Serveis d'assistència tècnica per a la investigació i assessorament en temes estructurals de les infraestructures gestionades per INFCAT i per IFERCAT.</v>
      </c>
      <c r="I16" s="157">
        <f>Total!I2570</f>
        <v>100000</v>
      </c>
    </row>
    <row r="17" spans="1:9" x14ac:dyDescent="0.2">
      <c r="A17" s="8">
        <v>16</v>
      </c>
      <c r="B17" s="101">
        <f>Total!B2571</f>
        <v>44155</v>
      </c>
      <c r="C17" s="101">
        <f>Total!C2571</f>
        <v>44174</v>
      </c>
      <c r="D17" s="112" t="s">
        <v>1092</v>
      </c>
      <c r="E17" s="332" t="str">
        <f>Total!E2571</f>
        <v>Obra Civil</v>
      </c>
      <c r="F17" s="96" t="str">
        <f>Total!F2571</f>
        <v>Control de Qualitat</v>
      </c>
      <c r="G17" s="112" t="str">
        <f>Total!G2571</f>
        <v>CQ. TM-11018.1</v>
      </c>
      <c r="H17" s="112" t="str">
        <f>Total!H2571</f>
        <v>Control de qualitat de les obres de millora de l'accessibilitat de l'estació de Vallcarca de la Línia 3 dels FMB. Ascensor de carrer. Barcelona.</v>
      </c>
      <c r="I17" s="157">
        <f>Total!I2571</f>
        <v>12987.34</v>
      </c>
    </row>
    <row r="18" spans="1:9" x14ac:dyDescent="0.2">
      <c r="A18" s="8">
        <v>17</v>
      </c>
      <c r="B18" s="101">
        <f>Total!B2572</f>
        <v>44155</v>
      </c>
      <c r="C18" s="101">
        <f>Total!C2572</f>
        <v>44174</v>
      </c>
      <c r="D18" s="112" t="s">
        <v>1092</v>
      </c>
      <c r="E18" s="332" t="str">
        <f>Total!E2572</f>
        <v>Obra Civil</v>
      </c>
      <c r="F18" s="96" t="str">
        <f>Total!F2572</f>
        <v>Direccions d'obra</v>
      </c>
      <c r="G18" s="112" t="str">
        <f>Total!G2572</f>
        <v>CSS. TM-11018.1</v>
      </c>
      <c r="H18" s="112" t="str">
        <f>Total!H2572</f>
        <v>Coordinació de seguretat i salut de les obres de millora de l'accessibilitat de l'estació de Vallcarca de la Línia 3 dels FMB. Ascensor de carrer. Barcelona.</v>
      </c>
      <c r="I18" s="157">
        <f>Total!I2572</f>
        <v>10800</v>
      </c>
    </row>
    <row r="19" spans="1:9" x14ac:dyDescent="0.2">
      <c r="A19" s="8">
        <v>18</v>
      </c>
      <c r="B19" s="101">
        <f>Total!B2573</f>
        <v>44158</v>
      </c>
      <c r="C19" s="101">
        <f>Total!C2573</f>
        <v>44174</v>
      </c>
      <c r="D19" s="112" t="s">
        <v>1092</v>
      </c>
      <c r="E19" s="332" t="str">
        <f>Total!E2573</f>
        <v>Obra Civil</v>
      </c>
      <c r="F19" s="96" t="str">
        <f>Total!F2573</f>
        <v>Control de Qualitat</v>
      </c>
      <c r="G19" s="112" t="str">
        <f>Total!G2573</f>
        <v>CQ. BSV-14291.1</v>
      </c>
      <c r="H19" s="112" t="str">
        <f>Total!H2573</f>
        <v>Control de qualitat de les obres d'urbanització de la residència i centre de dia per a gent gran La Mercè a Tarragona.</v>
      </c>
      <c r="I19" s="157">
        <f>Total!I2573</f>
        <v>7293.87</v>
      </c>
    </row>
    <row r="20" spans="1:9" x14ac:dyDescent="0.2">
      <c r="A20" s="8">
        <v>19</v>
      </c>
      <c r="B20" s="101">
        <f>Total!B2574</f>
        <v>44158</v>
      </c>
      <c r="C20" s="101">
        <f>Total!C2574</f>
        <v>44174</v>
      </c>
      <c r="D20" s="112" t="s">
        <v>1092</v>
      </c>
      <c r="E20" s="332" t="str">
        <f>Total!E2574</f>
        <v>Obra Civil</v>
      </c>
      <c r="F20" s="96" t="str">
        <f>Total!F2574</f>
        <v>Direccions d'obra</v>
      </c>
      <c r="G20" s="112" t="str">
        <f>Total!G2574</f>
        <v>DE+CSS. BSV-14291.1</v>
      </c>
      <c r="H20" s="112" t="str">
        <f>Total!H2574</f>
        <v>Direcció d'execució i coordinació de seguretat i salut de les obres d'urbanització de la residència i centre de dia per a gent gran La Mercè a Tarragona.</v>
      </c>
      <c r="I20" s="157">
        <f>Total!I2574</f>
        <v>15000</v>
      </c>
    </row>
    <row r="21" spans="1:9" x14ac:dyDescent="0.2">
      <c r="A21" s="8">
        <v>20</v>
      </c>
      <c r="B21" s="101">
        <f>Total!B2575</f>
        <v>44161</v>
      </c>
      <c r="C21" s="101">
        <f>Total!C2575</f>
        <v>44179</v>
      </c>
      <c r="D21" s="112" t="s">
        <v>1092</v>
      </c>
      <c r="E21" s="332" t="str">
        <f>Total!E2575</f>
        <v>Edificació</v>
      </c>
      <c r="F21" s="96" t="str">
        <f>Total!F2575</f>
        <v>Direccions Integrades</v>
      </c>
      <c r="G21" s="112" t="str">
        <f>Total!G2575</f>
        <v>PE+DF. XMH-21502</v>
      </c>
      <c r="H21" s="112" t="str">
        <f>Total!H2575</f>
        <v>Assistència tècnica per a la redacció del projecte executiu i l'estudi de seguretat i salut i la posterior direcció facultativa de les obres RAM 2021 als Serveis Territorials a la Catalunya Central (II): Escola Voltreganès (Sant Hipòlit de Voltregà).</v>
      </c>
      <c r="I21" s="157">
        <f>Total!I2575</f>
        <v>50578.51</v>
      </c>
    </row>
    <row r="22" spans="1:9" x14ac:dyDescent="0.2">
      <c r="A22" s="8">
        <v>21</v>
      </c>
      <c r="B22" s="101">
        <f>Total!B2576</f>
        <v>44161</v>
      </c>
      <c r="C22" s="101">
        <f>Total!C2576</f>
        <v>44179</v>
      </c>
      <c r="D22" s="112" t="s">
        <v>1092</v>
      </c>
      <c r="E22" s="332" t="str">
        <f>Total!E2576</f>
        <v>Edificació</v>
      </c>
      <c r="F22" s="96" t="str">
        <f>Total!F2576</f>
        <v>Direccions Integrades</v>
      </c>
      <c r="G22" s="112" t="str">
        <f>Total!G2576</f>
        <v>PE+DF. XMV-21510</v>
      </c>
      <c r="H22" s="112" t="str">
        <f>Total!H2576</f>
        <v>Assistència tècnica per a la redacció del projecte executiu i l'estudi de seguretat i salut i la posterior direcció facultativa de les obres RAM 2021 als Serveis Territorials al Vallès Occidental (I): Institut Escola Can Llobet (Barberà del Vallès).</v>
      </c>
      <c r="I22" s="157">
        <f>Total!I2576</f>
        <v>45743.8</v>
      </c>
    </row>
    <row r="23" spans="1:9" x14ac:dyDescent="0.2">
      <c r="A23" s="8">
        <v>22</v>
      </c>
      <c r="B23" s="101">
        <f>Total!B2577</f>
        <v>44161</v>
      </c>
      <c r="C23" s="101">
        <f>Total!C2577</f>
        <v>44179</v>
      </c>
      <c r="D23" s="112" t="s">
        <v>1092</v>
      </c>
      <c r="E23" s="332" t="str">
        <f>Total!E2577</f>
        <v>Edificació</v>
      </c>
      <c r="F23" s="96" t="str">
        <f>Total!F2577</f>
        <v>Direccions Integrades</v>
      </c>
      <c r="G23" s="112" t="str">
        <f>Total!G2577</f>
        <v>PE+DF. XMC-21529</v>
      </c>
      <c r="H23" s="112" t="str">
        <f>Total!H2577</f>
        <v>Red. Proj. executiu i l'estudi de S. S. i la posterior dir. facultativa de les obres RAM 2021 als Serveis Territorials a Barcelona-comarques (IV): Institut Isaac Albéniz (Badalona) i Escola Roselló Porcell-Salvat (Santa Coloma de Gramenet).</v>
      </c>
      <c r="I23" s="157">
        <f>Total!I2577</f>
        <v>51322.32</v>
      </c>
    </row>
    <row r="24" spans="1:9" x14ac:dyDescent="0.2">
      <c r="A24" s="8">
        <v>23</v>
      </c>
      <c r="B24" s="101">
        <f>Total!B2578</f>
        <v>44161</v>
      </c>
      <c r="C24" s="101">
        <f>Total!C2578</f>
        <v>44179</v>
      </c>
      <c r="D24" s="112" t="s">
        <v>1092</v>
      </c>
      <c r="E24" s="332" t="str">
        <f>Total!E2578</f>
        <v>Edificació</v>
      </c>
      <c r="F24" s="96" t="str">
        <f>Total!F2578</f>
        <v>Direccions Integrades</v>
      </c>
      <c r="G24" s="112" t="str">
        <f>Total!G2578</f>
        <v>PE+DF. XMC-21529</v>
      </c>
      <c r="H24" s="112" t="str">
        <f>Total!H2578</f>
        <v>Redacció del projecte executiu i l'estudi de seguretat i salut i la posterior direcció facultativa de les obres RAM 2021 als Serveis Territorials a Barcelona-comarques (V): Institut Torras i Bages (l'Hospitalet de Llobregat) i Institut Bellvitge.</v>
      </c>
      <c r="I24" s="157">
        <f>Total!I2578</f>
        <v>41838.85</v>
      </c>
    </row>
    <row r="25" spans="1:9" x14ac:dyDescent="0.2">
      <c r="A25" s="8">
        <v>24</v>
      </c>
      <c r="B25" s="101">
        <f>Total!B2579</f>
        <v>44161</v>
      </c>
      <c r="C25" s="101">
        <f>Total!C2579</f>
        <v>44179</v>
      </c>
      <c r="D25" s="112" t="s">
        <v>1092</v>
      </c>
      <c r="E25" s="332" t="str">
        <f>Total!E2579</f>
        <v>Edificació</v>
      </c>
      <c r="F25" s="96" t="str">
        <f>Total!F2579</f>
        <v>Direccions Integrades</v>
      </c>
      <c r="G25" s="112" t="str">
        <f>Total!G2579</f>
        <v>PE+DF. XMC-21527</v>
      </c>
      <c r="H25" s="112" t="str">
        <f>Total!H2579</f>
        <v>Red. Proj. executiu i l'estudi S.S. i posterior dir. facultativa obres RAM 2021 als Serveis Territorials a Barcelona-comarques (II): Institut Santa Coloma (Santa Coloma de Gramenet),Institut Escola Rafael Albertí (Badalona) i Institut Escola Badalona.</v>
      </c>
      <c r="I25" s="157">
        <f>Total!I2579</f>
        <v>48595.040000000001</v>
      </c>
    </row>
    <row r="26" spans="1:9" x14ac:dyDescent="0.2">
      <c r="A26" s="8">
        <v>25</v>
      </c>
      <c r="B26" s="101">
        <f>Total!B2580</f>
        <v>44161</v>
      </c>
      <c r="C26" s="101">
        <f>Total!C2580</f>
        <v>44179</v>
      </c>
      <c r="D26" s="112" t="s">
        <v>1092</v>
      </c>
      <c r="E26" s="332" t="str">
        <f>Total!E2580</f>
        <v>Edificació</v>
      </c>
      <c r="F26" s="96" t="str">
        <f>Total!F2580</f>
        <v>Direccions Integrades</v>
      </c>
      <c r="G26" s="112" t="str">
        <f>Total!G2580</f>
        <v>PE+DF. XMC-21531</v>
      </c>
      <c r="H26" s="112" t="str">
        <f>Total!H2580</f>
        <v>Redacció del projecte executiu i l'estudi de seguretat i salut i la posterior direcció facultativa de les obres RAM 2021 als Serveis Territorials a Barcelona-comarques (VI): Escola Bernat Metge (l'Hospitalet de Llobregat) i Escola Milagros Cosarnau. (l'H)</v>
      </c>
      <c r="I26" s="157">
        <f>Total!I2580</f>
        <v>37148.76</v>
      </c>
    </row>
    <row r="27" spans="1:9" x14ac:dyDescent="0.2">
      <c r="A27" s="8">
        <v>26</v>
      </c>
      <c r="B27" s="101">
        <f>Total!B2581</f>
        <v>44161</v>
      </c>
      <c r="C27" s="101">
        <f>Total!C2581</f>
        <v>44179</v>
      </c>
      <c r="D27" s="112" t="s">
        <v>1092</v>
      </c>
      <c r="E27" s="332" t="str">
        <f>Total!E2581</f>
        <v>Edificació</v>
      </c>
      <c r="F27" s="96" t="str">
        <f>Total!F2581</f>
        <v>Direccions Integrades</v>
      </c>
      <c r="G27" s="112" t="str">
        <f>Total!G2581</f>
        <v>PE+DF. XMV-21514</v>
      </c>
      <c r="H27" s="112" t="str">
        <f>Total!H2581</f>
        <v>Assistència tècnica per a la redacció del projecte executiu i l'estudi de seguretat i salut i la posterior direcció facultativa de les obres RAM 2021 als Serveis Territorials al Vallès Occidental (V): Institut Escola Joan Sallarès (Sallent).</v>
      </c>
      <c r="I27" s="157">
        <f>Total!I2581</f>
        <v>48099.17</v>
      </c>
    </row>
    <row r="28" spans="1:9" x14ac:dyDescent="0.2">
      <c r="A28" s="8">
        <v>27</v>
      </c>
      <c r="B28" s="101">
        <f>Total!B2582</f>
        <v>44161</v>
      </c>
      <c r="C28" s="101">
        <f>Total!C2582</f>
        <v>44179</v>
      </c>
      <c r="D28" s="112" t="s">
        <v>1092</v>
      </c>
      <c r="E28" s="332" t="str">
        <f>Total!E2582</f>
        <v>Edificació</v>
      </c>
      <c r="F28" s="96" t="str">
        <f>Total!F2582</f>
        <v>Direccions Integrades</v>
      </c>
      <c r="G28" s="112" t="str">
        <f>Total!G2582</f>
        <v>PE+DF. XMV-21516</v>
      </c>
      <c r="H28" s="112" t="str">
        <f>Total!H2582</f>
        <v>Red. Proj. executiu i l'estudi S.S. i la posterior direcció facultativa de les obres RAM 2021 als Serveis Territorials al Vallès Occidental (VII): CFT EE Flor de Maig (Cerdanyola del Vallès) i Serveis Educatius - CRP V-B44 (Cerdanyola del Vallès).</v>
      </c>
      <c r="I28" s="157">
        <f>Total!I2582</f>
        <v>31157.02</v>
      </c>
    </row>
    <row r="29" spans="1:9" x14ac:dyDescent="0.2">
      <c r="A29" s="8">
        <v>28</v>
      </c>
      <c r="B29" s="101">
        <f>Total!B2583</f>
        <v>44161</v>
      </c>
      <c r="C29" s="101">
        <f>Total!C2583</f>
        <v>44179</v>
      </c>
      <c r="D29" s="112" t="s">
        <v>1092</v>
      </c>
      <c r="E29" s="332" t="str">
        <f>Total!E2583</f>
        <v>Edificació</v>
      </c>
      <c r="F29" s="96" t="str">
        <f>Total!F2583</f>
        <v>Direccions Integrades</v>
      </c>
      <c r="G29" s="112" t="str">
        <f>Total!G2583</f>
        <v>PE+DF. XMH-21505</v>
      </c>
      <c r="H29" s="112" t="str">
        <f>Total!H2583</f>
        <v>Red. Proj. executiu i l'estudi S.S. i la posterior direcció facultativa de les obres RAM 2021 als Serveis Territorials a la Catalunya Central (V): Escola Sant Vicenç (Sant Vicenç de Castellet) i Institut Pius Font i Quer (Manresa).</v>
      </c>
      <c r="I29" s="157">
        <f>Total!I2583</f>
        <v>50082.64</v>
      </c>
    </row>
    <row r="30" spans="1:9" x14ac:dyDescent="0.2">
      <c r="A30" s="8">
        <v>29</v>
      </c>
      <c r="B30" s="101">
        <f>Total!B2584</f>
        <v>44161</v>
      </c>
      <c r="C30" s="101">
        <f>Total!C2584</f>
        <v>44179</v>
      </c>
      <c r="D30" s="112" t="s">
        <v>1092</v>
      </c>
      <c r="E30" s="332" t="str">
        <f>Total!E2584</f>
        <v>Edificació</v>
      </c>
      <c r="F30" s="96" t="str">
        <f>Total!F2584</f>
        <v>Direccions Integrades</v>
      </c>
      <c r="G30" s="112" t="str">
        <f>Total!G2584</f>
        <v>PE+DF. XMV-21511</v>
      </c>
      <c r="H30" s="112" t="str">
        <f>Total!H2584</f>
        <v>Redacció del projecte executiu i l'estudi de seguretat i salut i la posterior direcció facultativa de les obres RAM 2021 als Serveis Territorials al Vallès Occidental (II): Institut Escola Sant Esteve (Castellar del Vallès).</v>
      </c>
      <c r="I30" s="157">
        <f>Total!I2584</f>
        <v>42396.69</v>
      </c>
    </row>
    <row r="31" spans="1:9" x14ac:dyDescent="0.2">
      <c r="A31" s="8">
        <v>30</v>
      </c>
      <c r="B31" s="101">
        <f>Total!B2585</f>
        <v>44161</v>
      </c>
      <c r="C31" s="101">
        <f>Total!C2585</f>
        <v>44179</v>
      </c>
      <c r="D31" s="112" t="s">
        <v>1092</v>
      </c>
      <c r="E31" s="332" t="str">
        <f>Total!E2585</f>
        <v>Edificació</v>
      </c>
      <c r="F31" s="96" t="str">
        <f>Total!F2585</f>
        <v>Direccions Integrades</v>
      </c>
      <c r="G31" s="112" t="str">
        <f>Total!G2585</f>
        <v>PE+DF. XMM-21533</v>
      </c>
      <c r="H31" s="112" t="str">
        <f>Total!H2585</f>
        <v>Redacció del projecte executiu i l'estudi de seguretat i salut i la posterior direcció facultativa de les obres RAM 2021 als Serveis Territorials al Maresme-Vallès Oriental (II): Institut Bisbe Sivilla (Calella).</v>
      </c>
      <c r="I31" s="157">
        <f>Total!I2585</f>
        <v>34752.06</v>
      </c>
    </row>
    <row r="32" spans="1:9" x14ac:dyDescent="0.2">
      <c r="A32" s="8">
        <v>31</v>
      </c>
      <c r="B32" s="101">
        <f>Total!B2586</f>
        <v>44161</v>
      </c>
      <c r="C32" s="101">
        <f>Total!C2586</f>
        <v>44179</v>
      </c>
      <c r="D32" s="112" t="s">
        <v>1092</v>
      </c>
      <c r="E32" s="332" t="str">
        <f>Total!E2586</f>
        <v>Obra Civil</v>
      </c>
      <c r="F32" s="96" t="str">
        <f>Total!F2586</f>
        <v>Projectes</v>
      </c>
      <c r="G32" s="112" t="str">
        <f>Total!G2586</f>
        <v>IA. IA-VB-10035-A1</v>
      </c>
      <c r="H32" s="112" t="str">
        <f>Total!H2586</f>
        <v>Contracte de serveis per a l'assistència tècnica per a la redacció de l'estudi d'impacte ambiental. Variant a la B-231, del PK 0+600 al 3+400. Esparreguera.</v>
      </c>
      <c r="I32" s="157">
        <f>Total!I2586</f>
        <v>30000</v>
      </c>
    </row>
    <row r="33" spans="1:9" x14ac:dyDescent="0.2">
      <c r="A33" s="8">
        <v>32</v>
      </c>
      <c r="B33" s="101">
        <f>Total!B2587</f>
        <v>44161</v>
      </c>
      <c r="C33" s="101">
        <f>Total!C2587</f>
        <v>44179</v>
      </c>
      <c r="D33" s="112" t="s">
        <v>1092</v>
      </c>
      <c r="E33" s="332" t="str">
        <f>Total!E2587</f>
        <v>Edificació</v>
      </c>
      <c r="F33" s="96" t="str">
        <f>Total!F2587</f>
        <v>Direccions Integrades</v>
      </c>
      <c r="G33" s="112" t="str">
        <f>Total!G2587</f>
        <v>PE+DF. XML-21509</v>
      </c>
      <c r="H33" s="112" t="str">
        <f>Total!H2587</f>
        <v>Red. Proj. executiu i l'estudi S.S. i la posterior dir. facultativa obres RAM 2021 als Serveis Territorials a Lleida (I): Institut Almatà (Balaguer), Institut Ronda (Lleida), Institut Mollerussa IV (Mollerussa) i Institut d'Hoteleria i Turisme (Lleida).</v>
      </c>
      <c r="I33" s="157">
        <f>Total!I2587</f>
        <v>43512.4</v>
      </c>
    </row>
    <row r="34" spans="1:9" x14ac:dyDescent="0.2">
      <c r="A34" s="8">
        <v>33</v>
      </c>
      <c r="B34" s="101">
        <f>Total!B2588</f>
        <v>44161</v>
      </c>
      <c r="C34" s="101">
        <f>Total!C2588</f>
        <v>44179</v>
      </c>
      <c r="D34" s="112" t="s">
        <v>1092</v>
      </c>
      <c r="E34" s="332" t="str">
        <f>Total!E2588</f>
        <v>Edificació</v>
      </c>
      <c r="F34" s="96" t="str">
        <f>Total!F2588</f>
        <v>Direccions Integrades</v>
      </c>
      <c r="G34" s="112" t="str">
        <f>Total!G2588</f>
        <v>PE+DF. XMG-21508</v>
      </c>
      <c r="H34" s="112" t="str">
        <f>Total!H2588</f>
        <v>Red. Proj. executiu i l'estudi S.S. i la posterior dir. facultativa RAM 2021 als Serveis Territorials a Girona (II): Escola Puig d'Arques (Cassà de la Selva), Institut Ridaura (Castell-Platja d'Aro), Institut de Montilivi (Girona) i Escola Agustí Guifré.</v>
      </c>
      <c r="I34" s="157">
        <f>Total!I2588</f>
        <v>55537.19</v>
      </c>
    </row>
    <row r="35" spans="1:9" x14ac:dyDescent="0.2">
      <c r="A35" s="8">
        <v>34</v>
      </c>
      <c r="B35" s="101">
        <f>Total!B2589</f>
        <v>44161</v>
      </c>
      <c r="C35" s="101">
        <f>Total!C2589</f>
        <v>44179</v>
      </c>
      <c r="D35" s="112" t="s">
        <v>1092</v>
      </c>
      <c r="E35" s="332" t="str">
        <f>Total!E2589</f>
        <v>Edificació</v>
      </c>
      <c r="F35" s="96" t="str">
        <f>Total!F2589</f>
        <v>Direccions Integrades</v>
      </c>
      <c r="G35" s="112" t="str">
        <f>Total!G2589</f>
        <v>PE+DF. XMH-21501</v>
      </c>
      <c r="H35" s="112" t="str">
        <f>Total!H2589</f>
        <v>Redacció del projecte executiu i l'estudi de seguretat i salut i la posterior direcció facultativa de les obres RAM 2021 als Serveis Territorials a la Catalunya Central (I): Institut Escola Barnola (Avinyó) i Escola Els Pins (Sallent).</v>
      </c>
      <c r="I35" s="157">
        <f>Total!I2589</f>
        <v>41942.15</v>
      </c>
    </row>
    <row r="36" spans="1:9" x14ac:dyDescent="0.2">
      <c r="A36" s="8">
        <v>35</v>
      </c>
      <c r="B36" s="101">
        <f>Total!B2590</f>
        <v>44161</v>
      </c>
      <c r="C36" s="101">
        <f>Total!C2590</f>
        <v>44179</v>
      </c>
      <c r="D36" s="112" t="s">
        <v>1092</v>
      </c>
      <c r="E36" s="332" t="str">
        <f>Total!E2590</f>
        <v>Edificació</v>
      </c>
      <c r="F36" s="96" t="str">
        <f>Total!F2590</f>
        <v>Direccions Integrades</v>
      </c>
      <c r="G36" s="112" t="str">
        <f>Total!G2590</f>
        <v>PE+DF. XME-21535</v>
      </c>
      <c r="H36" s="112" t="str">
        <f>Total!H2590</f>
        <v>Red. Proj. executiu i l'estudi S.S. i la posterior dir. facultativa de les obres RAM 2021 als Serveis Territorials a les Terres de l'Ebre (I): Institut Julio Antonio (Móra d'Ebre) i Institut Escola Daniel Mangrané i Escardó (EMD Jesus Tortosa).</v>
      </c>
      <c r="I36" s="157">
        <f>Total!I2590</f>
        <v>41280.99</v>
      </c>
    </row>
    <row r="37" spans="1:9" x14ac:dyDescent="0.2">
      <c r="A37" s="8">
        <v>36</v>
      </c>
      <c r="B37" s="101">
        <f>Total!B2591</f>
        <v>44161</v>
      </c>
      <c r="C37" s="101">
        <f>Total!C2591</f>
        <v>44179</v>
      </c>
      <c r="D37" s="112" t="s">
        <v>1092</v>
      </c>
      <c r="E37" s="332" t="str">
        <f>Total!E2591</f>
        <v>Edificació</v>
      </c>
      <c r="F37" s="96" t="str">
        <f>Total!F2591</f>
        <v>Direccions Integrades</v>
      </c>
      <c r="G37" s="112" t="str">
        <f>Total!G2591</f>
        <v>PE+DF. XMA-21525</v>
      </c>
      <c r="H37" s="112" t="str">
        <f>Total!H2591</f>
        <v>Red. Proj. executiu i l'estudi de seguretat i salut i la posterior direcció facultativa de les obres RAM 2021 als Serveis Territorials al Baix Llobregat (VI): Institut Martí i Dot (Sant Feliu de Llobregat) i Escola Sant Jordi (Sant Vicenç dels Horts).</v>
      </c>
      <c r="I37" s="157">
        <f>Total!I2591</f>
        <v>43140.5</v>
      </c>
    </row>
    <row r="38" spans="1:9" x14ac:dyDescent="0.2">
      <c r="A38" s="8">
        <v>37</v>
      </c>
      <c r="B38" s="101">
        <f>Total!B2592</f>
        <v>44161</v>
      </c>
      <c r="C38" s="101">
        <f>Total!C2592</f>
        <v>44179</v>
      </c>
      <c r="D38" s="112" t="s">
        <v>1092</v>
      </c>
      <c r="E38" s="332" t="str">
        <f>Total!E2592</f>
        <v>Edificació</v>
      </c>
      <c r="F38" s="96" t="str">
        <f>Total!F2592</f>
        <v>Direccions Integrades</v>
      </c>
      <c r="G38" s="112" t="str">
        <f>Total!G2592</f>
        <v>PE+DF. XMC-21528</v>
      </c>
      <c r="H38" s="112" t="str">
        <f>Total!H2592</f>
        <v>Redacció del projecte executiu i l'estudi de seguretat i salut i la posterior direcció facultativa de les obres RAM 2021 als Serveis Territorials a Barcelona-comarques (III): Institut Vilafranca 2 (Vilafranca del Penedès).</v>
      </c>
      <c r="I38" s="157">
        <f>Total!I2592</f>
        <v>16776.86</v>
      </c>
    </row>
    <row r="39" spans="1:9" x14ac:dyDescent="0.2">
      <c r="A39" s="8">
        <v>38</v>
      </c>
      <c r="B39" s="101">
        <f>Total!B2593</f>
        <v>44161</v>
      </c>
      <c r="C39" s="101">
        <f>Total!C2593</f>
        <v>44179</v>
      </c>
      <c r="D39" s="112" t="s">
        <v>1092</v>
      </c>
      <c r="E39" s="332" t="str">
        <f>Total!E2593</f>
        <v>Edificació</v>
      </c>
      <c r="F39" s="96" t="str">
        <f>Total!F2593</f>
        <v>Direccions Integrades</v>
      </c>
      <c r="G39" s="112" t="str">
        <f>Total!G2593</f>
        <v>PE+DF. XME-21536</v>
      </c>
      <c r="H39" s="112" t="str">
        <f>Total!H2593</f>
        <v>Redacció del projecte executiu i l'estudi de seguretat i salut i la posterior direcció facultativa de les obres RAM 2021 als Serveis Territorials a les Terres de l'Ebre (II): Escola Sant Salvador (Godall).</v>
      </c>
      <c r="I39" s="157">
        <f>Total!I2593</f>
        <v>45185.95</v>
      </c>
    </row>
    <row r="40" spans="1:9" x14ac:dyDescent="0.2">
      <c r="A40" s="8">
        <v>39</v>
      </c>
      <c r="B40" s="101">
        <f>Total!B2594</f>
        <v>44161</v>
      </c>
      <c r="C40" s="101">
        <f>Total!C2594</f>
        <v>44179</v>
      </c>
      <c r="D40" s="112" t="s">
        <v>1092</v>
      </c>
      <c r="E40" s="332" t="str">
        <f>Total!E2594</f>
        <v>Edificació</v>
      </c>
      <c r="F40" s="96" t="str">
        <f>Total!F2594</f>
        <v>Direccions Integrades</v>
      </c>
      <c r="G40" s="112" t="str">
        <f>Total!G2594</f>
        <v>PE+DF. XMA-21522</v>
      </c>
      <c r="H40" s="112" t="str">
        <f>Total!H2594</f>
        <v>Red. Proj. executiu i l'estudi S.S. i la posterior direcció facultativa de les obres RAM 2021 als Serveis Territorials al Baix Llobregat (III): Institut Mediterrània (Castelldefels), Institut Josep Lluís Sert (Castelldefels) i Institut Bruguers (Gavà).</v>
      </c>
      <c r="I40" s="157">
        <f>Total!I2594</f>
        <v>49090.91</v>
      </c>
    </row>
    <row r="41" spans="1:9" x14ac:dyDescent="0.2">
      <c r="A41" s="8">
        <v>40</v>
      </c>
      <c r="B41" s="101">
        <f>Total!B2595</f>
        <v>44161</v>
      </c>
      <c r="C41" s="101">
        <f>Total!C2595</f>
        <v>44179</v>
      </c>
      <c r="D41" s="112" t="s">
        <v>1092</v>
      </c>
      <c r="E41" s="332" t="str">
        <f>Total!E2595</f>
        <v>Edificació</v>
      </c>
      <c r="F41" s="96" t="str">
        <f>Total!F2595</f>
        <v>Direccions Integrades</v>
      </c>
      <c r="G41" s="112" t="str">
        <f>Total!G2595</f>
        <v>PE+DF. XMV-21515</v>
      </c>
      <c r="H41" s="112" t="str">
        <f>Total!H2595</f>
        <v>Redacció del projecte executiu i l'estudi de seguretat i salut i la posterior direcció facultativa de les obres RAM 2021 als Serveis Territorials al Vallès Occidental (VI): Institut Escola Catalunya (Sant Cugat del Vallès).</v>
      </c>
      <c r="I41" s="157">
        <f>Total!I2595</f>
        <v>40743.800000000003</v>
      </c>
    </row>
    <row r="42" spans="1:9" x14ac:dyDescent="0.2">
      <c r="A42" s="8">
        <v>41</v>
      </c>
      <c r="B42" s="101">
        <f>Total!B2596</f>
        <v>44161</v>
      </c>
      <c r="C42" s="101">
        <f>Total!C2596</f>
        <v>44179</v>
      </c>
      <c r="D42" s="112" t="s">
        <v>1092</v>
      </c>
      <c r="E42" s="332" t="str">
        <f>Total!E2596</f>
        <v>Edificació</v>
      </c>
      <c r="F42" s="96" t="str">
        <f>Total!F2596</f>
        <v>Direccions Integrades</v>
      </c>
      <c r="G42" s="112" t="str">
        <f>Total!G2596</f>
        <v>PE+DF. XMV-21519</v>
      </c>
      <c r="H42" s="112" t="str">
        <f>Total!H2596</f>
        <v>Red. Proj. executiu i l'estudi S.S. i la posterior dir. facultativa obres RAM 2021 als Serveis Territorials al Vallès Occidental (X): Institut Badia del Vallès (Badia del Vallès), Institut Frederica Montseny (Badia del Vallès) i Escola Bellaterra.</v>
      </c>
      <c r="I42" s="157">
        <f>Total!I2596</f>
        <v>41342.980000000003</v>
      </c>
    </row>
    <row r="43" spans="1:9" x14ac:dyDescent="0.2">
      <c r="A43" s="8">
        <v>42</v>
      </c>
      <c r="B43" s="101">
        <f>Total!B2597</f>
        <v>44161</v>
      </c>
      <c r="C43" s="101">
        <f>Total!C2597</f>
        <v>44179</v>
      </c>
      <c r="D43" s="112" t="s">
        <v>1092</v>
      </c>
      <c r="E43" s="332" t="str">
        <f>Total!E2597</f>
        <v>Edificació</v>
      </c>
      <c r="F43" s="96" t="str">
        <f>Total!F2597</f>
        <v>Direccions Integrades</v>
      </c>
      <c r="G43" s="112" t="str">
        <f>Total!G2597</f>
        <v>PE+DF. XMV-21512</v>
      </c>
      <c r="H43" s="112" t="str">
        <f>Total!H2597</f>
        <v>Redacció del projecte executiu i l'estudi de seguretat i salut i la posterior direcció facultativa de les obres RAM 2021 als Serveis Territorials al Vallès Occidental (III): Institut Escola El Viver (Montcada i Reixac).</v>
      </c>
      <c r="I43" s="157">
        <f>Total!I2597</f>
        <v>59504.13</v>
      </c>
    </row>
    <row r="44" spans="1:9" x14ac:dyDescent="0.2">
      <c r="A44" s="8">
        <v>43</v>
      </c>
      <c r="B44" s="101">
        <f>Total!B2598</f>
        <v>44161</v>
      </c>
      <c r="C44" s="101">
        <f>Total!C2598</f>
        <v>44179</v>
      </c>
      <c r="D44" s="112" t="s">
        <v>1092</v>
      </c>
      <c r="E44" s="332" t="str">
        <f>Total!E2598</f>
        <v>Edificació</v>
      </c>
      <c r="F44" s="96" t="str">
        <f>Total!F2598</f>
        <v>Direccions Integrades</v>
      </c>
      <c r="G44" s="112" t="str">
        <f>Total!G2598</f>
        <v>PE+DF. XMH-21506</v>
      </c>
      <c r="H44" s="112" t="str">
        <f>Total!H2598</f>
        <v>Redacció del projecte executiu i l'estudi de seguretat i salut i la posterior direcció facultativa de les obres RAM 2021 als Serveis Territorials a la Catalunya Central (VI): Institut Alexandre de Riquer (Calaf) i CRP. Edifici Sant Carles (Igualada).</v>
      </c>
      <c r="I44" s="157">
        <f>Total!I2598</f>
        <v>35950.410000000003</v>
      </c>
    </row>
    <row r="45" spans="1:9" x14ac:dyDescent="0.2">
      <c r="A45" s="8">
        <v>44</v>
      </c>
      <c r="B45" s="101">
        <f>Total!B2599</f>
        <v>44161</v>
      </c>
      <c r="C45" s="101">
        <f>Total!C2599</f>
        <v>44179</v>
      </c>
      <c r="D45" s="112" t="s">
        <v>1092</v>
      </c>
      <c r="E45" s="332" t="str">
        <f>Total!E2599</f>
        <v>Edificació</v>
      </c>
      <c r="F45" s="96" t="str">
        <f>Total!F2599</f>
        <v>Direccions Integrades</v>
      </c>
      <c r="G45" s="112" t="str">
        <f>Total!G2599</f>
        <v>PE+DF. XMH-21504</v>
      </c>
      <c r="H45" s="112" t="str">
        <f>Total!H2599</f>
        <v>Redacció del projecte executiu i l'estudi de seguretat i salut i la posterior direcció facultativa de les obres RAM 2021 als Serveis Territorials a la Catalunya Central (IV): Institut Escola Castell d'Òdena (Òdena).</v>
      </c>
      <c r="I45" s="157">
        <f>Total!I2599</f>
        <v>59752.07</v>
      </c>
    </row>
    <row r="46" spans="1:9" x14ac:dyDescent="0.2">
      <c r="A46" s="8">
        <v>45</v>
      </c>
      <c r="B46" s="101">
        <f>Total!B2600</f>
        <v>44161</v>
      </c>
      <c r="C46" s="101">
        <f>Total!C2600</f>
        <v>44179</v>
      </c>
      <c r="D46" s="112" t="s">
        <v>1092</v>
      </c>
      <c r="E46" s="332" t="str">
        <f>Total!E2600</f>
        <v>Edificació</v>
      </c>
      <c r="F46" s="96" t="str">
        <f>Total!F2600</f>
        <v>Direccions Integrades</v>
      </c>
      <c r="G46" s="112" t="str">
        <f>Total!G2600</f>
        <v>PE+DF. XMA-21521</v>
      </c>
      <c r="H46" s="112" t="str">
        <f>Total!H2600</f>
        <v>Red. Proj. executiu i l'estudi S.S. i la posterior direcció facultativa de les obres RAM 2021 als Serveis Territorials al Baix Llobregat (II): Institut Camps Blancs (Sant Boi de Llobregat) i Institut Marianao (Sant Boi de Llobregat).</v>
      </c>
      <c r="I46" s="157">
        <f>Total!I2600</f>
        <v>53553.72</v>
      </c>
    </row>
    <row r="47" spans="1:9" x14ac:dyDescent="0.2">
      <c r="A47" s="8">
        <v>46</v>
      </c>
      <c r="B47" s="101">
        <f>Total!B2601</f>
        <v>44161</v>
      </c>
      <c r="C47" s="101">
        <f>Total!C2601</f>
        <v>44179</v>
      </c>
      <c r="D47" s="112" t="s">
        <v>1092</v>
      </c>
      <c r="E47" s="332" t="str">
        <f>Total!E2601</f>
        <v>Edificació</v>
      </c>
      <c r="F47" s="96" t="str">
        <f>Total!F2601</f>
        <v>Direccions Integrades</v>
      </c>
      <c r="G47" s="112" t="str">
        <f>Total!G2601</f>
        <v>PE+DF. XMG-21507</v>
      </c>
      <c r="H47" s="112" t="str">
        <f>Total!H2601</f>
        <v>Red. Proj. Exec. i estudi S.S. i posterior dir. facultativa obres RAM 2021 als Serveis Territorials a Girona (I): Institut Sant Quirze (Lloret de Mar), Institut de Cassà de Selva (Cassà de la Selva) i Institut de Sarrià de Ter.</v>
      </c>
      <c r="I47" s="157">
        <f>Total!I2601</f>
        <v>36549.589999999997</v>
      </c>
    </row>
    <row r="48" spans="1:9" x14ac:dyDescent="0.2">
      <c r="A48" s="8">
        <v>47</v>
      </c>
      <c r="B48" s="101">
        <f>Total!B2602</f>
        <v>44161</v>
      </c>
      <c r="C48" s="101">
        <f>Total!C2602</f>
        <v>44179</v>
      </c>
      <c r="D48" s="112" t="s">
        <v>1092</v>
      </c>
      <c r="E48" s="332" t="str">
        <f>Total!E2602</f>
        <v>Edificació</v>
      </c>
      <c r="F48" s="96" t="str">
        <f>Total!F2602</f>
        <v>Direccions Integrades</v>
      </c>
      <c r="G48" s="112" t="str">
        <f>Total!G2602</f>
        <v>PE+DF. XMC-21526</v>
      </c>
      <c r="H48" s="112" t="str">
        <f>Total!H2602</f>
        <v>Redacció del projecte executiu i l'estudi de seguretat i salut i la posterior direcció facultativa de les obres RAM 2021 als Serveis Territorials a Barcelona-comarques (I): Institut Escola Pere Lliscart (l'Hospitalet de Llobregat).</v>
      </c>
      <c r="I48" s="157">
        <f>Total!I2602</f>
        <v>59801.65</v>
      </c>
    </row>
    <row r="49" spans="1:9" x14ac:dyDescent="0.2">
      <c r="A49" s="8">
        <v>48</v>
      </c>
      <c r="B49" s="101">
        <f>Total!B2603</f>
        <v>44161</v>
      </c>
      <c r="C49" s="101">
        <f>Total!C2603</f>
        <v>44179</v>
      </c>
      <c r="D49" s="112" t="s">
        <v>1092</v>
      </c>
      <c r="E49" s="332" t="str">
        <f>Total!E2603</f>
        <v>Edificació</v>
      </c>
      <c r="F49" s="96" t="str">
        <f>Total!F2603</f>
        <v>Direccions Integrades</v>
      </c>
      <c r="G49" s="112" t="str">
        <f>Total!G2603</f>
        <v>PE+DF. XMA-21523</v>
      </c>
      <c r="H49" s="112" t="str">
        <f>Total!H2603</f>
        <v>Red. Proj. executiu i l'estudi S.S. i la posterior direcció facultativa de les obres RAM 2021 als Serveis Territorials al Baix Llobregat (IV): Institut Esteve Terrades (Cornellà de Llobregat) i Institut Francesc Macià (Cornellà de Llobregat).</v>
      </c>
      <c r="I49" s="157">
        <f>Total!I2603</f>
        <v>44628.1</v>
      </c>
    </row>
    <row r="50" spans="1:9" x14ac:dyDescent="0.2">
      <c r="A50" s="8">
        <v>49</v>
      </c>
      <c r="B50" s="101">
        <f>Total!B2604</f>
        <v>44161</v>
      </c>
      <c r="C50" s="101">
        <f>Total!C2604</f>
        <v>44179</v>
      </c>
      <c r="D50" s="112" t="s">
        <v>1092</v>
      </c>
      <c r="E50" s="332" t="str">
        <f>Total!E2604</f>
        <v>Edificació</v>
      </c>
      <c r="F50" s="96" t="str">
        <f>Total!F2604</f>
        <v>Direccions Integrades</v>
      </c>
      <c r="G50" s="112" t="str">
        <f>Total!G2604</f>
        <v>PE+DF. XMV-21518</v>
      </c>
      <c r="H50" s="112" t="str">
        <f>Total!H2604</f>
        <v>Red. Proj. Exec. i l'estudi S.S. i la posterior dir. Facult.  obres RAM 2021 als Serveis Territorials al Vallès Occidental (IX): Institut Escola Sala i Badrinas (Terrassa), Inst. Jaume Cabré (Terrassa), Inst. Ca n'Oriac (Sabadell) i Inst. Cavall Bernat.</v>
      </c>
      <c r="I50" s="157">
        <f>Total!I2604</f>
        <v>48533.06</v>
      </c>
    </row>
    <row r="51" spans="1:9" x14ac:dyDescent="0.2">
      <c r="A51" s="8">
        <v>50</v>
      </c>
      <c r="B51" s="101">
        <f>Total!B2605</f>
        <v>44161</v>
      </c>
      <c r="C51" s="101">
        <f>Total!C2605</f>
        <v>44179</v>
      </c>
      <c r="D51" s="112" t="s">
        <v>1092</v>
      </c>
      <c r="E51" s="332" t="str">
        <f>Total!E2605</f>
        <v>Edificació</v>
      </c>
      <c r="F51" s="96" t="str">
        <f>Total!F2605</f>
        <v>Direccions Integrades</v>
      </c>
      <c r="G51" s="112" t="str">
        <f>Total!G2605</f>
        <v>PE+DF. XMA-21524</v>
      </c>
      <c r="H51" s="112" t="str">
        <f>Total!H2605</f>
        <v>Red. Proj. Exec. i estudi S.S. i la posterior dir. facultativa de les obres RAM 2021 als Serveis Territorials al Baix Llobregat (V): Institut Escola El Prat de Llobregat (El Prat de Llobregat) i Escola Montbaig (Sant Boi de Llobregat).</v>
      </c>
      <c r="I51" s="157">
        <f>Total!I2605</f>
        <v>42954.55</v>
      </c>
    </row>
    <row r="52" spans="1:9" x14ac:dyDescent="0.2">
      <c r="A52" s="8">
        <v>51</v>
      </c>
      <c r="B52" s="101">
        <f>Total!B2606</f>
        <v>44161</v>
      </c>
      <c r="C52" s="101">
        <f>Total!C2606</f>
        <v>44179</v>
      </c>
      <c r="D52" s="112" t="s">
        <v>1092</v>
      </c>
      <c r="E52" s="332" t="str">
        <f>Total!E2606</f>
        <v>Edificació</v>
      </c>
      <c r="F52" s="96" t="str">
        <f>Total!F2606</f>
        <v>Direccions Integrades</v>
      </c>
      <c r="G52" s="112" t="str">
        <f>Total!G2606</f>
        <v>PE+DF. XMV-21517</v>
      </c>
      <c r="H52" s="112" t="str">
        <f>Total!H2606</f>
        <v>Redacció del projecte executiu i l'estudi de seguretat i salut i la posterior direcció facultativa de les obres RAM 2021 als Serveis Territorials al Vallès Occidental (VIII): Institut Escola Pere Viver (Terrassa).</v>
      </c>
      <c r="I52" s="157">
        <f>Total!I2606</f>
        <v>59702.48</v>
      </c>
    </row>
    <row r="53" spans="1:9" x14ac:dyDescent="0.2">
      <c r="A53" s="8">
        <v>52</v>
      </c>
      <c r="B53" s="101">
        <f>Total!B2607</f>
        <v>44161</v>
      </c>
      <c r="C53" s="101">
        <f>Total!C2607</f>
        <v>44179</v>
      </c>
      <c r="D53" s="112" t="s">
        <v>1092</v>
      </c>
      <c r="E53" s="332" t="str">
        <f>Total!E2607</f>
        <v>Edificació</v>
      </c>
      <c r="F53" s="96" t="str">
        <f>Total!F2607</f>
        <v>Direccions Integrades</v>
      </c>
      <c r="G53" s="112" t="str">
        <f>Total!G2607</f>
        <v>PE+DF. XMM-21532</v>
      </c>
      <c r="H53" s="112" t="str">
        <f>Total!H2607</f>
        <v>Redacció del projecte executiu i l'estudi de seguretat i salut i la posterior direcció facultativa de les obres RAM 2021 als Serveis Territorials al Maresme-Vallès Oriental (I): Institut les Cinc Sènies (Mataró) i Institut Alexandre Satorras (Mataró).</v>
      </c>
      <c r="I53" s="157">
        <f>Total!I2607</f>
        <v>50206.61</v>
      </c>
    </row>
    <row r="54" spans="1:9" x14ac:dyDescent="0.2">
      <c r="A54" s="8">
        <v>53</v>
      </c>
      <c r="B54" s="101">
        <f>Total!B2608</f>
        <v>44161</v>
      </c>
      <c r="C54" s="101">
        <f>Total!C2608</f>
        <v>44179</v>
      </c>
      <c r="D54" s="112" t="s">
        <v>1092</v>
      </c>
      <c r="E54" s="332" t="str">
        <f>Total!E2608</f>
        <v>Edificació</v>
      </c>
      <c r="F54" s="96" t="str">
        <f>Total!F2608</f>
        <v>Direccions Integrades</v>
      </c>
      <c r="G54" s="112" t="str">
        <f>Total!G2608</f>
        <v>PE+DF. XMH-21503</v>
      </c>
      <c r="H54" s="112" t="str">
        <f>Total!H2608</f>
        <v>Red. Proj. Exec. i estudi S.S. i la posterior dir. Facult. obres RAM 2021 als Serveis Territorials a la Catalunya Central (III): Institut Pous i Argila (Manlleu), Institut Les Margues (Calldetenes), EASD Vic (Vic) i Escola Guillem de Mont-rodon (Vic).</v>
      </c>
      <c r="I54" s="157">
        <f>Total!I2608</f>
        <v>49586.78</v>
      </c>
    </row>
    <row r="55" spans="1:9" x14ac:dyDescent="0.2">
      <c r="A55" s="8">
        <v>54</v>
      </c>
      <c r="B55" s="101">
        <f>Total!B2609</f>
        <v>44161</v>
      </c>
      <c r="C55" s="101">
        <f>Total!C2609</f>
        <v>44179</v>
      </c>
      <c r="D55" s="112" t="s">
        <v>1092</v>
      </c>
      <c r="E55" s="332" t="str">
        <f>Total!E2609</f>
        <v>Edificació</v>
      </c>
      <c r="F55" s="96" t="str">
        <f>Total!F2609</f>
        <v>Direccions Integrades</v>
      </c>
      <c r="G55" s="112" t="str">
        <f>Total!G2609</f>
        <v>PE+DF. XMT-21534</v>
      </c>
      <c r="H55" s="112" t="str">
        <f>Total!H2609</f>
        <v>Redacció del projecte executiu i l'estudi de seguretat i salut i la posterior direcció facultativa de les obres RAM 2021 als Serveis Territorials a Tarragona (I): Institut El Morell (El Morell), Escola Montsant (Reus) i Escola Mestral (Vandellòs).</v>
      </c>
      <c r="I55" s="157">
        <f>Total!I2609</f>
        <v>40723.14</v>
      </c>
    </row>
    <row r="56" spans="1:9" x14ac:dyDescent="0.2">
      <c r="A56" s="8">
        <v>55</v>
      </c>
      <c r="B56" s="101">
        <f>Total!B2610</f>
        <v>44161</v>
      </c>
      <c r="C56" s="101">
        <f>Total!C2610</f>
        <v>44179</v>
      </c>
      <c r="D56" s="112" t="s">
        <v>1092</v>
      </c>
      <c r="E56" s="332" t="str">
        <f>Total!E2610</f>
        <v>Obra Civil</v>
      </c>
      <c r="F56" s="96" t="str">
        <f>Total!F2610</f>
        <v>Projectes</v>
      </c>
      <c r="G56" s="112" t="str">
        <f>Total!G2610</f>
        <v>PC. R0-20275</v>
      </c>
      <c r="H56" s="112" t="str">
        <f>Total!H2610</f>
        <v>Contracte de serveis per a l'assistència tècnica per a la redacció del Projecte Constructiu d'adequació exterior de les sortides d'emergència de l'estació de la Ribera i d'altres pous del tram I de la Línia 9 de Metro de Barcelona.</v>
      </c>
      <c r="I56" s="157">
        <f>Total!I2610</f>
        <v>14000</v>
      </c>
    </row>
    <row r="57" spans="1:9" x14ac:dyDescent="0.2">
      <c r="A57" s="8">
        <v>56</v>
      </c>
      <c r="B57" s="101">
        <f>Total!B2611</f>
        <v>44161</v>
      </c>
      <c r="C57" s="101">
        <f>Total!C2611</f>
        <v>44179</v>
      </c>
      <c r="D57" s="112" t="s">
        <v>1092</v>
      </c>
      <c r="E57" s="332" t="str">
        <f>Total!E2611</f>
        <v>Edificació</v>
      </c>
      <c r="F57" s="96" t="str">
        <f>Total!F2611</f>
        <v>Direccions Integrades</v>
      </c>
      <c r="G57" s="112" t="str">
        <f>Total!G2611</f>
        <v>PE+DF. XMA-21520</v>
      </c>
      <c r="H57" s="112" t="str">
        <f>Total!H2611</f>
        <v>Red.  Proj. executiu i l'estudi S.S. i la posterior direcció facultativa de les obres RAM 2021 als Serveis Territorials al Baix Llobregat (I): Escola Plató Sarti (Abrera), Escola Àngela Roca (Viladecans) i Institut Martí i Pol (Cornellà de Llobregat).</v>
      </c>
      <c r="I57" s="157">
        <f>Total!I2611</f>
        <v>42541.32</v>
      </c>
    </row>
    <row r="58" spans="1:9" x14ac:dyDescent="0.2">
      <c r="A58" s="8">
        <v>57</v>
      </c>
      <c r="B58" s="101">
        <f>Total!B2612</f>
        <v>44162</v>
      </c>
      <c r="C58" s="101">
        <f>Total!C2612</f>
        <v>44189</v>
      </c>
      <c r="D58" s="112" t="s">
        <v>1092</v>
      </c>
      <c r="E58" s="332" t="str">
        <f>Total!E2612</f>
        <v>Edificació</v>
      </c>
      <c r="F58" s="96" t="str">
        <f>Total!F2612</f>
        <v>Direccions d'execució</v>
      </c>
      <c r="G58" s="112" t="str">
        <f>Total!G2612</f>
        <v>DE. HGG-16274.A + HGG-17202.A</v>
      </c>
      <c r="H58" s="112" t="str">
        <f>Total!H2612</f>
        <v>Direc. execució conjunta obres dels projectes actualitzats: "Ampliació bloc quirúrgic i de l'hospital de dia oncològic (ICO) de l'Hospital Doctor Josep Trueta, de Girona i instal. de l'ampliació del bloc quirúrgic i de l'hospital de dia oncològic (ICO)...</v>
      </c>
      <c r="I58" s="157">
        <f>Total!I2612</f>
        <v>601081.23</v>
      </c>
    </row>
    <row r="59" spans="1:9" x14ac:dyDescent="0.2">
      <c r="A59" s="8">
        <v>58</v>
      </c>
      <c r="B59" s="101">
        <f>Total!B2613</f>
        <v>44162</v>
      </c>
      <c r="C59" s="101">
        <f>Total!C2613</f>
        <v>44179</v>
      </c>
      <c r="D59" s="112" t="s">
        <v>1092</v>
      </c>
      <c r="E59" s="332" t="str">
        <f>Total!E2613</f>
        <v>Edificació</v>
      </c>
      <c r="F59" s="96" t="str">
        <f>Total!F2613</f>
        <v>Direccions d'Obra</v>
      </c>
      <c r="G59" s="112" t="str">
        <f>Total!G2613</f>
        <v>DO. BSV-14291.1</v>
      </c>
      <c r="H59" s="112" t="str">
        <f>Total!H2613</f>
        <v>Contracte de serveis per a l'assistència tècnica de Direcció d'Obra de les Obres d'urbanització de la residència i centre de dia per a gent gran La Mercè a Tarragona.</v>
      </c>
      <c r="I59" s="157">
        <f>Total!I2613</f>
        <v>14400</v>
      </c>
    </row>
    <row r="60" spans="1:9" x14ac:dyDescent="0.2">
      <c r="A60" s="8">
        <v>59</v>
      </c>
      <c r="B60" s="101">
        <f>Total!B2614</f>
        <v>44162</v>
      </c>
      <c r="C60" s="101">
        <f>Total!C2614</f>
        <v>44179</v>
      </c>
      <c r="D60" s="112" t="s">
        <v>1092</v>
      </c>
      <c r="E60" s="332" t="str">
        <f>Total!E2614</f>
        <v>Edificació</v>
      </c>
      <c r="F60" s="96" t="str">
        <f>Total!F2614</f>
        <v>Control de Qualitat</v>
      </c>
      <c r="G60" s="112" t="str">
        <f>Total!G2614</f>
        <v>CQ. HGG-16274.A + HGG-17202.A</v>
      </c>
      <c r="H60" s="112" t="str">
        <f>Total!H2614</f>
        <v>CQ  conjunta obres dels projectes actualitzats: "Ampliació del bloc quirúrgic i de l'hospital de dia oncològic (ICO) de l'Hospital Doctor Josep Trueta, de Girona i instal. de l'ampliació del bloc quirúrgic i de l'hospital de dia oncològic (ICO).</v>
      </c>
      <c r="I60" s="157">
        <f>Total!I2614</f>
        <v>141254.91</v>
      </c>
    </row>
    <row r="61" spans="1:9" x14ac:dyDescent="0.2">
      <c r="A61" s="8">
        <v>60</v>
      </c>
      <c r="B61" s="101">
        <f>Total!B2615</f>
        <v>44162</v>
      </c>
      <c r="C61" s="101">
        <f>Total!C2615</f>
        <v>44179</v>
      </c>
      <c r="D61" s="112" t="s">
        <v>1092</v>
      </c>
      <c r="E61" s="332" t="str">
        <f>Total!E2615</f>
        <v>Edificació</v>
      </c>
      <c r="F61" s="96" t="str">
        <f>Total!F2615</f>
        <v>Direccions d'execució</v>
      </c>
      <c r="G61" s="112" t="str">
        <f>Total!G2615</f>
        <v>CSS. HGG-16274.A + HGG-17202.A</v>
      </c>
      <c r="H61" s="112" t="str">
        <f>Total!H2615</f>
        <v>Coord. S.S. conjunta obres dels projectes actualitzats: "Ampliació del bloc quirúrgic i de l'hospital de dia oncològic (ICO) de l'Hospital Doctor Josep Trueta, de Girona i instal. de l'ampliació del bloc quirúrgic i de l'hospital de dia oncològic (ICO).</v>
      </c>
      <c r="I61" s="157">
        <f>Total!I2615</f>
        <v>180324.37</v>
      </c>
    </row>
    <row r="62" spans="1:9" x14ac:dyDescent="0.2">
      <c r="A62" s="8">
        <v>61</v>
      </c>
      <c r="B62" s="101">
        <f>Total!B2616</f>
        <v>44162</v>
      </c>
      <c r="C62" s="101">
        <f>Total!C2616</f>
        <v>44179</v>
      </c>
      <c r="D62" s="112" t="s">
        <v>1092</v>
      </c>
      <c r="E62" s="332" t="str">
        <f>Total!E2616</f>
        <v>Edificació</v>
      </c>
      <c r="F62" s="96" t="str">
        <f>Total!F2616</f>
        <v>Direccions Integrades</v>
      </c>
      <c r="G62" s="112" t="str">
        <f>Total!G2616</f>
        <v>PE+DF. XMV-21513</v>
      </c>
      <c r="H62" s="112" t="str">
        <f>Total!H2616</f>
        <v>Red. Proj. Exec. i l'estudi S.S. i la posterior dir. facultativa obres RAM 2021 als Serv. Territorials al Vallès Occid. (IV): Inst. Escola Mas Rampinyo (Montcada i Reixac), Inst. Escola Els Pinetons (Ripollet), Escola Enric Tatché i Pol i Escola Bernat M.</v>
      </c>
      <c r="I62" s="157">
        <f>Total!I2616</f>
        <v>47975.21</v>
      </c>
    </row>
    <row r="63" spans="1:9" x14ac:dyDescent="0.2">
      <c r="I63" s="126">
        <f>SUM(I2:I62)</f>
        <v>5004603.0299999993</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42"/>
  <sheetViews>
    <sheetView topLeftCell="A4" workbookViewId="0">
      <selection activeCell="I43" sqref="I43"/>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Total!B2516</f>
        <v>44105</v>
      </c>
      <c r="C2" s="101">
        <f>Total!C2516</f>
        <v>44123</v>
      </c>
      <c r="D2" s="112" t="s">
        <v>1092</v>
      </c>
      <c r="E2" s="332" t="str">
        <f>Total!E2516</f>
        <v>Edificació</v>
      </c>
      <c r="F2" s="96" t="str">
        <f>Total!F2516</f>
        <v>Control de Qualitat</v>
      </c>
      <c r="G2" s="112" t="str">
        <f>Total!G2516</f>
        <v>CQ. JNP-02722.3-F2.A</v>
      </c>
      <c r="H2" s="112" t="str">
        <f>Total!H2516</f>
        <v>Control de qualitat de les obres del projecte de reforç de ferm del nou accés al Centre Penitenciari de Quatre Camins, pk 0,834 al pk 1,665.</v>
      </c>
      <c r="I2" s="157">
        <f>Total!I2516</f>
        <v>3967.77</v>
      </c>
    </row>
    <row r="3" spans="1:9" x14ac:dyDescent="0.2">
      <c r="A3" s="8">
        <v>2</v>
      </c>
      <c r="B3" s="101">
        <f>Total!B2517</f>
        <v>44105</v>
      </c>
      <c r="C3" s="101">
        <f>Total!C2517</f>
        <v>44123</v>
      </c>
      <c r="D3" s="112" t="s">
        <v>1092</v>
      </c>
      <c r="E3" s="332" t="str">
        <f>Total!E2517</f>
        <v>Edificació</v>
      </c>
      <c r="F3" s="96" t="str">
        <f>Total!F2517</f>
        <v>Direccions d'execució</v>
      </c>
      <c r="G3" s="112" t="str">
        <f>Total!G2517</f>
        <v>CSS. JNP-02722.3-F2.A</v>
      </c>
      <c r="H3" s="112" t="str">
        <f>Total!H2517</f>
        <v>Coordinació de seguretat i salut de les obres del projecte de reforç de ferm del nou accés al Centre Penitenciari de Quatre Camins pk 0,834 al pk 1,665.</v>
      </c>
      <c r="I3" s="157">
        <f>Total!I2517</f>
        <v>2340</v>
      </c>
    </row>
    <row r="4" spans="1:9" x14ac:dyDescent="0.2">
      <c r="A4" s="8">
        <v>3</v>
      </c>
      <c r="B4" s="101">
        <f>Total!B2518</f>
        <v>44105</v>
      </c>
      <c r="C4" s="101">
        <f>Total!C2518</f>
        <v>44123</v>
      </c>
      <c r="D4" s="112" t="s">
        <v>1092</v>
      </c>
      <c r="E4" s="332" t="str">
        <f>Total!E2518</f>
        <v>Edificació</v>
      </c>
      <c r="F4" s="96" t="str">
        <f>Total!F2518</f>
        <v>Direccions d'Obra</v>
      </c>
      <c r="G4" s="112" t="str">
        <f>Total!G2518</f>
        <v>DO. JNP-02722.3-F2.A</v>
      </c>
      <c r="H4" s="112" t="str">
        <f>Total!H2518</f>
        <v>Direcció de les obres del projecte de reforç de ferm del nou accés al Centre Penitenciari de Quatre Camins Pk 0,834 al pk 1,665.</v>
      </c>
      <c r="I4" s="157">
        <f>Total!I2518</f>
        <v>13946.66</v>
      </c>
    </row>
    <row r="5" spans="1:9" x14ac:dyDescent="0.2">
      <c r="A5" s="8">
        <v>4</v>
      </c>
      <c r="B5" s="101">
        <f>Total!B2519</f>
        <v>44106</v>
      </c>
      <c r="C5" s="101">
        <f>Total!C2519</f>
        <v>44125</v>
      </c>
      <c r="D5" s="112" t="s">
        <v>1092</v>
      </c>
      <c r="E5" s="332" t="str">
        <f>Total!E2519</f>
        <v>Edificació</v>
      </c>
      <c r="F5" s="96" t="str">
        <f>Total!F2519</f>
        <v>Projectes i Direccions Facultatives</v>
      </c>
      <c r="G5" s="112" t="str">
        <f>Total!G2519</f>
        <v>PE+DF. CMB-20250</v>
      </c>
      <c r="H5" s="112" t="str">
        <f>Total!H2519</f>
        <v>Redacció del projecte bàsic i executiu i la posterior direcció facultativa de les obres de consolidació i rehabilitació del Poble Vell de Corbera d'Ebre.</v>
      </c>
      <c r="I5" s="157">
        <f>Total!I2519</f>
        <v>50575</v>
      </c>
    </row>
    <row r="6" spans="1:9" x14ac:dyDescent="0.2">
      <c r="A6" s="8">
        <v>5</v>
      </c>
      <c r="B6" s="101">
        <f>Total!B2520</f>
        <v>44109</v>
      </c>
      <c r="C6" s="101">
        <f>Total!C2520</f>
        <v>44126</v>
      </c>
      <c r="D6" s="112" t="s">
        <v>1092</v>
      </c>
      <c r="E6" s="332" t="str">
        <f>Total!E2520</f>
        <v>Edificació</v>
      </c>
      <c r="F6" s="96" t="str">
        <f>Total!F2520</f>
        <v>Projectes</v>
      </c>
      <c r="G6" s="112" t="str">
        <f>Total!G2520</f>
        <v>E1. HTT-16208</v>
      </c>
      <c r="H6" s="112" t="str">
        <f>Total!H2520</f>
        <v>Contracte de serveis per a l'assistència tècnica per a la redacció dels estudis previs d'intervenció arqueològica subsidiària de la transformació de l'Hospital Joan XXIII, de Tarragona.</v>
      </c>
      <c r="I6" s="157">
        <f>Total!I2520</f>
        <v>52980</v>
      </c>
    </row>
    <row r="7" spans="1:9" x14ac:dyDescent="0.2">
      <c r="A7" s="8">
        <v>6</v>
      </c>
      <c r="B7" s="101">
        <f>Total!B2521</f>
        <v>44110</v>
      </c>
      <c r="C7" s="101">
        <f>Total!C2521</f>
        <v>44130</v>
      </c>
      <c r="D7" s="112" t="s">
        <v>1092</v>
      </c>
      <c r="E7" s="332" t="str">
        <f>Total!E2521</f>
        <v>Edificació</v>
      </c>
      <c r="F7" s="96" t="str">
        <f>Total!F2521</f>
        <v>Control de Qualitat</v>
      </c>
      <c r="G7" s="112" t="str">
        <f>Total!G2521</f>
        <v>CQ. PNH-17282</v>
      </c>
      <c r="H7" s="112" t="str">
        <f>Total!H2521</f>
        <v>Contracte de serveis per a l'assistència tècnica de control de qualitat de les obres de nova construcció Escola Pla del Puig 1 línia (sense gimnàs) de Sant Fruitós de Bages.</v>
      </c>
      <c r="I7" s="157">
        <f>Total!I2521</f>
        <v>40051.67</v>
      </c>
    </row>
    <row r="8" spans="1:9" x14ac:dyDescent="0.2">
      <c r="A8" s="8">
        <v>7</v>
      </c>
      <c r="B8" s="101">
        <f>Total!B2522</f>
        <v>44110</v>
      </c>
      <c r="C8" s="101">
        <f>Total!C2522</f>
        <v>44130</v>
      </c>
      <c r="D8" s="112" t="s">
        <v>1092</v>
      </c>
      <c r="E8" s="332" t="str">
        <f>Total!E2522</f>
        <v>Edificació</v>
      </c>
      <c r="F8" s="96" t="str">
        <f>Total!F2522</f>
        <v>Control de Qualitat</v>
      </c>
      <c r="G8" s="112" t="str">
        <f>Total!G2522</f>
        <v>CQ. JJB-19258</v>
      </c>
      <c r="H8" s="112" t="str">
        <f>Total!H2522</f>
        <v>Contracte de serveis per al control de qualitat de les obres RAM de substitució dels ascensors de l'edifici judicial carrer Prim, a Badalona.</v>
      </c>
      <c r="I8" s="157">
        <f>Total!I2522</f>
        <v>3075</v>
      </c>
    </row>
    <row r="9" spans="1:9" x14ac:dyDescent="0.2">
      <c r="A9" s="8">
        <v>8</v>
      </c>
      <c r="B9" s="101">
        <f>Total!B2523</f>
        <v>44110</v>
      </c>
      <c r="C9" s="101">
        <f>Total!C2523</f>
        <v>44130</v>
      </c>
      <c r="D9" s="112" t="s">
        <v>1092</v>
      </c>
      <c r="E9" s="332" t="str">
        <f>Total!E2523</f>
        <v>Edificació</v>
      </c>
      <c r="F9" s="96" t="str">
        <f>Total!F2523</f>
        <v>Direccions d'execució</v>
      </c>
      <c r="G9" s="112" t="str">
        <f>Total!G2523</f>
        <v>CSS. PNH-17282</v>
      </c>
      <c r="H9" s="112" t="str">
        <f>Total!H2523</f>
        <v>A.T. de coordinació de seguretat i salut de les obres del projecte executiu de nova construcció escola 1 Línia (sense gimnàs) a l'Escola Pla del Puig de St. Fruitós de Bages. Lot 1. Nova const. escola 1 línia (edifici) i Lot 2. Urbanització entorn escola.</v>
      </c>
      <c r="I9" s="157">
        <f>Total!I2523</f>
        <v>23520</v>
      </c>
    </row>
    <row r="10" spans="1:9" x14ac:dyDescent="0.2">
      <c r="A10" s="8">
        <v>9</v>
      </c>
      <c r="B10" s="101">
        <f>Total!B2524</f>
        <v>44110</v>
      </c>
      <c r="C10" s="101">
        <f>Total!C2524</f>
        <v>44130</v>
      </c>
      <c r="D10" s="112" t="s">
        <v>1092</v>
      </c>
      <c r="E10" s="332" t="str">
        <f>Total!E2524</f>
        <v>Edificació</v>
      </c>
      <c r="F10" s="96" t="str">
        <f>Total!F2524</f>
        <v>Direccions d'execució</v>
      </c>
      <c r="G10" s="112" t="str">
        <f>Total!G2524</f>
        <v>DE. PNH-17282</v>
      </c>
      <c r="H10" s="112" t="str">
        <f>Total!H2524</f>
        <v>Contracte de serveis per a la direcció d'execució de les obres de nova construcció Escola Pla del Puig 1 línia(sense gimnàs) de Sant Fruitós de Bages.</v>
      </c>
      <c r="I10" s="157">
        <f>Total!I2524</f>
        <v>78792.5</v>
      </c>
    </row>
    <row r="11" spans="1:9" x14ac:dyDescent="0.2">
      <c r="A11" s="8">
        <v>10</v>
      </c>
      <c r="B11" s="101">
        <f>Total!B2525</f>
        <v>44123</v>
      </c>
      <c r="C11" s="101">
        <f>Total!C2525</f>
        <v>44139</v>
      </c>
      <c r="D11" s="112" t="s">
        <v>1092</v>
      </c>
      <c r="E11" s="332" t="str">
        <f>Total!E2525</f>
        <v>Edificació</v>
      </c>
      <c r="F11" s="96" t="str">
        <f>Total!F2525</f>
        <v>Direccions d'execució</v>
      </c>
      <c r="G11" s="112" t="str">
        <f>Total!G2525</f>
        <v>DE. PAG-16253</v>
      </c>
      <c r="H11" s="112" t="str">
        <f>Total!H2525</f>
        <v>Contracte de serveis per a l'assistència tècnica de direcció d'execució de les obres d'ampliació a l'Escola Gegant del Rec (2 línies) de Salt (Gironès).</v>
      </c>
      <c r="I11" s="157">
        <f>Total!I2525</f>
        <v>112357.2</v>
      </c>
    </row>
    <row r="12" spans="1:9" x14ac:dyDescent="0.2">
      <c r="A12" s="8">
        <v>11</v>
      </c>
      <c r="B12" s="101">
        <f>Total!B2526</f>
        <v>44123</v>
      </c>
      <c r="C12" s="101">
        <f>Total!C2526</f>
        <v>44139</v>
      </c>
      <c r="D12" s="112" t="s">
        <v>1092</v>
      </c>
      <c r="E12" s="332" t="str">
        <f>Total!E2526</f>
        <v>Edificació</v>
      </c>
      <c r="F12" s="96" t="str">
        <f>Total!F2526</f>
        <v>Direccions d'execució</v>
      </c>
      <c r="G12" s="112" t="str">
        <f>Total!G2526</f>
        <v>CSS. PAG-16253</v>
      </c>
      <c r="H12" s="112" t="str">
        <f>Total!H2526</f>
        <v>Contracte de serveis per a l'assistència tècnica de coordinació de seguretat i salut de les obres del projecte executiu d'ampliació a l'Escola Gegant del Rec (2 línies) de Salt (Gironès).</v>
      </c>
      <c r="I12" s="157">
        <f>Total!I2526</f>
        <v>33706.800000000003</v>
      </c>
    </row>
    <row r="13" spans="1:9" x14ac:dyDescent="0.2">
      <c r="A13" s="8">
        <v>12</v>
      </c>
      <c r="B13" s="101">
        <f>Total!B2527</f>
        <v>44123</v>
      </c>
      <c r="C13" s="101">
        <f>Total!C2527</f>
        <v>44139</v>
      </c>
      <c r="D13" s="112" t="s">
        <v>1092</v>
      </c>
      <c r="E13" s="332" t="str">
        <f>Total!E2527</f>
        <v>Edificació</v>
      </c>
      <c r="F13" s="96" t="str">
        <f>Total!F2527</f>
        <v>Control de Qualitat</v>
      </c>
      <c r="G13" s="112" t="str">
        <f>Total!G2527</f>
        <v>CQ. PAG-16253</v>
      </c>
      <c r="H13" s="112" t="str">
        <f>Total!H2527</f>
        <v>Contracte de serveis per a l'assistència tècnica de control de qualitat de les obres d'Ampliació a l'Escola Gegant del Rec (2 línies) de Salt (Gironès).</v>
      </c>
      <c r="I13" s="157">
        <f>Total!I2527</f>
        <v>28222.37</v>
      </c>
    </row>
    <row r="14" spans="1:9" x14ac:dyDescent="0.2">
      <c r="A14" s="8">
        <v>13</v>
      </c>
      <c r="B14" s="101">
        <f>Total!B2528</f>
        <v>44126</v>
      </c>
      <c r="C14" s="101">
        <f>Total!C2528</f>
        <v>44144</v>
      </c>
      <c r="D14" s="112" t="s">
        <v>1092</v>
      </c>
      <c r="E14" s="332" t="str">
        <f>Total!E2528</f>
        <v>Edificació</v>
      </c>
      <c r="F14" s="96" t="str">
        <f>Total!F2528</f>
        <v>Projectes</v>
      </c>
      <c r="G14" s="112" t="str">
        <f>Total!G2528</f>
        <v>E1. HTT-20277</v>
      </c>
      <c r="H14" s="112" t="str">
        <f>Total!H2528</f>
        <v>Serveis per a l'assistència tècnica per a la redacció de l'estudi de verificació de l'assegurament de la qualitat dels projectes executius d'arquitectura i d'instal·lacions de la fase 1 de la Transformació de l'Hospital Joan XXIII, de Tarragona.</v>
      </c>
      <c r="I14" s="157">
        <f>Total!I2528</f>
        <v>94450</v>
      </c>
    </row>
    <row r="15" spans="1:9" x14ac:dyDescent="0.2">
      <c r="A15" s="8">
        <v>14</v>
      </c>
      <c r="B15" s="101">
        <f>Total!B2529</f>
        <v>44127</v>
      </c>
      <c r="C15" s="101">
        <f>Total!C2529</f>
        <v>44144</v>
      </c>
      <c r="D15" s="112" t="s">
        <v>1092</v>
      </c>
      <c r="E15" s="332" t="str">
        <f>Total!E2529</f>
        <v>Obra Civil</v>
      </c>
      <c r="F15" s="96" t="str">
        <f>Total!F2529</f>
        <v>Direccions d'Obra</v>
      </c>
      <c r="G15" s="112" t="str">
        <f>Total!G2529</f>
        <v>CSS. MB-06010-A1</v>
      </c>
      <c r="H15" s="112" t="str">
        <f>Total!H2529</f>
        <v>Coordinació de seguretat i salut de les obres de millora local. Millora de nus. Seguretat viària. Carris de canvi de velocitat a la carretera C-17, del pk 40,000 al 40,500. Tram: Tagamanent-Sant Martí de Centelles.</v>
      </c>
      <c r="I15" s="157">
        <f>Total!I2529</f>
        <v>15360</v>
      </c>
    </row>
    <row r="16" spans="1:9" x14ac:dyDescent="0.2">
      <c r="A16" s="8">
        <v>15</v>
      </c>
      <c r="B16" s="101">
        <f>Total!B2530</f>
        <v>44127</v>
      </c>
      <c r="C16" s="101">
        <f>Total!C2530</f>
        <v>44144</v>
      </c>
      <c r="D16" s="112" t="s">
        <v>1092</v>
      </c>
      <c r="E16" s="332" t="str">
        <f>Total!E2530</f>
        <v>Obra Civil</v>
      </c>
      <c r="F16" s="96" t="str">
        <f>Total!F2530</f>
        <v>Projectes</v>
      </c>
      <c r="G16" s="112" t="str">
        <f>Total!G2530</f>
        <v>EV. EX-VB-06102</v>
      </c>
      <c r="H16" s="112" t="str">
        <f>Total!H2530</f>
        <v>Redacció del document ambiental del projecte constructiu Variant d'Artés. Connexió entre la BV-4512 i la B-431.</v>
      </c>
      <c r="I16" s="157">
        <f>Total!I2530</f>
        <v>14200</v>
      </c>
    </row>
    <row r="17" spans="1:9" x14ac:dyDescent="0.2">
      <c r="A17" s="8">
        <v>16</v>
      </c>
      <c r="B17" s="101">
        <f>Total!B2531</f>
        <v>44127</v>
      </c>
      <c r="C17" s="101">
        <f>Total!C2531</f>
        <v>44144</v>
      </c>
      <c r="D17" s="112" t="s">
        <v>1092</v>
      </c>
      <c r="E17" s="332" t="str">
        <f>Total!E2531</f>
        <v>Obra Civil</v>
      </c>
      <c r="F17" s="96" t="str">
        <f>Total!F2531</f>
        <v>Control de Qualitat</v>
      </c>
      <c r="G17" s="112" t="str">
        <f>Total!G2531</f>
        <v>CQ. MB-06010-A1</v>
      </c>
      <c r="H17" s="112" t="str">
        <f>Total!H2531</f>
        <v>Control de qualitat de les obres de millora local. Millora de nus. Seguretat viària. Carris de canvi de velocitat a la carretera C-17, del pk 40,000 al 40,500. Tram: Tagamanent-Sant Martí de Centelles.</v>
      </c>
      <c r="I17" s="157">
        <f>Total!I2531</f>
        <v>32040.07</v>
      </c>
    </row>
    <row r="18" spans="1:9" x14ac:dyDescent="0.2">
      <c r="A18" s="8">
        <v>17</v>
      </c>
      <c r="B18" s="101">
        <f>Total!B2532</f>
        <v>44127</v>
      </c>
      <c r="C18" s="101">
        <f>Total!C2532</f>
        <v>44158</v>
      </c>
      <c r="D18" s="112" t="s">
        <v>1092</v>
      </c>
      <c r="E18" s="332" t="str">
        <f>Total!E2532</f>
        <v>Obra Civil</v>
      </c>
      <c r="F18" s="96" t="str">
        <f>Total!F2532</f>
        <v>Projectes</v>
      </c>
      <c r="G18" s="112" t="str">
        <f>Total!G2532</f>
        <v>PC. TM-00509.51</v>
      </c>
      <c r="H18" s="112" t="str">
        <f>Total!H2532</f>
        <v>Redacció del projecte constructiu de la línia 9 de Metro de Barcelona. Estació Putxet (pou d'estació, vestíbul, accessos, estructura metàl·lica).</v>
      </c>
      <c r="I18" s="157">
        <f>Total!I2532</f>
        <v>300000</v>
      </c>
    </row>
    <row r="19" spans="1:9" x14ac:dyDescent="0.2">
      <c r="A19" s="8">
        <v>18</v>
      </c>
      <c r="B19" s="101">
        <f>Total!B2533</f>
        <v>44127</v>
      </c>
      <c r="C19" s="101">
        <f>Total!C2533</f>
        <v>44144</v>
      </c>
      <c r="D19" s="112" t="s">
        <v>1092</v>
      </c>
      <c r="E19" s="332" t="str">
        <f>Total!E2533</f>
        <v>Obra Civil</v>
      </c>
      <c r="F19" s="96" t="str">
        <f>Total!F2533</f>
        <v>Direccions d'Obra</v>
      </c>
      <c r="G19" s="112" t="str">
        <f>Total!G2533</f>
        <v>DO. MB-06010-A1</v>
      </c>
      <c r="H19" s="112" t="str">
        <f>Total!H2533</f>
        <v>Direcció de les obres de millora local. Millora de nus. Seguretat viària. Carris de canvi de velocitat a la carretera C-17, del pk 40,000 al 40,500. Tram: Tagamanent-Sant Martí de Centelles.</v>
      </c>
      <c r="I19" s="157">
        <f>Total!I2533</f>
        <v>76426.67</v>
      </c>
    </row>
    <row r="20" spans="1:9" x14ac:dyDescent="0.2">
      <c r="A20" s="8">
        <v>19</v>
      </c>
      <c r="B20" s="101">
        <f>Total!B2534</f>
        <v>44130</v>
      </c>
      <c r="C20" s="101">
        <f>Total!C2534</f>
        <v>44146</v>
      </c>
      <c r="D20" s="112" t="s">
        <v>1092</v>
      </c>
      <c r="E20" s="332" t="str">
        <f>Total!E2534</f>
        <v>Edificació</v>
      </c>
      <c r="F20" s="96" t="str">
        <f>Total!F2534</f>
        <v>Control de Qualitat</v>
      </c>
      <c r="G20" s="112" t="str">
        <f>Total!G2534</f>
        <v>CQ. PNT-17278</v>
      </c>
      <c r="H20" s="112" t="str">
        <f>Total!H2534</f>
        <v>Contracte de serveis per a l'assistència tècica de control de qualitat de les obres de nova construcció escola 7 unitats + 2 aules a l'Escola Teresa Godes i Domènech del Montmell (Baix Penedès).</v>
      </c>
      <c r="I20" s="157">
        <f>Total!I2534</f>
        <v>25993.11</v>
      </c>
    </row>
    <row r="21" spans="1:9" x14ac:dyDescent="0.2">
      <c r="A21" s="8">
        <v>20</v>
      </c>
      <c r="B21" s="101">
        <f>Total!B2535</f>
        <v>44130</v>
      </c>
      <c r="C21" s="101">
        <f>Total!C2535</f>
        <v>44146</v>
      </c>
      <c r="D21" s="112" t="s">
        <v>1092</v>
      </c>
      <c r="E21" s="332" t="str">
        <f>Total!E2535</f>
        <v>Edificació</v>
      </c>
      <c r="F21" s="96" t="str">
        <f>Total!F2535</f>
        <v>Direccions d'execució</v>
      </c>
      <c r="G21" s="112" t="str">
        <f>Total!G2535</f>
        <v>CSS. PNT-17278</v>
      </c>
      <c r="H21" s="112" t="str">
        <f>Total!H2535</f>
        <v>Contracte de serveis per a l'assistència tècnica de coordinació de seguretat i salut de les obres de nova construcció escola 7 unitats + 2 aules a l'Escola Teresa Godes i Domènech del Montmell (Baix Penedès).</v>
      </c>
      <c r="I21" s="157">
        <f>Total!I2535</f>
        <v>19933.2</v>
      </c>
    </row>
    <row r="22" spans="1:9" x14ac:dyDescent="0.2">
      <c r="A22" s="8">
        <v>21</v>
      </c>
      <c r="B22" s="101">
        <f>Total!B2536</f>
        <v>44130</v>
      </c>
      <c r="C22" s="101">
        <f>Total!C2536</f>
        <v>44146</v>
      </c>
      <c r="D22" s="112" t="s">
        <v>1092</v>
      </c>
      <c r="E22" s="332" t="str">
        <f>Total!E2536</f>
        <v>Edificació</v>
      </c>
      <c r="F22" s="96" t="str">
        <f>Total!F2536</f>
        <v>Direccions d'execució</v>
      </c>
      <c r="G22" s="112" t="str">
        <f>Total!G2536</f>
        <v>DE. PNT-17278</v>
      </c>
      <c r="H22" s="112" t="str">
        <f>Total!H2536</f>
        <v>Contracte de serveis per a la direcció d'execució de les obres de nova construcció escola 7 unitats + 2 aules a l'Escola Teresa Godes i Domènech del Montmell (Baix Penedès).</v>
      </c>
      <c r="I22" s="157">
        <f>Total!I2536</f>
        <v>66444.89</v>
      </c>
    </row>
    <row r="23" spans="1:9" x14ac:dyDescent="0.2">
      <c r="A23" s="8">
        <v>22</v>
      </c>
      <c r="B23" s="101">
        <f>Total!B2537</f>
        <v>44131</v>
      </c>
      <c r="C23" s="101">
        <f>Total!C2537</f>
        <v>44151</v>
      </c>
      <c r="D23" s="112" t="s">
        <v>1092</v>
      </c>
      <c r="E23" s="332" t="str">
        <f>Total!E2537</f>
        <v>Edificació</v>
      </c>
      <c r="F23" s="96" t="str">
        <f>Total!F2537</f>
        <v>Projectes</v>
      </c>
      <c r="G23" s="112" t="str">
        <f>Total!G2537</f>
        <v>PC. TA-09237.A2</v>
      </c>
      <c r="H23" s="112" t="str">
        <f>Total!H2537</f>
        <v>Contracte de serveis per a l'assistència tècnica per a la redacció del projecte constructiu de la nova estació d'autobusos a Berga. Projecte actualitzat.</v>
      </c>
      <c r="I23" s="157">
        <f>Total!I2537</f>
        <v>55100</v>
      </c>
    </row>
    <row r="24" spans="1:9" x14ac:dyDescent="0.2">
      <c r="A24" s="8">
        <v>23</v>
      </c>
      <c r="B24" s="101">
        <f>Total!B2538</f>
        <v>44131</v>
      </c>
      <c r="C24" s="101">
        <f>Total!C2538</f>
        <v>44151</v>
      </c>
      <c r="D24" s="112" t="s">
        <v>1092</v>
      </c>
      <c r="E24" s="332" t="str">
        <f>Total!E2538</f>
        <v>Obra Civil</v>
      </c>
      <c r="F24" s="96" t="str">
        <f>Total!F2538</f>
        <v>Projectes</v>
      </c>
      <c r="G24" s="112" t="str">
        <f>Total!G2538</f>
        <v>EV. EX-XL-03169-A1</v>
      </c>
      <c r="H24" s="112" t="str">
        <f>Total!H2538</f>
        <v>Contracte de serveis per a l'assistència tècnica per a la redacció del document ambiental del projecte constructiu de la variant de Seròs. De la carretera LP-7041, PK 11+675 a la C-45, PK 15+410. Seròs.</v>
      </c>
      <c r="I24" s="157">
        <f>Total!I2538</f>
        <v>19000</v>
      </c>
    </row>
    <row r="25" spans="1:9" x14ac:dyDescent="0.2">
      <c r="A25" s="8">
        <v>24</v>
      </c>
      <c r="B25" s="101">
        <f>Total!B2539</f>
        <v>44131</v>
      </c>
      <c r="C25" s="101">
        <f>Total!C2539</f>
        <v>44151</v>
      </c>
      <c r="D25" s="112" t="s">
        <v>1092</v>
      </c>
      <c r="E25" s="332" t="str">
        <f>Total!E2539</f>
        <v>Edificació</v>
      </c>
      <c r="F25" s="96" t="str">
        <f>Total!F2539</f>
        <v>Projectes i Direccions d'Obra</v>
      </c>
      <c r="G25" s="112" t="str">
        <f>Total!G2539</f>
        <v>PE+DO JVX-20276</v>
      </c>
      <c r="H25" s="112" t="str">
        <f>Total!H2539</f>
        <v>Redacció del projecte bàsic i executiu i la posterior direcció de les obres RAM a l'edifici judicial de Sabadell de condicionament de la planta 15 per a la ubicació de la fiscalia i reorganització funcional en la planta 7.</v>
      </c>
      <c r="I25" s="157">
        <f>Total!I2539</f>
        <v>96172.7</v>
      </c>
    </row>
    <row r="26" spans="1:9" x14ac:dyDescent="0.2">
      <c r="A26" s="8">
        <v>25</v>
      </c>
      <c r="B26" s="101">
        <f>Total!B2540</f>
        <v>44131</v>
      </c>
      <c r="C26" s="101">
        <f>Total!C2540</f>
        <v>44158</v>
      </c>
      <c r="D26" s="112" t="s">
        <v>1092</v>
      </c>
      <c r="E26" s="332" t="str">
        <f>Total!E2540</f>
        <v>Obra Civil</v>
      </c>
      <c r="F26" s="96" t="str">
        <f>Total!F2540</f>
        <v>Projectes</v>
      </c>
      <c r="G26" s="112" t="str">
        <f>Total!G2540</f>
        <v>EV. E39. TM-00509</v>
      </c>
      <c r="H26" s="112" t="str">
        <f>Total!H2540</f>
        <v>Contracte de serveis per a l'assistència tècnica per a la redacció de l'estudi de l'anàlisi del soroll i de les vibracions del tram III de la L9 de metro de Barcelona, tram: macropou - Zona Universitària.</v>
      </c>
      <c r="I26" s="157">
        <f>Total!I2540</f>
        <v>400000</v>
      </c>
    </row>
    <row r="27" spans="1:9" x14ac:dyDescent="0.2">
      <c r="A27" s="8">
        <v>26</v>
      </c>
      <c r="B27" s="101">
        <f>Total!B2541</f>
        <v>44134</v>
      </c>
      <c r="C27" s="101">
        <f>Total!C2541</f>
        <v>44151</v>
      </c>
      <c r="D27" s="112" t="s">
        <v>1092</v>
      </c>
      <c r="E27" s="332" t="str">
        <f>Total!E2541</f>
        <v>Edificació</v>
      </c>
      <c r="F27" s="96" t="str">
        <f>Total!F2541</f>
        <v>Direccións d'Execució</v>
      </c>
      <c r="G27" s="112" t="str">
        <f>Total!G2541</f>
        <v>CSS. JVX-18298</v>
      </c>
      <c r="H27" s="112" t="str">
        <f>Total!H2541</f>
        <v>Assistència tècnica de coordinació de Seguretat i Salut de les obres RAM de modernització del sistema de climatització, PDCI, CCTV i intrusió de l'edifici judicial d'Arenys de Mar.</v>
      </c>
      <c r="I27" s="157">
        <f>Total!I2541</f>
        <v>11400</v>
      </c>
    </row>
    <row r="28" spans="1:9" x14ac:dyDescent="0.2">
      <c r="A28" s="8">
        <v>27</v>
      </c>
      <c r="B28" s="101">
        <f>Total!B2542</f>
        <v>44134</v>
      </c>
      <c r="C28" s="101">
        <f>Total!C2542</f>
        <v>44151</v>
      </c>
      <c r="D28" s="112" t="s">
        <v>1092</v>
      </c>
      <c r="E28" s="332" t="str">
        <f>Total!E2542</f>
        <v>Edificació</v>
      </c>
      <c r="F28" s="96" t="str">
        <f>Total!F2542</f>
        <v>Direccións d'Execució</v>
      </c>
      <c r="G28" s="112" t="str">
        <f>Total!G2542</f>
        <v>CSS. JVX-17272.2</v>
      </c>
      <c r="H28" s="112" t="str">
        <f>Total!H2542</f>
        <v>Assistència tècnica de coordinació de Seguretat i Salut de les obres d'adequació del projecte d'obra RAM de reforma de la instal·lacio de climatatizació de l'Edifici Judicial de Sabadell. Fase II.</v>
      </c>
      <c r="I28" s="157">
        <f>Total!I2542</f>
        <v>14400</v>
      </c>
    </row>
    <row r="29" spans="1:9" x14ac:dyDescent="0.2">
      <c r="A29" s="8">
        <v>28</v>
      </c>
      <c r="B29" s="101">
        <f>Total!B2543</f>
        <v>44134</v>
      </c>
      <c r="C29" s="101">
        <f>Total!C2543</f>
        <v>44153</v>
      </c>
      <c r="D29" s="112" t="s">
        <v>1092</v>
      </c>
      <c r="E29" s="332" t="str">
        <f>Total!E2543</f>
        <v>Edificació</v>
      </c>
      <c r="F29" s="96" t="str">
        <f>Total!F2543</f>
        <v>Control de Qualitat</v>
      </c>
      <c r="G29" s="112" t="str">
        <f>Total!G2543</f>
        <v>CQ. CCT-17215.1</v>
      </c>
      <c r="H29" s="112" t="str">
        <f>Total!H2543</f>
        <v>Control de qualitat de les obres de nova construcció d'una comissaria de Districte de la Policia de la Generalitat - Mossos d'Esquadra a Torredembarra.</v>
      </c>
      <c r="I29" s="157">
        <f>Total!I2543</f>
        <v>22999.15</v>
      </c>
    </row>
    <row r="30" spans="1:9" x14ac:dyDescent="0.2">
      <c r="A30" s="8">
        <v>29</v>
      </c>
      <c r="B30" s="101">
        <f>Total!B2544</f>
        <v>44134</v>
      </c>
      <c r="C30" s="101">
        <f>Total!C2544</f>
        <v>44151</v>
      </c>
      <c r="D30" s="112" t="s">
        <v>1092</v>
      </c>
      <c r="E30" s="332" t="str">
        <f>Total!E2544</f>
        <v>Edificació</v>
      </c>
      <c r="F30" s="96" t="str">
        <f>Total!F2544</f>
        <v>Control de Qualitat</v>
      </c>
      <c r="G30" s="112" t="str">
        <f>Total!G2544</f>
        <v>CQ. JVX-18296</v>
      </c>
      <c r="H30" s="112" t="str">
        <f>Total!H2544</f>
        <v>Control de qualitat de l'execució de les obres RAM per l'adequació a ús judicial de l'immoble municipal Casa Serra i Moret de Vic.</v>
      </c>
      <c r="I30" s="157">
        <f>Total!I2544</f>
        <v>19561.939999999999</v>
      </c>
    </row>
    <row r="31" spans="1:9" x14ac:dyDescent="0.2">
      <c r="A31" s="8">
        <v>30</v>
      </c>
      <c r="B31" s="101">
        <f>Total!B2545</f>
        <v>44134</v>
      </c>
      <c r="C31" s="101">
        <f>Total!C2545</f>
        <v>44151</v>
      </c>
      <c r="D31" s="112" t="s">
        <v>1092</v>
      </c>
      <c r="E31" s="332" t="str">
        <f>Total!E2545</f>
        <v>Edificació</v>
      </c>
      <c r="F31" s="96" t="str">
        <f>Total!F2545</f>
        <v>Control de Qualitat</v>
      </c>
      <c r="G31" s="112" t="str">
        <f>Total!G2545</f>
        <v>CQ. JVX-18298</v>
      </c>
      <c r="H31" s="112" t="str">
        <f>Total!H2545</f>
        <v>Control de qualitat de les obres RAM de modernització dels sistema de climatització, PDCI, CCTV i intrusió de l'edifici judicial d'Arenys de Mar.</v>
      </c>
      <c r="I31" s="157">
        <f>Total!I2545</f>
        <v>9584.9</v>
      </c>
    </row>
    <row r="32" spans="1:9" x14ac:dyDescent="0.2">
      <c r="A32" s="8">
        <v>31</v>
      </c>
      <c r="B32" s="101">
        <f>Total!B2546</f>
        <v>44134</v>
      </c>
      <c r="C32" s="101">
        <f>Total!C2546</f>
        <v>44151</v>
      </c>
      <c r="D32" s="112" t="s">
        <v>1092</v>
      </c>
      <c r="E32" s="332" t="str">
        <f>Total!E2546</f>
        <v>Edificació</v>
      </c>
      <c r="F32" s="96" t="str">
        <f>Total!F2546</f>
        <v>Direccions d'execució</v>
      </c>
      <c r="G32" s="112" t="str">
        <f>Total!G2546</f>
        <v>DE. JVX-18298</v>
      </c>
      <c r="H32" s="112" t="str">
        <f>Total!H2546</f>
        <v>Direcció d'execució de les obres RAM de modernització dels sistema de climatització, PDCI, CCTV i intrusió de l'edifici judicial d'Arenys de Mar.</v>
      </c>
      <c r="I32" s="157">
        <f>Total!I2546</f>
        <v>38000</v>
      </c>
    </row>
    <row r="33" spans="1:9" x14ac:dyDescent="0.2">
      <c r="A33" s="8">
        <v>32</v>
      </c>
      <c r="B33" s="101">
        <f>Total!B2547</f>
        <v>44134</v>
      </c>
      <c r="C33" s="101">
        <f>Total!C2547</f>
        <v>44151</v>
      </c>
      <c r="D33" s="112" t="s">
        <v>1092</v>
      </c>
      <c r="E33" s="332" t="str">
        <f>Total!E2547</f>
        <v>Edificació</v>
      </c>
      <c r="F33" s="96" t="str">
        <f>Total!F2547</f>
        <v>Control de Qualitat</v>
      </c>
      <c r="G33" s="112" t="str">
        <f>Total!G2547</f>
        <v>CQ. JVX-17272.2</v>
      </c>
      <c r="H33" s="112" t="str">
        <f>Total!H2547</f>
        <v>Control de qualitat de les obres d'adequació del projecte d'obra RAM de reforma de la instal·lacio de climatatizació de l'Edifici Judicial de Sabadell. Fase II.</v>
      </c>
      <c r="I33" s="157">
        <f>Total!I2547</f>
        <v>21515.13</v>
      </c>
    </row>
    <row r="34" spans="1:9" x14ac:dyDescent="0.2">
      <c r="A34" s="8">
        <v>33</v>
      </c>
      <c r="B34" s="101">
        <f>Total!B2548</f>
        <v>44134</v>
      </c>
      <c r="C34" s="101">
        <f>Total!C2548</f>
        <v>44153</v>
      </c>
      <c r="D34" s="112" t="s">
        <v>1092</v>
      </c>
      <c r="E34" s="332" t="str">
        <f>Total!E2548</f>
        <v>Edificació</v>
      </c>
      <c r="F34" s="96" t="str">
        <f>Total!F2548</f>
        <v>Direccions d'execució</v>
      </c>
      <c r="G34" s="112" t="str">
        <f>Total!G2548</f>
        <v>DE. CCT-17215.1</v>
      </c>
      <c r="H34" s="112" t="str">
        <f>Total!H2548</f>
        <v>Direcció d'execució de les obres de nova construcció d'una comissaria de Districte de la Policia de la Generalitat - Mossos d'Esquadra a Torredembarra.</v>
      </c>
      <c r="I34" s="157">
        <f>Total!I2548</f>
        <v>62000</v>
      </c>
    </row>
    <row r="35" spans="1:9" x14ac:dyDescent="0.2">
      <c r="A35" s="8">
        <v>34</v>
      </c>
      <c r="B35" s="101">
        <f>Total!B2549</f>
        <v>44134</v>
      </c>
      <c r="C35" s="101">
        <f>Total!C2549</f>
        <v>44153</v>
      </c>
      <c r="D35" s="112" t="s">
        <v>1092</v>
      </c>
      <c r="E35" s="332" t="str">
        <f>Total!E2549</f>
        <v>Edificació</v>
      </c>
      <c r="F35" s="96" t="str">
        <f>Total!F2549</f>
        <v>Control de Qualitat</v>
      </c>
      <c r="G35" s="112" t="str">
        <f>Total!G2549</f>
        <v>CQ. PNC-17258.A</v>
      </c>
      <c r="H35" s="112" t="str">
        <f>Total!H2549</f>
        <v>Control de qualitat de les obres de nova construcció de l'Escola 1 línia Jacint Verdaguer a la Granada (Alt Penedès).</v>
      </c>
      <c r="I35" s="157">
        <f>Total!I2549</f>
        <v>33261.279999999999</v>
      </c>
    </row>
    <row r="36" spans="1:9" x14ac:dyDescent="0.2">
      <c r="A36" s="8">
        <v>35</v>
      </c>
      <c r="B36" s="101">
        <f>Total!B2550</f>
        <v>44134</v>
      </c>
      <c r="C36" s="101">
        <f>Total!C2550</f>
        <v>44153</v>
      </c>
      <c r="D36" s="112" t="s">
        <v>1092</v>
      </c>
      <c r="E36" s="332" t="str">
        <f>Total!E2550</f>
        <v>Edificació</v>
      </c>
      <c r="F36" s="96" t="str">
        <f>Total!F2550</f>
        <v>Direccions d'execució</v>
      </c>
      <c r="G36" s="112" t="str">
        <f>Total!G2550</f>
        <v>CSS. PNC-17258.A</v>
      </c>
      <c r="H36" s="112" t="str">
        <f>Total!H2550</f>
        <v>Coordianció de Seguretat i Salut de les obres de nova construcció de l'Escola 1 línia Jacint Verdaguer a la Granada (Alt Penedès).</v>
      </c>
      <c r="I36" s="157">
        <f>Total!I2550</f>
        <v>26272.799999999999</v>
      </c>
    </row>
    <row r="37" spans="1:9" x14ac:dyDescent="0.2">
      <c r="A37" s="8">
        <v>36</v>
      </c>
      <c r="B37" s="101">
        <f>Total!B2551</f>
        <v>44134</v>
      </c>
      <c r="C37" s="101">
        <f>Total!C2551</f>
        <v>44153</v>
      </c>
      <c r="D37" s="112" t="s">
        <v>1092</v>
      </c>
      <c r="E37" s="332" t="str">
        <f>Total!E2551</f>
        <v>Edificació</v>
      </c>
      <c r="F37" s="96" t="str">
        <f>Total!F2551</f>
        <v>Direccions d'execució</v>
      </c>
      <c r="G37" s="112" t="str">
        <f>Total!G2551</f>
        <v>DE. PNC-17258.A</v>
      </c>
      <c r="H37" s="112" t="str">
        <f>Total!H2551</f>
        <v>Direcció d'execució de les obres de nova construcció de l'Escola 1 línia Jacint Verdaguer a la Granada (Alt Penedès).</v>
      </c>
      <c r="I37" s="157">
        <f>Total!I2551</f>
        <v>87574.67</v>
      </c>
    </row>
    <row r="38" spans="1:9" x14ac:dyDescent="0.2">
      <c r="A38" s="8">
        <v>37</v>
      </c>
      <c r="B38" s="101">
        <f>Total!B2552</f>
        <v>44134</v>
      </c>
      <c r="C38" s="101">
        <f>Total!C2552</f>
        <v>44151</v>
      </c>
      <c r="D38" s="112" t="s">
        <v>1092</v>
      </c>
      <c r="E38" s="332" t="str">
        <f>Total!E2552</f>
        <v>Edificació</v>
      </c>
      <c r="F38" s="96" t="str">
        <f>Total!F2552</f>
        <v>Direccions d'execució</v>
      </c>
      <c r="G38" s="112" t="str">
        <f>Total!G2552</f>
        <v>DE. JVX-18296</v>
      </c>
      <c r="H38" s="112" t="str">
        <f>Total!H2552</f>
        <v>Direcció d'execució de les obres RAM per l'adequació a ús judicial de l'immoble municipal Casa Serra i Moret de Vic.</v>
      </c>
      <c r="I38" s="157">
        <f>Total!I2552</f>
        <v>42000</v>
      </c>
    </row>
    <row r="39" spans="1:9" x14ac:dyDescent="0.2">
      <c r="A39" s="8">
        <v>38</v>
      </c>
      <c r="B39" s="101">
        <f>Total!B2553</f>
        <v>44134</v>
      </c>
      <c r="C39" s="101">
        <f>Total!C2553</f>
        <v>44151</v>
      </c>
      <c r="D39" s="112" t="s">
        <v>1092</v>
      </c>
      <c r="E39" s="332" t="str">
        <f>Total!E2553</f>
        <v>Edificació</v>
      </c>
      <c r="F39" s="96" t="str">
        <f>Total!F2553</f>
        <v>Direccions d'execució</v>
      </c>
      <c r="G39" s="112" t="str">
        <f>Total!G2553</f>
        <v>CSS. JVX-18296</v>
      </c>
      <c r="H39" s="112" t="str">
        <f>Total!H2553</f>
        <v>Coordinació de seguretat i salut de les obres RAM per l'adequació a ús judicial de l'immoble municipal Casa Serra i Moret de Vic.</v>
      </c>
      <c r="I39" s="157">
        <f>Total!I2553</f>
        <v>11400</v>
      </c>
    </row>
    <row r="40" spans="1:9" x14ac:dyDescent="0.2">
      <c r="A40" s="8">
        <v>39</v>
      </c>
      <c r="B40" s="101">
        <f>Total!B2554</f>
        <v>44134</v>
      </c>
      <c r="C40" s="101">
        <f>Total!C2554</f>
        <v>44153</v>
      </c>
      <c r="D40" s="112" t="s">
        <v>1092</v>
      </c>
      <c r="E40" s="332" t="str">
        <f>Total!E2554</f>
        <v>Edificació</v>
      </c>
      <c r="F40" s="96" t="str">
        <f>Total!F2554</f>
        <v>Direccions d'execució</v>
      </c>
      <c r="G40" s="112" t="str">
        <f>Total!G2554</f>
        <v>CSS. CCT-17215.1</v>
      </c>
      <c r="H40" s="112" t="str">
        <f>Total!H2554</f>
        <v>Coordinació de seguretat i salut de les obres de nova construcció d'una comissaria de Districte de la Policia de la Generalitat - Mossos d'Esquadra a Torredembarra.</v>
      </c>
      <c r="I40" s="157">
        <f>Total!I2554</f>
        <v>18600</v>
      </c>
    </row>
    <row r="41" spans="1:9" x14ac:dyDescent="0.2">
      <c r="A41" s="8">
        <v>40</v>
      </c>
      <c r="B41" s="101">
        <f>Total!B2555</f>
        <v>44134</v>
      </c>
      <c r="C41" s="101">
        <f>Total!C2555</f>
        <v>44151</v>
      </c>
      <c r="D41" s="112" t="s">
        <v>1092</v>
      </c>
      <c r="E41" s="332" t="str">
        <f>Total!E2555</f>
        <v>Edificació</v>
      </c>
      <c r="F41" s="96" t="str">
        <f>Total!F2555</f>
        <v>Direccions d'execució</v>
      </c>
      <c r="G41" s="112" t="str">
        <f>Total!G2555</f>
        <v>DE. JVX-17272.2</v>
      </c>
      <c r="H41" s="112" t="str">
        <f>Total!H2555</f>
        <v>Direcció d'execució de les obres d'adequació del projecte d'obra RAM de reforma de la instal·lacio de climatatizació de l'Edifici Judicial de Sabadell. Fase II.</v>
      </c>
      <c r="I41" s="157">
        <f>Total!I2555</f>
        <v>48000</v>
      </c>
    </row>
    <row r="42" spans="1:9" x14ac:dyDescent="0.2">
      <c r="I42" s="126">
        <f>SUM(I2:I41)</f>
        <v>2125225.4799999995</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31"/>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Total!B2487</f>
        <v>44075</v>
      </c>
      <c r="C2" s="101">
        <f>Total!C2487</f>
        <v>44097</v>
      </c>
      <c r="D2" s="112" t="s">
        <v>1092</v>
      </c>
      <c r="E2" s="332" t="str">
        <f>Total!E2487</f>
        <v>Obra Civil</v>
      </c>
      <c r="F2" s="96" t="str">
        <f>Total!F2487</f>
        <v>Direccions d'obra</v>
      </c>
      <c r="G2" s="112" t="str">
        <f>Total!G2487</f>
        <v>DO. ME-15041-A1</v>
      </c>
      <c r="H2" s="112" t="str">
        <f>Total!H2487</f>
        <v>Contracte de serveis per a la redacció de les obres de millora local. Seguretat viària. Reordenació dels accessos a la carreterea C-12. Tortosa.</v>
      </c>
      <c r="I2" s="157">
        <f>Total!I2487</f>
        <v>32600</v>
      </c>
    </row>
    <row r="3" spans="1:9" x14ac:dyDescent="0.2">
      <c r="A3" s="8">
        <v>2</v>
      </c>
      <c r="B3" s="101">
        <f>Total!B2488</f>
        <v>44075</v>
      </c>
      <c r="C3" s="101">
        <f>Total!C2488</f>
        <v>44097</v>
      </c>
      <c r="D3" s="112" t="s">
        <v>1092</v>
      </c>
      <c r="E3" s="332" t="str">
        <f>Total!E2488</f>
        <v>Obra Civil</v>
      </c>
      <c r="F3" s="96" t="str">
        <f>Total!F2488</f>
        <v>Direccions d'obra</v>
      </c>
      <c r="G3" s="112" t="str">
        <f>Total!G2488</f>
        <v>CSS. ME-15041-A1</v>
      </c>
      <c r="H3" s="112" t="str">
        <f>Total!H2488</f>
        <v>Assistència tècnica de coordinació de seguretat i salut de les obres de millora local. Seguretat viària. Reordenació dels accessos a la carretera C-12. Tortosa.</v>
      </c>
      <c r="I3" s="157">
        <f>Total!I2488</f>
        <v>7560</v>
      </c>
    </row>
    <row r="4" spans="1:9" x14ac:dyDescent="0.2">
      <c r="A4" s="8">
        <v>3</v>
      </c>
      <c r="B4" s="101">
        <f>Total!B2489</f>
        <v>44075</v>
      </c>
      <c r="C4" s="101">
        <f>Total!C2489</f>
        <v>44097</v>
      </c>
      <c r="D4" s="112" t="s">
        <v>1092</v>
      </c>
      <c r="E4" s="332" t="str">
        <f>Total!E2489</f>
        <v>Obra Civil</v>
      </c>
      <c r="F4" s="96" t="str">
        <f>Total!F2489</f>
        <v>Control de Qualitat</v>
      </c>
      <c r="G4" s="112" t="str">
        <f>Total!G2489</f>
        <v>CQ. ME-15041-A1</v>
      </c>
      <c r="H4" s="112" t="str">
        <f>Total!H2489</f>
        <v>Control de qualitat de les obres del projecte constructiu de millora local. Seguretat viària. Reordenació dels accessos a la carretera C-12. Tortosa.</v>
      </c>
      <c r="I4" s="157">
        <f>Total!I2489</f>
        <v>9730.69</v>
      </c>
    </row>
    <row r="5" spans="1:9" x14ac:dyDescent="0.2">
      <c r="A5" s="8">
        <v>4</v>
      </c>
      <c r="B5" s="101">
        <f>Total!B2490</f>
        <v>44078</v>
      </c>
      <c r="C5" s="101">
        <f>Total!C2490</f>
        <v>44095</v>
      </c>
      <c r="D5" s="112" t="s">
        <v>1092</v>
      </c>
      <c r="E5" s="332" t="str">
        <f>Total!E2490</f>
        <v>Obra Civil</v>
      </c>
      <c r="F5" s="96" t="str">
        <f>Total!F2490</f>
        <v>Projectes</v>
      </c>
      <c r="G5" s="112" t="str">
        <f>Total!G2490</f>
        <v>PC.PC-CGB-19023</v>
      </c>
      <c r="H5" s="112" t="str">
        <f>Total!H2490</f>
        <v>Contracte de serveis per a l'assistència tècnica per a la redacció del projecte constructiu de Rehabilitació de les obres de fàbrica a la C-31 al PK 209+775. Sant Adrià del Besòs-Badalona.</v>
      </c>
      <c r="I5" s="157">
        <f>Total!I2490</f>
        <v>54000</v>
      </c>
    </row>
    <row r="6" spans="1:9" x14ac:dyDescent="0.2">
      <c r="A6" s="8">
        <v>5</v>
      </c>
      <c r="B6" s="101">
        <f>Total!B2491</f>
        <v>44078</v>
      </c>
      <c r="C6" s="101">
        <f>Total!C2491</f>
        <v>44097</v>
      </c>
      <c r="D6" s="112" t="s">
        <v>1092</v>
      </c>
      <c r="E6" s="332" t="str">
        <f>Total!E2491</f>
        <v>Obra Civil</v>
      </c>
      <c r="F6" s="96" t="str">
        <f>Total!F2491</f>
        <v>Direccions d'Obra</v>
      </c>
      <c r="G6" s="112" t="str">
        <f>Total!G2491</f>
        <v>CSS. PC-CMB-17076</v>
      </c>
      <c r="H6" s="112" t="str">
        <f>Total!H2491</f>
        <v>Coordinació de Seguretat i Salut de les obres del projecte constructiu de Millora local. Ponts i estructures. Pas inferior per a vianants i ciclistes a la carretera C-59, PK 15+050. Tram: Caldes de Montbui.</v>
      </c>
      <c r="I6" s="157">
        <f>Total!I2491</f>
        <v>6600</v>
      </c>
    </row>
    <row r="7" spans="1:9" x14ac:dyDescent="0.2">
      <c r="A7" s="8">
        <v>6</v>
      </c>
      <c r="B7" s="101">
        <f>Total!B2492</f>
        <v>44078</v>
      </c>
      <c r="C7" s="101">
        <f>Total!C2492</f>
        <v>44097</v>
      </c>
      <c r="D7" s="112" t="s">
        <v>1092</v>
      </c>
      <c r="E7" s="332" t="str">
        <f>Total!E2492</f>
        <v>Obra Civil</v>
      </c>
      <c r="F7" s="96" t="str">
        <f>Total!F2492</f>
        <v>Control de Qualitat</v>
      </c>
      <c r="G7" s="112" t="str">
        <f>Total!G2492</f>
        <v>CQ. PC-CMB-17076</v>
      </c>
      <c r="H7" s="112" t="str">
        <f>Total!H2492</f>
        <v>Contracte de serveis per a l'assistència tècnica de control de qualitat de les obres del projecte constructiu de Millora local. Ponts i estructures. Pas inferior per a vianants i ciclistes a la carretera C-59, PK 15+050. Tram: Caldes de Montbui.</v>
      </c>
      <c r="I7" s="157">
        <f>Total!I2492</f>
        <v>9944.93</v>
      </c>
    </row>
    <row r="8" spans="1:9" x14ac:dyDescent="0.2">
      <c r="A8" s="8">
        <v>7</v>
      </c>
      <c r="B8" s="101">
        <f>Total!B2493</f>
        <v>44078</v>
      </c>
      <c r="C8" s="101">
        <f>Total!C2493</f>
        <v>44097</v>
      </c>
      <c r="D8" s="112" t="s">
        <v>1092</v>
      </c>
      <c r="E8" s="332" t="str">
        <f>Total!E2493</f>
        <v>Obra Civil</v>
      </c>
      <c r="F8" s="96" t="str">
        <f>Total!F2493</f>
        <v>Direccions d'Obra</v>
      </c>
      <c r="G8" s="112" t="str">
        <f>Total!G2493</f>
        <v>DO. PC-CMB-17076</v>
      </c>
      <c r="H8" s="112" t="str">
        <f>Total!H2493</f>
        <v>Contracte de serveis per a la direcció de les obres del projecte constructiu de Millora local. Ponts i estructures. Pas inferior per a vianants i ciclistes a la carretera C-59, PK 15+050. Tram: Caldes de Montbui.</v>
      </c>
      <c r="I8" s="157">
        <f>Total!I2493</f>
        <v>26133.34</v>
      </c>
    </row>
    <row r="9" spans="1:9" x14ac:dyDescent="0.2">
      <c r="A9" s="8">
        <v>8</v>
      </c>
      <c r="B9" s="101">
        <f>Total!B2494</f>
        <v>44078</v>
      </c>
      <c r="C9" s="101">
        <f>Total!C2494</f>
        <v>44095</v>
      </c>
      <c r="D9" s="112" t="s">
        <v>1092</v>
      </c>
      <c r="E9" s="332" t="str">
        <f>Total!E2494</f>
        <v>Obra Civil</v>
      </c>
      <c r="F9" s="96" t="str">
        <f>Total!F2494</f>
        <v>Projectes</v>
      </c>
      <c r="G9" s="112" t="str">
        <f>Total!G2494</f>
        <v>EV. EA-MNB-20002</v>
      </c>
      <c r="H9" s="112" t="str">
        <f>Total!H2494</f>
        <v>Contracte de serveis per a l'assistència tècnica per a la redacció de l'estudi d'alternatives "Predimensionament de tallers i cotxeres en l'àmbit sud de la línia 1 d'FMB".</v>
      </c>
      <c r="I9" s="157">
        <f>Total!I2494</f>
        <v>152010</v>
      </c>
    </row>
    <row r="10" spans="1:9" x14ac:dyDescent="0.2">
      <c r="A10" s="8">
        <v>9</v>
      </c>
      <c r="B10" s="101">
        <f>Total!B2495</f>
        <v>44078</v>
      </c>
      <c r="C10" s="101">
        <f>Total!C2495</f>
        <v>44109</v>
      </c>
      <c r="D10" s="112" t="s">
        <v>1092</v>
      </c>
      <c r="E10" s="332" t="str">
        <f>Total!E2495</f>
        <v>Edificació</v>
      </c>
      <c r="F10" s="96" t="str">
        <f>Total!F2495</f>
        <v>Projectes i Direccions d'Obra</v>
      </c>
      <c r="G10" s="112" t="str">
        <f>Total!G2495</f>
        <v>PE+DO DXB-20239</v>
      </c>
      <c r="H10" s="112" t="str">
        <f>Total!H2495</f>
        <v>Concurs de projectes per a la redacció del projecte bàsic i executiu i la posterior direcció de les obres de reforma d'un edifici administratiu al c/ Aragó, de Barcelona.</v>
      </c>
      <c r="I10" s="157">
        <f>Total!I2495</f>
        <v>439796.6</v>
      </c>
    </row>
    <row r="11" spans="1:9" x14ac:dyDescent="0.2">
      <c r="A11" s="8">
        <v>10</v>
      </c>
      <c r="B11" s="101">
        <f>Total!B2496</f>
        <v>44078</v>
      </c>
      <c r="C11" s="101">
        <f>Total!C2496</f>
        <v>44109</v>
      </c>
      <c r="D11" s="112" t="s">
        <v>1092</v>
      </c>
      <c r="E11" s="332" t="str">
        <f>Total!E2496</f>
        <v>Edificació</v>
      </c>
      <c r="F11" s="96" t="str">
        <f>Total!F2496</f>
        <v>Projectes i Direccions d'Obra</v>
      </c>
      <c r="G11" s="112" t="str">
        <f>Total!G2496</f>
        <v>PE+DO CCL-17255</v>
      </c>
      <c r="H11" s="112" t="str">
        <f>Total!H2496</f>
        <v>Concurs de projectes per a la redacció del projecte bàsic i executiu i la posterior direcció de les obres de Nova construcció d'una comissaria d'Àrea Bàsica policial, ABP amb galeria de pràctiques de tir a Mollerussa.</v>
      </c>
      <c r="I11" s="157">
        <f>Total!I2496</f>
        <v>558917</v>
      </c>
    </row>
    <row r="12" spans="1:9" x14ac:dyDescent="0.2">
      <c r="A12" s="8">
        <v>11</v>
      </c>
      <c r="B12" s="101">
        <f>Total!B2497</f>
        <v>44083</v>
      </c>
      <c r="C12" s="101">
        <f>Total!C2497</f>
        <v>44102</v>
      </c>
      <c r="D12" s="112" t="s">
        <v>1092</v>
      </c>
      <c r="E12" s="332" t="str">
        <f>Total!E2497</f>
        <v>Obra Civil</v>
      </c>
      <c r="F12" s="96" t="str">
        <f>Total!F2497</f>
        <v>Direccions d'Obra</v>
      </c>
      <c r="G12" s="112" t="str">
        <f>Total!G2497</f>
        <v>CSS. CG-12058</v>
      </c>
      <c r="H12" s="112" t="str">
        <f>Total!H2497</f>
        <v>Coordinació de Seguretat i Salut de les obres del projecte "Conservació extraordinària. Ponts i estructures. Rehabilitació del pont de la carretera C-252 sobre el riu Ter, del PK 10+700 a l'11+300. Tram: Ultramort-Verges".</v>
      </c>
      <c r="I12" s="157">
        <f>Total!I2497</f>
        <v>24600</v>
      </c>
    </row>
    <row r="13" spans="1:9" x14ac:dyDescent="0.2">
      <c r="A13" s="8">
        <v>12</v>
      </c>
      <c r="B13" s="101">
        <f>Total!B2498</f>
        <v>44083</v>
      </c>
      <c r="C13" s="101">
        <f>Total!C2498</f>
        <v>44102</v>
      </c>
      <c r="D13" s="112" t="s">
        <v>1092</v>
      </c>
      <c r="E13" s="332" t="str">
        <f>Total!E2498</f>
        <v>Obra Civil</v>
      </c>
      <c r="F13" s="96" t="str">
        <f>Total!F2498</f>
        <v>Direccions d'Obra</v>
      </c>
      <c r="G13" s="112" t="str">
        <f>Total!G2498</f>
        <v>DO. CG-12058</v>
      </c>
      <c r="H13" s="112" t="str">
        <f>Total!H2498</f>
        <v>Contracte de serveis per a la direcció de les obres de conservació extraordinària. ponts i estructures. Rehabilitació del pont de la carretera C-252 sobre el riu Ter, del PK 10+700 a l'11+300. Tram: Ultramort - Verges.</v>
      </c>
      <c r="I13" s="157">
        <f>Total!I2498</f>
        <v>122666.66</v>
      </c>
    </row>
    <row r="14" spans="1:9" x14ac:dyDescent="0.2">
      <c r="A14" s="8">
        <v>13</v>
      </c>
      <c r="B14" s="101">
        <f>Total!B2499</f>
        <v>44083</v>
      </c>
      <c r="C14" s="101">
        <f>Total!C2499</f>
        <v>44102</v>
      </c>
      <c r="D14" s="112" t="s">
        <v>1092</v>
      </c>
      <c r="E14" s="332" t="str">
        <f>Total!E2499</f>
        <v>Obra Civil</v>
      </c>
      <c r="F14" s="96" t="str">
        <f>Total!F2499</f>
        <v>Control de Qualitat</v>
      </c>
      <c r="G14" s="112" t="str">
        <f>Total!G2499</f>
        <v>CQ. CG-12058</v>
      </c>
      <c r="H14" s="112" t="str">
        <f>Total!H2499</f>
        <v>Contracte de serveis per a l'assistència tècnica de control de qualitat de les obres de conservació extraordinària. Ponts i estructures. Rehabilitació del pont de la carretera C-252 sobre el riu Ter, del PK 10+700 a l'11+300. Tram: Ultramort - Verges.</v>
      </c>
      <c r="I14" s="157">
        <f>Total!I2499</f>
        <v>49174.71</v>
      </c>
    </row>
    <row r="15" spans="1:9" x14ac:dyDescent="0.2">
      <c r="A15" s="8">
        <v>14</v>
      </c>
      <c r="B15" s="101">
        <f>Total!B2500</f>
        <v>44083</v>
      </c>
      <c r="C15" s="101">
        <f>Total!C2500</f>
        <v>44102</v>
      </c>
      <c r="D15" s="112" t="s">
        <v>1092</v>
      </c>
      <c r="E15" s="332" t="str">
        <f>Total!E2500</f>
        <v>Edificació</v>
      </c>
      <c r="F15" s="96" t="str">
        <f>Total!F2500</f>
        <v>Direccions d'execució</v>
      </c>
      <c r="G15" s="112" t="str">
        <f>Total!G2500</f>
        <v>DE. HGG-17213 + HGG-17216</v>
      </c>
      <c r="H15" s="112" t="str">
        <f>Total!H2500</f>
        <v>Contracte de serveis per a l'assistència tècnica de direcció d'execució de les obres d'ampliació del Bloc quirúrgic de l'Hospital de Blanes. Clau: HGG-17213 i d'instal·lacions de l'ampliació del Bloc quirúrgic de l'Hospital de Blanes.</v>
      </c>
      <c r="I15" s="157">
        <f>Total!I2500</f>
        <v>173697.56</v>
      </c>
    </row>
    <row r="16" spans="1:9" x14ac:dyDescent="0.2">
      <c r="A16" s="8">
        <v>15</v>
      </c>
      <c r="B16" s="101">
        <f>Total!B2501</f>
        <v>44083</v>
      </c>
      <c r="C16" s="101">
        <f>Total!C2501</f>
        <v>44102</v>
      </c>
      <c r="D16" s="112" t="s">
        <v>1092</v>
      </c>
      <c r="E16" s="332" t="str">
        <f>Total!E2501</f>
        <v>Edificació</v>
      </c>
      <c r="F16" s="96" t="str">
        <f>Total!F2501</f>
        <v>Control de Qualitat</v>
      </c>
      <c r="G16" s="112" t="str">
        <f>Total!G2501</f>
        <v>CQ. HGG-17213 + HGG-17216</v>
      </c>
      <c r="H16" s="112" t="str">
        <f>Total!H2501</f>
        <v>Contracte de serveis per a l'assistència tècnica de control de qualitat de les obres d'ampliació del Bloc quirúrgic de l'Hospital de Blanes. Clau: HGG-17213 i d'instal·lacions de l'ampliació del Bloc quirúrgic de l'Hospital de Blanes.</v>
      </c>
      <c r="I16" s="157">
        <f>Total!I2501</f>
        <v>38841.07</v>
      </c>
    </row>
    <row r="17" spans="1:9" x14ac:dyDescent="0.2">
      <c r="A17" s="8">
        <v>16</v>
      </c>
      <c r="B17" s="101">
        <f>Total!B2502</f>
        <v>44083</v>
      </c>
      <c r="C17" s="101">
        <f>Total!C2502</f>
        <v>44102</v>
      </c>
      <c r="D17" s="112" t="s">
        <v>1092</v>
      </c>
      <c r="E17" s="332" t="str">
        <f>Total!E2502</f>
        <v>Edificació</v>
      </c>
      <c r="F17" s="96" t="str">
        <f>Total!F2502</f>
        <v>Direccions d'execució</v>
      </c>
      <c r="G17" s="112" t="str">
        <f>Total!G2502</f>
        <v>CSS. HGG-17213+HGG-17216</v>
      </c>
      <c r="H17" s="112" t="str">
        <f>Total!H2502</f>
        <v>Contracte de serveis per a l'assistència tècnica de seguretat i salut conjunta de les obres d'ampliació del Bloc quirúrgic de l'Hospital de Blanes. Clau: HGG-17213 i d'instal·lacions de l'ampliació del Bloc quirúrgic de l'Hospital de Blanes.</v>
      </c>
      <c r="I17" s="157">
        <f>Total!I2502</f>
        <v>52080</v>
      </c>
    </row>
    <row r="18" spans="1:9" x14ac:dyDescent="0.2">
      <c r="A18" s="8">
        <v>17</v>
      </c>
      <c r="B18" s="101">
        <f>Total!B2503</f>
        <v>44084</v>
      </c>
      <c r="C18" s="101">
        <f>Total!C2503</f>
        <v>44102</v>
      </c>
      <c r="D18" s="112" t="s">
        <v>1092</v>
      </c>
      <c r="E18" s="332" t="str">
        <f>Total!E2503</f>
        <v>Obra Civil</v>
      </c>
      <c r="F18" s="96" t="str">
        <f>Total!F2503</f>
        <v>Control de Qualitat</v>
      </c>
      <c r="G18" s="112" t="str">
        <f>Total!G2503</f>
        <v>CQ. MT-15024</v>
      </c>
      <c r="H18" s="112" t="str">
        <f>Total!H2503</f>
        <v>Contracte de serveis per a l'assistència tècnica de control de qualitat de les obres de millora local. Seguretat viària. Condicionament urbà de la carretera C-31, del PK 143+600 al 146+640. Tram: Cunit.</v>
      </c>
      <c r="I18" s="157">
        <f>Total!I2503</f>
        <v>15376.99</v>
      </c>
    </row>
    <row r="19" spans="1:9" x14ac:dyDescent="0.2">
      <c r="A19" s="8">
        <v>18</v>
      </c>
      <c r="B19" s="101">
        <f>Total!B2504</f>
        <v>44084</v>
      </c>
      <c r="C19" s="101">
        <f>Total!C2504</f>
        <v>44102</v>
      </c>
      <c r="D19" s="112" t="s">
        <v>1092</v>
      </c>
      <c r="E19" s="332" t="str">
        <f>Total!E2504</f>
        <v>Obra Civil</v>
      </c>
      <c r="F19" s="96" t="str">
        <f>Total!F2504</f>
        <v>Direccions d'Obra</v>
      </c>
      <c r="G19" s="112" t="str">
        <f>Total!G2504</f>
        <v>CSS. MT-15024</v>
      </c>
      <c r="H19" s="112" t="str">
        <f>Total!H2504</f>
        <v>Contracte de serveis per a l'Assistència Tècnica de Coordinació de Seguretat i Salut de les obres del projecte constructiu de Millora local. Seguretat Viària. Condicionament urbà de la carretera C-31, del PK 143+600 al 146+640. Tram: Cunit.</v>
      </c>
      <c r="I19" s="157">
        <f>Total!I2504</f>
        <v>13404</v>
      </c>
    </row>
    <row r="20" spans="1:9" x14ac:dyDescent="0.2">
      <c r="A20" s="8">
        <v>19</v>
      </c>
      <c r="B20" s="101">
        <f>Total!B2505</f>
        <v>44084</v>
      </c>
      <c r="C20" s="101">
        <f>Total!C2505</f>
        <v>44102</v>
      </c>
      <c r="D20" s="112" t="s">
        <v>1092</v>
      </c>
      <c r="E20" s="332" t="str">
        <f>Total!E2505</f>
        <v>Obra Civil</v>
      </c>
      <c r="F20" s="96" t="str">
        <f>Total!F2505</f>
        <v>Direccions d'Obra</v>
      </c>
      <c r="G20" s="112" t="str">
        <f>Total!G2505</f>
        <v>DO. MT-15024</v>
      </c>
      <c r="H20" s="112" t="str">
        <f>Total!H2505</f>
        <v>Contracte de serveis per a la direcció de les obres de millora local. Seguretat viària. Condicionament urbà de la carretera C-31, del PK 143+600 al 146+640. Tram: Cunit.</v>
      </c>
      <c r="I20" s="157">
        <f>Total!I2505</f>
        <v>59720</v>
      </c>
    </row>
    <row r="21" spans="1:9" x14ac:dyDescent="0.2">
      <c r="A21" s="8">
        <v>20</v>
      </c>
      <c r="B21" s="101">
        <f>Total!B2506</f>
        <v>44089</v>
      </c>
      <c r="C21" s="101">
        <f>Total!C2506</f>
        <v>44109</v>
      </c>
      <c r="D21" s="112" t="s">
        <v>1092</v>
      </c>
      <c r="E21" s="332" t="str">
        <f>Total!E2506</f>
        <v>Edificació</v>
      </c>
      <c r="F21" s="96" t="str">
        <f>Total!F2506</f>
        <v>Direccions d'execució</v>
      </c>
      <c r="G21" s="112" t="str">
        <f>Total!G2506</f>
        <v>DE. S11-PNC-08478 (VO3)</v>
      </c>
      <c r="H21" s="112" t="str">
        <f>Total!H2506</f>
        <v>Contracte de serveis per a l'assistència tècnica per a la direcció d'execució de les obres d'Actuacions de vicis ocults per a resoldre les deficiències detectades a les cobertes del CEIP Cal Soler de Sant Vicenç de Castellet.</v>
      </c>
      <c r="I21" s="157">
        <f>Total!I2506</f>
        <v>6200</v>
      </c>
    </row>
    <row r="22" spans="1:9" x14ac:dyDescent="0.2">
      <c r="A22" s="8">
        <v>21</v>
      </c>
      <c r="B22" s="101">
        <f>Total!B2507</f>
        <v>44089</v>
      </c>
      <c r="C22" s="101">
        <f>Total!C2507</f>
        <v>44109</v>
      </c>
      <c r="D22" s="112" t="s">
        <v>1092</v>
      </c>
      <c r="E22" s="332" t="str">
        <f>Total!E2507</f>
        <v>Edificació</v>
      </c>
      <c r="F22" s="96" t="str">
        <f>Total!F2507</f>
        <v>Control de Qualitat</v>
      </c>
      <c r="G22" s="112" t="str">
        <f>Total!G2507</f>
        <v>CQ. S11-PNC-08478 (VO3)</v>
      </c>
      <c r="H22" s="112" t="str">
        <f>Total!H2507</f>
        <v>Contracte de serveis per a l'assistència tècnica de control de qualitat de les obres d'Actuacions de vicis ocults per a resoldre les deficiències detectades a les cobertes del CEIP Cal Soler de Sant Vicenç de Castellet.</v>
      </c>
      <c r="I22" s="157">
        <f>Total!I2507</f>
        <v>3204.5</v>
      </c>
    </row>
    <row r="23" spans="1:9" x14ac:dyDescent="0.2">
      <c r="A23" s="8">
        <v>22</v>
      </c>
      <c r="B23" s="101">
        <f>Total!B2508</f>
        <v>44089</v>
      </c>
      <c r="C23" s="101">
        <f>Total!C2508</f>
        <v>44109</v>
      </c>
      <c r="D23" s="112" t="s">
        <v>1092</v>
      </c>
      <c r="E23" s="332" t="str">
        <f>Total!E2508</f>
        <v>Edificació</v>
      </c>
      <c r="F23" s="96" t="str">
        <f>Total!F2508</f>
        <v>Direccions d'execució</v>
      </c>
      <c r="G23" s="112" t="str">
        <f>Total!G2508</f>
        <v>CSS. S11-PNC-08478 (VO3)</v>
      </c>
      <c r="H23" s="112" t="str">
        <f>Total!H2508</f>
        <v>Contracte de serveis per a l'assistència tècnica de coordinació de seguretat i salut de les obres d'Actuacions de vicis ocults per a resoldre les deficiències detectades a les cobertes del CEIP Cal Soler de Sant Vicenç de Castellet.</v>
      </c>
      <c r="I23" s="157">
        <f>Total!I2508</f>
        <v>2880</v>
      </c>
    </row>
    <row r="24" spans="1:9" x14ac:dyDescent="0.2">
      <c r="A24" s="8">
        <v>23</v>
      </c>
      <c r="B24" s="101">
        <f>Total!B2509</f>
        <v>44092</v>
      </c>
      <c r="C24" s="101">
        <f>Total!C2509</f>
        <v>44109</v>
      </c>
      <c r="D24" s="112" t="s">
        <v>1092</v>
      </c>
      <c r="E24" s="332" t="str">
        <f>Total!E2509</f>
        <v>Obra Civil</v>
      </c>
      <c r="F24" s="96" t="str">
        <f>Total!F2509</f>
        <v>Direcció d'obra</v>
      </c>
      <c r="G24" s="112" t="str">
        <f>Total!G2509</f>
        <v>ATAM. CG-12058</v>
      </c>
      <c r="H24" s="112" t="str">
        <f>Total!H2509</f>
        <v>A.T. Ambiental per a les obres de Conservació extraordinària. Ponts i estructures. Rehabilitació del pont de la carretera C-252 sobre el riu Ter, del PK 10+700 a l'11+300. Tram: Ultramort-Verges. Clau: CG-12058.</v>
      </c>
      <c r="I24" s="157">
        <f>Total!I2509</f>
        <v>14124</v>
      </c>
    </row>
    <row r="25" spans="1:9" x14ac:dyDescent="0.2">
      <c r="A25" s="8">
        <v>24</v>
      </c>
      <c r="B25" s="101">
        <f>Total!B2510</f>
        <v>44096</v>
      </c>
      <c r="C25" s="101">
        <f>Total!C2510</f>
        <v>44118</v>
      </c>
      <c r="D25" s="112" t="s">
        <v>1092</v>
      </c>
      <c r="E25" s="332" t="str">
        <f>Total!E2510</f>
        <v>Edificació</v>
      </c>
      <c r="F25" s="96" t="str">
        <f>Total!F2510</f>
        <v>Direcció d'Execució</v>
      </c>
      <c r="G25" s="112" t="str">
        <f>Total!G2510</f>
        <v>CSS. CAP-17268</v>
      </c>
      <c r="H25" s="112" t="str">
        <f>Total!H2510</f>
        <v>Contracte de serveis per a l'assistència tècnica de coordinació de seguretat i salut de les obres del projecte d'ampliació i reforma del CAP Roquetes, de Sant Pere de Ribes.</v>
      </c>
      <c r="I25" s="157">
        <f>Total!I2510</f>
        <v>28200</v>
      </c>
    </row>
    <row r="26" spans="1:9" x14ac:dyDescent="0.2">
      <c r="A26" s="8">
        <v>25</v>
      </c>
      <c r="B26" s="101">
        <f>Total!B2511</f>
        <v>44096</v>
      </c>
      <c r="C26" s="101">
        <f>Total!C2511</f>
        <v>44118</v>
      </c>
      <c r="D26" s="112" t="s">
        <v>1092</v>
      </c>
      <c r="E26" s="332" t="str">
        <f>Total!E2511</f>
        <v>Edificació</v>
      </c>
      <c r="F26" s="96" t="str">
        <f>Total!F2511</f>
        <v>Control de Qualitat</v>
      </c>
      <c r="G26" s="112" t="str">
        <f>Total!G2511</f>
        <v>CQ. CAP-17268</v>
      </c>
      <c r="H26" s="112" t="str">
        <f>Total!H2511</f>
        <v>Contracte de serveis per a l'assistència tècnica de control de qualitat de les obres d'ampliació i reforma del CAP Roquetes de Sant Pere de Ribes.</v>
      </c>
      <c r="I26" s="157">
        <f>Total!I2511</f>
        <v>28617.91</v>
      </c>
    </row>
    <row r="27" spans="1:9" x14ac:dyDescent="0.2">
      <c r="A27" s="8">
        <v>26</v>
      </c>
      <c r="B27" s="101">
        <f>Total!B2512</f>
        <v>44096</v>
      </c>
      <c r="C27" s="101">
        <f>Total!C2512</f>
        <v>44118</v>
      </c>
      <c r="D27" s="112" t="s">
        <v>1092</v>
      </c>
      <c r="E27" s="332" t="str">
        <f>Total!E2512</f>
        <v>Edificació</v>
      </c>
      <c r="F27" s="96" t="str">
        <f>Total!F2512</f>
        <v>Direcció d'Execució</v>
      </c>
      <c r="G27" s="112" t="str">
        <f>Total!G2512</f>
        <v>DE. CAP-17268</v>
      </c>
      <c r="H27" s="112" t="str">
        <f>Total!H2512</f>
        <v>Contracte de serveis per a l'assistència tècnica de direcció d'execució de les obres d'ampliació i reforma del CAP Roquetes de Sant Pere de Ribes.</v>
      </c>
      <c r="I27" s="157">
        <f>Total!I2512</f>
        <v>94027.03</v>
      </c>
    </row>
    <row r="28" spans="1:9" x14ac:dyDescent="0.2">
      <c r="A28" s="8">
        <v>27</v>
      </c>
      <c r="B28" s="101">
        <f>Total!B2513</f>
        <v>44099</v>
      </c>
      <c r="C28" s="101">
        <f>Total!C2513</f>
        <v>44123</v>
      </c>
      <c r="D28" s="112" t="s">
        <v>1092</v>
      </c>
      <c r="E28" s="332" t="str">
        <f>Total!E2513</f>
        <v>Obra Civil</v>
      </c>
      <c r="F28" s="96" t="str">
        <f>Total!F2513</f>
        <v>Projectes</v>
      </c>
      <c r="G28" s="112" t="str">
        <f>Total!G2513</f>
        <v>EV. EX-XG-07052</v>
      </c>
      <c r="H28" s="112" t="str">
        <f>Total!H2513</f>
        <v>Redacció del document ambiental del projecte constructiu Variant de Vilamacolum des de l'accés de la C-31. Tram: Vilamacolum.</v>
      </c>
      <c r="I28" s="157">
        <f>Total!I2513</f>
        <v>13800</v>
      </c>
    </row>
    <row r="29" spans="1:9" x14ac:dyDescent="0.2">
      <c r="A29" s="8">
        <v>28</v>
      </c>
      <c r="B29" s="101">
        <f>Total!B2514</f>
        <v>44102</v>
      </c>
      <c r="C29" s="101">
        <f>Total!C2514</f>
        <v>44118</v>
      </c>
      <c r="D29" s="112" t="s">
        <v>1092</v>
      </c>
      <c r="E29" s="332" t="str">
        <f>Total!E2514</f>
        <v>Obra Civil</v>
      </c>
      <c r="F29" s="96" t="str">
        <f>Total!F2514</f>
        <v>Projectes</v>
      </c>
      <c r="G29" s="112" t="str">
        <f>Total!G2514</f>
        <v>EV. EX-CXC-20051</v>
      </c>
      <c r="H29" s="112" t="str">
        <f>Total!H2514</f>
        <v>Contracte de serveis per a l'assistència tècnica per a la redacció dels treballs de redacció dels annexos d'actualització d'estudis i projectes de carreteres de la DGIM.</v>
      </c>
      <c r="I29" s="157">
        <f>Total!I2514</f>
        <v>160000</v>
      </c>
    </row>
    <row r="30" spans="1:9" x14ac:dyDescent="0.2">
      <c r="A30" s="8">
        <v>29</v>
      </c>
      <c r="B30" s="101">
        <f>Total!B2515</f>
        <v>44104</v>
      </c>
      <c r="C30" s="101">
        <f>Total!C2515</f>
        <v>44130</v>
      </c>
      <c r="D30" s="112" t="s">
        <v>1092</v>
      </c>
      <c r="E30" s="332" t="str">
        <f>Total!E2515</f>
        <v>Edificació</v>
      </c>
      <c r="F30" s="96" t="str">
        <f>Total!F2515</f>
        <v>Projectes i Direccions d'Obra</v>
      </c>
      <c r="G30" s="112" t="str">
        <f>Total!G2515</f>
        <v>PE+DO. CAP-20265</v>
      </c>
      <c r="H30" s="112" t="str">
        <f>Total!H2515</f>
        <v>Concurs de projectes per a la redacció del projecte bàsic i executiu i la posterior direcció de les obres del Nou Cap Raval Nord, de Barcelona.</v>
      </c>
      <c r="I30" s="157">
        <f>Total!I2515</f>
        <v>548642.4</v>
      </c>
    </row>
    <row r="31" spans="1:9" x14ac:dyDescent="0.2">
      <c r="I31" s="126">
        <f>SUM(I2:I30)</f>
        <v>2746549.39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3"/>
  <sheetViews>
    <sheetView workbookViewId="0">
      <selection activeCell="C29" sqref="C29"/>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Total!B2475</f>
        <v>44046</v>
      </c>
      <c r="C2" s="101">
        <f>Total!C2475</f>
        <v>44088</v>
      </c>
      <c r="D2" s="112" t="s">
        <v>1092</v>
      </c>
      <c r="E2" s="332" t="str">
        <f>Total!E2475</f>
        <v>Edificació</v>
      </c>
      <c r="F2" s="96" t="str">
        <f>Total!F2475</f>
        <v>Projectes i Direccions d'Obra</v>
      </c>
      <c r="G2" s="112" t="str">
        <f>Total!G2475</f>
        <v>PE+DO. JVX-20216</v>
      </c>
      <c r="H2" s="112" t="str">
        <f>Total!H2475</f>
        <v>Serveis per a l'assistència tècnica per a la redacció del projecte bàsic i executiu i la posterior direcció de les obres RAM per a l'adequació de la instal·lació de AFS i ACS del Centre Penitenciari de Brians 1.</v>
      </c>
      <c r="I2" s="157">
        <f>Total!I2475</f>
        <v>195686.68</v>
      </c>
    </row>
    <row r="3" spans="1:9" x14ac:dyDescent="0.2">
      <c r="A3" s="8">
        <v>2</v>
      </c>
      <c r="B3" s="101">
        <f>Total!B2476</f>
        <v>44047</v>
      </c>
      <c r="C3" s="101">
        <f>Total!C2476</f>
        <v>44109</v>
      </c>
      <c r="D3" s="112" t="s">
        <v>1092</v>
      </c>
      <c r="E3" s="332" t="str">
        <f>Total!E2476</f>
        <v>Obra Civil</v>
      </c>
      <c r="F3" s="96" t="str">
        <f>Total!F2476</f>
        <v>Projectes</v>
      </c>
      <c r="G3" s="112" t="str">
        <f>Total!G2476</f>
        <v>EV. EP-CIB-20062</v>
      </c>
      <c r="H3" s="112" t="str">
        <f>Total!H2476</f>
        <v>Contracte de serveis per a a l'assistència tècnica per a la redacció de l'estudi previ "Distribució de mobilitat al corredor de la C-32 al Maresme i el corredor de la C-33 amb l'alliberament del peatge, millores i proposta de reconfiguració viària".</v>
      </c>
      <c r="I3" s="157">
        <f>Total!I2476</f>
        <v>247639</v>
      </c>
    </row>
    <row r="4" spans="1:9" x14ac:dyDescent="0.2">
      <c r="A4" s="8">
        <v>3</v>
      </c>
      <c r="B4" s="101">
        <f>Total!B2478</f>
        <v>44048</v>
      </c>
      <c r="C4" s="101">
        <f>Total!C2478</f>
        <v>44095</v>
      </c>
      <c r="D4" s="112" t="s">
        <v>1092</v>
      </c>
      <c r="E4" s="332" t="str">
        <f>Total!E2478</f>
        <v>Obra Civil</v>
      </c>
      <c r="F4" s="96" t="str">
        <f>Total!F2478</f>
        <v>Projectes</v>
      </c>
      <c r="G4" s="112" t="str">
        <f>Total!G2478</f>
        <v>PC. VR-20268</v>
      </c>
      <c r="H4" s="112" t="str">
        <f>Total!H2478</f>
        <v>Contracte de serveis per a l'assistència tècnica per a la redacció del Projecte constructiu de la transformació en regadiu de la zona de Vilaplana. TM de Baronia de Rialb.</v>
      </c>
      <c r="I4" s="157">
        <f>Total!I2478</f>
        <v>69000</v>
      </c>
    </row>
    <row r="5" spans="1:9" x14ac:dyDescent="0.2">
      <c r="A5" s="8">
        <v>4</v>
      </c>
      <c r="B5" s="101">
        <f>Total!B2479</f>
        <v>44048</v>
      </c>
      <c r="C5" s="101">
        <f>Total!C2479</f>
        <v>44095</v>
      </c>
      <c r="D5" s="112" t="s">
        <v>1092</v>
      </c>
      <c r="E5" s="332" t="str">
        <f>Total!E2479</f>
        <v>Obra Civil</v>
      </c>
      <c r="F5" s="96" t="str">
        <f>Total!F2479</f>
        <v>Projectes</v>
      </c>
      <c r="G5" s="112" t="str">
        <f>Total!G2479</f>
        <v>PC. PC-CPB-20008</v>
      </c>
      <c r="H5" s="112" t="str">
        <f>Total!H2479</f>
        <v>Contracte de serveis per a l'assistència tècnica per a la redacció del projecte constructiu. Rotonda a la intersecció de la BP-1417 al PK 5+100 amb la BV-1418. Barcelona i Sant Cugat del Vallès.</v>
      </c>
      <c r="I5" s="157">
        <f>Total!I2479</f>
        <v>34500</v>
      </c>
    </row>
    <row r="6" spans="1:9" x14ac:dyDescent="0.2">
      <c r="A6" s="8">
        <v>5</v>
      </c>
      <c r="B6" s="101">
        <f>Total!B2480</f>
        <v>44048</v>
      </c>
      <c r="C6" s="101">
        <f>Total!C2480</f>
        <v>44095</v>
      </c>
      <c r="D6" s="112" t="s">
        <v>1092</v>
      </c>
      <c r="E6" s="332" t="str">
        <f>Total!E2480</f>
        <v>Obra Civil</v>
      </c>
      <c r="F6" s="96" t="str">
        <f>Total!F2480</f>
        <v>Projectes</v>
      </c>
      <c r="G6" s="112" t="str">
        <f>Total!G2480</f>
        <v>PC. PC-CPB-19044</v>
      </c>
      <c r="H6" s="112" t="str">
        <f>Total!H2480</f>
        <v>Contracte de serveis per a l'assistència tècnica per a la redacció del projecte constructiu. Rotonda a la N-150 al PK 15+400. Terrassa.</v>
      </c>
      <c r="I6" s="157">
        <f>Total!I2480</f>
        <v>37300</v>
      </c>
    </row>
    <row r="7" spans="1:9" x14ac:dyDescent="0.2">
      <c r="A7" s="8">
        <v>6</v>
      </c>
      <c r="B7" s="101">
        <f>Total!B2481</f>
        <v>44049</v>
      </c>
      <c r="C7" s="101">
        <f>Total!C2481</f>
        <v>44095</v>
      </c>
      <c r="D7" s="112" t="s">
        <v>1092</v>
      </c>
      <c r="E7" s="332" t="str">
        <f>Total!E2481</f>
        <v>Obra Civil</v>
      </c>
      <c r="F7" s="96" t="str">
        <f>Total!F2481</f>
        <v>Projectes</v>
      </c>
      <c r="G7" s="112" t="str">
        <f>Total!G2481</f>
        <v>IA. IA-TM-04426-A2</v>
      </c>
      <c r="H7" s="112" t="str">
        <f>Total!H2481</f>
        <v>Contracte de serveis per a l'assistència tècnica per a la redacció de l'estudi d'impacte ambiental actualitzat núm. 2 del Perllongament de la línia 4 dels FMB. La Pau- Sagrera/Meridiana. Barcelona.</v>
      </c>
      <c r="I7" s="157">
        <f>Total!I2481</f>
        <v>60000</v>
      </c>
    </row>
    <row r="8" spans="1:9" x14ac:dyDescent="0.2">
      <c r="A8" s="8">
        <v>7</v>
      </c>
      <c r="B8" s="101">
        <f>Total!B2482</f>
        <v>44049</v>
      </c>
      <c r="C8" s="101">
        <f>Total!C2482</f>
        <v>44095</v>
      </c>
      <c r="D8" s="112" t="s">
        <v>1092</v>
      </c>
      <c r="E8" s="332" t="str">
        <f>Total!E2482</f>
        <v>Obra Civil</v>
      </c>
      <c r="F8" s="96" t="str">
        <f>Total!F2482</f>
        <v>Projectes</v>
      </c>
      <c r="G8" s="112" t="str">
        <f>Total!G2482</f>
        <v>EI. EI-TM-04426-A2</v>
      </c>
      <c r="H8" s="112" t="str">
        <f>Total!H2482</f>
        <v>Contracte de serveis per a l'assistència tècnica per a la redacció de l'estudi informatiu actualitzat núm. 2 del Perllongament de la línia 4 dels FMB. La Pau- Sagrera/Meridiana. Barcelona.</v>
      </c>
      <c r="I8" s="157">
        <f>Total!I2482</f>
        <v>140000</v>
      </c>
    </row>
    <row r="9" spans="1:9" x14ac:dyDescent="0.2">
      <c r="A9" s="8">
        <v>8</v>
      </c>
      <c r="B9" s="101">
        <f>Total!B2483</f>
        <v>44050</v>
      </c>
      <c r="C9" s="101">
        <f>Total!C2483</f>
        <v>44109</v>
      </c>
      <c r="D9" s="112" t="s">
        <v>1092</v>
      </c>
      <c r="E9" s="332" t="str">
        <f>Total!E2483</f>
        <v>Obra Civil</v>
      </c>
      <c r="F9" s="96" t="str">
        <f>Total!F2483</f>
        <v>Projectes</v>
      </c>
      <c r="G9" s="112" t="str">
        <f>Total!G2483</f>
        <v>PC. TM-00509.52</v>
      </c>
      <c r="H9" s="112" t="str">
        <f>Total!H2483</f>
        <v>Contrato de servicios para la asistencia técnica para la redacción del proyecto constructivo de la linea 9 de Metro Barcelona. Estaciones Sanllehy y Maragall (estructuras metálicas y vestíbulos y accesos).</v>
      </c>
      <c r="I9" s="157">
        <f>Total!I2483</f>
        <v>300000</v>
      </c>
    </row>
    <row r="10" spans="1:9" x14ac:dyDescent="0.2">
      <c r="A10" s="8">
        <v>9</v>
      </c>
      <c r="B10" s="101">
        <f>Total!B2484</f>
        <v>44050</v>
      </c>
      <c r="C10" s="101">
        <f>Total!C2484</f>
        <v>44109</v>
      </c>
      <c r="D10" s="112" t="s">
        <v>1092</v>
      </c>
      <c r="E10" s="332" t="str">
        <f>Total!E2484</f>
        <v>Obra Civil</v>
      </c>
      <c r="F10" s="96" t="str">
        <f>Total!F2484</f>
        <v>Projectes</v>
      </c>
      <c r="G10" s="112" t="str">
        <f>Total!G2484</f>
        <v>PC. TM-00509.50</v>
      </c>
      <c r="H10" s="112" t="str">
        <f>Total!H2484</f>
        <v>Contrato de servicios para la asistencia técnica para la redacción del proyecto constructivo de la linea 9 de Metro Barcelona. Estaciones Lesseps y Guinardó (estructuras metálicas y vestíbulos y accesos) y acondicionamiento de la estación Sanllehy y …</v>
      </c>
      <c r="I10" s="157">
        <f>Total!I2484</f>
        <v>450000</v>
      </c>
    </row>
    <row r="11" spans="1:9" x14ac:dyDescent="0.2">
      <c r="A11" s="8">
        <v>10</v>
      </c>
      <c r="B11" s="101">
        <f>Total!B2485</f>
        <v>44050</v>
      </c>
      <c r="C11" s="101">
        <f>Total!C2485</f>
        <v>44109</v>
      </c>
      <c r="D11" s="112" t="s">
        <v>1092</v>
      </c>
      <c r="E11" s="332" t="str">
        <f>Total!E2485</f>
        <v>Obra Civil</v>
      </c>
      <c r="F11" s="96" t="str">
        <f>Total!F2485</f>
        <v>Projectes</v>
      </c>
      <c r="G11" s="112" t="str">
        <f>Total!G2485</f>
        <v>PC. NB-01134.F1-A1</v>
      </c>
      <c r="H11" s="112" t="str">
        <f>Total!H2485</f>
        <v>Contrato de servicios para la asistencia técnica para la redacción del proyecto constructivo ''Eje del Llobregat. Desdoblamiento de la C-16, del PK 96+500 al 102+500. Implantación de un tercer carril reversible en la C-16, del PK 102+500 al 117+300. Berga</v>
      </c>
      <c r="I11" s="157">
        <f>Total!I2485</f>
        <v>1220500</v>
      </c>
    </row>
    <row r="12" spans="1:9" x14ac:dyDescent="0.2">
      <c r="A12" s="8">
        <v>11</v>
      </c>
      <c r="B12" s="101">
        <f>Total!B2486</f>
        <v>44050</v>
      </c>
      <c r="C12" s="101">
        <f>Total!C2486</f>
        <v>44109</v>
      </c>
      <c r="D12" s="112" t="s">
        <v>1092</v>
      </c>
      <c r="E12" s="332" t="str">
        <f>Total!E2486</f>
        <v>Edificació</v>
      </c>
      <c r="F12" s="96" t="str">
        <f>Total!F2486</f>
        <v>Projectes i Direccions d'Obra</v>
      </c>
      <c r="G12" s="112" t="str">
        <f>Total!G2486</f>
        <v>PE+DO. CAP-18349</v>
      </c>
      <c r="H12" s="112" t="str">
        <f>Total!H2486</f>
        <v>Concurs de projetes per a la redacció del serveis de redacció del projecte bàsic, el projecte executiu i la posterior Direcció d'obra d'ampliació del Centre d'Atenció Primària de l'Arboç.</v>
      </c>
      <c r="I12" s="157">
        <f>Total!I2486</f>
        <v>309679.98</v>
      </c>
    </row>
    <row r="13" spans="1:9" x14ac:dyDescent="0.2">
      <c r="I13" s="126">
        <f>SUM(I2:I12)</f>
        <v>3064305.6599999997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13"/>
  <sheetViews>
    <sheetView topLeftCell="A76" workbookViewId="0">
      <selection activeCell="L101" sqref="L101"/>
    </sheetView>
  </sheetViews>
  <sheetFormatPr baseColWidth="10" defaultColWidth="11.42578125" defaultRowHeight="12.75" x14ac:dyDescent="0.2"/>
  <cols>
    <col min="1" max="1" width="8.28515625" customWidth="1"/>
    <col min="3" max="3" width="25.28515625" bestFit="1" customWidth="1"/>
    <col min="5" max="5" width="16.140625" bestFit="1" customWidth="1"/>
    <col min="7" max="7" width="16.140625" bestFit="1" customWidth="1"/>
    <col min="9" max="9" width="16.140625" bestFit="1" customWidth="1"/>
    <col min="11" max="11" width="16.140625" bestFit="1" customWidth="1"/>
    <col min="13" max="13" width="16.140625" bestFit="1" customWidth="1"/>
  </cols>
  <sheetData>
    <row r="1" spans="1:13" x14ac:dyDescent="0.2">
      <c r="A1" s="440" t="s">
        <v>5428</v>
      </c>
      <c r="B1" s="440"/>
      <c r="C1" s="440"/>
      <c r="D1" s="440"/>
      <c r="E1" s="440"/>
      <c r="F1" s="440"/>
      <c r="G1" s="440"/>
      <c r="H1" s="440"/>
      <c r="I1" s="440"/>
      <c r="J1" s="440"/>
      <c r="K1" s="440"/>
    </row>
    <row r="2" spans="1:13" ht="25.5" customHeight="1" x14ac:dyDescent="0.2">
      <c r="A2" s="10"/>
      <c r="B2" s="10"/>
      <c r="C2" s="10"/>
    </row>
    <row r="3" spans="1:13" ht="12.75" customHeight="1" x14ac:dyDescent="0.2">
      <c r="D3" s="421">
        <v>2010</v>
      </c>
      <c r="E3" s="421"/>
      <c r="F3" s="421">
        <v>2011</v>
      </c>
      <c r="G3" s="421"/>
      <c r="H3" s="421">
        <v>2012</v>
      </c>
      <c r="I3" s="421"/>
      <c r="J3" s="437" t="s">
        <v>1032</v>
      </c>
      <c r="K3" s="438"/>
      <c r="L3" s="437" t="s">
        <v>1047</v>
      </c>
      <c r="M3" s="438"/>
    </row>
    <row r="4" spans="1:13" ht="12.75" customHeight="1" x14ac:dyDescent="0.2">
      <c r="D4" s="8" t="s">
        <v>898</v>
      </c>
      <c r="E4" s="8" t="s">
        <v>843</v>
      </c>
      <c r="F4" s="8" t="s">
        <v>898</v>
      </c>
      <c r="G4" s="8" t="s">
        <v>843</v>
      </c>
      <c r="H4" s="8" t="s">
        <v>898</v>
      </c>
      <c r="I4" s="8" t="s">
        <v>843</v>
      </c>
      <c r="J4" s="8" t="s">
        <v>898</v>
      </c>
      <c r="K4" s="8" t="s">
        <v>843</v>
      </c>
      <c r="L4" s="8" t="s">
        <v>898</v>
      </c>
      <c r="M4" s="8" t="s">
        <v>843</v>
      </c>
    </row>
    <row r="5" spans="1:13" ht="12.75" customHeight="1" x14ac:dyDescent="0.2">
      <c r="A5" s="19" t="s">
        <v>66</v>
      </c>
      <c r="B5" s="19" t="s">
        <v>422</v>
      </c>
      <c r="C5" s="20" t="s">
        <v>701</v>
      </c>
      <c r="D5" s="41">
        <f>46+6+1+2+1</f>
        <v>56</v>
      </c>
      <c r="E5" s="6">
        <f>11782792.6+11937394.28+78300+342000+190000</f>
        <v>24330486.879999999</v>
      </c>
      <c r="F5" s="59">
        <f>7+9+19+6+3+4-1+14</f>
        <v>61</v>
      </c>
      <c r="G5" s="6">
        <f>1785600+2985789.65+6424281.38+1290445.52+1225253+1776713-185000+4333261</f>
        <v>19636343.550000001</v>
      </c>
      <c r="H5" s="59">
        <f>'Nº Anuncis Mensual'!D38+'Nº Anuncis Mensual'!F38+'Nº Anuncis Mensual'!H38+'Nº Anuncis Mensual'!J38+'Nº Anuncis Mensual'!L38+'Nº Anuncis Mensual'!N38+'Nº Anuncis Mensual'!P38+'Nº Anuncis Mensual'!R38+'Nº Anuncis Mensual'!T38+'Nº Anuncis Mensual'!V38+'Nº Anuncis Mensual'!X38+'Nº Anuncis Mensual'!Z38</f>
        <v>28</v>
      </c>
      <c r="I5" s="6">
        <f>'Nº Anuncis Mensual'!E38+'Nº Anuncis Mensual'!G38+'Nº Anuncis Mensual'!I38+'Nº Anuncis Mensual'!K38+'Nº Anuncis Mensual'!M38+'Nº Anuncis Mensual'!O38+'Nº Anuncis Mensual'!Q38+'Nº Anuncis Mensual'!S38+'Nº Anuncis Mensual'!U38+'Nº Anuncis Mensual'!W38+'Nº Anuncis Mensual'!Y38+'Nº Anuncis Mensual'!AA38</f>
        <v>6769088</v>
      </c>
      <c r="J5" s="60">
        <f>F5-D5</f>
        <v>5</v>
      </c>
      <c r="K5" s="16">
        <f>G5-E5</f>
        <v>-4694143.3299999982</v>
      </c>
      <c r="L5" s="60">
        <f>H5-F5</f>
        <v>-33</v>
      </c>
      <c r="M5" s="16">
        <f>I5-G5</f>
        <v>-12867255.550000001</v>
      </c>
    </row>
    <row r="6" spans="1:13" ht="12.75" customHeight="1" x14ac:dyDescent="0.2">
      <c r="A6" s="21"/>
      <c r="B6" s="21"/>
      <c r="C6" s="20" t="s">
        <v>396</v>
      </c>
      <c r="D6" s="41">
        <f>29+3+2+9+3+2</f>
        <v>48</v>
      </c>
      <c r="E6" s="6">
        <f>19277705.67+1226605.78+1000+185328+5691322.39+870586.11+1278787.91</f>
        <v>28531335.860000003</v>
      </c>
      <c r="F6" s="59">
        <v>5</v>
      </c>
      <c r="G6" s="16">
        <f>446297+192000+140619.09</f>
        <v>778916.09</v>
      </c>
      <c r="H6" s="59">
        <f>'Nº Anuncis Mensual'!D39+'Nº Anuncis Mensual'!F39+'Nº Anuncis Mensual'!H39+'Nº Anuncis Mensual'!J39+'Nº Anuncis Mensual'!L39+'Nº Anuncis Mensual'!N39+'Nº Anuncis Mensual'!P39+'Nº Anuncis Mensual'!R39+'Nº Anuncis Mensual'!T39+'Nº Anuncis Mensual'!V39+'Nº Anuncis Mensual'!X39+'Nº Anuncis Mensual'!Z39</f>
        <v>4</v>
      </c>
      <c r="I6" s="6">
        <f>'Nº Anuncis Mensual'!E39+'Nº Anuncis Mensual'!G39+'Nº Anuncis Mensual'!I39+'Nº Anuncis Mensual'!K39+'Nº Anuncis Mensual'!M39+'Nº Anuncis Mensual'!O39+'Nº Anuncis Mensual'!Q39+'Nº Anuncis Mensual'!S39+'Nº Anuncis Mensual'!U39+'Nº Anuncis Mensual'!W39+'Nº Anuncis Mensual'!Y39+'Nº Anuncis Mensual'!AA39</f>
        <v>2765653.2199999997</v>
      </c>
      <c r="J6" s="60">
        <f t="shared" ref="J6:J18" si="0">F6-D6</f>
        <v>-43</v>
      </c>
      <c r="K6" s="16">
        <f t="shared" ref="K6:K18" si="1">G6-E6</f>
        <v>-27752419.770000003</v>
      </c>
      <c r="L6" s="60">
        <f t="shared" ref="L6:L18" si="2">H6-F6</f>
        <v>-1</v>
      </c>
      <c r="M6" s="16">
        <f t="shared" ref="M6:M18" si="3">I6-G6</f>
        <v>1986737.13</v>
      </c>
    </row>
    <row r="7" spans="1:13" ht="12.75" customHeight="1" x14ac:dyDescent="0.2">
      <c r="A7" s="21"/>
      <c r="B7" s="22"/>
      <c r="C7" s="20" t="s">
        <v>8</v>
      </c>
      <c r="D7" s="41">
        <f>12+3+1+3+2+2</f>
        <v>23</v>
      </c>
      <c r="E7" s="6">
        <f>4999928.46+333839.61+110579.84+562550.22+824579.21+370050.22</f>
        <v>7201527.5599999996</v>
      </c>
      <c r="F7" s="59"/>
      <c r="G7" s="16"/>
      <c r="H7" s="59">
        <f>'Nº Anuncis Mensual'!D40+'Nº Anuncis Mensual'!F40+'Nº Anuncis Mensual'!H40+'Nº Anuncis Mensual'!J40+'Nº Anuncis Mensual'!L40+'Nº Anuncis Mensual'!N40+'Nº Anuncis Mensual'!P40+'Nº Anuncis Mensual'!R40+'Nº Anuncis Mensual'!T40+'Nº Anuncis Mensual'!V40+'Nº Anuncis Mensual'!X40+'Nº Anuncis Mensual'!Z40</f>
        <v>1</v>
      </c>
      <c r="I7" s="6">
        <f>'Nº Anuncis Mensual'!E40+'Nº Anuncis Mensual'!G40+'Nº Anuncis Mensual'!I40+'Nº Anuncis Mensual'!K40+'Nº Anuncis Mensual'!M40+'Nº Anuncis Mensual'!O40+'Nº Anuncis Mensual'!Q40+'Nº Anuncis Mensual'!S40+'Nº Anuncis Mensual'!U40+'Nº Anuncis Mensual'!W40+'Nº Anuncis Mensual'!Y40+'Nº Anuncis Mensual'!AA40</f>
        <v>106802.69</v>
      </c>
      <c r="J7" s="60">
        <f t="shared" si="0"/>
        <v>-23</v>
      </c>
      <c r="K7" s="16">
        <f t="shared" si="1"/>
        <v>-7201527.5599999996</v>
      </c>
      <c r="L7" s="60">
        <f t="shared" si="2"/>
        <v>1</v>
      </c>
      <c r="M7" s="16">
        <f t="shared" si="3"/>
        <v>106802.69</v>
      </c>
    </row>
    <row r="8" spans="1:13" ht="12.75" customHeight="1" x14ac:dyDescent="0.2">
      <c r="A8" s="21"/>
      <c r="B8" s="19" t="s">
        <v>392</v>
      </c>
      <c r="C8" s="20" t="s">
        <v>701</v>
      </c>
      <c r="D8" s="41">
        <v>4</v>
      </c>
      <c r="E8" s="6">
        <f>3342884.07+0</f>
        <v>3342884.07</v>
      </c>
      <c r="F8" s="59"/>
      <c r="G8" s="16"/>
      <c r="H8" s="59">
        <f>'Nº Anuncis Mensual'!D41+'Nº Anuncis Mensual'!F41+'Nº Anuncis Mensual'!H41+'Nº Anuncis Mensual'!J41+'Nº Anuncis Mensual'!L41+'Nº Anuncis Mensual'!N41+'Nº Anuncis Mensual'!P41+'Nº Anuncis Mensual'!R41+'Nº Anuncis Mensual'!T41+'Nº Anuncis Mensual'!V41+'Nº Anuncis Mensual'!X41+'Nº Anuncis Mensual'!Z41</f>
        <v>1</v>
      </c>
      <c r="I8" s="6">
        <f>'Nº Anuncis Mensual'!E41+'Nº Anuncis Mensual'!G41+'Nº Anuncis Mensual'!I41+'Nº Anuncis Mensual'!K41+'Nº Anuncis Mensual'!M41+'Nº Anuncis Mensual'!O41+'Nº Anuncis Mensual'!Q41+'Nº Anuncis Mensual'!S41+'Nº Anuncis Mensual'!U41+'Nº Anuncis Mensual'!W41+'Nº Anuncis Mensual'!Y41+'Nº Anuncis Mensual'!AA41</f>
        <v>52800</v>
      </c>
      <c r="J8" s="60">
        <f t="shared" si="0"/>
        <v>-4</v>
      </c>
      <c r="K8" s="16">
        <f t="shared" si="1"/>
        <v>-3342884.07</v>
      </c>
      <c r="L8" s="60">
        <f t="shared" si="2"/>
        <v>1</v>
      </c>
      <c r="M8" s="16">
        <f t="shared" si="3"/>
        <v>52800</v>
      </c>
    </row>
    <row r="9" spans="1:13" ht="12.75" customHeight="1" x14ac:dyDescent="0.2">
      <c r="A9" s="21"/>
      <c r="B9" s="21"/>
      <c r="C9" s="20" t="s">
        <v>9</v>
      </c>
      <c r="D9" s="41">
        <f>21+2+3</f>
        <v>26</v>
      </c>
      <c r="E9" s="6">
        <f>8575033.91+401168.93+1258024.29</f>
        <v>10234227.129999999</v>
      </c>
      <c r="F9" s="59">
        <v>2</v>
      </c>
      <c r="G9" s="16">
        <f>108345.86+279800</f>
        <v>388145.86</v>
      </c>
      <c r="H9" s="59">
        <f>'Nº Anuncis Mensual'!D42+'Nº Anuncis Mensual'!F42+'Nº Anuncis Mensual'!H42+'Nº Anuncis Mensual'!J42+'Nº Anuncis Mensual'!L42+'Nº Anuncis Mensual'!N42+'Nº Anuncis Mensual'!P42+'Nº Anuncis Mensual'!R42+'Nº Anuncis Mensual'!T42+'Nº Anuncis Mensual'!V42+'Nº Anuncis Mensual'!X42+'Nº Anuncis Mensual'!Z42</f>
        <v>6</v>
      </c>
      <c r="I9" s="6">
        <f>'Nº Anuncis Mensual'!E42+'Nº Anuncis Mensual'!G42+'Nº Anuncis Mensual'!I42+'Nº Anuncis Mensual'!K42+'Nº Anuncis Mensual'!M42+'Nº Anuncis Mensual'!O42+'Nº Anuncis Mensual'!Q42+'Nº Anuncis Mensual'!S42+'Nº Anuncis Mensual'!U42+'Nº Anuncis Mensual'!W42+'Nº Anuncis Mensual'!Y42+'Nº Anuncis Mensual'!AA42</f>
        <v>1443796.1</v>
      </c>
      <c r="J9" s="60">
        <f t="shared" si="0"/>
        <v>-24</v>
      </c>
      <c r="K9" s="16">
        <f t="shared" si="1"/>
        <v>-9846081.2699999996</v>
      </c>
      <c r="L9" s="60">
        <f t="shared" si="2"/>
        <v>4</v>
      </c>
      <c r="M9" s="16">
        <f t="shared" si="3"/>
        <v>1055650.2400000002</v>
      </c>
    </row>
    <row r="10" spans="1:13" ht="12.75" customHeight="1" x14ac:dyDescent="0.2">
      <c r="A10" s="21"/>
      <c r="B10" s="21"/>
      <c r="C10" s="20" t="s">
        <v>396</v>
      </c>
      <c r="D10" s="41">
        <f>4+1+2+1</f>
        <v>8</v>
      </c>
      <c r="E10" s="6">
        <f>466150.85+109620+263671+235400</f>
        <v>1074841.8500000001</v>
      </c>
      <c r="F10" s="59"/>
      <c r="G10" s="16"/>
      <c r="H10" s="59">
        <f>'Nº Anuncis Mensual'!D43+'Nº Anuncis Mensual'!F43+'Nº Anuncis Mensual'!H43+'Nº Anuncis Mensual'!J43+'Nº Anuncis Mensual'!L43+'Nº Anuncis Mensual'!N43+'Nº Anuncis Mensual'!P43+'Nº Anuncis Mensual'!R43+'Nº Anuncis Mensual'!T43+'Nº Anuncis Mensual'!V43+'Nº Anuncis Mensual'!X43+'Nº Anuncis Mensual'!Z43</f>
        <v>0</v>
      </c>
      <c r="I10" s="6">
        <f>'Nº Anuncis Mensual'!E43+'Nº Anuncis Mensual'!G43+'Nº Anuncis Mensual'!I43+'Nº Anuncis Mensual'!K43+'Nº Anuncis Mensual'!M43+'Nº Anuncis Mensual'!O43+'Nº Anuncis Mensual'!Q43+'Nº Anuncis Mensual'!S43+'Nº Anuncis Mensual'!U43+'Nº Anuncis Mensual'!W43+'Nº Anuncis Mensual'!Y43+'Nº Anuncis Mensual'!AA43</f>
        <v>0</v>
      </c>
      <c r="J10" s="60">
        <f t="shared" si="0"/>
        <v>-8</v>
      </c>
      <c r="K10" s="16">
        <f t="shared" si="1"/>
        <v>-1074841.8500000001</v>
      </c>
      <c r="L10" s="60">
        <f t="shared" si="2"/>
        <v>0</v>
      </c>
      <c r="M10" s="16">
        <f t="shared" si="3"/>
        <v>0</v>
      </c>
    </row>
    <row r="11" spans="1:13" ht="12.75" customHeight="1" x14ac:dyDescent="0.2">
      <c r="A11" s="21"/>
      <c r="B11" s="21"/>
      <c r="C11" s="20" t="s">
        <v>393</v>
      </c>
      <c r="D11" s="41">
        <f>54+8+7+6+11+2</f>
        <v>88</v>
      </c>
      <c r="E11" s="6">
        <f>7204556.53+1022786.68+865356.61+612118.22+1429852+211412.5</f>
        <v>11346082.540000001</v>
      </c>
      <c r="F11" s="59">
        <f>1+1+3</f>
        <v>5</v>
      </c>
      <c r="G11" s="16">
        <f>65002.5+121500+390000</f>
        <v>576502.5</v>
      </c>
      <c r="H11" s="59">
        <f>'Nº Anuncis Mensual'!D44+'Nº Anuncis Mensual'!F44+'Nº Anuncis Mensual'!H44+'Nº Anuncis Mensual'!J44+'Nº Anuncis Mensual'!L44+'Nº Anuncis Mensual'!N44+'Nº Anuncis Mensual'!P44+'Nº Anuncis Mensual'!R44+'Nº Anuncis Mensual'!T44+'Nº Anuncis Mensual'!V44+'Nº Anuncis Mensual'!X44+'Nº Anuncis Mensual'!Z44</f>
        <v>15</v>
      </c>
      <c r="I11" s="6">
        <f>'Nº Anuncis Mensual'!E44+'Nº Anuncis Mensual'!G44+'Nº Anuncis Mensual'!I44+'Nº Anuncis Mensual'!K44+'Nº Anuncis Mensual'!M44+'Nº Anuncis Mensual'!O44+'Nº Anuncis Mensual'!Q44+'Nº Anuncis Mensual'!S44+'Nº Anuncis Mensual'!U44+'Nº Anuncis Mensual'!W44+'Nº Anuncis Mensual'!Y44+'Nº Anuncis Mensual'!AA44</f>
        <v>1559482</v>
      </c>
      <c r="J11" s="60">
        <f t="shared" si="0"/>
        <v>-83</v>
      </c>
      <c r="K11" s="16">
        <f t="shared" si="1"/>
        <v>-10769580.040000001</v>
      </c>
      <c r="L11" s="60">
        <f t="shared" si="2"/>
        <v>10</v>
      </c>
      <c r="M11" s="16">
        <f t="shared" si="3"/>
        <v>982979.5</v>
      </c>
    </row>
    <row r="12" spans="1:13" ht="12.75" customHeight="1" x14ac:dyDescent="0.2">
      <c r="A12" s="21"/>
      <c r="B12" s="21"/>
      <c r="C12" s="20" t="s">
        <v>10</v>
      </c>
      <c r="D12" s="41">
        <v>2</v>
      </c>
      <c r="E12" s="6">
        <v>2137500</v>
      </c>
      <c r="F12" s="59"/>
      <c r="G12" s="16"/>
      <c r="H12" s="59">
        <f>'Nº Anuncis Mensual'!D45+'Nº Anuncis Mensual'!F45+'Nº Anuncis Mensual'!H45+'Nº Anuncis Mensual'!J45+'Nº Anuncis Mensual'!L45+'Nº Anuncis Mensual'!N45+'Nº Anuncis Mensual'!P45+'Nº Anuncis Mensual'!R45+'Nº Anuncis Mensual'!T45+'Nº Anuncis Mensual'!V45+'Nº Anuncis Mensual'!X45+'Nº Anuncis Mensual'!Z45</f>
        <v>0</v>
      </c>
      <c r="I12" s="6">
        <f>'Nº Anuncis Mensual'!E45+'Nº Anuncis Mensual'!G45+'Nº Anuncis Mensual'!I45+'Nº Anuncis Mensual'!K45+'Nº Anuncis Mensual'!M45+'Nº Anuncis Mensual'!O45+'Nº Anuncis Mensual'!Q45+'Nº Anuncis Mensual'!S45+'Nº Anuncis Mensual'!U45+'Nº Anuncis Mensual'!W45+'Nº Anuncis Mensual'!Y45+'Nº Anuncis Mensual'!AA45</f>
        <v>0</v>
      </c>
      <c r="J12" s="60">
        <f t="shared" si="0"/>
        <v>-2</v>
      </c>
      <c r="K12" s="16">
        <f t="shared" si="1"/>
        <v>-2137500</v>
      </c>
      <c r="L12" s="60">
        <f t="shared" si="2"/>
        <v>0</v>
      </c>
      <c r="M12" s="16">
        <f t="shared" si="3"/>
        <v>0</v>
      </c>
    </row>
    <row r="13" spans="1:13" ht="12.75" customHeight="1" x14ac:dyDescent="0.2">
      <c r="A13" s="21"/>
      <c r="B13" s="21"/>
      <c r="C13" s="20" t="s">
        <v>1101</v>
      </c>
      <c r="D13" s="41"/>
      <c r="E13" s="6"/>
      <c r="F13" s="59"/>
      <c r="G13" s="16"/>
      <c r="H13" s="59">
        <f>'Nº Anuncis Mensual'!D46+'Nº Anuncis Mensual'!F46+'Nº Anuncis Mensual'!H46+'Nº Anuncis Mensual'!J46+'Nº Anuncis Mensual'!L46+'Nº Anuncis Mensual'!N46+'Nº Anuncis Mensual'!P46+'Nº Anuncis Mensual'!R46+'Nº Anuncis Mensual'!T46+'Nº Anuncis Mensual'!V46+'Nº Anuncis Mensual'!X46+'Nº Anuncis Mensual'!Z46</f>
        <v>1</v>
      </c>
      <c r="I13" s="6">
        <f>'Nº Anuncis Mensual'!E46+'Nº Anuncis Mensual'!G46+'Nº Anuncis Mensual'!I46+'Nº Anuncis Mensual'!K46+'Nº Anuncis Mensual'!M46+'Nº Anuncis Mensual'!O46+'Nº Anuncis Mensual'!Q46+'Nº Anuncis Mensual'!S46+'Nº Anuncis Mensual'!U46+'Nº Anuncis Mensual'!W46+'Nº Anuncis Mensual'!Y46+'Nº Anuncis Mensual'!AA46</f>
        <v>198500</v>
      </c>
      <c r="J13" s="60">
        <f t="shared" si="0"/>
        <v>0</v>
      </c>
      <c r="K13" s="16">
        <f t="shared" ref="K13" si="4">G13-E13</f>
        <v>0</v>
      </c>
      <c r="L13" s="60">
        <f t="shared" ref="L13" si="5">H13-F13</f>
        <v>1</v>
      </c>
      <c r="M13" s="16">
        <f t="shared" ref="M13" si="6">I13-G13</f>
        <v>198500</v>
      </c>
    </row>
    <row r="14" spans="1:13" ht="12.75" customHeight="1" x14ac:dyDescent="0.2">
      <c r="A14" s="22"/>
      <c r="B14" s="22"/>
      <c r="C14" s="20" t="s">
        <v>8</v>
      </c>
      <c r="D14" s="41">
        <f>32+8+5+2+5-3-1</f>
        <v>48</v>
      </c>
      <c r="E14" s="6">
        <f>3266712.04+698129.72+371466.81+111779.66+457740.62-276344.41-72725.13</f>
        <v>4556759.3099999996</v>
      </c>
      <c r="F14" s="59">
        <f>1+1+3</f>
        <v>5</v>
      </c>
      <c r="G14" s="16">
        <f>82040.28+72725.13+158315.47</f>
        <v>313080.88</v>
      </c>
      <c r="H14" s="59">
        <f>'Nº Anuncis Mensual'!D47+'Nº Anuncis Mensual'!F47+'Nº Anuncis Mensual'!H47+'Nº Anuncis Mensual'!J47+'Nº Anuncis Mensual'!L47+'Nº Anuncis Mensual'!N47+'Nº Anuncis Mensual'!P47+'Nº Anuncis Mensual'!R47+'Nº Anuncis Mensual'!T47+'Nº Anuncis Mensual'!V47+'Nº Anuncis Mensual'!X47+'Nº Anuncis Mensual'!Z47</f>
        <v>9</v>
      </c>
      <c r="I14" s="6">
        <f>'Nº Anuncis Mensual'!E47+'Nº Anuncis Mensual'!G47+'Nº Anuncis Mensual'!I47+'Nº Anuncis Mensual'!K47+'Nº Anuncis Mensual'!M47+'Nº Anuncis Mensual'!O47+'Nº Anuncis Mensual'!Q47+'Nº Anuncis Mensual'!S47+'Nº Anuncis Mensual'!U47+'Nº Anuncis Mensual'!W47+'Nº Anuncis Mensual'!Y47+'Nº Anuncis Mensual'!AA47</f>
        <v>508077.53</v>
      </c>
      <c r="J14" s="60">
        <f t="shared" si="0"/>
        <v>-43</v>
      </c>
      <c r="K14" s="16">
        <f t="shared" si="1"/>
        <v>-4243678.43</v>
      </c>
      <c r="L14" s="60">
        <f t="shared" si="2"/>
        <v>4</v>
      </c>
      <c r="M14" s="16">
        <f t="shared" si="3"/>
        <v>194996.65000000002</v>
      </c>
    </row>
    <row r="15" spans="1:13" ht="12.75" customHeight="1" x14ac:dyDescent="0.2">
      <c r="A15" s="23" t="s">
        <v>11</v>
      </c>
      <c r="B15" s="24"/>
      <c r="C15" s="20" t="s">
        <v>701</v>
      </c>
      <c r="D15" s="41">
        <f>16+1+3+1</f>
        <v>21</v>
      </c>
      <c r="E15" s="6">
        <f>3063751.73+35000+157862.07+75000</f>
        <v>3331613.8</v>
      </c>
      <c r="F15" s="59">
        <f>2+2</f>
        <v>4</v>
      </c>
      <c r="G15" s="16">
        <f>216000+433000</f>
        <v>649000</v>
      </c>
      <c r="H15" s="59">
        <f>'Nº Anuncis Mensual'!D48+'Nº Anuncis Mensual'!F48+'Nº Anuncis Mensual'!H48+'Nº Anuncis Mensual'!J48+'Nº Anuncis Mensual'!L48+'Nº Anuncis Mensual'!N48+'Nº Anuncis Mensual'!P48+'Nº Anuncis Mensual'!R48+'Nº Anuncis Mensual'!T48+'Nº Anuncis Mensual'!V48+'Nº Anuncis Mensual'!X48+'Nº Anuncis Mensual'!Z48</f>
        <v>0</v>
      </c>
      <c r="I15" s="6">
        <f>'Nº Anuncis Mensual'!E48+'Nº Anuncis Mensual'!G48+'Nº Anuncis Mensual'!I48+'Nº Anuncis Mensual'!K48+'Nº Anuncis Mensual'!M48+'Nº Anuncis Mensual'!O48+'Nº Anuncis Mensual'!Q48+'Nº Anuncis Mensual'!S48+'Nº Anuncis Mensual'!U48+'Nº Anuncis Mensual'!W48+'Nº Anuncis Mensual'!Y48+'Nº Anuncis Mensual'!AA48</f>
        <v>0</v>
      </c>
      <c r="J15" s="60">
        <f t="shared" si="0"/>
        <v>-17</v>
      </c>
      <c r="K15" s="16">
        <f t="shared" si="1"/>
        <v>-2682613.7999999998</v>
      </c>
      <c r="L15" s="60">
        <f t="shared" si="2"/>
        <v>-4</v>
      </c>
      <c r="M15" s="16">
        <f t="shared" si="3"/>
        <v>-649000</v>
      </c>
    </row>
    <row r="16" spans="1:13" ht="12.75" customHeight="1" x14ac:dyDescent="0.2">
      <c r="A16" s="25"/>
      <c r="B16" s="26"/>
      <c r="C16" s="20" t="s">
        <v>396</v>
      </c>
      <c r="D16" s="41">
        <f>4+2+2</f>
        <v>8</v>
      </c>
      <c r="E16" s="6">
        <f>693777.78+338699+543044</f>
        <v>1575520.78</v>
      </c>
      <c r="F16" s="59"/>
      <c r="G16" s="16"/>
      <c r="H16" s="59">
        <f>'Nº Anuncis Mensual'!D49+'Nº Anuncis Mensual'!F49+'Nº Anuncis Mensual'!H49+'Nº Anuncis Mensual'!J49+'Nº Anuncis Mensual'!L49+'Nº Anuncis Mensual'!N49+'Nº Anuncis Mensual'!P49+'Nº Anuncis Mensual'!R49+'Nº Anuncis Mensual'!T49+'Nº Anuncis Mensual'!V49+'Nº Anuncis Mensual'!X49+'Nº Anuncis Mensual'!Z49</f>
        <v>0</v>
      </c>
      <c r="I16" s="6">
        <f>'Nº Anuncis Mensual'!E49+'Nº Anuncis Mensual'!G49+'Nº Anuncis Mensual'!I49+'Nº Anuncis Mensual'!K49+'Nº Anuncis Mensual'!M49+'Nº Anuncis Mensual'!O49+'Nº Anuncis Mensual'!Q49+'Nº Anuncis Mensual'!S49+'Nº Anuncis Mensual'!U49+'Nº Anuncis Mensual'!W49+'Nº Anuncis Mensual'!Y49+'Nº Anuncis Mensual'!AA49</f>
        <v>0</v>
      </c>
      <c r="J16" s="60">
        <f t="shared" si="0"/>
        <v>-8</v>
      </c>
      <c r="K16" s="16">
        <f t="shared" si="1"/>
        <v>-1575520.78</v>
      </c>
      <c r="L16" s="60">
        <f t="shared" si="2"/>
        <v>0</v>
      </c>
      <c r="M16" s="16">
        <f t="shared" si="3"/>
        <v>0</v>
      </c>
    </row>
    <row r="17" spans="1:13" ht="12.75" customHeight="1" x14ac:dyDescent="0.2">
      <c r="A17" s="27"/>
      <c r="B17" s="28"/>
      <c r="C17" s="20" t="s">
        <v>8</v>
      </c>
      <c r="D17" s="41">
        <f>1+2+3</f>
        <v>6</v>
      </c>
      <c r="E17" s="6">
        <f>189469.92+314293.87+276344.41</f>
        <v>780108.2</v>
      </c>
      <c r="F17" s="59"/>
      <c r="G17" s="16"/>
      <c r="H17" s="59">
        <f>'Nº Anuncis Mensual'!D50+'Nº Anuncis Mensual'!F50+'Nº Anuncis Mensual'!H50+'Nº Anuncis Mensual'!J50+'Nº Anuncis Mensual'!L50+'Nº Anuncis Mensual'!N50+'Nº Anuncis Mensual'!P50+'Nº Anuncis Mensual'!R50+'Nº Anuncis Mensual'!T50+'Nº Anuncis Mensual'!V50+'Nº Anuncis Mensual'!X50+'Nº Anuncis Mensual'!Z50</f>
        <v>0</v>
      </c>
      <c r="I17" s="6">
        <f>'Nº Anuncis Mensual'!E50+'Nº Anuncis Mensual'!G50+'Nº Anuncis Mensual'!I50+'Nº Anuncis Mensual'!K50+'Nº Anuncis Mensual'!M50+'Nº Anuncis Mensual'!O50+'Nº Anuncis Mensual'!Q50+'Nº Anuncis Mensual'!S50+'Nº Anuncis Mensual'!U50+'Nº Anuncis Mensual'!W50+'Nº Anuncis Mensual'!Y50+'Nº Anuncis Mensual'!AA50</f>
        <v>0</v>
      </c>
      <c r="J17" s="60">
        <f t="shared" si="0"/>
        <v>-6</v>
      </c>
      <c r="K17" s="16">
        <f t="shared" si="1"/>
        <v>-780108.2</v>
      </c>
      <c r="L17" s="60">
        <f t="shared" si="2"/>
        <v>0</v>
      </c>
      <c r="M17" s="16">
        <f t="shared" si="3"/>
        <v>0</v>
      </c>
    </row>
    <row r="18" spans="1:13" ht="12.75" customHeight="1" x14ac:dyDescent="0.2">
      <c r="A18" s="437" t="s">
        <v>12</v>
      </c>
      <c r="B18" s="439"/>
      <c r="C18" s="438"/>
      <c r="D18" s="41">
        <f t="shared" ref="D18:I18" si="7">SUM(D5:D17)</f>
        <v>338</v>
      </c>
      <c r="E18" s="6">
        <f t="shared" si="7"/>
        <v>98442887.980000004</v>
      </c>
      <c r="F18" s="59">
        <f t="shared" si="7"/>
        <v>82</v>
      </c>
      <c r="G18" s="6">
        <f t="shared" si="7"/>
        <v>22341988.879999999</v>
      </c>
      <c r="H18" s="59">
        <f t="shared" si="7"/>
        <v>65</v>
      </c>
      <c r="I18" s="6">
        <f t="shared" si="7"/>
        <v>13404199.539999997</v>
      </c>
      <c r="J18" s="60">
        <f t="shared" si="0"/>
        <v>-256</v>
      </c>
      <c r="K18" s="16">
        <f t="shared" si="1"/>
        <v>-76100899.100000009</v>
      </c>
      <c r="L18" s="60">
        <f t="shared" si="2"/>
        <v>-17</v>
      </c>
      <c r="M18" s="16">
        <f t="shared" si="3"/>
        <v>-8937789.3400000017</v>
      </c>
    </row>
    <row r="20" spans="1:13" x14ac:dyDescent="0.2">
      <c r="D20" s="421">
        <v>2012</v>
      </c>
      <c r="E20" s="421"/>
      <c r="F20" s="421">
        <v>2013</v>
      </c>
      <c r="G20" s="421"/>
      <c r="H20" s="8">
        <v>2014</v>
      </c>
      <c r="I20" s="8"/>
      <c r="J20" s="437" t="s">
        <v>1185</v>
      </c>
      <c r="K20" s="438"/>
      <c r="L20" s="437" t="s">
        <v>1407</v>
      </c>
      <c r="M20" s="438"/>
    </row>
    <row r="21" spans="1:13" x14ac:dyDescent="0.2">
      <c r="D21" s="8" t="s">
        <v>898</v>
      </c>
      <c r="E21" s="8" t="s">
        <v>843</v>
      </c>
      <c r="F21" s="8" t="s">
        <v>898</v>
      </c>
      <c r="G21" s="8" t="s">
        <v>843</v>
      </c>
      <c r="H21" s="8" t="s">
        <v>898</v>
      </c>
      <c r="I21" s="8" t="s">
        <v>843</v>
      </c>
      <c r="J21" s="8" t="s">
        <v>898</v>
      </c>
      <c r="K21" s="8" t="s">
        <v>843</v>
      </c>
      <c r="L21" s="8" t="s">
        <v>898</v>
      </c>
      <c r="M21" s="8" t="s">
        <v>843</v>
      </c>
    </row>
    <row r="22" spans="1:13" x14ac:dyDescent="0.2">
      <c r="A22" s="19" t="s">
        <v>1183</v>
      </c>
      <c r="B22" s="19" t="s">
        <v>422</v>
      </c>
      <c r="C22" s="20" t="s">
        <v>701</v>
      </c>
      <c r="D22" s="97">
        <f>'Nº Anuncis Mensual'!AB38</f>
        <v>28</v>
      </c>
      <c r="E22" s="6">
        <f>'Nº Anuncis Mensual'!AC38</f>
        <v>6769088</v>
      </c>
      <c r="F22" s="59">
        <f>'Nº Anuncis Mensual'!AB58</f>
        <v>20</v>
      </c>
      <c r="G22" s="6">
        <f>'Nº Anuncis Mensual'!AC58</f>
        <v>3627304</v>
      </c>
      <c r="H22" s="59">
        <f>'Nº Anuncis Mensual'!AB75</f>
        <v>15</v>
      </c>
      <c r="I22" s="6">
        <f>'Nº Anuncis Mensual'!AC75</f>
        <v>1974794.6099999999</v>
      </c>
      <c r="J22" s="60">
        <f>F22-D22</f>
        <v>-8</v>
      </c>
      <c r="K22" s="60">
        <f>G22-E22</f>
        <v>-3141784</v>
      </c>
      <c r="L22" s="60">
        <f>H22-F22</f>
        <v>-5</v>
      </c>
      <c r="M22" s="60">
        <f>I22-G22</f>
        <v>-1652509.3900000001</v>
      </c>
    </row>
    <row r="23" spans="1:13" x14ac:dyDescent="0.2">
      <c r="A23" s="21"/>
      <c r="B23" s="21"/>
      <c r="C23" s="20" t="s">
        <v>396</v>
      </c>
      <c r="D23" s="97">
        <f>'Nº Anuncis Mensual'!AB39</f>
        <v>4</v>
      </c>
      <c r="E23" s="6">
        <f>'Nº Anuncis Mensual'!AC39</f>
        <v>2765653.2199999997</v>
      </c>
      <c r="F23" s="59">
        <f>'Nº Anuncis Mensual'!AB59</f>
        <v>2</v>
      </c>
      <c r="G23" s="6">
        <f>'Nº Anuncis Mensual'!AC59</f>
        <v>214777.78</v>
      </c>
      <c r="H23" s="59">
        <f>'Nº Anuncis Mensual'!AB76</f>
        <v>9</v>
      </c>
      <c r="I23" s="6">
        <f>'Nº Anuncis Mensual'!AC76</f>
        <v>2286251.11</v>
      </c>
      <c r="J23" s="60">
        <f t="shared" ref="J23:J32" si="8">F23-D23</f>
        <v>-2</v>
      </c>
      <c r="K23" s="60">
        <f t="shared" ref="K23:K32" si="9">G23-E23</f>
        <v>-2550875.44</v>
      </c>
      <c r="L23" s="60">
        <f t="shared" ref="L23:L33" si="10">H23-F23</f>
        <v>7</v>
      </c>
      <c r="M23" s="60">
        <f t="shared" ref="M23:M33" si="11">I23-G23</f>
        <v>2071473.3299999998</v>
      </c>
    </row>
    <row r="24" spans="1:13" x14ac:dyDescent="0.2">
      <c r="A24" s="21"/>
      <c r="B24" s="22"/>
      <c r="C24" s="20" t="s">
        <v>8</v>
      </c>
      <c r="D24" s="97">
        <f>'Nº Anuncis Mensual'!AB40</f>
        <v>1</v>
      </c>
      <c r="E24" s="6">
        <f>'Nº Anuncis Mensual'!AC40</f>
        <v>106802.69</v>
      </c>
      <c r="F24" s="59">
        <f>'Nº Anuncis Mensual'!AB60</f>
        <v>0</v>
      </c>
      <c r="G24" s="6">
        <f>'Nº Anuncis Mensual'!AC60</f>
        <v>0</v>
      </c>
      <c r="H24" s="59">
        <f>'Nº Anuncis Mensual'!AB77</f>
        <v>3</v>
      </c>
      <c r="I24" s="6">
        <f>'Nº Anuncis Mensual'!AC77</f>
        <v>330238.86</v>
      </c>
      <c r="J24" s="60">
        <f t="shared" si="8"/>
        <v>-1</v>
      </c>
      <c r="K24" s="60">
        <f t="shared" si="9"/>
        <v>-106802.69</v>
      </c>
      <c r="L24" s="60">
        <f t="shared" si="10"/>
        <v>3</v>
      </c>
      <c r="M24" s="60">
        <f t="shared" si="11"/>
        <v>330238.86</v>
      </c>
    </row>
    <row r="25" spans="1:13" x14ac:dyDescent="0.2">
      <c r="A25" s="21"/>
      <c r="B25" s="19" t="s">
        <v>392</v>
      </c>
      <c r="C25" s="20" t="s">
        <v>701</v>
      </c>
      <c r="D25" s="97">
        <f>'Nº Anuncis Mensual'!AB41</f>
        <v>1</v>
      </c>
      <c r="E25" s="6">
        <f>'Nº Anuncis Mensual'!AC41</f>
        <v>52800</v>
      </c>
      <c r="F25" s="59">
        <f>'Nº Anuncis Mensual'!AB61</f>
        <v>2</v>
      </c>
      <c r="G25" s="6">
        <f>'Nº Anuncis Mensual'!AC61</f>
        <v>451154</v>
      </c>
      <c r="H25" s="59">
        <f>'Nº Anuncis Mensual'!AB78</f>
        <v>5</v>
      </c>
      <c r="I25" s="6">
        <f>'Nº Anuncis Mensual'!AC78</f>
        <v>585600</v>
      </c>
      <c r="J25" s="60">
        <f t="shared" si="8"/>
        <v>1</v>
      </c>
      <c r="K25" s="60">
        <f t="shared" si="9"/>
        <v>398354</v>
      </c>
      <c r="L25" s="60">
        <f t="shared" si="10"/>
        <v>3</v>
      </c>
      <c r="M25" s="60">
        <f t="shared" si="11"/>
        <v>134446</v>
      </c>
    </row>
    <row r="26" spans="1:13" x14ac:dyDescent="0.2">
      <c r="A26" s="21"/>
      <c r="B26" s="21"/>
      <c r="C26" s="20" t="s">
        <v>9</v>
      </c>
      <c r="D26" s="97">
        <f>'Nº Anuncis Mensual'!AB42</f>
        <v>6</v>
      </c>
      <c r="E26" s="6">
        <f>'Nº Anuncis Mensual'!AC42</f>
        <v>1443796.1</v>
      </c>
      <c r="F26" s="59">
        <f>'Nº Anuncis Mensual'!AB62</f>
        <v>10</v>
      </c>
      <c r="G26" s="6">
        <f>'Nº Anuncis Mensual'!AC62</f>
        <v>2297209.5700000003</v>
      </c>
      <c r="H26" s="59">
        <f>'Nº Anuncis Mensual'!AB79</f>
        <v>20</v>
      </c>
      <c r="I26" s="6">
        <f>'Nº Anuncis Mensual'!AC79</f>
        <v>5613158.3200000003</v>
      </c>
      <c r="J26" s="60">
        <f t="shared" si="8"/>
        <v>4</v>
      </c>
      <c r="K26" s="60">
        <f t="shared" si="9"/>
        <v>853413.4700000002</v>
      </c>
      <c r="L26" s="60">
        <f t="shared" si="10"/>
        <v>10</v>
      </c>
      <c r="M26" s="60">
        <f t="shared" si="11"/>
        <v>3315948.75</v>
      </c>
    </row>
    <row r="27" spans="1:13" x14ac:dyDescent="0.2">
      <c r="A27" s="21"/>
      <c r="B27" s="21"/>
      <c r="C27" s="20" t="s">
        <v>396</v>
      </c>
      <c r="D27" s="97">
        <f>'Nº Anuncis Mensual'!AB43</f>
        <v>0</v>
      </c>
      <c r="E27" s="6">
        <f>'Nº Anuncis Mensual'!AC43</f>
        <v>0</v>
      </c>
      <c r="F27" s="59">
        <f>'Nº Anuncis Mensual'!AB63</f>
        <v>3</v>
      </c>
      <c r="G27" s="6">
        <f>'Nº Anuncis Mensual'!AC63</f>
        <v>273096</v>
      </c>
      <c r="H27" s="59">
        <f>'Nº Anuncis Mensual'!AB80</f>
        <v>7</v>
      </c>
      <c r="I27" s="6">
        <f>'Nº Anuncis Mensual'!AC80</f>
        <v>900252.49</v>
      </c>
      <c r="J27" s="60">
        <f t="shared" si="8"/>
        <v>3</v>
      </c>
      <c r="K27" s="60">
        <f t="shared" si="9"/>
        <v>273096</v>
      </c>
      <c r="L27" s="60">
        <f t="shared" si="10"/>
        <v>4</v>
      </c>
      <c r="M27" s="60">
        <f t="shared" si="11"/>
        <v>627156.49</v>
      </c>
    </row>
    <row r="28" spans="1:13" x14ac:dyDescent="0.2">
      <c r="A28" s="21"/>
      <c r="B28" s="21"/>
      <c r="C28" s="20" t="s">
        <v>393</v>
      </c>
      <c r="D28" s="97">
        <f>'Nº Anuncis Mensual'!AB44</f>
        <v>15</v>
      </c>
      <c r="E28" s="6">
        <f>'Nº Anuncis Mensual'!AC44</f>
        <v>1559482</v>
      </c>
      <c r="F28" s="59">
        <f>'Nº Anuncis Mensual'!AB64</f>
        <v>12</v>
      </c>
      <c r="G28" s="6">
        <f>'Nº Anuncis Mensual'!AC64</f>
        <v>2066555.81</v>
      </c>
      <c r="H28" s="59">
        <f>'Nº Anuncis Mensual'!AB81</f>
        <v>14</v>
      </c>
      <c r="I28" s="6">
        <f>'Nº Anuncis Mensual'!AC81</f>
        <v>1603934.38</v>
      </c>
      <c r="J28" s="60">
        <f t="shared" si="8"/>
        <v>-3</v>
      </c>
      <c r="K28" s="60">
        <f t="shared" si="9"/>
        <v>507073.81000000006</v>
      </c>
      <c r="L28" s="60">
        <f t="shared" si="10"/>
        <v>2</v>
      </c>
      <c r="M28" s="60">
        <f t="shared" si="11"/>
        <v>-462621.43000000017</v>
      </c>
    </row>
    <row r="29" spans="1:13" x14ac:dyDescent="0.2">
      <c r="A29" s="21"/>
      <c r="B29" s="21"/>
      <c r="C29" s="20" t="s">
        <v>10</v>
      </c>
      <c r="D29" s="97">
        <f>'Nº Anuncis Mensual'!AB45</f>
        <v>0</v>
      </c>
      <c r="E29" s="6">
        <f>'Nº Anuncis Mensual'!AC45</f>
        <v>0</v>
      </c>
      <c r="F29" s="59">
        <f>'Nº Anuncis Mensual'!AB65</f>
        <v>1</v>
      </c>
      <c r="G29" s="6">
        <f>'Nº Anuncis Mensual'!AC65</f>
        <v>1027080.45</v>
      </c>
      <c r="H29" s="59">
        <f>'Nº Anuncis Mensual'!AB82</f>
        <v>0</v>
      </c>
      <c r="I29" s="6">
        <f>'Nº Anuncis Mensual'!AC82</f>
        <v>0</v>
      </c>
      <c r="J29" s="60">
        <f t="shared" si="8"/>
        <v>1</v>
      </c>
      <c r="K29" s="60">
        <f t="shared" si="9"/>
        <v>1027080.45</v>
      </c>
      <c r="L29" s="60">
        <f t="shared" si="10"/>
        <v>-1</v>
      </c>
      <c r="M29" s="60">
        <f t="shared" si="11"/>
        <v>-1027080.45</v>
      </c>
    </row>
    <row r="30" spans="1:13" x14ac:dyDescent="0.2">
      <c r="A30" s="21"/>
      <c r="B30" s="21"/>
      <c r="C30" s="20" t="s">
        <v>1101</v>
      </c>
      <c r="D30" s="97">
        <f>'Nº Anuncis Mensual'!AB46</f>
        <v>1</v>
      </c>
      <c r="E30" s="6">
        <f>'Nº Anuncis Mensual'!AC46</f>
        <v>198500</v>
      </c>
      <c r="F30" s="59">
        <f>'Nº Anuncis Mensual'!AB66</f>
        <v>0</v>
      </c>
      <c r="G30" s="6">
        <f>'Nº Anuncis Mensual'!AC66</f>
        <v>0</v>
      </c>
      <c r="H30" s="59">
        <f>'Nº Anuncis Mensual'!AB83</f>
        <v>0</v>
      </c>
      <c r="I30" s="6">
        <f>'Nº Anuncis Mensual'!AC83</f>
        <v>0</v>
      </c>
      <c r="J30" s="60">
        <f t="shared" si="8"/>
        <v>-1</v>
      </c>
      <c r="K30" s="60">
        <f t="shared" si="9"/>
        <v>-198500</v>
      </c>
      <c r="L30" s="60">
        <f t="shared" si="10"/>
        <v>0</v>
      </c>
      <c r="M30" s="60">
        <f t="shared" si="11"/>
        <v>0</v>
      </c>
    </row>
    <row r="31" spans="1:13" x14ac:dyDescent="0.2">
      <c r="A31" s="22"/>
      <c r="B31" s="22"/>
      <c r="C31" s="20" t="s">
        <v>8</v>
      </c>
      <c r="D31" s="97">
        <f>'Nº Anuncis Mensual'!AB47</f>
        <v>9</v>
      </c>
      <c r="E31" s="6">
        <f>'Nº Anuncis Mensual'!AC47</f>
        <v>508077.53</v>
      </c>
      <c r="F31" s="59">
        <f>'Nº Anuncis Mensual'!AB67</f>
        <v>5</v>
      </c>
      <c r="G31" s="6">
        <f>'Nº Anuncis Mensual'!AC67</f>
        <v>320223.58999999997</v>
      </c>
      <c r="H31" s="59">
        <f>'Nº Anuncis Mensual'!AB84</f>
        <v>7</v>
      </c>
      <c r="I31" s="6">
        <f>'Nº Anuncis Mensual'!AC84</f>
        <v>403327.3</v>
      </c>
      <c r="J31" s="60">
        <f t="shared" si="8"/>
        <v>-4</v>
      </c>
      <c r="K31" s="60">
        <f t="shared" si="9"/>
        <v>-187853.94000000006</v>
      </c>
      <c r="L31" s="60">
        <f t="shared" si="10"/>
        <v>2</v>
      </c>
      <c r="M31" s="60">
        <f t="shared" si="11"/>
        <v>83103.710000000021</v>
      </c>
    </row>
    <row r="32" spans="1:13" x14ac:dyDescent="0.2">
      <c r="A32" s="119"/>
      <c r="B32" s="119"/>
      <c r="C32" s="119" t="s">
        <v>1426</v>
      </c>
      <c r="D32" s="97">
        <f>'Nº Anuncis Mensual'!AB48</f>
        <v>0</v>
      </c>
      <c r="E32" s="6">
        <f>'Nº Anuncis Mensual'!AC48</f>
        <v>0</v>
      </c>
      <c r="F32" s="59">
        <v>0</v>
      </c>
      <c r="G32" s="6">
        <v>0</v>
      </c>
      <c r="H32" s="59">
        <f>'Nº Anuncis Mensual'!AB85</f>
        <v>3</v>
      </c>
      <c r="I32" s="6">
        <f>'Nº Anuncis Mensual'!AC85</f>
        <v>3062006.23</v>
      </c>
      <c r="J32" s="60">
        <f t="shared" si="8"/>
        <v>0</v>
      </c>
      <c r="K32" s="60">
        <f t="shared" si="9"/>
        <v>0</v>
      </c>
      <c r="L32" s="60">
        <f t="shared" si="10"/>
        <v>3</v>
      </c>
      <c r="M32" s="60">
        <f t="shared" si="11"/>
        <v>3062006.23</v>
      </c>
    </row>
    <row r="33" spans="1:13" x14ac:dyDescent="0.2">
      <c r="A33" s="437" t="s">
        <v>12</v>
      </c>
      <c r="B33" s="439"/>
      <c r="C33" s="438"/>
      <c r="D33" s="59">
        <f>SUM(D22:D32)</f>
        <v>65</v>
      </c>
      <c r="E33" s="6">
        <f>SUM(E22:E32)</f>
        <v>13404199.539999997</v>
      </c>
      <c r="F33" s="59">
        <f>'Nº Anuncis Mensual'!AB68</f>
        <v>55</v>
      </c>
      <c r="G33" s="6">
        <f>'Nº Anuncis Mensual'!AC68</f>
        <v>10277401.200000001</v>
      </c>
      <c r="H33" s="59">
        <f>'Nº Anuncis Mensual'!AB86</f>
        <v>83</v>
      </c>
      <c r="I33" s="6">
        <f>'Nº Anuncis Mensual'!AC86</f>
        <v>16759563.300000001</v>
      </c>
      <c r="J33" s="60">
        <f>SUM(J22:J31)</f>
        <v>-10</v>
      </c>
      <c r="K33" s="77">
        <f>SUM(K22:K31)</f>
        <v>-3126798.3400000003</v>
      </c>
      <c r="L33" s="60">
        <f t="shared" si="10"/>
        <v>28</v>
      </c>
      <c r="M33" s="60">
        <f t="shared" si="11"/>
        <v>6482162.0999999996</v>
      </c>
    </row>
    <row r="35" spans="1:13" x14ac:dyDescent="0.2">
      <c r="D35" s="8">
        <v>2014</v>
      </c>
      <c r="E35" s="8"/>
      <c r="F35" s="8">
        <v>2015</v>
      </c>
      <c r="G35" s="8"/>
      <c r="H35" s="8">
        <v>2016</v>
      </c>
      <c r="I35" s="8"/>
      <c r="J35" s="437" t="s">
        <v>1475</v>
      </c>
      <c r="K35" s="438"/>
      <c r="L35" s="437" t="s">
        <v>1895</v>
      </c>
      <c r="M35" s="438"/>
    </row>
    <row r="36" spans="1:13" x14ac:dyDescent="0.2">
      <c r="D36" s="8" t="s">
        <v>898</v>
      </c>
      <c r="E36" s="8" t="s">
        <v>843</v>
      </c>
      <c r="F36" s="8" t="s">
        <v>898</v>
      </c>
      <c r="G36" s="8" t="s">
        <v>843</v>
      </c>
      <c r="H36" s="8" t="s">
        <v>898</v>
      </c>
      <c r="I36" s="8" t="s">
        <v>843</v>
      </c>
      <c r="J36" s="8" t="s">
        <v>898</v>
      </c>
      <c r="K36" s="8" t="s">
        <v>843</v>
      </c>
      <c r="L36" s="8" t="s">
        <v>898</v>
      </c>
      <c r="M36" s="8" t="s">
        <v>843</v>
      </c>
    </row>
    <row r="37" spans="1:13" x14ac:dyDescent="0.2">
      <c r="A37" s="19" t="s">
        <v>1183</v>
      </c>
      <c r="B37" s="19" t="s">
        <v>422</v>
      </c>
      <c r="C37" s="20" t="s">
        <v>701</v>
      </c>
      <c r="D37" s="59">
        <f>'Nº Anuncis Mensual'!AB75</f>
        <v>15</v>
      </c>
      <c r="E37" s="6">
        <f>'Nº Anuncis Mensual'!AC75</f>
        <v>1974794.6099999999</v>
      </c>
      <c r="F37" s="59">
        <f>'Nº Anuncis Mensual'!AB93</f>
        <v>57</v>
      </c>
      <c r="G37" s="6">
        <f>'Nº Anuncis Mensual'!AC93</f>
        <v>4761385.78</v>
      </c>
      <c r="H37" s="59">
        <f>'Nº Anuncis Mensual'!AB111</f>
        <v>75</v>
      </c>
      <c r="I37" s="6">
        <f>'Nº Anuncis Mensual'!AC111</f>
        <v>10965933.35</v>
      </c>
      <c r="J37" s="60">
        <f>F37-D37</f>
        <v>42</v>
      </c>
      <c r="K37" s="60">
        <f>G37-E37</f>
        <v>2786591.1700000004</v>
      </c>
      <c r="L37" s="60">
        <f>H37-F37</f>
        <v>18</v>
      </c>
      <c r="M37" s="60">
        <f>I37-G37</f>
        <v>6204547.5699999994</v>
      </c>
    </row>
    <row r="38" spans="1:13" x14ac:dyDescent="0.2">
      <c r="A38" s="21"/>
      <c r="B38" s="21"/>
      <c r="C38" s="20" t="s">
        <v>396</v>
      </c>
      <c r="D38" s="59">
        <f>'Nº Anuncis Mensual'!AB76</f>
        <v>9</v>
      </c>
      <c r="E38" s="6">
        <f>'Nº Anuncis Mensual'!AC76</f>
        <v>2286251.11</v>
      </c>
      <c r="F38" s="59">
        <f>'Nº Anuncis Mensual'!AB94</f>
        <v>40</v>
      </c>
      <c r="G38" s="6">
        <f>'Nº Anuncis Mensual'!AC94</f>
        <v>4990290.67</v>
      </c>
      <c r="H38" s="59">
        <f>'Nº Anuncis Mensual'!AB112</f>
        <v>27</v>
      </c>
      <c r="I38" s="6">
        <f>'Nº Anuncis Mensual'!AC112</f>
        <v>2860055.4600000004</v>
      </c>
      <c r="J38" s="60">
        <f t="shared" ref="J38:J48" si="12">F38-D38</f>
        <v>31</v>
      </c>
      <c r="K38" s="60">
        <f t="shared" ref="K38:K48" si="13">G38-E38</f>
        <v>2704039.56</v>
      </c>
      <c r="L38" s="60">
        <f t="shared" ref="L38:L48" si="14">H38-F38</f>
        <v>-13</v>
      </c>
      <c r="M38" s="60">
        <f t="shared" ref="M38:M48" si="15">I38-G38</f>
        <v>-2130235.2099999995</v>
      </c>
    </row>
    <row r="39" spans="1:13" x14ac:dyDescent="0.2">
      <c r="A39" s="21"/>
      <c r="B39" s="22"/>
      <c r="C39" s="20" t="s">
        <v>8</v>
      </c>
      <c r="D39" s="59">
        <f>'Nº Anuncis Mensual'!AB77</f>
        <v>3</v>
      </c>
      <c r="E39" s="6">
        <f>'Nº Anuncis Mensual'!AC77</f>
        <v>330238.86</v>
      </c>
      <c r="F39" s="59">
        <f>'Nº Anuncis Mensual'!AB95</f>
        <v>15</v>
      </c>
      <c r="G39" s="6">
        <f>'Nº Anuncis Mensual'!AC95</f>
        <v>1059078.42</v>
      </c>
      <c r="H39" s="59">
        <f>'Nº Anuncis Mensual'!AB113</f>
        <v>9</v>
      </c>
      <c r="I39" s="6">
        <f>'Nº Anuncis Mensual'!AC113</f>
        <v>415621.81</v>
      </c>
      <c r="J39" s="60">
        <f t="shared" si="12"/>
        <v>12</v>
      </c>
      <c r="K39" s="60">
        <f t="shared" si="13"/>
        <v>728839.55999999994</v>
      </c>
      <c r="L39" s="60">
        <f t="shared" si="14"/>
        <v>-6</v>
      </c>
      <c r="M39" s="60">
        <f t="shared" si="15"/>
        <v>-643456.60999999987</v>
      </c>
    </row>
    <row r="40" spans="1:13" x14ac:dyDescent="0.2">
      <c r="A40" s="21"/>
      <c r="B40" s="19" t="s">
        <v>392</v>
      </c>
      <c r="C40" s="20" t="s">
        <v>701</v>
      </c>
      <c r="D40" s="59">
        <f>'Nº Anuncis Mensual'!AB78</f>
        <v>5</v>
      </c>
      <c r="E40" s="6">
        <f>'Nº Anuncis Mensual'!AC78</f>
        <v>585600</v>
      </c>
      <c r="F40" s="59">
        <f>'Nº Anuncis Mensual'!AB96</f>
        <v>3</v>
      </c>
      <c r="G40" s="6">
        <f>'Nº Anuncis Mensual'!AC96</f>
        <v>134250</v>
      </c>
      <c r="H40" s="59">
        <f>'Nº Anuncis Mensual'!AB114</f>
        <v>3</v>
      </c>
      <c r="I40" s="6">
        <f>'Nº Anuncis Mensual'!AC114</f>
        <v>232000</v>
      </c>
      <c r="J40" s="60">
        <f t="shared" si="12"/>
        <v>-2</v>
      </c>
      <c r="K40" s="60">
        <f t="shared" si="13"/>
        <v>-451350</v>
      </c>
      <c r="L40" s="60">
        <f t="shared" si="14"/>
        <v>0</v>
      </c>
      <c r="M40" s="60">
        <f t="shared" si="15"/>
        <v>97750</v>
      </c>
    </row>
    <row r="41" spans="1:13" x14ac:dyDescent="0.2">
      <c r="A41" s="21"/>
      <c r="B41" s="21"/>
      <c r="C41" s="20" t="s">
        <v>9</v>
      </c>
      <c r="D41" s="59">
        <f>'Nº Anuncis Mensual'!AB79</f>
        <v>20</v>
      </c>
      <c r="E41" s="6">
        <f>'Nº Anuncis Mensual'!AC79</f>
        <v>5613158.3200000003</v>
      </c>
      <c r="F41" s="59">
        <f>'Nº Anuncis Mensual'!AB97</f>
        <v>16</v>
      </c>
      <c r="G41" s="6">
        <f>'Nº Anuncis Mensual'!AC97</f>
        <v>8999310.1400000006</v>
      </c>
      <c r="H41" s="59">
        <f>'Nº Anuncis Mensual'!AB115</f>
        <v>19</v>
      </c>
      <c r="I41" s="6">
        <f>'Nº Anuncis Mensual'!AC115</f>
        <v>3794933.94</v>
      </c>
      <c r="J41" s="60">
        <f t="shared" si="12"/>
        <v>-4</v>
      </c>
      <c r="K41" s="60">
        <f t="shared" si="13"/>
        <v>3386151.8200000003</v>
      </c>
      <c r="L41" s="60">
        <f t="shared" si="14"/>
        <v>3</v>
      </c>
      <c r="M41" s="60">
        <f t="shared" si="15"/>
        <v>-5204376.2000000011</v>
      </c>
    </row>
    <row r="42" spans="1:13" x14ac:dyDescent="0.2">
      <c r="A42" s="21"/>
      <c r="B42" s="21"/>
      <c r="C42" s="163" t="s">
        <v>2224</v>
      </c>
      <c r="D42" s="59">
        <v>0</v>
      </c>
      <c r="E42" s="6">
        <v>0</v>
      </c>
      <c r="F42" s="59">
        <v>0</v>
      </c>
      <c r="G42" s="6">
        <v>0</v>
      </c>
      <c r="H42" s="59">
        <f>'Nº Anuncis Mensual'!AB116</f>
        <v>43</v>
      </c>
      <c r="I42" s="6">
        <f>'Nº Anuncis Mensual'!AC116</f>
        <v>1316203.4499999997</v>
      </c>
      <c r="J42" s="60">
        <f t="shared" ref="J42" si="16">F42-D42</f>
        <v>0</v>
      </c>
      <c r="K42" s="60">
        <f t="shared" ref="K42" si="17">G42-E42</f>
        <v>0</v>
      </c>
      <c r="L42" s="60">
        <f t="shared" ref="L42" si="18">H42-F42</f>
        <v>43</v>
      </c>
      <c r="M42" s="60">
        <f t="shared" ref="M42" si="19">I42-G42</f>
        <v>1316203.4499999997</v>
      </c>
    </row>
    <row r="43" spans="1:13" x14ac:dyDescent="0.2">
      <c r="A43" s="21"/>
      <c r="B43" s="21"/>
      <c r="C43" s="20" t="s">
        <v>396</v>
      </c>
      <c r="D43" s="59">
        <f>'Nº Anuncis Mensual'!AB80</f>
        <v>7</v>
      </c>
      <c r="E43" s="6">
        <f>'Nº Anuncis Mensual'!AC80</f>
        <v>900252.49</v>
      </c>
      <c r="F43" s="59">
        <f>'Nº Anuncis Mensual'!AB98</f>
        <v>10</v>
      </c>
      <c r="G43" s="6">
        <f>'Nº Anuncis Mensual'!AC98</f>
        <v>536077.68000000005</v>
      </c>
      <c r="H43" s="59">
        <f>'Nº Anuncis Mensual'!AB117</f>
        <v>4</v>
      </c>
      <c r="I43" s="6">
        <f>'Nº Anuncis Mensual'!AC117</f>
        <v>494474.48</v>
      </c>
      <c r="J43" s="60">
        <f t="shared" si="12"/>
        <v>3</v>
      </c>
      <c r="K43" s="60">
        <f t="shared" si="13"/>
        <v>-364174.80999999994</v>
      </c>
      <c r="L43" s="60">
        <f t="shared" si="14"/>
        <v>-6</v>
      </c>
      <c r="M43" s="60">
        <f t="shared" si="15"/>
        <v>-41603.20000000007</v>
      </c>
    </row>
    <row r="44" spans="1:13" x14ac:dyDescent="0.2">
      <c r="A44" s="21"/>
      <c r="B44" s="21"/>
      <c r="C44" s="20" t="s">
        <v>393</v>
      </c>
      <c r="D44" s="59">
        <f>'Nº Anuncis Mensual'!AB81</f>
        <v>14</v>
      </c>
      <c r="E44" s="6">
        <f>'Nº Anuncis Mensual'!AC81</f>
        <v>1603934.38</v>
      </c>
      <c r="F44" s="59">
        <f>'Nº Anuncis Mensual'!AB99</f>
        <v>37</v>
      </c>
      <c r="G44" s="6">
        <f>'Nº Anuncis Mensual'!AC99</f>
        <v>2471350.04</v>
      </c>
      <c r="H44" s="59">
        <f>'Nº Anuncis Mensual'!AB118</f>
        <v>33</v>
      </c>
      <c r="I44" s="6">
        <f>'Nº Anuncis Mensual'!AC118</f>
        <v>2710791.3099999996</v>
      </c>
      <c r="J44" s="60">
        <f t="shared" si="12"/>
        <v>23</v>
      </c>
      <c r="K44" s="60">
        <f t="shared" si="13"/>
        <v>867415.66000000015</v>
      </c>
      <c r="L44" s="60">
        <f t="shared" si="14"/>
        <v>-4</v>
      </c>
      <c r="M44" s="60">
        <f t="shared" si="15"/>
        <v>239441.26999999955</v>
      </c>
    </row>
    <row r="45" spans="1:13" x14ac:dyDescent="0.2">
      <c r="A45" s="21"/>
      <c r="B45" s="21"/>
      <c r="C45" s="20" t="s">
        <v>10</v>
      </c>
      <c r="D45" s="59">
        <f>'Nº Anuncis Mensual'!AB82</f>
        <v>0</v>
      </c>
      <c r="E45" s="6">
        <f>'Nº Anuncis Mensual'!AC82</f>
        <v>0</v>
      </c>
      <c r="F45" s="59">
        <f>'Nº Anuncis Mensual'!AB100</f>
        <v>0</v>
      </c>
      <c r="G45" s="6">
        <f>'Nº Anuncis Mensual'!AC100</f>
        <v>0</v>
      </c>
      <c r="H45" s="59">
        <f>'Nº Anuncis Mensual'!AB119</f>
        <v>0</v>
      </c>
      <c r="I45" s="6">
        <f>'Nº Anuncis Mensual'!AC119</f>
        <v>0</v>
      </c>
      <c r="J45" s="60">
        <f t="shared" si="12"/>
        <v>0</v>
      </c>
      <c r="K45" s="60">
        <f t="shared" si="13"/>
        <v>0</v>
      </c>
      <c r="L45" s="60">
        <f t="shared" si="14"/>
        <v>0</v>
      </c>
      <c r="M45" s="60">
        <f t="shared" si="15"/>
        <v>0</v>
      </c>
    </row>
    <row r="46" spans="1:13" x14ac:dyDescent="0.2">
      <c r="A46" s="21"/>
      <c r="B46" s="21"/>
      <c r="C46" s="20" t="s">
        <v>1101</v>
      </c>
      <c r="D46" s="59">
        <f>'Nº Anuncis Mensual'!AB83</f>
        <v>0</v>
      </c>
      <c r="E46" s="6">
        <f>'Nº Anuncis Mensual'!AC83</f>
        <v>0</v>
      </c>
      <c r="F46" s="59">
        <f>'Nº Anuncis Mensual'!AB101</f>
        <v>1</v>
      </c>
      <c r="G46" s="6">
        <f>'Nº Anuncis Mensual'!AC101</f>
        <v>20000</v>
      </c>
      <c r="H46" s="59">
        <f>'Nº Anuncis Mensual'!AB120</f>
        <v>1</v>
      </c>
      <c r="I46" s="6">
        <f>'Nº Anuncis Mensual'!AC120</f>
        <v>90000</v>
      </c>
      <c r="J46" s="60">
        <f t="shared" si="12"/>
        <v>1</v>
      </c>
      <c r="K46" s="60">
        <f t="shared" si="13"/>
        <v>20000</v>
      </c>
      <c r="L46" s="60">
        <f t="shared" si="14"/>
        <v>0</v>
      </c>
      <c r="M46" s="60">
        <f t="shared" si="15"/>
        <v>70000</v>
      </c>
    </row>
    <row r="47" spans="1:13" x14ac:dyDescent="0.2">
      <c r="A47" s="22"/>
      <c r="B47" s="22"/>
      <c r="C47" s="20" t="s">
        <v>8</v>
      </c>
      <c r="D47" s="59">
        <f>'Nº Anuncis Mensual'!AB84</f>
        <v>7</v>
      </c>
      <c r="E47" s="6">
        <f>'Nº Anuncis Mensual'!AC84</f>
        <v>403327.3</v>
      </c>
      <c r="F47" s="59">
        <f>'Nº Anuncis Mensual'!AB102</f>
        <v>21</v>
      </c>
      <c r="G47" s="6">
        <f>'Nº Anuncis Mensual'!AC102</f>
        <v>910398.83000000007</v>
      </c>
      <c r="H47" s="59">
        <f>'Nº Anuncis Mensual'!AB121</f>
        <v>20</v>
      </c>
      <c r="I47" s="6">
        <f>'Nº Anuncis Mensual'!AC121</f>
        <v>1045863.51</v>
      </c>
      <c r="J47" s="60">
        <f t="shared" si="12"/>
        <v>14</v>
      </c>
      <c r="K47" s="60">
        <f t="shared" si="13"/>
        <v>507071.53000000009</v>
      </c>
      <c r="L47" s="60">
        <f t="shared" si="14"/>
        <v>-1</v>
      </c>
      <c r="M47" s="60">
        <f t="shared" si="15"/>
        <v>135464.67999999993</v>
      </c>
    </row>
    <row r="48" spans="1:13" x14ac:dyDescent="0.2">
      <c r="A48" s="119"/>
      <c r="B48" s="119"/>
      <c r="C48" s="119" t="s">
        <v>1426</v>
      </c>
      <c r="D48" s="59">
        <f>'Nº Anuncis Mensual'!AB85</f>
        <v>3</v>
      </c>
      <c r="E48" s="6">
        <f>'Nº Anuncis Mensual'!AC85</f>
        <v>3062006.23</v>
      </c>
      <c r="F48" s="59">
        <f>'Nº Anuncis Mensual'!AB103</f>
        <v>1</v>
      </c>
      <c r="G48" s="6">
        <f>'Nº Anuncis Mensual'!AC103</f>
        <v>135000</v>
      </c>
      <c r="H48" s="59">
        <f>'Nº Anuncis Mensual'!AB122</f>
        <v>0</v>
      </c>
      <c r="I48" s="6">
        <f>'Nº Anuncis Mensual'!AC122</f>
        <v>0</v>
      </c>
      <c r="J48" s="60">
        <f t="shared" si="12"/>
        <v>-2</v>
      </c>
      <c r="K48" s="60">
        <f t="shared" si="13"/>
        <v>-2927006.23</v>
      </c>
      <c r="L48" s="60">
        <f t="shared" si="14"/>
        <v>-1</v>
      </c>
      <c r="M48" s="60">
        <f t="shared" si="15"/>
        <v>-135000</v>
      </c>
    </row>
    <row r="49" spans="1:13" x14ac:dyDescent="0.2">
      <c r="A49" s="437" t="s">
        <v>12</v>
      </c>
      <c r="B49" s="439"/>
      <c r="C49" s="438"/>
      <c r="D49" s="59">
        <f>'Nº Anuncis Mensual'!AB86</f>
        <v>83</v>
      </c>
      <c r="E49" s="6">
        <f>'Nº Anuncis Mensual'!AC86</f>
        <v>16759563.300000001</v>
      </c>
      <c r="F49" s="59">
        <f>'Nº Anuncis Mensual'!AB104</f>
        <v>201</v>
      </c>
      <c r="G49" s="6">
        <f>'Nº Anuncis Mensual'!AC104</f>
        <v>24017141.560000006</v>
      </c>
      <c r="H49" s="59">
        <f>'Nº Anuncis Mensual'!AB123</f>
        <v>234</v>
      </c>
      <c r="I49" s="6">
        <f>'Nº Anuncis Mensual'!AC123</f>
        <v>23925877.309999999</v>
      </c>
      <c r="J49" s="60">
        <f>SUM(J37:J47)</f>
        <v>120</v>
      </c>
      <c r="K49" s="77">
        <f>SUM(K37:K47)</f>
        <v>10184584.489999998</v>
      </c>
      <c r="L49" s="60">
        <f>SUM(L37:L47)</f>
        <v>34</v>
      </c>
      <c r="M49" s="77">
        <f>SUM(M37:M47)</f>
        <v>43735.749999998021</v>
      </c>
    </row>
    <row r="51" spans="1:13" x14ac:dyDescent="0.2">
      <c r="D51" s="8">
        <v>2016</v>
      </c>
      <c r="E51" s="8"/>
      <c r="F51" s="8">
        <v>2017</v>
      </c>
      <c r="G51" s="8"/>
      <c r="H51" s="8">
        <v>2018</v>
      </c>
      <c r="I51" s="8"/>
      <c r="J51" s="437" t="s">
        <v>2443</v>
      </c>
      <c r="K51" s="438"/>
      <c r="L51" s="437" t="s">
        <v>3170</v>
      </c>
      <c r="M51" s="438"/>
    </row>
    <row r="52" spans="1:13" x14ac:dyDescent="0.2">
      <c r="D52" s="8" t="s">
        <v>898</v>
      </c>
      <c r="E52" s="8" t="s">
        <v>843</v>
      </c>
      <c r="F52" s="8" t="s">
        <v>898</v>
      </c>
      <c r="G52" s="8" t="s">
        <v>843</v>
      </c>
      <c r="H52" s="8" t="s">
        <v>898</v>
      </c>
      <c r="I52" s="8" t="s">
        <v>843</v>
      </c>
      <c r="J52" s="8" t="s">
        <v>898</v>
      </c>
      <c r="K52" s="8" t="s">
        <v>843</v>
      </c>
      <c r="L52" s="8" t="s">
        <v>898</v>
      </c>
      <c r="M52" s="8" t="s">
        <v>843</v>
      </c>
    </row>
    <row r="53" spans="1:13" x14ac:dyDescent="0.2">
      <c r="A53" s="19" t="s">
        <v>1183</v>
      </c>
      <c r="B53" s="19" t="s">
        <v>422</v>
      </c>
      <c r="C53" s="20" t="s">
        <v>701</v>
      </c>
      <c r="D53" s="59">
        <f>'Nº Anuncis Mensual'!AB111</f>
        <v>75</v>
      </c>
      <c r="E53" s="6">
        <f>'Nº Anuncis Mensual'!AC111</f>
        <v>10965933.35</v>
      </c>
      <c r="F53" s="59">
        <f>'Nº Anuncis Mensual'!AB130</f>
        <v>104</v>
      </c>
      <c r="G53" s="6">
        <f>'Nº Anuncis Mensual'!AC130</f>
        <v>6894289.2199999997</v>
      </c>
      <c r="H53" s="59">
        <f>'Nº Anuncis Mensual'!AB149</f>
        <v>26</v>
      </c>
      <c r="I53" s="6">
        <f>'Nº Anuncis Mensual'!AC149</f>
        <v>1877523.3599999999</v>
      </c>
      <c r="J53" s="60">
        <f>F53-D53</f>
        <v>29</v>
      </c>
      <c r="K53" s="60">
        <f>G53-E53</f>
        <v>-4071644.13</v>
      </c>
      <c r="L53" s="60">
        <f>H53-F53</f>
        <v>-78</v>
      </c>
      <c r="M53" s="60">
        <f>I53-G53</f>
        <v>-5016765.8599999994</v>
      </c>
    </row>
    <row r="54" spans="1:13" x14ac:dyDescent="0.2">
      <c r="A54" s="21"/>
      <c r="B54" s="21"/>
      <c r="C54" s="20" t="s">
        <v>396</v>
      </c>
      <c r="D54" s="59">
        <f>'Nº Anuncis Mensual'!AB112</f>
        <v>27</v>
      </c>
      <c r="E54" s="6">
        <f>'Nº Anuncis Mensual'!AC112</f>
        <v>2860055.4600000004</v>
      </c>
      <c r="F54" s="59">
        <f>'Nº Anuncis Mensual'!AB131</f>
        <v>80</v>
      </c>
      <c r="G54" s="6">
        <f>'Nº Anuncis Mensual'!AC131</f>
        <v>7296805.1500000004</v>
      </c>
      <c r="H54" s="59">
        <f>'Nº Anuncis Mensual'!AB150</f>
        <v>52</v>
      </c>
      <c r="I54" s="6">
        <f>'Nº Anuncis Mensual'!AC150</f>
        <v>3402281.6</v>
      </c>
      <c r="J54" s="60">
        <f t="shared" ref="J54:J64" si="20">F54-D54</f>
        <v>53</v>
      </c>
      <c r="K54" s="60">
        <f t="shared" ref="K54:K64" si="21">G54-E54</f>
        <v>4436749.6899999995</v>
      </c>
      <c r="L54" s="60">
        <f t="shared" ref="L54:L65" si="22">H54-F54</f>
        <v>-28</v>
      </c>
      <c r="M54" s="60">
        <f t="shared" ref="M54:M65" si="23">I54-G54</f>
        <v>-3894523.5500000003</v>
      </c>
    </row>
    <row r="55" spans="1:13" x14ac:dyDescent="0.2">
      <c r="A55" s="21"/>
      <c r="B55" s="22"/>
      <c r="C55" s="20" t="s">
        <v>8</v>
      </c>
      <c r="D55" s="59">
        <f>'Nº Anuncis Mensual'!AB113</f>
        <v>9</v>
      </c>
      <c r="E55" s="6">
        <f>'Nº Anuncis Mensual'!AC113</f>
        <v>415621.81</v>
      </c>
      <c r="F55" s="59">
        <f>'Nº Anuncis Mensual'!AB132</f>
        <v>38</v>
      </c>
      <c r="G55" s="6">
        <f>'Nº Anuncis Mensual'!AC132</f>
        <v>1200727.0299999998</v>
      </c>
      <c r="H55" s="59">
        <f>'Nº Anuncis Mensual'!AB151</f>
        <v>24</v>
      </c>
      <c r="I55" s="6">
        <f>'Nº Anuncis Mensual'!AC151</f>
        <v>654570.57000000007</v>
      </c>
      <c r="J55" s="60">
        <f t="shared" si="20"/>
        <v>29</v>
      </c>
      <c r="K55" s="60">
        <f t="shared" si="21"/>
        <v>785105.21999999974</v>
      </c>
      <c r="L55" s="60">
        <f t="shared" si="22"/>
        <v>-14</v>
      </c>
      <c r="M55" s="60">
        <f t="shared" si="23"/>
        <v>-546156.45999999973</v>
      </c>
    </row>
    <row r="56" spans="1:13" x14ac:dyDescent="0.2">
      <c r="A56" s="21"/>
      <c r="B56" s="19" t="s">
        <v>392</v>
      </c>
      <c r="C56" s="20" t="s">
        <v>701</v>
      </c>
      <c r="D56" s="59">
        <f>'Nº Anuncis Mensual'!AB114</f>
        <v>3</v>
      </c>
      <c r="E56" s="6">
        <f>'Nº Anuncis Mensual'!AC114</f>
        <v>232000</v>
      </c>
      <c r="F56" s="59">
        <f>'Nº Anuncis Mensual'!AB133</f>
        <v>4</v>
      </c>
      <c r="G56" s="6">
        <f>'Nº Anuncis Mensual'!AC133</f>
        <v>206000</v>
      </c>
      <c r="H56" s="59">
        <f>'Nº Anuncis Mensual'!AB152</f>
        <v>0</v>
      </c>
      <c r="I56" s="6">
        <f>'Nº Anuncis Mensual'!AC152</f>
        <v>0</v>
      </c>
      <c r="J56" s="60">
        <f t="shared" si="20"/>
        <v>1</v>
      </c>
      <c r="K56" s="60">
        <f t="shared" si="21"/>
        <v>-26000</v>
      </c>
      <c r="L56" s="60">
        <f t="shared" si="22"/>
        <v>-4</v>
      </c>
      <c r="M56" s="60">
        <f t="shared" si="23"/>
        <v>-206000</v>
      </c>
    </row>
    <row r="57" spans="1:13" x14ac:dyDescent="0.2">
      <c r="A57" s="21"/>
      <c r="B57" s="21"/>
      <c r="C57" s="20" t="s">
        <v>9</v>
      </c>
      <c r="D57" s="59">
        <f>'Nº Anuncis Mensual'!AB115</f>
        <v>19</v>
      </c>
      <c r="E57" s="6">
        <f>'Nº Anuncis Mensual'!AC115</f>
        <v>3794933.94</v>
      </c>
      <c r="F57" s="59">
        <f>'Nº Anuncis Mensual'!AB134</f>
        <v>53</v>
      </c>
      <c r="G57" s="6">
        <f>'Nº Anuncis Mensual'!AC134</f>
        <v>12443678.640000001</v>
      </c>
      <c r="H57" s="59">
        <f>'Nº Anuncis Mensual'!AB153</f>
        <v>13</v>
      </c>
      <c r="I57" s="6">
        <f>'Nº Anuncis Mensual'!AC153</f>
        <v>2731817.63</v>
      </c>
      <c r="J57" s="60">
        <f t="shared" si="20"/>
        <v>34</v>
      </c>
      <c r="K57" s="60">
        <f t="shared" si="21"/>
        <v>8648744.7000000011</v>
      </c>
      <c r="L57" s="60">
        <f t="shared" si="22"/>
        <v>-40</v>
      </c>
      <c r="M57" s="60">
        <f t="shared" si="23"/>
        <v>-9711861.0100000016</v>
      </c>
    </row>
    <row r="58" spans="1:13" x14ac:dyDescent="0.2">
      <c r="A58" s="21"/>
      <c r="B58" s="21"/>
      <c r="C58" s="163" t="s">
        <v>2224</v>
      </c>
      <c r="D58" s="59">
        <f>'Nº Anuncis Mensual'!AB116</f>
        <v>43</v>
      </c>
      <c r="E58" s="6">
        <f>'Nº Anuncis Mensual'!AC116</f>
        <v>1316203.4499999997</v>
      </c>
      <c r="F58" s="59">
        <f>'Nº Anuncis Mensual'!AB135</f>
        <v>40</v>
      </c>
      <c r="G58" s="6">
        <f>'Nº Anuncis Mensual'!AC135</f>
        <v>1565730.9800000002</v>
      </c>
      <c r="H58" s="59">
        <f>'Nº Anuncis Mensual'!AB154</f>
        <v>46</v>
      </c>
      <c r="I58" s="6">
        <f>'Nº Anuncis Mensual'!AC154</f>
        <v>1606842.17</v>
      </c>
      <c r="J58" s="60">
        <f t="shared" si="20"/>
        <v>-3</v>
      </c>
      <c r="K58" s="60">
        <f t="shared" si="21"/>
        <v>249527.53000000049</v>
      </c>
      <c r="L58" s="60">
        <f t="shared" si="22"/>
        <v>6</v>
      </c>
      <c r="M58" s="60">
        <f t="shared" si="23"/>
        <v>41111.189999999711</v>
      </c>
    </row>
    <row r="59" spans="1:13" x14ac:dyDescent="0.2">
      <c r="A59" s="21"/>
      <c r="B59" s="21"/>
      <c r="C59" s="20" t="s">
        <v>396</v>
      </c>
      <c r="D59" s="59">
        <f>'Nº Anuncis Mensual'!AB117</f>
        <v>4</v>
      </c>
      <c r="E59" s="6">
        <f>'Nº Anuncis Mensual'!AC117</f>
        <v>494474.48</v>
      </c>
      <c r="F59" s="59">
        <f>'Nº Anuncis Mensual'!AB136</f>
        <v>4</v>
      </c>
      <c r="G59" s="6">
        <f>'Nº Anuncis Mensual'!AC136</f>
        <v>329210.03999999998</v>
      </c>
      <c r="H59" s="59">
        <f>'Nº Anuncis Mensual'!AB155</f>
        <v>3</v>
      </c>
      <c r="I59" s="6">
        <f>'Nº Anuncis Mensual'!AC155</f>
        <v>245000</v>
      </c>
      <c r="J59" s="60">
        <f t="shared" si="20"/>
        <v>0</v>
      </c>
      <c r="K59" s="60">
        <f t="shared" si="21"/>
        <v>-165264.44</v>
      </c>
      <c r="L59" s="60">
        <f t="shared" si="22"/>
        <v>-1</v>
      </c>
      <c r="M59" s="60">
        <f t="shared" si="23"/>
        <v>-84210.039999999979</v>
      </c>
    </row>
    <row r="60" spans="1:13" x14ac:dyDescent="0.2">
      <c r="A60" s="21"/>
      <c r="B60" s="21"/>
      <c r="C60" s="20" t="s">
        <v>393</v>
      </c>
      <c r="D60" s="59">
        <f>'Nº Anuncis Mensual'!AB118</f>
        <v>33</v>
      </c>
      <c r="E60" s="6">
        <f>'Nº Anuncis Mensual'!AC118</f>
        <v>2710791.3099999996</v>
      </c>
      <c r="F60" s="59">
        <f>'Nº Anuncis Mensual'!AB137</f>
        <v>37</v>
      </c>
      <c r="G60" s="6">
        <f>'Nº Anuncis Mensual'!AC137</f>
        <v>2305818.2000000002</v>
      </c>
      <c r="H60" s="59">
        <f>'Nº Anuncis Mensual'!AB156</f>
        <v>49</v>
      </c>
      <c r="I60" s="6">
        <f>'Nº Anuncis Mensual'!AC156</f>
        <v>1738322.9800000002</v>
      </c>
      <c r="J60" s="60">
        <f t="shared" si="20"/>
        <v>4</v>
      </c>
      <c r="K60" s="60">
        <f t="shared" si="21"/>
        <v>-404973.1099999994</v>
      </c>
      <c r="L60" s="60">
        <f t="shared" si="22"/>
        <v>12</v>
      </c>
      <c r="M60" s="60">
        <f t="shared" si="23"/>
        <v>-567495.22</v>
      </c>
    </row>
    <row r="61" spans="1:13" x14ac:dyDescent="0.2">
      <c r="A61" s="21"/>
      <c r="B61" s="21"/>
      <c r="C61" s="20" t="s">
        <v>10</v>
      </c>
      <c r="D61" s="59">
        <f>'Nº Anuncis Mensual'!AB119</f>
        <v>0</v>
      </c>
      <c r="E61" s="6">
        <f>'Nº Anuncis Mensual'!AC119</f>
        <v>0</v>
      </c>
      <c r="F61" s="59">
        <f>'Nº Anuncis Mensual'!AB138</f>
        <v>0</v>
      </c>
      <c r="G61" s="6">
        <f>'Nº Anuncis Mensual'!AC138</f>
        <v>0</v>
      </c>
      <c r="H61" s="59">
        <f>'Nº Anuncis Mensual'!AB157</f>
        <v>0</v>
      </c>
      <c r="I61" s="6">
        <f>'Nº Anuncis Mensual'!AC157</f>
        <v>0</v>
      </c>
      <c r="J61" s="60">
        <f t="shared" si="20"/>
        <v>0</v>
      </c>
      <c r="K61" s="60">
        <f t="shared" si="21"/>
        <v>0</v>
      </c>
      <c r="L61" s="60">
        <f t="shared" si="22"/>
        <v>0</v>
      </c>
      <c r="M61" s="60">
        <f t="shared" si="23"/>
        <v>0</v>
      </c>
    </row>
    <row r="62" spans="1:13" x14ac:dyDescent="0.2">
      <c r="A62" s="21"/>
      <c r="B62" s="21"/>
      <c r="C62" s="20" t="s">
        <v>1101</v>
      </c>
      <c r="D62" s="59">
        <f>'Nº Anuncis Mensual'!AB120</f>
        <v>1</v>
      </c>
      <c r="E62" s="6">
        <f>'Nº Anuncis Mensual'!AC120</f>
        <v>90000</v>
      </c>
      <c r="F62" s="59">
        <f>'Nº Anuncis Mensual'!AB139</f>
        <v>0</v>
      </c>
      <c r="G62" s="6">
        <f>'Nº Anuncis Mensual'!AC139</f>
        <v>0</v>
      </c>
      <c r="H62" s="59">
        <f>'Nº Anuncis Mensual'!AB158</f>
        <v>0</v>
      </c>
      <c r="I62" s="6">
        <f>'Nº Anuncis Mensual'!AC158</f>
        <v>0</v>
      </c>
      <c r="J62" s="60">
        <f t="shared" si="20"/>
        <v>-1</v>
      </c>
      <c r="K62" s="60">
        <f t="shared" si="21"/>
        <v>-90000</v>
      </c>
      <c r="L62" s="60">
        <f t="shared" si="22"/>
        <v>0</v>
      </c>
      <c r="M62" s="60">
        <f t="shared" si="23"/>
        <v>0</v>
      </c>
    </row>
    <row r="63" spans="1:13" x14ac:dyDescent="0.2">
      <c r="A63" s="22"/>
      <c r="B63" s="22"/>
      <c r="C63" s="20" t="s">
        <v>8</v>
      </c>
      <c r="D63" s="59">
        <f>'Nº Anuncis Mensual'!AB121</f>
        <v>20</v>
      </c>
      <c r="E63" s="6">
        <f>'Nº Anuncis Mensual'!AC121</f>
        <v>1045863.51</v>
      </c>
      <c r="F63" s="59">
        <f>'Nº Anuncis Mensual'!AB140</f>
        <v>42</v>
      </c>
      <c r="G63" s="6">
        <f>'Nº Anuncis Mensual'!AC140</f>
        <v>1215370.92</v>
      </c>
      <c r="H63" s="59">
        <f>'Nº Anuncis Mensual'!AB159</f>
        <v>44</v>
      </c>
      <c r="I63" s="6">
        <f>'Nº Anuncis Mensual'!AC159</f>
        <v>1023051.3799999999</v>
      </c>
      <c r="J63" s="60">
        <f t="shared" si="20"/>
        <v>22</v>
      </c>
      <c r="K63" s="60">
        <f t="shared" si="21"/>
        <v>169507.40999999992</v>
      </c>
      <c r="L63" s="60">
        <f t="shared" si="22"/>
        <v>2</v>
      </c>
      <c r="M63" s="60">
        <f t="shared" si="23"/>
        <v>-192319.54000000004</v>
      </c>
    </row>
    <row r="64" spans="1:13" x14ac:dyDescent="0.2">
      <c r="A64" s="119"/>
      <c r="B64" s="119"/>
      <c r="C64" s="119" t="s">
        <v>1426</v>
      </c>
      <c r="D64" s="59">
        <f>'Nº Anuncis Mensual'!AB122</f>
        <v>0</v>
      </c>
      <c r="E64" s="6">
        <f>'Nº Anuncis Mensual'!AC122</f>
        <v>0</v>
      </c>
      <c r="F64" s="59">
        <f>'Nº Anuncis Mensual'!AB141</f>
        <v>0</v>
      </c>
      <c r="G64" s="6">
        <f>'Nº Anuncis Mensual'!AC141</f>
        <v>0</v>
      </c>
      <c r="H64" s="59">
        <f>'Nº Anuncis Mensual'!AB160</f>
        <v>0</v>
      </c>
      <c r="I64" s="6">
        <f>'Nº Anuncis Mensual'!AC160</f>
        <v>0</v>
      </c>
      <c r="J64" s="60">
        <f t="shared" si="20"/>
        <v>0</v>
      </c>
      <c r="K64" s="60">
        <f t="shared" si="21"/>
        <v>0</v>
      </c>
      <c r="L64" s="60">
        <f t="shared" si="22"/>
        <v>0</v>
      </c>
      <c r="M64" s="60">
        <f t="shared" si="23"/>
        <v>0</v>
      </c>
    </row>
    <row r="65" spans="1:13" x14ac:dyDescent="0.2">
      <c r="A65" s="437" t="s">
        <v>12</v>
      </c>
      <c r="B65" s="439"/>
      <c r="C65" s="438"/>
      <c r="D65" s="59">
        <f>'Nº Anuncis Mensual'!AB123</f>
        <v>234</v>
      </c>
      <c r="E65" s="6">
        <f>'Nº Anuncis Mensual'!AC123</f>
        <v>23925877.309999999</v>
      </c>
      <c r="F65" s="59">
        <f>'Nº Anuncis Mensual'!AB142</f>
        <v>402</v>
      </c>
      <c r="G65" s="6">
        <f>'Nº Anuncis Mensual'!AC142</f>
        <v>33457630.18</v>
      </c>
      <c r="H65" s="59">
        <f>'Nº Anuncis Mensual'!AB161</f>
        <v>257</v>
      </c>
      <c r="I65" s="6">
        <f>'Nº Anuncis Mensual'!AC161</f>
        <v>13279409.690000001</v>
      </c>
      <c r="J65" s="60">
        <f>SUM(J53:J63)</f>
        <v>168</v>
      </c>
      <c r="K65" s="77">
        <f>SUM(K53:K63)</f>
        <v>9531752.8700000029</v>
      </c>
      <c r="L65" s="60">
        <f t="shared" si="22"/>
        <v>-145</v>
      </c>
      <c r="M65" s="60">
        <f t="shared" si="23"/>
        <v>-20178220.489999998</v>
      </c>
    </row>
    <row r="67" spans="1:13" x14ac:dyDescent="0.2">
      <c r="D67" s="8">
        <v>2018</v>
      </c>
      <c r="E67" s="8"/>
      <c r="F67" s="8">
        <v>2019</v>
      </c>
      <c r="G67" s="8"/>
      <c r="H67" s="8">
        <v>2020</v>
      </c>
      <c r="I67" s="8"/>
      <c r="J67" s="437" t="s">
        <v>3726</v>
      </c>
      <c r="K67" s="438"/>
      <c r="L67" s="437" t="s">
        <v>3727</v>
      </c>
      <c r="M67" s="438"/>
    </row>
    <row r="68" spans="1:13" x14ac:dyDescent="0.2">
      <c r="D68" s="8" t="s">
        <v>898</v>
      </c>
      <c r="E68" s="8" t="s">
        <v>843</v>
      </c>
      <c r="F68" s="8" t="s">
        <v>898</v>
      </c>
      <c r="G68" s="8" t="s">
        <v>843</v>
      </c>
      <c r="H68" s="8" t="s">
        <v>898</v>
      </c>
      <c r="I68" s="8" t="s">
        <v>843</v>
      </c>
      <c r="J68" s="8" t="s">
        <v>898</v>
      </c>
      <c r="K68" s="8" t="s">
        <v>843</v>
      </c>
      <c r="L68" s="8" t="s">
        <v>898</v>
      </c>
      <c r="M68" s="8" t="s">
        <v>843</v>
      </c>
    </row>
    <row r="69" spans="1:13" x14ac:dyDescent="0.2">
      <c r="A69" s="19" t="s">
        <v>1183</v>
      </c>
      <c r="B69" s="19" t="s">
        <v>422</v>
      </c>
      <c r="C69" s="20" t="s">
        <v>701</v>
      </c>
      <c r="D69" s="59">
        <f>'Nº Anuncis Mensual'!AB149</f>
        <v>26</v>
      </c>
      <c r="E69" s="6">
        <f>'Nº Anuncis Mensual'!AC149</f>
        <v>1877523.3599999999</v>
      </c>
      <c r="F69" s="59">
        <f>'Nº Anuncis Mensual'!AB168</f>
        <v>75</v>
      </c>
      <c r="G69" s="6">
        <f>'Nº Anuncis Mensual'!AC168</f>
        <v>10871255.220000001</v>
      </c>
      <c r="H69" s="59">
        <f>'Nº Anuncis Mensual'!AB187</f>
        <v>157</v>
      </c>
      <c r="I69" s="6">
        <f>'Nº Anuncis Mensual'!AC187</f>
        <v>15926040.74</v>
      </c>
      <c r="J69" s="60">
        <f>F69-D69</f>
        <v>49</v>
      </c>
      <c r="K69" s="60">
        <f>G69-E69</f>
        <v>8993731.8600000013</v>
      </c>
      <c r="L69" s="60">
        <f>H69-F69</f>
        <v>82</v>
      </c>
      <c r="M69" s="60">
        <f>I69-G69</f>
        <v>5054785.5199999996</v>
      </c>
    </row>
    <row r="70" spans="1:13" x14ac:dyDescent="0.2">
      <c r="A70" s="21"/>
      <c r="B70" s="21"/>
      <c r="C70" s="20" t="s">
        <v>396</v>
      </c>
      <c r="D70" s="59">
        <f>'Nº Anuncis Mensual'!AB150</f>
        <v>52</v>
      </c>
      <c r="E70" s="6">
        <f>'Nº Anuncis Mensual'!AC150</f>
        <v>3402281.6</v>
      </c>
      <c r="F70" s="59">
        <f>'Nº Anuncis Mensual'!AB169</f>
        <v>73</v>
      </c>
      <c r="G70" s="6">
        <f>'Nº Anuncis Mensual'!AC169</f>
        <v>7180115.7600000007</v>
      </c>
      <c r="H70" s="59">
        <f>'Nº Anuncis Mensual'!AB188</f>
        <v>75</v>
      </c>
      <c r="I70" s="6">
        <f>'Nº Anuncis Mensual'!AC188</f>
        <v>4839381.2300000004</v>
      </c>
      <c r="J70" s="60">
        <f t="shared" ref="J70:L80" si="24">F70-D70</f>
        <v>21</v>
      </c>
      <c r="K70" s="60">
        <f t="shared" ref="K70:K80" si="25">G70-E70</f>
        <v>3777834.1600000006</v>
      </c>
      <c r="L70" s="60">
        <f t="shared" si="24"/>
        <v>2</v>
      </c>
      <c r="M70" s="60">
        <f t="shared" ref="M70:M81" si="26">I70-G70</f>
        <v>-2340734.5300000003</v>
      </c>
    </row>
    <row r="71" spans="1:13" x14ac:dyDescent="0.2">
      <c r="A71" s="21"/>
      <c r="B71" s="22"/>
      <c r="C71" s="20" t="s">
        <v>8</v>
      </c>
      <c r="D71" s="59">
        <f>'Nº Anuncis Mensual'!AB151</f>
        <v>24</v>
      </c>
      <c r="E71" s="6">
        <f>'Nº Anuncis Mensual'!AC151</f>
        <v>654570.57000000007</v>
      </c>
      <c r="F71" s="59">
        <f>'Nº Anuncis Mensual'!AB170</f>
        <v>32</v>
      </c>
      <c r="G71" s="6">
        <f>'Nº Anuncis Mensual'!AC170</f>
        <v>1276008.5000000002</v>
      </c>
      <c r="H71" s="59">
        <f>'Nº Anuncis Mensual'!AB189</f>
        <v>34</v>
      </c>
      <c r="I71" s="6">
        <f>'Nº Anuncis Mensual'!AC189</f>
        <v>1183999.7</v>
      </c>
      <c r="J71" s="60">
        <f t="shared" si="24"/>
        <v>8</v>
      </c>
      <c r="K71" s="60">
        <f t="shared" si="25"/>
        <v>621437.93000000017</v>
      </c>
      <c r="L71" s="60">
        <f t="shared" si="24"/>
        <v>2</v>
      </c>
      <c r="M71" s="60">
        <f t="shared" si="26"/>
        <v>-92008.800000000279</v>
      </c>
    </row>
    <row r="72" spans="1:13" x14ac:dyDescent="0.2">
      <c r="A72" s="21"/>
      <c r="B72" s="19" t="s">
        <v>392</v>
      </c>
      <c r="C72" s="20" t="s">
        <v>701</v>
      </c>
      <c r="D72" s="59">
        <f>'Nº Anuncis Mensual'!AB152</f>
        <v>0</v>
      </c>
      <c r="E72" s="6">
        <f>'Nº Anuncis Mensual'!AC152</f>
        <v>0</v>
      </c>
      <c r="F72" s="59">
        <f>'Nº Anuncis Mensual'!AB171</f>
        <v>6</v>
      </c>
      <c r="G72" s="6">
        <f>'Nº Anuncis Mensual'!AC171</f>
        <v>525665.86</v>
      </c>
      <c r="H72" s="59">
        <f>'Nº Anuncis Mensual'!AB190</f>
        <v>15</v>
      </c>
      <c r="I72" s="6">
        <f>'Nº Anuncis Mensual'!AC190</f>
        <v>1775867.52</v>
      </c>
      <c r="J72" s="60">
        <f t="shared" si="24"/>
        <v>6</v>
      </c>
      <c r="K72" s="60">
        <f t="shared" si="25"/>
        <v>525665.86</v>
      </c>
      <c r="L72" s="60">
        <f t="shared" si="24"/>
        <v>9</v>
      </c>
      <c r="M72" s="60">
        <f t="shared" si="26"/>
        <v>1250201.6600000001</v>
      </c>
    </row>
    <row r="73" spans="1:13" x14ac:dyDescent="0.2">
      <c r="A73" s="21"/>
      <c r="B73" s="21"/>
      <c r="C73" s="20" t="s">
        <v>9</v>
      </c>
      <c r="D73" s="59">
        <f>'Nº Anuncis Mensual'!AB153</f>
        <v>13</v>
      </c>
      <c r="E73" s="6">
        <f>'Nº Anuncis Mensual'!AC153</f>
        <v>2731817.63</v>
      </c>
      <c r="F73" s="59">
        <f>'Nº Anuncis Mensual'!AB172</f>
        <v>17</v>
      </c>
      <c r="G73" s="6">
        <f>'Nº Anuncis Mensual'!AC172</f>
        <v>5512215.0700000003</v>
      </c>
      <c r="H73" s="59">
        <f>'Nº Anuncis Mensual'!AB191</f>
        <v>34</v>
      </c>
      <c r="I73" s="6">
        <f>'Nº Anuncis Mensual'!AC191</f>
        <v>8675263.2399999984</v>
      </c>
      <c r="J73" s="60">
        <f t="shared" si="24"/>
        <v>4</v>
      </c>
      <c r="K73" s="60">
        <f t="shared" si="25"/>
        <v>2780397.4400000004</v>
      </c>
      <c r="L73" s="60">
        <f t="shared" si="24"/>
        <v>17</v>
      </c>
      <c r="M73" s="60">
        <f t="shared" si="26"/>
        <v>3163048.1699999981</v>
      </c>
    </row>
    <row r="74" spans="1:13" x14ac:dyDescent="0.2">
      <c r="A74" s="21"/>
      <c r="B74" s="21"/>
      <c r="C74" s="163" t="s">
        <v>2224</v>
      </c>
      <c r="D74" s="59">
        <f>'Nº Anuncis Mensual'!AB154</f>
        <v>46</v>
      </c>
      <c r="E74" s="6">
        <f>'Nº Anuncis Mensual'!AC154</f>
        <v>1606842.17</v>
      </c>
      <c r="F74" s="59">
        <f>'Nº Anuncis Mensual'!AB173</f>
        <v>51</v>
      </c>
      <c r="G74" s="6">
        <f>'Nº Anuncis Mensual'!AC173</f>
        <v>1848840.5400000005</v>
      </c>
      <c r="H74" s="59">
        <f>'Nº Anuncis Mensual'!AB192</f>
        <v>5</v>
      </c>
      <c r="I74" s="6">
        <f>'Nº Anuncis Mensual'!AC192</f>
        <v>1089549.25</v>
      </c>
      <c r="J74" s="60">
        <f t="shared" si="24"/>
        <v>5</v>
      </c>
      <c r="K74" s="60">
        <f t="shared" si="25"/>
        <v>241998.37000000058</v>
      </c>
      <c r="L74" s="60">
        <f t="shared" si="24"/>
        <v>-46</v>
      </c>
      <c r="M74" s="60">
        <f t="shared" si="26"/>
        <v>-759291.2900000005</v>
      </c>
    </row>
    <row r="75" spans="1:13" x14ac:dyDescent="0.2">
      <c r="A75" s="21"/>
      <c r="B75" s="21"/>
      <c r="C75" s="20" t="s">
        <v>396</v>
      </c>
      <c r="D75" s="59">
        <f>'Nº Anuncis Mensual'!AB155</f>
        <v>3</v>
      </c>
      <c r="E75" s="6">
        <f>'Nº Anuncis Mensual'!AC155</f>
        <v>245000</v>
      </c>
      <c r="F75" s="59">
        <f>'Nº Anuncis Mensual'!AB174</f>
        <v>8</v>
      </c>
      <c r="G75" s="6">
        <f>'Nº Anuncis Mensual'!AC174</f>
        <v>413021.49</v>
      </c>
      <c r="H75" s="59">
        <f>'Nº Anuncis Mensual'!AB193</f>
        <v>3</v>
      </c>
      <c r="I75" s="6">
        <f>'Nº Anuncis Mensual'!AC193</f>
        <v>42740.6</v>
      </c>
      <c r="J75" s="60">
        <f t="shared" si="24"/>
        <v>5</v>
      </c>
      <c r="K75" s="60">
        <f t="shared" si="25"/>
        <v>168021.49</v>
      </c>
      <c r="L75" s="60">
        <f t="shared" si="24"/>
        <v>-5</v>
      </c>
      <c r="M75" s="60">
        <f t="shared" si="26"/>
        <v>-370280.89</v>
      </c>
    </row>
    <row r="76" spans="1:13" x14ac:dyDescent="0.2">
      <c r="A76" s="21"/>
      <c r="B76" s="21"/>
      <c r="C76" s="20" t="s">
        <v>393</v>
      </c>
      <c r="D76" s="59">
        <f>'Nº Anuncis Mensual'!AB156</f>
        <v>49</v>
      </c>
      <c r="E76" s="6">
        <f>'Nº Anuncis Mensual'!AC156</f>
        <v>1738322.9800000002</v>
      </c>
      <c r="F76" s="59">
        <f>'Nº Anuncis Mensual'!AB175</f>
        <v>70</v>
      </c>
      <c r="G76" s="6">
        <f>'Nº Anuncis Mensual'!AC175</f>
        <v>2522662.02</v>
      </c>
      <c r="H76" s="59">
        <f>'Nº Anuncis Mensual'!AB194</f>
        <v>47</v>
      </c>
      <c r="I76" s="6">
        <f>'Nº Anuncis Mensual'!AC194</f>
        <v>3311387.1999999997</v>
      </c>
      <c r="J76" s="60">
        <f t="shared" si="24"/>
        <v>21</v>
      </c>
      <c r="K76" s="60">
        <f t="shared" si="25"/>
        <v>784339.0399999998</v>
      </c>
      <c r="L76" s="60">
        <f t="shared" si="24"/>
        <v>-23</v>
      </c>
      <c r="M76" s="60">
        <f t="shared" si="26"/>
        <v>788725.1799999997</v>
      </c>
    </row>
    <row r="77" spans="1:13" x14ac:dyDescent="0.2">
      <c r="A77" s="21"/>
      <c r="B77" s="21"/>
      <c r="C77" s="20" t="s">
        <v>10</v>
      </c>
      <c r="D77" s="59">
        <f>'Nº Anuncis Mensual'!AB157</f>
        <v>0</v>
      </c>
      <c r="E77" s="6">
        <f>'Nº Anuncis Mensual'!AC157</f>
        <v>0</v>
      </c>
      <c r="F77" s="59">
        <f>'Nº Anuncis Mensual'!AB176</f>
        <v>1</v>
      </c>
      <c r="G77" s="6">
        <f>'Nº Anuncis Mensual'!AC176</f>
        <v>9700</v>
      </c>
      <c r="H77" s="59">
        <f>'Nº Anuncis Mensual'!AB195</f>
        <v>37</v>
      </c>
      <c r="I77" s="6">
        <f>'Nº Anuncis Mensual'!AC195</f>
        <v>1675791.4100000001</v>
      </c>
      <c r="J77" s="60">
        <f t="shared" si="24"/>
        <v>1</v>
      </c>
      <c r="K77" s="60">
        <f t="shared" si="25"/>
        <v>9700</v>
      </c>
      <c r="L77" s="60">
        <f t="shared" si="24"/>
        <v>36</v>
      </c>
      <c r="M77" s="60">
        <f t="shared" si="26"/>
        <v>1666091.4100000001</v>
      </c>
    </row>
    <row r="78" spans="1:13" x14ac:dyDescent="0.2">
      <c r="A78" s="21"/>
      <c r="B78" s="21"/>
      <c r="C78" s="20" t="s">
        <v>1101</v>
      </c>
      <c r="D78" s="59">
        <f>'Nº Anuncis Mensual'!AB158</f>
        <v>0</v>
      </c>
      <c r="E78" s="6">
        <f>'Nº Anuncis Mensual'!AC158</f>
        <v>0</v>
      </c>
      <c r="F78" s="59">
        <f>'Nº Anuncis Mensual'!AB177</f>
        <v>0</v>
      </c>
      <c r="G78" s="6">
        <f>'Nº Anuncis Mensual'!AC177</f>
        <v>0</v>
      </c>
      <c r="H78" s="59">
        <f>'Nº Anuncis Mensual'!AB196</f>
        <v>0</v>
      </c>
      <c r="I78" s="6">
        <f>'Nº Anuncis Mensual'!AC196</f>
        <v>0</v>
      </c>
      <c r="J78" s="60">
        <f t="shared" si="24"/>
        <v>0</v>
      </c>
      <c r="K78" s="60">
        <f t="shared" si="25"/>
        <v>0</v>
      </c>
      <c r="L78" s="60">
        <f t="shared" si="24"/>
        <v>0</v>
      </c>
      <c r="M78" s="60">
        <f t="shared" si="26"/>
        <v>0</v>
      </c>
    </row>
    <row r="79" spans="1:13" x14ac:dyDescent="0.2">
      <c r="A79" s="22"/>
      <c r="B79" s="22"/>
      <c r="C79" s="20" t="s">
        <v>8</v>
      </c>
      <c r="D79" s="59">
        <f>'Nº Anuncis Mensual'!AB159</f>
        <v>44</v>
      </c>
      <c r="E79" s="6">
        <f>'Nº Anuncis Mensual'!AC159</f>
        <v>1023051.3799999999</v>
      </c>
      <c r="F79" s="59">
        <f>'Nº Anuncis Mensual'!AB178</f>
        <v>55</v>
      </c>
      <c r="G79" s="6">
        <f>'Nº Anuncis Mensual'!AC178</f>
        <v>1196432.4400000002</v>
      </c>
      <c r="H79" s="59">
        <f>'Nº Anuncis Mensual'!AB197</f>
        <v>36</v>
      </c>
      <c r="I79" s="6">
        <f>'Nº Anuncis Mensual'!AC197</f>
        <v>930660.37</v>
      </c>
      <c r="J79" s="60">
        <f t="shared" si="24"/>
        <v>11</v>
      </c>
      <c r="K79" s="60">
        <f t="shared" si="25"/>
        <v>173381.06000000029</v>
      </c>
      <c r="L79" s="60">
        <f t="shared" si="24"/>
        <v>-19</v>
      </c>
      <c r="M79" s="60">
        <f t="shared" si="26"/>
        <v>-265772.07000000018</v>
      </c>
    </row>
    <row r="80" spans="1:13" x14ac:dyDescent="0.2">
      <c r="A80" s="119"/>
      <c r="B80" s="119"/>
      <c r="C80" s="119" t="s">
        <v>1426</v>
      </c>
      <c r="D80" s="59">
        <f>'Nº Anuncis Mensual'!AB160</f>
        <v>0</v>
      </c>
      <c r="E80" s="6">
        <f>'Nº Anuncis Mensual'!AC160</f>
        <v>0</v>
      </c>
      <c r="F80" s="59">
        <f>'Nº Anuncis Mensual'!AB179</f>
        <v>0</v>
      </c>
      <c r="G80" s="6">
        <f>'Nº Anuncis Mensual'!AC179</f>
        <v>0</v>
      </c>
      <c r="H80" s="59">
        <f>'Nº Anuncis Mensual'!AB198</f>
        <v>0</v>
      </c>
      <c r="I80" s="6">
        <f>'Nº Anuncis Mensual'!AC198</f>
        <v>0</v>
      </c>
      <c r="J80" s="60">
        <f t="shared" si="24"/>
        <v>0</v>
      </c>
      <c r="K80" s="60">
        <f t="shared" si="25"/>
        <v>0</v>
      </c>
      <c r="L80" s="60">
        <f t="shared" si="24"/>
        <v>0</v>
      </c>
      <c r="M80" s="60">
        <f t="shared" si="26"/>
        <v>0</v>
      </c>
    </row>
    <row r="81" spans="1:13" x14ac:dyDescent="0.2">
      <c r="A81" s="437" t="s">
        <v>12</v>
      </c>
      <c r="B81" s="439"/>
      <c r="C81" s="438"/>
      <c r="D81" s="59">
        <f>'Nº Anuncis Mensual'!AB161</f>
        <v>257</v>
      </c>
      <c r="E81" s="6">
        <f>'Nº Anuncis Mensual'!AC161</f>
        <v>13279409.690000001</v>
      </c>
      <c r="F81" s="59">
        <f>'Nº Anuncis Mensual'!AB180</f>
        <v>388</v>
      </c>
      <c r="G81" s="6">
        <f>'Nº Anuncis Mensual'!AC180</f>
        <v>31355916.899999999</v>
      </c>
      <c r="H81" s="59">
        <f>'Nº Anuncis Mensual'!AB199</f>
        <v>443</v>
      </c>
      <c r="I81" s="6">
        <f>'Nº Anuncis Mensual'!AC199</f>
        <v>39450681.259999998</v>
      </c>
      <c r="J81" s="60">
        <f>SUM(J69:J79)</f>
        <v>131</v>
      </c>
      <c r="K81" s="77">
        <f>SUM(K69:K79)</f>
        <v>18076507.209999997</v>
      </c>
      <c r="L81" s="60">
        <f>SUM(L69:L79)</f>
        <v>55</v>
      </c>
      <c r="M81" s="60">
        <f t="shared" si="26"/>
        <v>8094764.3599999994</v>
      </c>
    </row>
    <row r="83" spans="1:13" x14ac:dyDescent="0.2">
      <c r="D83" s="8">
        <v>2020</v>
      </c>
      <c r="E83" s="8"/>
      <c r="F83" s="8">
        <v>2021</v>
      </c>
      <c r="G83" s="8"/>
      <c r="H83" s="8">
        <v>2022</v>
      </c>
      <c r="I83" s="8"/>
      <c r="J83" s="437" t="s">
        <v>5460</v>
      </c>
      <c r="K83" s="438"/>
      <c r="L83" s="437" t="s">
        <v>6250</v>
      </c>
      <c r="M83" s="438"/>
    </row>
    <row r="84" spans="1:13" x14ac:dyDescent="0.2">
      <c r="D84" s="8" t="s">
        <v>898</v>
      </c>
      <c r="E84" s="8" t="s">
        <v>843</v>
      </c>
      <c r="F84" s="8" t="s">
        <v>898</v>
      </c>
      <c r="G84" s="8" t="s">
        <v>843</v>
      </c>
      <c r="H84" s="8" t="s">
        <v>898</v>
      </c>
      <c r="I84" s="8" t="s">
        <v>843</v>
      </c>
      <c r="J84" s="8" t="s">
        <v>898</v>
      </c>
      <c r="K84" s="8" t="s">
        <v>843</v>
      </c>
      <c r="L84" s="8" t="s">
        <v>898</v>
      </c>
      <c r="M84" s="8" t="s">
        <v>843</v>
      </c>
    </row>
    <row r="85" spans="1:13" x14ac:dyDescent="0.2">
      <c r="A85" s="19" t="s">
        <v>1183</v>
      </c>
      <c r="B85" s="19" t="s">
        <v>422</v>
      </c>
      <c r="C85" s="20" t="s">
        <v>701</v>
      </c>
      <c r="D85" s="59">
        <f>'Nº Anuncis Mensual'!AB187</f>
        <v>157</v>
      </c>
      <c r="E85" s="6">
        <f>'Nº Anuncis Mensual'!AC187</f>
        <v>15926040.74</v>
      </c>
      <c r="F85" s="59">
        <f>'Nº Anuncis Mensual'!AB206</f>
        <v>143</v>
      </c>
      <c r="G85" s="6">
        <f>'Nº Anuncis Mensual'!AC206</f>
        <v>15910057.330000002</v>
      </c>
      <c r="H85" s="59">
        <f>'Nº Anuncis Mensual'!AB225</f>
        <v>84</v>
      </c>
      <c r="I85" s="6">
        <f>'Nº Anuncis Mensual'!AC225</f>
        <v>19078647.969999999</v>
      </c>
      <c r="J85" s="60">
        <f>F85-D85</f>
        <v>-14</v>
      </c>
      <c r="K85" s="60">
        <f>G85-E85</f>
        <v>-15983.409999998286</v>
      </c>
      <c r="L85" s="60">
        <f>H85-F85</f>
        <v>-59</v>
      </c>
      <c r="M85" s="60">
        <f>I85-G85</f>
        <v>3168590.6399999969</v>
      </c>
    </row>
    <row r="86" spans="1:13" x14ac:dyDescent="0.2">
      <c r="A86" s="21"/>
      <c r="B86" s="21"/>
      <c r="C86" s="20" t="s">
        <v>396</v>
      </c>
      <c r="D86" s="59">
        <f>'Nº Anuncis Mensual'!AB188</f>
        <v>75</v>
      </c>
      <c r="E86" s="6">
        <f>'Nº Anuncis Mensual'!AC188</f>
        <v>4839381.2300000004</v>
      </c>
      <c r="F86" s="59">
        <f>'Nº Anuncis Mensual'!AB207</f>
        <v>104</v>
      </c>
      <c r="G86" s="6">
        <f>'Nº Anuncis Mensual'!AC207</f>
        <v>13601989.840000002</v>
      </c>
      <c r="H86" s="59">
        <f>'Nº Anuncis Mensual'!AB226</f>
        <v>93</v>
      </c>
      <c r="I86" s="6">
        <f>'Nº Anuncis Mensual'!AC226</f>
        <v>15950825.909999998</v>
      </c>
      <c r="J86" s="60">
        <f t="shared" ref="J86:J96" si="27">F86-D86</f>
        <v>29</v>
      </c>
      <c r="K86" s="60">
        <f t="shared" ref="K86:K96" si="28">G86-E86</f>
        <v>8762608.6100000013</v>
      </c>
      <c r="L86" s="60">
        <f t="shared" ref="L86:L97" si="29">H86-F86</f>
        <v>-11</v>
      </c>
      <c r="M86" s="60">
        <f t="shared" ref="M86:M97" si="30">I86-G86</f>
        <v>2348836.0699999966</v>
      </c>
    </row>
    <row r="87" spans="1:13" x14ac:dyDescent="0.2">
      <c r="A87" s="21"/>
      <c r="B87" s="22"/>
      <c r="C87" s="20" t="s">
        <v>8</v>
      </c>
      <c r="D87" s="59">
        <f>'Nº Anuncis Mensual'!AB189</f>
        <v>34</v>
      </c>
      <c r="E87" s="6">
        <f>'Nº Anuncis Mensual'!AC189</f>
        <v>1183999.7</v>
      </c>
      <c r="F87" s="59">
        <f>'Nº Anuncis Mensual'!AB208</f>
        <v>39</v>
      </c>
      <c r="G87" s="6">
        <f>'Nº Anuncis Mensual'!AC208</f>
        <v>1126755.31</v>
      </c>
      <c r="H87" s="59">
        <f>'Nº Anuncis Mensual'!AB227</f>
        <v>46</v>
      </c>
      <c r="I87" s="6">
        <f>'Nº Anuncis Mensual'!AC227</f>
        <v>1319216.99</v>
      </c>
      <c r="J87" s="60">
        <f t="shared" si="27"/>
        <v>5</v>
      </c>
      <c r="K87" s="60">
        <f t="shared" si="28"/>
        <v>-57244.389999999898</v>
      </c>
      <c r="L87" s="60">
        <f t="shared" si="29"/>
        <v>7</v>
      </c>
      <c r="M87" s="60">
        <f t="shared" si="30"/>
        <v>192461.67999999993</v>
      </c>
    </row>
    <row r="88" spans="1:13" x14ac:dyDescent="0.2">
      <c r="A88" s="21"/>
      <c r="B88" s="19" t="s">
        <v>392</v>
      </c>
      <c r="C88" s="20" t="s">
        <v>701</v>
      </c>
      <c r="D88" s="59">
        <f>'Nº Anuncis Mensual'!AB190</f>
        <v>15</v>
      </c>
      <c r="E88" s="6">
        <f>'Nº Anuncis Mensual'!AC190</f>
        <v>1775867.52</v>
      </c>
      <c r="F88" s="59">
        <f>'Nº Anuncis Mensual'!AB209</f>
        <v>13</v>
      </c>
      <c r="G88" s="6">
        <f>'Nº Anuncis Mensual'!AC209</f>
        <v>1165930</v>
      </c>
      <c r="H88" s="59">
        <f>'Nº Anuncis Mensual'!AB228</f>
        <v>9</v>
      </c>
      <c r="I88" s="6">
        <f>'Nº Anuncis Mensual'!AC228</f>
        <v>876499</v>
      </c>
      <c r="J88" s="60">
        <f t="shared" si="27"/>
        <v>-2</v>
      </c>
      <c r="K88" s="60">
        <f t="shared" si="28"/>
        <v>-609937.52</v>
      </c>
      <c r="L88" s="60">
        <f t="shared" si="29"/>
        <v>-4</v>
      </c>
      <c r="M88" s="60">
        <f t="shared" si="30"/>
        <v>-289431</v>
      </c>
    </row>
    <row r="89" spans="1:13" x14ac:dyDescent="0.2">
      <c r="A89" s="21"/>
      <c r="B89" s="21"/>
      <c r="C89" s="20" t="s">
        <v>9</v>
      </c>
      <c r="D89" s="59">
        <f>'Nº Anuncis Mensual'!AB191</f>
        <v>34</v>
      </c>
      <c r="E89" s="6">
        <f>'Nº Anuncis Mensual'!AC191</f>
        <v>8675263.2399999984</v>
      </c>
      <c r="F89" s="59">
        <f>'Nº Anuncis Mensual'!AB210</f>
        <v>10</v>
      </c>
      <c r="G89" s="6">
        <f>'Nº Anuncis Mensual'!AC210</f>
        <v>8299604.8100000005</v>
      </c>
      <c r="H89" s="59">
        <f>'Nº Anuncis Mensual'!AB229</f>
        <v>81</v>
      </c>
      <c r="I89" s="6">
        <f>'Nº Anuncis Mensual'!AC229</f>
        <v>32039504.330000002</v>
      </c>
      <c r="J89" s="60">
        <f t="shared" si="27"/>
        <v>-24</v>
      </c>
      <c r="K89" s="60">
        <f t="shared" si="28"/>
        <v>-375658.42999999784</v>
      </c>
      <c r="L89" s="60">
        <f t="shared" si="29"/>
        <v>71</v>
      </c>
      <c r="M89" s="60">
        <f t="shared" si="30"/>
        <v>23739899.520000003</v>
      </c>
    </row>
    <row r="90" spans="1:13" x14ac:dyDescent="0.2">
      <c r="A90" s="21"/>
      <c r="B90" s="21"/>
      <c r="C90" s="163" t="s">
        <v>2224</v>
      </c>
      <c r="D90" s="59">
        <f>'Nº Anuncis Mensual'!AB192</f>
        <v>5</v>
      </c>
      <c r="E90" s="6">
        <f>'Nº Anuncis Mensual'!AC192</f>
        <v>1089549.25</v>
      </c>
      <c r="F90" s="59">
        <f>'Nº Anuncis Mensual'!AB211</f>
        <v>12</v>
      </c>
      <c r="G90" s="6">
        <f>'Nº Anuncis Mensual'!AC211</f>
        <v>1942093.4900000002</v>
      </c>
      <c r="H90" s="59">
        <f>'Nº Anuncis Mensual'!AB230</f>
        <v>3</v>
      </c>
      <c r="I90" s="6">
        <f>'Nº Anuncis Mensual'!AC230</f>
        <v>158259.85999999999</v>
      </c>
      <c r="J90" s="60">
        <f t="shared" si="27"/>
        <v>7</v>
      </c>
      <c r="K90" s="60">
        <f t="shared" si="28"/>
        <v>852544.24000000022</v>
      </c>
      <c r="L90" s="60">
        <f t="shared" si="29"/>
        <v>-9</v>
      </c>
      <c r="M90" s="60">
        <f t="shared" si="30"/>
        <v>-1783833.6300000004</v>
      </c>
    </row>
    <row r="91" spans="1:13" x14ac:dyDescent="0.2">
      <c r="A91" s="21"/>
      <c r="B91" s="21"/>
      <c r="C91" s="20" t="s">
        <v>396</v>
      </c>
      <c r="D91" s="59">
        <f>'Nº Anuncis Mensual'!AB193</f>
        <v>3</v>
      </c>
      <c r="E91" s="6">
        <f>'Nº Anuncis Mensual'!AC193</f>
        <v>42740.6</v>
      </c>
      <c r="F91" s="59">
        <f>'Nº Anuncis Mensual'!AB212</f>
        <v>12</v>
      </c>
      <c r="G91" s="6">
        <f>'Nº Anuncis Mensual'!AC212</f>
        <v>1375747.63</v>
      </c>
      <c r="H91" s="59">
        <f>'Nº Anuncis Mensual'!AB231</f>
        <v>21</v>
      </c>
      <c r="I91" s="6">
        <f>'Nº Anuncis Mensual'!AC231</f>
        <v>1778471.0300000003</v>
      </c>
      <c r="J91" s="60">
        <f t="shared" si="27"/>
        <v>9</v>
      </c>
      <c r="K91" s="60">
        <f t="shared" si="28"/>
        <v>1333007.0299999998</v>
      </c>
      <c r="L91" s="60">
        <f t="shared" si="29"/>
        <v>9</v>
      </c>
      <c r="M91" s="60">
        <f t="shared" si="30"/>
        <v>402723.40000000037</v>
      </c>
    </row>
    <row r="92" spans="1:13" x14ac:dyDescent="0.2">
      <c r="A92" s="21"/>
      <c r="B92" s="21"/>
      <c r="C92" s="20" t="s">
        <v>393</v>
      </c>
      <c r="D92" s="59">
        <f>'Nº Anuncis Mensual'!AB194</f>
        <v>47</v>
      </c>
      <c r="E92" s="6">
        <f>'Nº Anuncis Mensual'!AC194</f>
        <v>3311387.1999999997</v>
      </c>
      <c r="F92" s="59">
        <f>'Nº Anuncis Mensual'!AB213</f>
        <v>45</v>
      </c>
      <c r="G92" s="6">
        <f>'Nº Anuncis Mensual'!AC213</f>
        <v>2726047.79</v>
      </c>
      <c r="H92" s="59">
        <f>'Nº Anuncis Mensual'!AB232</f>
        <v>65</v>
      </c>
      <c r="I92" s="6">
        <f>'Nº Anuncis Mensual'!AC232</f>
        <v>2114961.71</v>
      </c>
      <c r="J92" s="60">
        <f t="shared" si="27"/>
        <v>-2</v>
      </c>
      <c r="K92" s="60">
        <f t="shared" si="28"/>
        <v>-585339.40999999968</v>
      </c>
      <c r="L92" s="60">
        <f t="shared" si="29"/>
        <v>20</v>
      </c>
      <c r="M92" s="60">
        <f t="shared" si="30"/>
        <v>-611086.08000000007</v>
      </c>
    </row>
    <row r="93" spans="1:13" x14ac:dyDescent="0.2">
      <c r="A93" s="21"/>
      <c r="B93" s="21"/>
      <c r="C93" s="20" t="s">
        <v>10</v>
      </c>
      <c r="D93" s="59">
        <f>'Nº Anuncis Mensual'!AB195</f>
        <v>37</v>
      </c>
      <c r="E93" s="6">
        <f>'Nº Anuncis Mensual'!AC195</f>
        <v>1675791.4100000001</v>
      </c>
      <c r="F93" s="59">
        <f>'Nº Anuncis Mensual'!AB214</f>
        <v>0</v>
      </c>
      <c r="G93" s="6">
        <f>'Nº Anuncis Mensual'!AC214</f>
        <v>0</v>
      </c>
      <c r="H93" s="59">
        <f>'Nº Anuncis Mensual'!AB233</f>
        <v>0</v>
      </c>
      <c r="I93" s="6">
        <f>'Nº Anuncis Mensual'!AC233</f>
        <v>0</v>
      </c>
      <c r="J93" s="60">
        <f t="shared" si="27"/>
        <v>-37</v>
      </c>
      <c r="K93" s="60">
        <f t="shared" si="28"/>
        <v>-1675791.4100000001</v>
      </c>
      <c r="L93" s="60">
        <f t="shared" si="29"/>
        <v>0</v>
      </c>
      <c r="M93" s="60">
        <f t="shared" si="30"/>
        <v>0</v>
      </c>
    </row>
    <row r="94" spans="1:13" x14ac:dyDescent="0.2">
      <c r="A94" s="21"/>
      <c r="B94" s="21"/>
      <c r="C94" s="20" t="s">
        <v>1101</v>
      </c>
      <c r="D94" s="59">
        <f>'Nº Anuncis Mensual'!AB196</f>
        <v>0</v>
      </c>
      <c r="E94" s="6">
        <f>'Nº Anuncis Mensual'!AC196</f>
        <v>0</v>
      </c>
      <c r="F94" s="59">
        <f>'Nº Anuncis Mensual'!AB215</f>
        <v>0</v>
      </c>
      <c r="G94" s="6">
        <f>'Nº Anuncis Mensual'!AC215</f>
        <v>0</v>
      </c>
      <c r="H94" s="59">
        <f>'Nº Anuncis Mensual'!AB234</f>
        <v>0</v>
      </c>
      <c r="I94" s="6">
        <f>'Nº Anuncis Mensual'!AC234</f>
        <v>0</v>
      </c>
      <c r="J94" s="60">
        <f t="shared" si="27"/>
        <v>0</v>
      </c>
      <c r="K94" s="60">
        <f t="shared" si="28"/>
        <v>0</v>
      </c>
      <c r="L94" s="60">
        <f t="shared" si="29"/>
        <v>0</v>
      </c>
      <c r="M94" s="60">
        <f t="shared" si="30"/>
        <v>0</v>
      </c>
    </row>
    <row r="95" spans="1:13" x14ac:dyDescent="0.2">
      <c r="A95" s="22"/>
      <c r="B95" s="22"/>
      <c r="C95" s="20" t="s">
        <v>8</v>
      </c>
      <c r="D95" s="59">
        <f>'Nº Anuncis Mensual'!AB197</f>
        <v>36</v>
      </c>
      <c r="E95" s="6">
        <f>'Nº Anuncis Mensual'!AC197</f>
        <v>930660.37</v>
      </c>
      <c r="F95" s="59">
        <f>'Nº Anuncis Mensual'!AB216</f>
        <v>25</v>
      </c>
      <c r="G95" s="6">
        <f>'Nº Anuncis Mensual'!AC216</f>
        <v>1214689.8499999999</v>
      </c>
      <c r="H95" s="59">
        <f>'Nº Anuncis Mensual'!AB235</f>
        <v>41</v>
      </c>
      <c r="I95" s="6">
        <f>'Nº Anuncis Mensual'!AC235</f>
        <v>1548546.07</v>
      </c>
      <c r="J95" s="60">
        <f t="shared" si="27"/>
        <v>-11</v>
      </c>
      <c r="K95" s="60">
        <f t="shared" si="28"/>
        <v>284029.47999999986</v>
      </c>
      <c r="L95" s="60">
        <f t="shared" si="29"/>
        <v>16</v>
      </c>
      <c r="M95" s="60">
        <f t="shared" si="30"/>
        <v>333856.2200000002</v>
      </c>
    </row>
    <row r="96" spans="1:13" x14ac:dyDescent="0.2">
      <c r="A96" s="119"/>
      <c r="B96" s="119"/>
      <c r="C96" s="119" t="s">
        <v>1426</v>
      </c>
      <c r="D96" s="59">
        <f>'Nº Anuncis Mensual'!AB198</f>
        <v>0</v>
      </c>
      <c r="E96" s="6">
        <f>'Nº Anuncis Mensual'!AC198</f>
        <v>0</v>
      </c>
      <c r="F96" s="59">
        <f>'Nº Anuncis Mensual'!AB217</f>
        <v>0</v>
      </c>
      <c r="G96" s="6">
        <f>'Nº Anuncis Mensual'!AC217</f>
        <v>0</v>
      </c>
      <c r="H96" s="59">
        <f>'Nº Anuncis Mensual'!AB236</f>
        <v>0</v>
      </c>
      <c r="I96" s="6">
        <f>'Nº Anuncis Mensual'!AC236</f>
        <v>0</v>
      </c>
      <c r="J96" s="60">
        <f t="shared" si="27"/>
        <v>0</v>
      </c>
      <c r="K96" s="60">
        <f t="shared" si="28"/>
        <v>0</v>
      </c>
      <c r="L96" s="60">
        <f t="shared" si="29"/>
        <v>0</v>
      </c>
      <c r="M96" s="60">
        <f t="shared" si="30"/>
        <v>0</v>
      </c>
    </row>
    <row r="97" spans="1:13" x14ac:dyDescent="0.2">
      <c r="A97" s="437" t="s">
        <v>12</v>
      </c>
      <c r="B97" s="439"/>
      <c r="C97" s="438"/>
      <c r="D97" s="59">
        <f>'Nº Anuncis Mensual'!AB199</f>
        <v>443</v>
      </c>
      <c r="E97" s="6">
        <f>'Nº Anuncis Mensual'!AC199</f>
        <v>39450681.259999998</v>
      </c>
      <c r="F97" s="59">
        <f>'Nº Anuncis Mensual'!AB218</f>
        <v>403</v>
      </c>
      <c r="G97" s="6">
        <f>'Nº Anuncis Mensual'!AC218</f>
        <v>47362916.049999997</v>
      </c>
      <c r="H97" s="59">
        <f>'Nº Anuncis Mensual'!AB237</f>
        <v>443</v>
      </c>
      <c r="I97" s="6">
        <f>'Nº Anuncis Mensual'!AC237</f>
        <v>74864932.86999999</v>
      </c>
      <c r="J97" s="60">
        <f>SUM(J85:J95)</f>
        <v>-40</v>
      </c>
      <c r="K97" s="77">
        <f>SUM(K85:K95)</f>
        <v>7912234.7900000038</v>
      </c>
      <c r="L97" s="60">
        <f t="shared" si="29"/>
        <v>40</v>
      </c>
      <c r="M97" s="60">
        <f t="shared" si="30"/>
        <v>27502016.819999993</v>
      </c>
    </row>
    <row r="99" spans="1:13" x14ac:dyDescent="0.2">
      <c r="D99" s="8">
        <v>2022</v>
      </c>
      <c r="E99" s="8"/>
      <c r="F99" s="8">
        <v>2023</v>
      </c>
      <c r="G99" s="8"/>
      <c r="H99" s="8">
        <v>2024</v>
      </c>
      <c r="I99" s="8"/>
      <c r="J99" s="437" t="s">
        <v>7145</v>
      </c>
      <c r="K99" s="438"/>
      <c r="L99" s="437" t="s">
        <v>7146</v>
      </c>
      <c r="M99" s="438"/>
    </row>
    <row r="100" spans="1:13" x14ac:dyDescent="0.2">
      <c r="D100" s="8" t="s">
        <v>898</v>
      </c>
      <c r="E100" s="8" t="s">
        <v>843</v>
      </c>
      <c r="F100" s="8" t="s">
        <v>898</v>
      </c>
      <c r="G100" s="8" t="s">
        <v>843</v>
      </c>
      <c r="H100" s="8" t="s">
        <v>898</v>
      </c>
      <c r="I100" s="8" t="s">
        <v>843</v>
      </c>
      <c r="J100" s="8" t="s">
        <v>898</v>
      </c>
      <c r="K100" s="8" t="s">
        <v>843</v>
      </c>
      <c r="L100" s="8" t="s">
        <v>898</v>
      </c>
      <c r="M100" s="8" t="s">
        <v>843</v>
      </c>
    </row>
    <row r="101" spans="1:13" x14ac:dyDescent="0.2">
      <c r="A101" s="19" t="s">
        <v>1183</v>
      </c>
      <c r="B101" s="19" t="s">
        <v>422</v>
      </c>
      <c r="C101" s="20" t="s">
        <v>701</v>
      </c>
      <c r="D101" s="59">
        <f>'Nº Anuncis Mensual'!AB225</f>
        <v>84</v>
      </c>
      <c r="E101" s="6">
        <f>'Nº Anuncis Mensual'!AC225</f>
        <v>19078647.969999999</v>
      </c>
      <c r="F101" s="59">
        <f>'Nº Anuncis Mensual'!AB244</f>
        <v>42</v>
      </c>
      <c r="G101" s="6">
        <f>'Nº Anuncis Mensual'!AC244</f>
        <v>6291128.75</v>
      </c>
      <c r="H101" s="59"/>
      <c r="I101" s="6"/>
      <c r="J101" s="60">
        <f>F101-D101</f>
        <v>-42</v>
      </c>
      <c r="K101" s="60">
        <f>G101-E101</f>
        <v>-12787519.219999999</v>
      </c>
      <c r="L101" s="60">
        <f>H101-F101</f>
        <v>-42</v>
      </c>
      <c r="M101" s="60">
        <f>I101-G101</f>
        <v>-6291128.75</v>
      </c>
    </row>
    <row r="102" spans="1:13" x14ac:dyDescent="0.2">
      <c r="A102" s="21"/>
      <c r="B102" s="21"/>
      <c r="C102" s="20" t="s">
        <v>396</v>
      </c>
      <c r="D102" s="59">
        <f>'Nº Anuncis Mensual'!AB226</f>
        <v>93</v>
      </c>
      <c r="E102" s="6">
        <f>'Nº Anuncis Mensual'!AC226</f>
        <v>15950825.909999998</v>
      </c>
      <c r="F102" s="59">
        <f>'Nº Anuncis Mensual'!AB245</f>
        <v>75</v>
      </c>
      <c r="G102" s="6">
        <f>'Nº Anuncis Mensual'!AC245</f>
        <v>27044505.640000001</v>
      </c>
      <c r="H102" s="59"/>
      <c r="I102" s="6"/>
      <c r="J102" s="60">
        <f t="shared" ref="J102:J112" si="31">F102-D102</f>
        <v>-18</v>
      </c>
      <c r="K102" s="60">
        <f t="shared" ref="K102:K112" si="32">G102-E102</f>
        <v>11093679.730000002</v>
      </c>
      <c r="L102" s="60">
        <f t="shared" ref="L102:L113" si="33">H102-F102</f>
        <v>-75</v>
      </c>
      <c r="M102" s="60">
        <f t="shared" ref="M102:M113" si="34">I102-G102</f>
        <v>-27044505.640000001</v>
      </c>
    </row>
    <row r="103" spans="1:13" x14ac:dyDescent="0.2">
      <c r="A103" s="21"/>
      <c r="B103" s="22"/>
      <c r="C103" s="20" t="s">
        <v>8</v>
      </c>
      <c r="D103" s="59">
        <f>'Nº Anuncis Mensual'!AB227</f>
        <v>46</v>
      </c>
      <c r="E103" s="6">
        <f>'Nº Anuncis Mensual'!AC227</f>
        <v>1319216.99</v>
      </c>
      <c r="F103" s="59">
        <f>'Nº Anuncis Mensual'!AB246</f>
        <v>26</v>
      </c>
      <c r="G103" s="6">
        <f>'Nº Anuncis Mensual'!AC246</f>
        <v>5190014.1600000011</v>
      </c>
      <c r="H103" s="59"/>
      <c r="I103" s="6"/>
      <c r="J103" s="60">
        <f t="shared" si="31"/>
        <v>-20</v>
      </c>
      <c r="K103" s="60">
        <f t="shared" si="32"/>
        <v>3870797.1700000009</v>
      </c>
      <c r="L103" s="60">
        <f t="shared" si="33"/>
        <v>-26</v>
      </c>
      <c r="M103" s="60">
        <f t="shared" si="34"/>
        <v>-5190014.1600000011</v>
      </c>
    </row>
    <row r="104" spans="1:13" x14ac:dyDescent="0.2">
      <c r="A104" s="21"/>
      <c r="B104" s="19" t="s">
        <v>392</v>
      </c>
      <c r="C104" s="20" t="s">
        <v>701</v>
      </c>
      <c r="D104" s="59">
        <f>'Nº Anuncis Mensual'!AB228</f>
        <v>9</v>
      </c>
      <c r="E104" s="6">
        <f>'Nº Anuncis Mensual'!AC228</f>
        <v>876499</v>
      </c>
      <c r="F104" s="59">
        <f>'Nº Anuncis Mensual'!AB247</f>
        <v>4</v>
      </c>
      <c r="G104" s="6">
        <f>'Nº Anuncis Mensual'!AC247</f>
        <v>238096</v>
      </c>
      <c r="H104" s="59"/>
      <c r="I104" s="6"/>
      <c r="J104" s="60">
        <f t="shared" si="31"/>
        <v>-5</v>
      </c>
      <c r="K104" s="60">
        <f t="shared" si="32"/>
        <v>-638403</v>
      </c>
      <c r="L104" s="60">
        <f t="shared" si="33"/>
        <v>-4</v>
      </c>
      <c r="M104" s="60">
        <f t="shared" si="34"/>
        <v>-238096</v>
      </c>
    </row>
    <row r="105" spans="1:13" x14ac:dyDescent="0.2">
      <c r="A105" s="21"/>
      <c r="B105" s="21"/>
      <c r="C105" s="20" t="s">
        <v>9</v>
      </c>
      <c r="D105" s="59">
        <f>'Nº Anuncis Mensual'!AB229</f>
        <v>81</v>
      </c>
      <c r="E105" s="6">
        <f>'Nº Anuncis Mensual'!AC229</f>
        <v>32039504.330000002</v>
      </c>
      <c r="F105" s="59">
        <f>'Nº Anuncis Mensual'!AB248</f>
        <v>12</v>
      </c>
      <c r="G105" s="6">
        <f>'Nº Anuncis Mensual'!AC248</f>
        <v>3695762.1</v>
      </c>
      <c r="H105" s="59"/>
      <c r="I105" s="6"/>
      <c r="J105" s="60">
        <f t="shared" si="31"/>
        <v>-69</v>
      </c>
      <c r="K105" s="60">
        <f t="shared" si="32"/>
        <v>-28343742.23</v>
      </c>
      <c r="L105" s="60">
        <f t="shared" si="33"/>
        <v>-12</v>
      </c>
      <c r="M105" s="60">
        <f t="shared" si="34"/>
        <v>-3695762.1</v>
      </c>
    </row>
    <row r="106" spans="1:13" x14ac:dyDescent="0.2">
      <c r="A106" s="21"/>
      <c r="B106" s="21"/>
      <c r="C106" s="163" t="s">
        <v>2224</v>
      </c>
      <c r="D106" s="59">
        <f>'Nº Anuncis Mensual'!AB230</f>
        <v>3</v>
      </c>
      <c r="E106" s="6">
        <f>'Nº Anuncis Mensual'!AC230</f>
        <v>158259.85999999999</v>
      </c>
      <c r="F106" s="59">
        <f>'Nº Anuncis Mensual'!AB249</f>
        <v>1</v>
      </c>
      <c r="G106" s="6">
        <f>'Nº Anuncis Mensual'!AC249</f>
        <v>19550000</v>
      </c>
      <c r="H106" s="59"/>
      <c r="I106" s="6"/>
      <c r="J106" s="60">
        <f t="shared" si="31"/>
        <v>-2</v>
      </c>
      <c r="K106" s="60">
        <f t="shared" si="32"/>
        <v>19391740.140000001</v>
      </c>
      <c r="L106" s="60">
        <f t="shared" si="33"/>
        <v>-1</v>
      </c>
      <c r="M106" s="60">
        <f t="shared" si="34"/>
        <v>-19550000</v>
      </c>
    </row>
    <row r="107" spans="1:13" x14ac:dyDescent="0.2">
      <c r="A107" s="21"/>
      <c r="B107" s="21"/>
      <c r="C107" s="20" t="s">
        <v>396</v>
      </c>
      <c r="D107" s="59">
        <f>'Nº Anuncis Mensual'!AB231</f>
        <v>21</v>
      </c>
      <c r="E107" s="6">
        <f>'Nº Anuncis Mensual'!AC231</f>
        <v>1778471.0300000003</v>
      </c>
      <c r="F107" s="59">
        <f>'Nº Anuncis Mensual'!AB250</f>
        <v>6</v>
      </c>
      <c r="G107" s="6">
        <f>'Nº Anuncis Mensual'!AC250</f>
        <v>1035816.6999999998</v>
      </c>
      <c r="H107" s="59"/>
      <c r="I107" s="6"/>
      <c r="J107" s="60">
        <f t="shared" si="31"/>
        <v>-15</v>
      </c>
      <c r="K107" s="60">
        <f t="shared" si="32"/>
        <v>-742654.33000000042</v>
      </c>
      <c r="L107" s="60">
        <f t="shared" si="33"/>
        <v>-6</v>
      </c>
      <c r="M107" s="60">
        <f t="shared" si="34"/>
        <v>-1035816.6999999998</v>
      </c>
    </row>
    <row r="108" spans="1:13" x14ac:dyDescent="0.2">
      <c r="A108" s="21"/>
      <c r="B108" s="21"/>
      <c r="C108" s="20" t="s">
        <v>393</v>
      </c>
      <c r="D108" s="59">
        <f>'Nº Anuncis Mensual'!AB232</f>
        <v>65</v>
      </c>
      <c r="E108" s="6">
        <f>'Nº Anuncis Mensual'!AC232</f>
        <v>2114961.71</v>
      </c>
      <c r="F108" s="59">
        <f>'Nº Anuncis Mensual'!AB251</f>
        <v>11</v>
      </c>
      <c r="G108" s="6">
        <f>'Nº Anuncis Mensual'!AC251</f>
        <v>1228289.6199999999</v>
      </c>
      <c r="H108" s="59"/>
      <c r="I108" s="6"/>
      <c r="J108" s="60">
        <f t="shared" si="31"/>
        <v>-54</v>
      </c>
      <c r="K108" s="60">
        <f t="shared" si="32"/>
        <v>-886672.09000000008</v>
      </c>
      <c r="L108" s="60">
        <f t="shared" si="33"/>
        <v>-11</v>
      </c>
      <c r="M108" s="60">
        <f t="shared" si="34"/>
        <v>-1228289.6199999999</v>
      </c>
    </row>
    <row r="109" spans="1:13" x14ac:dyDescent="0.2">
      <c r="A109" s="21"/>
      <c r="B109" s="21"/>
      <c r="C109" s="20" t="s">
        <v>10</v>
      </c>
      <c r="D109" s="59">
        <f>'Nº Anuncis Mensual'!AB233</f>
        <v>0</v>
      </c>
      <c r="E109" s="6">
        <f>'Nº Anuncis Mensual'!AC233</f>
        <v>0</v>
      </c>
      <c r="F109" s="59">
        <f>'Nº Anuncis Mensual'!AB252</f>
        <v>0</v>
      </c>
      <c r="G109" s="6">
        <f>'Nº Anuncis Mensual'!AC252</f>
        <v>0</v>
      </c>
      <c r="H109" s="59"/>
      <c r="I109" s="6"/>
      <c r="J109" s="60">
        <f t="shared" si="31"/>
        <v>0</v>
      </c>
      <c r="K109" s="60">
        <f t="shared" si="32"/>
        <v>0</v>
      </c>
      <c r="L109" s="60">
        <f t="shared" si="33"/>
        <v>0</v>
      </c>
      <c r="M109" s="60">
        <f t="shared" si="34"/>
        <v>0</v>
      </c>
    </row>
    <row r="110" spans="1:13" x14ac:dyDescent="0.2">
      <c r="A110" s="21"/>
      <c r="B110" s="21"/>
      <c r="C110" s="20" t="s">
        <v>1101</v>
      </c>
      <c r="D110" s="59">
        <f>'Nº Anuncis Mensual'!AB234</f>
        <v>0</v>
      </c>
      <c r="E110" s="6">
        <f>'Nº Anuncis Mensual'!AC234</f>
        <v>0</v>
      </c>
      <c r="F110" s="59">
        <f>'Nº Anuncis Mensual'!AB253</f>
        <v>0</v>
      </c>
      <c r="G110" s="6">
        <f>'Nº Anuncis Mensual'!AC253</f>
        <v>0</v>
      </c>
      <c r="H110" s="59"/>
      <c r="I110" s="6"/>
      <c r="J110" s="60">
        <f t="shared" si="31"/>
        <v>0</v>
      </c>
      <c r="K110" s="60">
        <f t="shared" si="32"/>
        <v>0</v>
      </c>
      <c r="L110" s="60">
        <f t="shared" si="33"/>
        <v>0</v>
      </c>
      <c r="M110" s="60">
        <f t="shared" si="34"/>
        <v>0</v>
      </c>
    </row>
    <row r="111" spans="1:13" x14ac:dyDescent="0.2">
      <c r="A111" s="22"/>
      <c r="B111" s="22"/>
      <c r="C111" s="20" t="s">
        <v>8</v>
      </c>
      <c r="D111" s="59">
        <f>'Nº Anuncis Mensual'!AB235</f>
        <v>41</v>
      </c>
      <c r="E111" s="6">
        <f>'Nº Anuncis Mensual'!AC235</f>
        <v>1548546.07</v>
      </c>
      <c r="F111" s="59">
        <f>'Nº Anuncis Mensual'!AB254</f>
        <v>15</v>
      </c>
      <c r="G111" s="6">
        <f>'Nº Anuncis Mensual'!AC254</f>
        <v>523923.10999999993</v>
      </c>
      <c r="H111" s="59"/>
      <c r="I111" s="6"/>
      <c r="J111" s="60">
        <f t="shared" si="31"/>
        <v>-26</v>
      </c>
      <c r="K111" s="60">
        <f t="shared" si="32"/>
        <v>-1024622.9600000002</v>
      </c>
      <c r="L111" s="60">
        <f t="shared" si="33"/>
        <v>-15</v>
      </c>
      <c r="M111" s="60">
        <f t="shared" si="34"/>
        <v>-523923.10999999993</v>
      </c>
    </row>
    <row r="112" spans="1:13" x14ac:dyDescent="0.2">
      <c r="A112" s="119"/>
      <c r="B112" s="119"/>
      <c r="C112" s="119" t="s">
        <v>1426</v>
      </c>
      <c r="D112" s="59">
        <f>'Nº Anuncis Mensual'!AB236</f>
        <v>0</v>
      </c>
      <c r="E112" s="6">
        <f>'Nº Anuncis Mensual'!AC236</f>
        <v>0</v>
      </c>
      <c r="F112" s="59">
        <f>'Nº Anuncis Mensual'!AB255</f>
        <v>0</v>
      </c>
      <c r="G112" s="6">
        <f>'Nº Anuncis Mensual'!AC255</f>
        <v>0</v>
      </c>
      <c r="H112" s="59"/>
      <c r="I112" s="6"/>
      <c r="J112" s="60">
        <f t="shared" si="31"/>
        <v>0</v>
      </c>
      <c r="K112" s="60">
        <f t="shared" si="32"/>
        <v>0</v>
      </c>
      <c r="L112" s="60">
        <f t="shared" si="33"/>
        <v>0</v>
      </c>
      <c r="M112" s="60">
        <f t="shared" si="34"/>
        <v>0</v>
      </c>
    </row>
    <row r="113" spans="1:13" x14ac:dyDescent="0.2">
      <c r="A113" s="437" t="s">
        <v>12</v>
      </c>
      <c r="B113" s="439"/>
      <c r="C113" s="438"/>
      <c r="D113" s="59">
        <f>'Nº Anuncis Mensual'!AB237</f>
        <v>443</v>
      </c>
      <c r="E113" s="6">
        <f>'Nº Anuncis Mensual'!AC237</f>
        <v>74864932.86999999</v>
      </c>
      <c r="F113" s="59">
        <f>'Nº Anuncis Mensual'!AB256</f>
        <v>192</v>
      </c>
      <c r="G113" s="6">
        <f>'Nº Anuncis Mensual'!AC256</f>
        <v>64797536.079999998</v>
      </c>
      <c r="H113" s="59"/>
      <c r="I113" s="6"/>
      <c r="J113" s="60">
        <f>SUM(J101:J111)</f>
        <v>-251</v>
      </c>
      <c r="K113" s="77">
        <f>SUM(K101:K111)</f>
        <v>-10067396.789999997</v>
      </c>
      <c r="L113" s="60">
        <f t="shared" si="33"/>
        <v>-192</v>
      </c>
      <c r="M113" s="60">
        <f t="shared" si="34"/>
        <v>-64797536.079999998</v>
      </c>
    </row>
  </sheetData>
  <sortState xmlns:xlrd2="http://schemas.microsoft.com/office/spreadsheetml/2017/richdata2" ref="A49">
    <sortCondition sortBy="cellColor" ref="A49" dxfId="0"/>
  </sortState>
  <mergeCells count="27">
    <mergeCell ref="L3:M3"/>
    <mergeCell ref="A18:C18"/>
    <mergeCell ref="J3:K3"/>
    <mergeCell ref="A33:C33"/>
    <mergeCell ref="F20:G20"/>
    <mergeCell ref="J20:K20"/>
    <mergeCell ref="L20:M20"/>
    <mergeCell ref="A1:K1"/>
    <mergeCell ref="D3:E3"/>
    <mergeCell ref="F3:G3"/>
    <mergeCell ref="H3:I3"/>
    <mergeCell ref="J35:K35"/>
    <mergeCell ref="D20:E20"/>
    <mergeCell ref="L67:M67"/>
    <mergeCell ref="J67:K67"/>
    <mergeCell ref="A81:C81"/>
    <mergeCell ref="L35:M35"/>
    <mergeCell ref="J51:K51"/>
    <mergeCell ref="L51:M51"/>
    <mergeCell ref="A65:C65"/>
    <mergeCell ref="A49:C49"/>
    <mergeCell ref="J99:K99"/>
    <mergeCell ref="L99:M99"/>
    <mergeCell ref="A113:C113"/>
    <mergeCell ref="J83:K83"/>
    <mergeCell ref="L83:M83"/>
    <mergeCell ref="A97:C97"/>
  </mergeCells>
  <phoneticPr fontId="2" type="noConversion"/>
  <pageMargins left="0.75" right="0.75" top="1" bottom="1" header="0" footer="0"/>
  <pageSetup paperSize="9" orientation="portrait" r:id="rId1"/>
  <headerFooter alignWithMargins="0"/>
  <ignoredErrors>
    <ignoredError sqref="J7:J8 J10:K10 J12:K12 J16:J17 L5:L10 L12:M12 L15:L17 M5:M10 M15:M17 K7:K8 K16:K17 F18:G18 H18:I18" emptyCellReference="1"/>
  </ignoredErrors>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22"/>
  <sheetViews>
    <sheetView workbookViewId="0">
      <selection activeCell="G36" sqref="G3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Total!B2455</f>
        <v>44020</v>
      </c>
      <c r="C2" s="101">
        <f>Total!C2455</f>
        <v>44076</v>
      </c>
      <c r="D2" s="112" t="s">
        <v>1092</v>
      </c>
      <c r="E2" s="332" t="str">
        <f>Total!E2455</f>
        <v>Edificació</v>
      </c>
      <c r="F2" s="96" t="str">
        <f>Total!F2455</f>
        <v>Projectes i Direccions d'Obra</v>
      </c>
      <c r="G2" s="112" t="str">
        <f>Total!G2455</f>
        <v>PE+DO. JJV-18325</v>
      </c>
      <c r="H2" s="112" t="str">
        <f>Total!H2455</f>
        <v>Concurs de projecte per la redacció del projecte bàsic, projecte executiu i la posterior direcció d'obra de la nova construcció de l'edifici judicial de Martorell.</v>
      </c>
      <c r="I2" s="157">
        <f>Total!I2455</f>
        <v>968194</v>
      </c>
    </row>
    <row r="3" spans="1:9" x14ac:dyDescent="0.2">
      <c r="A3" s="8">
        <v>2</v>
      </c>
      <c r="B3" s="101">
        <f>Total!B2456</f>
        <v>44027</v>
      </c>
      <c r="C3" s="101">
        <f>Total!C2456</f>
        <v>44074</v>
      </c>
      <c r="D3" s="112" t="s">
        <v>1092</v>
      </c>
      <c r="E3" s="332" t="str">
        <f>Total!E2456</f>
        <v>Obra Civil</v>
      </c>
      <c r="F3" s="96" t="str">
        <f>Total!F2456</f>
        <v>Direccions d'Obra</v>
      </c>
      <c r="G3" s="112" t="str">
        <f>Total!G2456</f>
        <v>CSS. PC. MGB-18104</v>
      </c>
      <c r="H3" s="112" t="str">
        <f>Total!H2456</f>
        <v>Coordinació de seguretat i salut de les obres de modernització i millora. Transformació de la cua de maniobres de Trinitat Nova per a la segregació de l'explotació de les línies L4 i L11 de l'FMB. Barcelona.</v>
      </c>
      <c r="I3" s="157">
        <f>Total!I2456</f>
        <v>60000</v>
      </c>
    </row>
    <row r="4" spans="1:9" x14ac:dyDescent="0.2">
      <c r="A4" s="8">
        <v>3</v>
      </c>
      <c r="B4" s="101">
        <f>Total!B2457</f>
        <v>44027</v>
      </c>
      <c r="C4" s="101">
        <f>Total!C2457</f>
        <v>44074</v>
      </c>
      <c r="D4" s="112" t="s">
        <v>1092</v>
      </c>
      <c r="E4" s="332" t="str">
        <f>Total!E2457</f>
        <v>Obra Civil</v>
      </c>
      <c r="F4" s="96" t="str">
        <f>Total!F2457</f>
        <v>Direccions d'Obra</v>
      </c>
      <c r="G4" s="112" t="str">
        <f>Total!G2457</f>
        <v>DO. PC. MGB-18104</v>
      </c>
      <c r="H4" s="112" t="str">
        <f>Total!H2457</f>
        <v>Contracte de serveis per a la direcció de les obres de modernització i millora. Transformació de la cua de maniobres de Trinitat Nova per a la segregació de l'explotació de les línies L4 i L11 de l'FMB. Barcelona.</v>
      </c>
      <c r="I4" s="157">
        <f>Total!I2457</f>
        <v>414133.33</v>
      </c>
    </row>
    <row r="5" spans="1:9" x14ac:dyDescent="0.2">
      <c r="A5" s="8">
        <v>4</v>
      </c>
      <c r="B5" s="101">
        <f>Total!B2458</f>
        <v>44027</v>
      </c>
      <c r="C5" s="101">
        <f>Total!C2458</f>
        <v>44074</v>
      </c>
      <c r="D5" s="112" t="s">
        <v>1092</v>
      </c>
      <c r="E5" s="332" t="str">
        <f>Total!E2458</f>
        <v>Obra Civil</v>
      </c>
      <c r="F5" s="96" t="str">
        <f>Total!F2458</f>
        <v>Direccions d'Obra</v>
      </c>
      <c r="G5" s="112" t="str">
        <f>Total!G2458</f>
        <v>ATAM. PC. MGB-18104</v>
      </c>
      <c r="H5" s="112" t="str">
        <f>Total!H2458</f>
        <v>Contracte de serveis per a l'Assistència Tècnica Mediambiental de les obres de modernització i millora. Transformació de la cua de maniobres de Trinitat Nova per a la segregació de l'explotació de les línies L4 i L11 de l'FMB. Barcelona.</v>
      </c>
      <c r="I5" s="157">
        <f>Total!I2458</f>
        <v>23540</v>
      </c>
    </row>
    <row r="6" spans="1:9" x14ac:dyDescent="0.2">
      <c r="A6" s="8">
        <v>5</v>
      </c>
      <c r="B6" s="101">
        <f>Total!B2459</f>
        <v>44027</v>
      </c>
      <c r="C6" s="101">
        <f>Total!C2459</f>
        <v>44074</v>
      </c>
      <c r="D6" s="112" t="s">
        <v>1092</v>
      </c>
      <c r="E6" s="332" t="str">
        <f>Total!E2459</f>
        <v>Obra Civil</v>
      </c>
      <c r="F6" s="96" t="str">
        <f>Total!F2459</f>
        <v>Control de Qualitat</v>
      </c>
      <c r="G6" s="112" t="str">
        <f>Total!G2459</f>
        <v>CQ. PC-MGB-18104</v>
      </c>
      <c r="H6" s="112" t="str">
        <f>Total!H2459</f>
        <v>Contracte de serveis per a l'assistència tècnica de Control de Qualitat de les obres de modernització i millora. Transformació de la cua de maniobres de Trinitat Nova per a la segregació de l'explotació de les línies L4 i L11 de l'FMB. Barcelona.</v>
      </c>
      <c r="I6" s="157">
        <f>Total!I2459</f>
        <v>62427.32</v>
      </c>
    </row>
    <row r="7" spans="1:9" x14ac:dyDescent="0.2">
      <c r="A7" s="8">
        <v>6</v>
      </c>
      <c r="B7" s="101">
        <f>Total!B2460</f>
        <v>44028</v>
      </c>
      <c r="C7" s="101">
        <f>Total!C2460</f>
        <v>44076</v>
      </c>
      <c r="D7" s="112" t="s">
        <v>1092</v>
      </c>
      <c r="E7" s="332" t="str">
        <f>Total!E2460</f>
        <v>Obra Civil</v>
      </c>
      <c r="F7" s="96" t="str">
        <f>Total!F2460</f>
        <v>Direccions d'Obra</v>
      </c>
      <c r="G7" s="112" t="str">
        <f>Total!G2460</f>
        <v>DO. R0-18355</v>
      </c>
      <c r="H7" s="112" t="str">
        <f>Total!H2460</f>
        <v>Contracte de serveis per a la direcció de les obres del projectes d'instal.lació d'elements de Seguretat per accedir a la coberta del Taller de Zona Franca de L9 de metro de Barcelona.</v>
      </c>
      <c r="I7" s="157">
        <f>Total!I2460</f>
        <v>22000</v>
      </c>
    </row>
    <row r="8" spans="1:9" x14ac:dyDescent="0.2">
      <c r="A8" s="8">
        <v>7</v>
      </c>
      <c r="B8" s="101">
        <f>Total!B2461</f>
        <v>44028</v>
      </c>
      <c r="C8" s="101">
        <f>Total!C2461</f>
        <v>44076</v>
      </c>
      <c r="D8" s="112" t="s">
        <v>1092</v>
      </c>
      <c r="E8" s="332" t="str">
        <f>Total!E2461</f>
        <v>Obra Civil</v>
      </c>
      <c r="F8" s="96" t="str">
        <f>Total!F2461</f>
        <v>Control de Qualitat</v>
      </c>
      <c r="G8" s="112" t="str">
        <f>Total!G2461</f>
        <v>CQ. R0-18355</v>
      </c>
      <c r="H8" s="112" t="str">
        <f>Total!H2461</f>
        <v>Contracte de serveis per al Control de Qualitat de les obres del projecte d'instal·lació d'elements de Seguretat per accedir a la coberta del Taller de Zona Franca de L9 de metro de Barcelona.</v>
      </c>
      <c r="I8" s="157">
        <f>Total!I2461</f>
        <v>6795.16</v>
      </c>
    </row>
    <row r="9" spans="1:9" x14ac:dyDescent="0.2">
      <c r="A9" s="8">
        <v>8</v>
      </c>
      <c r="B9" s="101">
        <f>Total!B2462</f>
        <v>44028</v>
      </c>
      <c r="C9" s="101">
        <f>Total!C2462</f>
        <v>44088</v>
      </c>
      <c r="D9" s="112" t="s">
        <v>1092</v>
      </c>
      <c r="E9" s="332" t="str">
        <f>Total!E2462</f>
        <v>Edificació</v>
      </c>
      <c r="F9" s="96" t="str">
        <f>Total!F2462</f>
        <v>Projectes i Direccions d'Obra</v>
      </c>
      <c r="G9" s="112" t="str">
        <f>Total!G2462</f>
        <v>PE+DO. PGM-19212</v>
      </c>
      <c r="H9" s="112" t="str">
        <f>Total!H2462</f>
        <v>Concurs de Projectes per a la redacció del projecte bàsic, el projecte executiu i la posterior Direcció d'obra de Reforma i ampliació del Parc de Bombers de Tarragona.</v>
      </c>
      <c r="I9" s="157">
        <f>Total!I2462</f>
        <v>423784.25</v>
      </c>
    </row>
    <row r="10" spans="1:9" x14ac:dyDescent="0.2">
      <c r="A10" s="8">
        <v>9</v>
      </c>
      <c r="B10" s="101">
        <f>Total!B2463</f>
        <v>44028</v>
      </c>
      <c r="C10" s="101">
        <f>Total!C2463</f>
        <v>44076</v>
      </c>
      <c r="D10" s="112" t="s">
        <v>1092</v>
      </c>
      <c r="E10" s="332" t="str">
        <f>Total!E2463</f>
        <v>Obra Civil</v>
      </c>
      <c r="F10" s="96" t="str">
        <f>Total!F2463</f>
        <v>Direccions d'Obra</v>
      </c>
      <c r="G10" s="112" t="str">
        <f>Total!G2463</f>
        <v>CSS. R0-18355</v>
      </c>
      <c r="H10" s="112" t="str">
        <f>Total!H2463</f>
        <v>Contracte de serveis per a l'assistència tècnica de coordinació de seguretat i salut de les obres del projecte d'instal·lació d'elements de Seguretat per accedir a la coberta del Taller de Zona Franca de L9 de metro de Barcelona.</v>
      </c>
      <c r="I10" s="157">
        <f>Total!I2463</f>
        <v>4200</v>
      </c>
    </row>
    <row r="11" spans="1:9" x14ac:dyDescent="0.2">
      <c r="A11" s="8">
        <v>10</v>
      </c>
      <c r="B11" s="101">
        <f>Total!B2464</f>
        <v>44033</v>
      </c>
      <c r="C11" s="101">
        <f>Total!C2464</f>
        <v>44081</v>
      </c>
      <c r="D11" s="112" t="s">
        <v>1092</v>
      </c>
      <c r="E11" s="332" t="str">
        <f>Total!E2464</f>
        <v>Edificació</v>
      </c>
      <c r="F11" s="96" t="str">
        <f>Total!F2464</f>
        <v>Control de Qualitat</v>
      </c>
      <c r="G11" s="112" t="str">
        <f>Total!G2464</f>
        <v>CQ. JVX-18290.A</v>
      </c>
      <c r="H11" s="112" t="str">
        <f>Total!H2464</f>
        <v>Control de qualitat de les obres RAM de construcció d'un sistema de protecció solar, construcció nova façana, en l'edifici Judical de Sant Feliu de Guíxols.</v>
      </c>
      <c r="I11" s="157">
        <f>Total!I2464</f>
        <v>1878.12</v>
      </c>
    </row>
    <row r="12" spans="1:9" x14ac:dyDescent="0.2">
      <c r="A12" s="8">
        <v>11</v>
      </c>
      <c r="B12" s="101">
        <f>Total!B2465</f>
        <v>44034</v>
      </c>
      <c r="C12" s="101">
        <f>Total!C2465</f>
        <v>44081</v>
      </c>
      <c r="D12" s="112" t="s">
        <v>1092</v>
      </c>
      <c r="E12" s="332" t="str">
        <f>Total!E2465</f>
        <v>Edificació</v>
      </c>
      <c r="F12" s="96" t="str">
        <f>Total!F2465</f>
        <v>Control de Qualitat</v>
      </c>
      <c r="G12" s="112" t="str">
        <f>Total!G2465</f>
        <v>CQ. JVX-18294-A</v>
      </c>
      <c r="H12" s="112" t="str">
        <f>Total!H2465</f>
        <v>Contracte de serveis per a l'assistència tècnica de control de qualitat de les obres RAM de Rehabilitació de l'edifici judicial de l'Avinguda Ramon Folch de Girona, reparació de les cobertes.</v>
      </c>
      <c r="I12" s="157">
        <f>Total!I2465</f>
        <v>4087.76</v>
      </c>
    </row>
    <row r="13" spans="1:9" x14ac:dyDescent="0.2">
      <c r="A13" s="8">
        <v>12</v>
      </c>
      <c r="B13" s="101">
        <f>Total!B2466</f>
        <v>44035</v>
      </c>
      <c r="C13" s="101">
        <f>Total!C2466</f>
        <v>44088</v>
      </c>
      <c r="D13" s="112" t="s">
        <v>1092</v>
      </c>
      <c r="E13" s="332" t="str">
        <f>Total!E2466</f>
        <v>Obra Civil</v>
      </c>
      <c r="F13" s="96" t="str">
        <f>Total!F2466</f>
        <v>Projectes</v>
      </c>
      <c r="G13" s="112" t="str">
        <f>Total!G2466</f>
        <v>EV. EU-CGB-20019</v>
      </c>
      <c r="H13" s="112" t="str">
        <f>Total!H2466</f>
        <v>Contracte de serveis per a l'assistència tècnica per a la redacció de l'estudi acústic de la C-17 del PK 39+000 al 42+100. Sant Martí de Centelles-Aiguafreda.</v>
      </c>
      <c r="I13" s="157">
        <f>Total!I2466</f>
        <v>20200</v>
      </c>
    </row>
    <row r="14" spans="1:9" x14ac:dyDescent="0.2">
      <c r="A14" s="8">
        <v>13</v>
      </c>
      <c r="B14" s="101">
        <f>Total!B2467</f>
        <v>44035</v>
      </c>
      <c r="C14" s="101">
        <f>Total!C2467</f>
        <v>44081</v>
      </c>
      <c r="D14" s="112" t="s">
        <v>1092</v>
      </c>
      <c r="E14" s="332" t="str">
        <f>Total!E2467</f>
        <v>Obra Civil</v>
      </c>
      <c r="F14" s="96" t="str">
        <f>Total!F2467</f>
        <v>Projectes</v>
      </c>
      <c r="G14" s="112" t="str">
        <f>Total!G2467</f>
        <v>PC. SPD-20258</v>
      </c>
      <c r="H14" s="112" t="str">
        <f>Total!H2467</f>
        <v>Contracte de serveis per a l'assistència tècnica per a la redacció del projecte de desplegament de la xarxa de fibra òptica. Tram: Solsona ¿ La Seu d'Urgell.</v>
      </c>
      <c r="I14" s="157">
        <f>Total!I2467</f>
        <v>43801.65</v>
      </c>
    </row>
    <row r="15" spans="1:9" x14ac:dyDescent="0.2">
      <c r="A15" s="8">
        <v>14</v>
      </c>
      <c r="B15" s="101">
        <f>Total!B2468</f>
        <v>44035</v>
      </c>
      <c r="C15" s="101">
        <f>Total!C2468</f>
        <v>44081</v>
      </c>
      <c r="D15" s="112" t="s">
        <v>1092</v>
      </c>
      <c r="E15" s="332" t="str">
        <f>Total!E2468</f>
        <v>Obra Civil</v>
      </c>
      <c r="F15" s="96" t="str">
        <f>Total!F2468</f>
        <v>Projectes</v>
      </c>
      <c r="G15" s="112" t="str">
        <f>Total!G2468</f>
        <v>PC. SPD-20263</v>
      </c>
      <c r="H15" s="112" t="str">
        <f>Total!H2468</f>
        <v>Contracte de serveis per a l'assistència tècnica per a la redacció del projecte de desplegament de la xarxa de fibra òptica. Tram: Lleida-Móra d'Ebre (Lleida).</v>
      </c>
      <c r="I15" s="157">
        <f>Total!I2468</f>
        <v>43801.65</v>
      </c>
    </row>
    <row r="16" spans="1:9" x14ac:dyDescent="0.2">
      <c r="A16" s="8">
        <v>15</v>
      </c>
      <c r="B16" s="101">
        <f>Total!B2469</f>
        <v>44035</v>
      </c>
      <c r="C16" s="101">
        <f>Total!C2469</f>
        <v>44083</v>
      </c>
      <c r="D16" s="112" t="s">
        <v>1092</v>
      </c>
      <c r="E16" s="332" t="str">
        <f>Total!E2469</f>
        <v>Obra Civil</v>
      </c>
      <c r="F16" s="96" t="str">
        <f>Total!F2469</f>
        <v>Projectes</v>
      </c>
      <c r="G16" s="112" t="str">
        <f>Total!G2469</f>
        <v>PC. PZV-19409</v>
      </c>
      <c r="H16" s="112" t="str">
        <f>Total!H2469</f>
        <v>Contracte de serveis per a l'assistència tècnica per a la redacció del projecte constructiu d'Adequació aparcament i mòdul de serveis de l'àrea d'acollida de visitants de Santa Margarida al Parc Natural de la Garrotxa.</v>
      </c>
      <c r="I16" s="157">
        <f>Total!I2469</f>
        <v>14450</v>
      </c>
    </row>
    <row r="17" spans="1:9" x14ac:dyDescent="0.2">
      <c r="A17" s="8">
        <v>16</v>
      </c>
      <c r="B17" s="101">
        <f>Total!B2470</f>
        <v>44035</v>
      </c>
      <c r="C17" s="101">
        <f>Total!C2470</f>
        <v>44081</v>
      </c>
      <c r="D17" s="112" t="s">
        <v>1092</v>
      </c>
      <c r="E17" s="332" t="str">
        <f>Total!E2470</f>
        <v>Obra Civil</v>
      </c>
      <c r="F17" s="96" t="str">
        <f>Total!F2470</f>
        <v>Projectes</v>
      </c>
      <c r="G17" s="112" t="str">
        <f>Total!G2470</f>
        <v>PC. SPD-20259</v>
      </c>
      <c r="H17" s="112" t="str">
        <f>Total!H2470</f>
        <v>Contracte de serveis per a l'assistència tècnica per a la redacció del projecte de desplegament de la xarxa de fibra òptica. Tram: Reus-Valls.</v>
      </c>
      <c r="I17" s="157">
        <f>Total!I2470</f>
        <v>24380.17</v>
      </c>
    </row>
    <row r="18" spans="1:9" x14ac:dyDescent="0.2">
      <c r="A18" s="8">
        <v>17</v>
      </c>
      <c r="B18" s="101">
        <f>Total!B2471</f>
        <v>44035</v>
      </c>
      <c r="C18" s="101">
        <f>Total!C2471</f>
        <v>44081</v>
      </c>
      <c r="D18" s="112" t="s">
        <v>1092</v>
      </c>
      <c r="E18" s="332" t="str">
        <f>Total!E2471</f>
        <v>Obra Civil</v>
      </c>
      <c r="F18" s="96" t="str">
        <f>Total!F2471</f>
        <v>Projectes</v>
      </c>
      <c r="G18" s="112" t="str">
        <f>Total!G2471</f>
        <v>PC. SPD-20256</v>
      </c>
      <c r="H18" s="112" t="str">
        <f>Total!H2471</f>
        <v>Contracte de serveis per a l'assistència tècnica per a la redacció del projecte de desplegament de la xarxa de fibra òptica. Tram: Parlavà-Figueres.</v>
      </c>
      <c r="I18" s="157">
        <f>Total!I2471</f>
        <v>30578.51</v>
      </c>
    </row>
    <row r="19" spans="1:9" x14ac:dyDescent="0.2">
      <c r="A19" s="8">
        <v>18</v>
      </c>
      <c r="B19" s="101">
        <f>Total!B2472</f>
        <v>44035</v>
      </c>
      <c r="C19" s="101">
        <f>Total!C2472</f>
        <v>44081</v>
      </c>
      <c r="D19" s="112" t="s">
        <v>1092</v>
      </c>
      <c r="E19" s="332" t="str">
        <f>Total!E2472</f>
        <v>Obra Civil</v>
      </c>
      <c r="F19" s="96" t="str">
        <f>Total!F2472</f>
        <v>Projectes</v>
      </c>
      <c r="G19" s="112" t="str">
        <f>Total!G2472</f>
        <v>PC. SPD-20264</v>
      </c>
      <c r="H19" s="112" t="str">
        <f>Total!H2472</f>
        <v>Contracte de serveis per a l'assistència tècnica per a la redacció del projecte de desplegament de la xarxa de fibra òptica. Tram: Lleida-Móra d'Ebre (Tarragona).</v>
      </c>
      <c r="I19" s="157">
        <f>Total!I2472</f>
        <v>28925.62</v>
      </c>
    </row>
    <row r="20" spans="1:9" x14ac:dyDescent="0.2">
      <c r="A20" s="8">
        <v>19</v>
      </c>
      <c r="B20" s="101">
        <f>Total!B2473</f>
        <v>44035</v>
      </c>
      <c r="C20" s="101">
        <f>Total!C2473</f>
        <v>44081</v>
      </c>
      <c r="D20" s="112" t="s">
        <v>1092</v>
      </c>
      <c r="E20" s="332" t="str">
        <f>Total!E2473</f>
        <v>Obra Civil</v>
      </c>
      <c r="F20" s="96" t="str">
        <f>Total!F2473</f>
        <v>Projectes</v>
      </c>
      <c r="G20" s="112" t="str">
        <f>Total!G2473</f>
        <v>PC. SPD-20261</v>
      </c>
      <c r="H20" s="112" t="str">
        <f>Total!H2473</f>
        <v>Contracte de serveis per a l'assistència tècnica per a la redacció del projecte de desplegament de la xarxa de fibra òptica. Tram: Les Borges Blanques-Montblanc.</v>
      </c>
      <c r="I20" s="157">
        <f>Total!I2473</f>
        <v>43388.43</v>
      </c>
    </row>
    <row r="21" spans="1:9" x14ac:dyDescent="0.2">
      <c r="A21" s="8">
        <v>20</v>
      </c>
      <c r="B21" s="101">
        <f>Total!B2474</f>
        <v>44042</v>
      </c>
      <c r="C21" s="101">
        <f>Total!C2474</f>
        <v>44103</v>
      </c>
      <c r="D21" s="112" t="s">
        <v>1092</v>
      </c>
      <c r="E21" s="332" t="str">
        <f>Total!E2474</f>
        <v>Edificació</v>
      </c>
      <c r="F21" s="96" t="str">
        <f>Total!F2474</f>
        <v>Projectes i Direccions d'Obra</v>
      </c>
      <c r="G21" s="112" t="str">
        <f>Total!G2474</f>
        <v>PE+DO CCB-17260</v>
      </c>
      <c r="H21" s="112" t="str">
        <f>Total!H2474</f>
        <v>Redacció del projecte bàsic, projec. Executiu i posterior direc. d'obra de rehabilitació integral de l'actual edifici base, carrers Àvila-Bolívia, a Barcelona, per a la ubicació d'una APB renovada, serv. de Mossos i dependències policials Dtre. S. Martí.</v>
      </c>
      <c r="I21" s="157">
        <f>Total!I2474</f>
        <v>1242338.25</v>
      </c>
    </row>
    <row r="22" spans="1:9" x14ac:dyDescent="0.2">
      <c r="I22" s="126">
        <f>SUM(I2:I21)</f>
        <v>3482904.22</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20"/>
  <sheetViews>
    <sheetView workbookViewId="0">
      <selection activeCell="I20" sqref="I20"/>
    </sheetView>
  </sheetViews>
  <sheetFormatPr baseColWidth="10" defaultRowHeight="12.75" x14ac:dyDescent="0.2"/>
  <cols>
    <col min="1" max="1" width="5.140625" customWidth="1"/>
    <col min="4" max="4" width="17" bestFit="1" customWidth="1"/>
    <col min="6" max="6" width="15.140625" bestFit="1" customWidth="1"/>
    <col min="7" max="7" width="17.2851562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Total!B2436</f>
        <v>43985</v>
      </c>
      <c r="C2" s="101">
        <f>Total!C2436</f>
        <v>44018</v>
      </c>
      <c r="D2" s="112" t="s">
        <v>1092</v>
      </c>
      <c r="E2" s="332" t="str">
        <f>Total!E2436</f>
        <v>Edificació</v>
      </c>
      <c r="F2" s="96" t="str">
        <f>Total!F2436</f>
        <v>Projectes i Direccions d'Obra</v>
      </c>
      <c r="G2" s="112" t="str">
        <f>Total!G2436</f>
        <v>PE+DO. JVX-20215</v>
      </c>
      <c r="H2" s="112" t="str">
        <f>Total!H2436</f>
        <v>Redacció del projecte bàsic i executiu i la posterior direcció de les obres RAM de reforma de la instal·lació elèctrica del Centre Penitenciari Brians 1.</v>
      </c>
      <c r="I2" s="157">
        <f>Total!I2436</f>
        <v>227035.89</v>
      </c>
    </row>
    <row r="3" spans="1:9" x14ac:dyDescent="0.2">
      <c r="A3" s="8">
        <v>2</v>
      </c>
      <c r="B3" s="101">
        <f>Total!B2438</f>
        <v>43986</v>
      </c>
      <c r="C3" s="101">
        <f>Total!C2438</f>
        <v>44018</v>
      </c>
      <c r="D3" s="112" t="s">
        <v>1092</v>
      </c>
      <c r="E3" s="332" t="str">
        <f>Total!E2438</f>
        <v>Obra Civil</v>
      </c>
      <c r="F3" s="96" t="str">
        <f>Total!F2438</f>
        <v>Direccions d'Obra</v>
      </c>
      <c r="G3" s="112" t="str">
        <f>Total!G2438</f>
        <v>DO.R0-17220.1+R0-17220.2</v>
      </c>
      <c r="H3" s="112" t="str">
        <f>Total!H2438</f>
        <v>Direcció conjunta de les obres d'execució del "Projecte constructiu i Plec de clàusules de licitació en l'àmbit de Subsistemes de Telecomunicacions de la L9 de metro Barcelona segons actuacions definides en Pla General d'Obsolescència 2016. Firewall" ....</v>
      </c>
      <c r="I3" s="157">
        <f>Total!I2438</f>
        <v>172333.33</v>
      </c>
    </row>
    <row r="4" spans="1:9" x14ac:dyDescent="0.2">
      <c r="A4" s="8">
        <v>3</v>
      </c>
      <c r="B4" s="101">
        <f>Total!B2439</f>
        <v>43986</v>
      </c>
      <c r="C4" s="101">
        <f>Total!C2439</f>
        <v>44018</v>
      </c>
      <c r="D4" s="112" t="s">
        <v>1092</v>
      </c>
      <c r="E4" s="332" t="str">
        <f>Total!E2439</f>
        <v>Obra Civil</v>
      </c>
      <c r="F4" s="96" t="str">
        <f>Total!F2439</f>
        <v>Control de Qualitat</v>
      </c>
      <c r="G4" s="112" t="str">
        <f>Total!G2439</f>
        <v>CQ.R0-17220.1</v>
      </c>
      <c r="H4" s="112" t="str">
        <f>Total!H2439</f>
        <v>Control de Qualitat de les obres del Projecte constructiu i Plec de clàusules de licitació en l'àmbit de Subsistemes de Telecomunicacions de la L9 de metro Barcelona segons actuacions definides en Pla General d'Obsolescència 2016. Firewall.</v>
      </c>
      <c r="I4" s="157">
        <f>Total!I2439</f>
        <v>1920</v>
      </c>
    </row>
    <row r="5" spans="1:9" x14ac:dyDescent="0.2">
      <c r="A5" s="8">
        <v>4</v>
      </c>
      <c r="B5" s="101">
        <f>Total!B2440</f>
        <v>43986</v>
      </c>
      <c r="C5" s="101">
        <f>Total!C2440</f>
        <v>44018</v>
      </c>
      <c r="D5" s="112" t="s">
        <v>1092</v>
      </c>
      <c r="E5" s="332" t="str">
        <f>Total!E2440</f>
        <v>Obra Civil</v>
      </c>
      <c r="F5" s="96" t="str">
        <f>Total!F2440</f>
        <v>Projectes</v>
      </c>
      <c r="G5" s="112" t="str">
        <f>Total!G2440</f>
        <v>PC. PC-CIE-20012</v>
      </c>
      <c r="H5" s="112" t="str">
        <f>Total!H2440</f>
        <v>Contracte de serveis per a l'assistència tècnica per a la redacció del projecte constructiu de millora de les característiques superficials i reestudi de secció transversal a la C-12 del PK 5+000 al 13+200. Amposta-Tortosa.</v>
      </c>
      <c r="I5" s="157">
        <f>Total!I2440</f>
        <v>153040</v>
      </c>
    </row>
    <row r="6" spans="1:9" x14ac:dyDescent="0.2">
      <c r="A6" s="8">
        <v>5</v>
      </c>
      <c r="B6" s="101">
        <f>Total!B2441</f>
        <v>43986</v>
      </c>
      <c r="C6" s="101">
        <f>Total!C2441</f>
        <v>44018</v>
      </c>
      <c r="D6" s="112" t="s">
        <v>1092</v>
      </c>
      <c r="E6" s="332" t="str">
        <f>Total!E2441</f>
        <v>Obra Civil</v>
      </c>
      <c r="F6" s="96" t="str">
        <f>Total!F2441</f>
        <v>Direccions d'Obra</v>
      </c>
      <c r="G6" s="112" t="str">
        <f>Total!G2441</f>
        <v>CSS. R0-17220.1+R0-17220.2</v>
      </c>
      <c r="H6" s="112" t="str">
        <f>Total!H2441</f>
        <v>Coord. S. S. de les obres del projecte constructiu per a l'execució de les obres de Subsistemes de Telecomunicació de l'L9 de metro Barcelona segons actuacions definides en el Pla General d'Obsolescència 2016. Firewall, i, de les obres de Subsistemes...</v>
      </c>
      <c r="I6" s="157">
        <f>Total!I2441</f>
        <v>30600</v>
      </c>
    </row>
    <row r="7" spans="1:9" x14ac:dyDescent="0.2">
      <c r="A7" s="8">
        <v>6</v>
      </c>
      <c r="B7" s="101">
        <f>Total!B2442</f>
        <v>43990</v>
      </c>
      <c r="C7" s="101">
        <f>Total!C2442</f>
        <v>44025</v>
      </c>
      <c r="D7" s="112" t="s">
        <v>1092</v>
      </c>
      <c r="E7" s="332" t="str">
        <f>Total!E2442</f>
        <v>Obra Civil</v>
      </c>
      <c r="F7" s="96" t="str">
        <f>Total!F2442</f>
        <v>Projectes</v>
      </c>
      <c r="G7" s="112" t="str">
        <f>Total!G2442</f>
        <v>EI. MNB-20024</v>
      </c>
      <c r="H7" s="112" t="str">
        <f>Total!H2442</f>
        <v>Redacción del estudio informativo de la prolongación de la línea L1 de los FMB entre las estaciones de Lloreda-Sant Crist y Badalona Cercanía.</v>
      </c>
      <c r="I7" s="157">
        <f>Total!I2442</f>
        <v>1099300</v>
      </c>
    </row>
    <row r="8" spans="1:9" x14ac:dyDescent="0.2">
      <c r="A8" s="8">
        <v>7</v>
      </c>
      <c r="B8" s="101">
        <f>Total!B2443</f>
        <v>43990</v>
      </c>
      <c r="C8" s="101">
        <f>Total!C2443</f>
        <v>44025</v>
      </c>
      <c r="D8" s="112" t="s">
        <v>1092</v>
      </c>
      <c r="E8" s="332" t="str">
        <f>Total!E2443</f>
        <v>Obra Civil</v>
      </c>
      <c r="F8" s="96" t="str">
        <f>Total!F2443</f>
        <v>Projectes</v>
      </c>
      <c r="G8" s="112" t="str">
        <f>Total!G2443</f>
        <v>EI-CIB-19061+PC. CIB-19061</v>
      </c>
      <c r="H8" s="112" t="str">
        <f>Total!H2443</f>
        <v>Redacción del estudio informativo y del proyecto constructivo del nuevo enlace en la C-31 en la c/del Torrent de Vallmajor, del pk 213,50.</v>
      </c>
      <c r="I8" s="157">
        <f>Total!I2443</f>
        <v>289900</v>
      </c>
    </row>
    <row r="9" spans="1:9" x14ac:dyDescent="0.2">
      <c r="A9" s="8">
        <v>8</v>
      </c>
      <c r="B9" s="101">
        <f>Total!B2444</f>
        <v>43987</v>
      </c>
      <c r="C9" s="101">
        <f>Total!C2444</f>
        <v>44018</v>
      </c>
      <c r="D9" s="112" t="s">
        <v>1092</v>
      </c>
      <c r="E9" s="332" t="str">
        <f>Total!E2444</f>
        <v>Obra Civil</v>
      </c>
      <c r="F9" s="96" t="str">
        <f>Total!F2444</f>
        <v>Control de Qualitat</v>
      </c>
      <c r="G9" s="112" t="str">
        <f>Total!G2444</f>
        <v>CQ.R0-17220.2</v>
      </c>
      <c r="H9" s="112" t="str">
        <f>Total!H2444</f>
        <v>Control qualitat obres Proj. Constructiu i Plec Clàusules Licitació àmbit de Subsistemes de Telecomunicacions de la L9 de metro BCN segons actuacions definides en Pla General d'Obsolescència 2016. Sistemes Telefonia, Interfonia, Megafonia, Inf. a Passatge</v>
      </c>
      <c r="I9" s="157">
        <f>Total!I2444</f>
        <v>20250</v>
      </c>
    </row>
    <row r="10" spans="1:9" x14ac:dyDescent="0.2">
      <c r="A10" s="8">
        <v>9</v>
      </c>
      <c r="B10" s="101">
        <f>Total!B2445</f>
        <v>43990</v>
      </c>
      <c r="C10" s="101">
        <f>Total!C2445</f>
        <v>44020</v>
      </c>
      <c r="D10" s="112" t="s">
        <v>1092</v>
      </c>
      <c r="E10" s="332" t="str">
        <f>Total!E2445</f>
        <v>Edificació</v>
      </c>
      <c r="F10" s="96" t="str">
        <f>Total!F2445</f>
        <v>Direccions d'execució</v>
      </c>
      <c r="G10" s="112" t="str">
        <f>Total!G2445</f>
        <v>DE. PNV-17277</v>
      </c>
      <c r="H10" s="112" t="str">
        <f>Total!H2445</f>
        <v>Direcció d'execució de les obres de nova construcció escola 2L (sense pista) a l'Escola Virolet de Sabadell.</v>
      </c>
      <c r="I10" s="157">
        <f>Total!I2445</f>
        <v>126454.53</v>
      </c>
    </row>
    <row r="11" spans="1:9" x14ac:dyDescent="0.2">
      <c r="A11" s="8">
        <v>10</v>
      </c>
      <c r="B11" s="101">
        <f>Total!B2446</f>
        <v>43990</v>
      </c>
      <c r="C11" s="101">
        <f>Total!C2446</f>
        <v>44020</v>
      </c>
      <c r="D11" s="112" t="s">
        <v>1092</v>
      </c>
      <c r="E11" s="332" t="str">
        <f>Total!E2446</f>
        <v>Edificació</v>
      </c>
      <c r="F11" s="96" t="str">
        <f>Total!F2446</f>
        <v>Direccions d'execució</v>
      </c>
      <c r="G11" s="112" t="str">
        <f>Total!G2446</f>
        <v>CSS. PNV-17277</v>
      </c>
      <c r="H11" s="112" t="str">
        <f>Total!H2446</f>
        <v>Coordinació de seguretat i salut de les obres de nova construcció escola 2L (sense pista) a l'Escola Virolet de Sabadell.</v>
      </c>
      <c r="I11" s="157">
        <f>Total!I2446</f>
        <v>37920</v>
      </c>
    </row>
    <row r="12" spans="1:9" x14ac:dyDescent="0.2">
      <c r="A12" s="8">
        <v>11</v>
      </c>
      <c r="B12" s="101">
        <f>Total!B2447</f>
        <v>43990</v>
      </c>
      <c r="C12" s="101">
        <f>Total!C2447</f>
        <v>44020</v>
      </c>
      <c r="D12" s="112" t="s">
        <v>1092</v>
      </c>
      <c r="E12" s="332" t="str">
        <f>Total!E2447</f>
        <v>Edificació</v>
      </c>
      <c r="F12" s="96" t="str">
        <f>Total!F2447</f>
        <v>Control de Qualitat</v>
      </c>
      <c r="G12" s="112" t="str">
        <f>Total!G2447</f>
        <v>CQ. PNV-17277</v>
      </c>
      <c r="H12" s="112" t="str">
        <f>Total!H2447</f>
        <v>Control de qualitat de les obres de nova construcció escola 2L (sense pista) a l'Escola Virolet de Sabadell.</v>
      </c>
      <c r="I12" s="157">
        <f>Total!I2447</f>
        <v>45307.61</v>
      </c>
    </row>
    <row r="13" spans="1:9" x14ac:dyDescent="0.2">
      <c r="A13" s="8">
        <v>12</v>
      </c>
      <c r="B13" s="101">
        <f>Total!B2448</f>
        <v>43993</v>
      </c>
      <c r="C13" s="101">
        <f>Total!C2448</f>
        <v>44020</v>
      </c>
      <c r="D13" s="112" t="s">
        <v>1092</v>
      </c>
      <c r="E13" s="332" t="str">
        <f>Total!E2448</f>
        <v>Obra Civil</v>
      </c>
      <c r="F13" s="96" t="str">
        <f>Total!F2448</f>
        <v>Projectes</v>
      </c>
      <c r="G13" s="112" t="str">
        <f>Total!G2448</f>
        <v>PC. PC-CIE-20014</v>
      </c>
      <c r="H13" s="112" t="str">
        <f>Total!H2448</f>
        <v>Redacció del projectes constructiu de millora de característiques superficials i reestudi de secció transversal a la C-12 del pk 63,470 al 68,400. Móra la Nova-Garcia.</v>
      </c>
      <c r="I13" s="157">
        <f>Total!I2448</f>
        <v>153040</v>
      </c>
    </row>
    <row r="14" spans="1:9" x14ac:dyDescent="0.2">
      <c r="A14" s="8">
        <v>13</v>
      </c>
      <c r="B14" s="101">
        <f>Total!B2449</f>
        <v>44000</v>
      </c>
      <c r="C14" s="101">
        <f>Total!C2449</f>
        <v>44025</v>
      </c>
      <c r="D14" s="112" t="s">
        <v>1092</v>
      </c>
      <c r="E14" s="332" t="str">
        <f>Total!E2449</f>
        <v>Obra Civil</v>
      </c>
      <c r="F14" s="96" t="str">
        <f>Total!F2449</f>
        <v>Projectes</v>
      </c>
      <c r="G14" s="112" t="str">
        <f>Total!G2449</f>
        <v>PC.ANL-19039</v>
      </c>
      <c r="H14" s="112" t="str">
        <f>Total!H2449</f>
        <v>Contracte de serveis per a l'assistència tècnica per a la redacció del projecte constructiu "Pas inferior d'accés a la nova estació d'autobusos de Tàrrega i aparcament".</v>
      </c>
      <c r="I14" s="157">
        <f>Total!I2449</f>
        <v>101679</v>
      </c>
    </row>
    <row r="15" spans="1:9" x14ac:dyDescent="0.2">
      <c r="A15" s="8">
        <v>14</v>
      </c>
      <c r="B15" s="101">
        <f>Total!B2450</f>
        <v>44000</v>
      </c>
      <c r="C15" s="101">
        <f>Total!C2450</f>
        <v>44025</v>
      </c>
      <c r="D15" s="112" t="s">
        <v>1092</v>
      </c>
      <c r="E15" s="332" t="str">
        <f>Total!E2450</f>
        <v>Obra Civil</v>
      </c>
      <c r="F15" s="96" t="str">
        <f>Total!F2450</f>
        <v>Projectes</v>
      </c>
      <c r="G15" s="112" t="str">
        <f>Total!G2450</f>
        <v>PC.TM-12002.4</v>
      </c>
      <c r="H15" s="112" t="str">
        <f>Total!H2450</f>
        <v>Contracte de serveis per a l'assistència tècnica per a la redacció del projecte constructiu de Millora de les condicions mecàniques de la superestructura de diversos trams de via de la L2 de FMB.</v>
      </c>
      <c r="I15" s="157">
        <f>Total!I2450</f>
        <v>96878</v>
      </c>
    </row>
    <row r="16" spans="1:9" x14ac:dyDescent="0.2">
      <c r="A16" s="8">
        <v>15</v>
      </c>
      <c r="B16" s="101">
        <f>Total!B2451</f>
        <v>44001</v>
      </c>
      <c r="C16" s="101">
        <f>Total!C2451</f>
        <v>44025</v>
      </c>
      <c r="D16" s="112" t="s">
        <v>1092</v>
      </c>
      <c r="E16" s="332" t="str">
        <f>Total!E2451</f>
        <v>Edificació</v>
      </c>
      <c r="F16" s="96" t="str">
        <f>Total!F2451</f>
        <v>Direccions d'execució</v>
      </c>
      <c r="G16" s="112" t="str">
        <f>Total!G2451</f>
        <v>CSS. PSL-17236.A</v>
      </c>
      <c r="H16" s="112" t="str">
        <f>Total!H2451</f>
        <v>Contracte de serveis per a l'assistència tècnica de Coordinació de Seguretat i Salut de les obres del projecte actualitzat de reforma i ampliació del Parc de Bombers de Solsona.</v>
      </c>
      <c r="I16" s="157">
        <f>Total!I2451</f>
        <v>13530</v>
      </c>
    </row>
    <row r="17" spans="1:9" x14ac:dyDescent="0.2">
      <c r="A17" s="8">
        <v>16</v>
      </c>
      <c r="B17" s="101">
        <f>Total!B2452</f>
        <v>44001</v>
      </c>
      <c r="C17" s="101">
        <f>Total!C2452</f>
        <v>44025</v>
      </c>
      <c r="D17" s="112" t="s">
        <v>1092</v>
      </c>
      <c r="E17" s="332" t="str">
        <f>Total!E2452</f>
        <v>Edificació</v>
      </c>
      <c r="F17" s="96" t="str">
        <f>Total!F2452</f>
        <v>Control de Qualitat</v>
      </c>
      <c r="G17" s="112" t="str">
        <f>Total!G2452</f>
        <v>CQ. PSL-17236.A</v>
      </c>
      <c r="H17" s="112" t="str">
        <f>Total!H2452</f>
        <v>Contracte de serveis per a l'assistència tècnica de control de qualitat de les obres del projecte actualitzat de reforma i ampliació del Parc de Bombers de Solsona.</v>
      </c>
      <c r="I17" s="157">
        <f>Total!I2452</f>
        <v>15415.44</v>
      </c>
    </row>
    <row r="18" spans="1:9" x14ac:dyDescent="0.2">
      <c r="A18" s="8">
        <v>17</v>
      </c>
      <c r="B18" s="101">
        <f>Total!B2453</f>
        <v>44001</v>
      </c>
      <c r="C18" s="101">
        <f>Total!C2453</f>
        <v>44025</v>
      </c>
      <c r="D18" s="112" t="s">
        <v>1092</v>
      </c>
      <c r="E18" s="332" t="str">
        <f>Total!E2453</f>
        <v>Edificació</v>
      </c>
      <c r="F18" s="96" t="str">
        <f>Total!F2453</f>
        <v>Direccions d'execució</v>
      </c>
      <c r="G18" s="112" t="str">
        <f>Total!G2453</f>
        <v>DE. PSL-17236.A</v>
      </c>
      <c r="H18" s="112" t="str">
        <f>Total!H2453</f>
        <v>Contracte de serveis per a la Direcció d'execució de les obres del projecte actualitzat de reforma i ampliació del Parc de Bombers de Solsona.</v>
      </c>
      <c r="I18" s="157">
        <f>Total!I2453</f>
        <v>45100</v>
      </c>
    </row>
    <row r="19" spans="1:9" x14ac:dyDescent="0.2">
      <c r="A19" s="8">
        <v>18</v>
      </c>
      <c r="B19" s="101">
        <f>Total!B2454</f>
        <v>44011</v>
      </c>
      <c r="C19" s="101">
        <f>Total!C2454</f>
        <v>44026</v>
      </c>
      <c r="D19" s="112" t="s">
        <v>1092</v>
      </c>
      <c r="E19" s="332" t="str">
        <f>Total!E2454</f>
        <v>Obra Civil</v>
      </c>
      <c r="F19" s="96" t="str">
        <f>Total!F2454</f>
        <v>Control de Qualitat</v>
      </c>
      <c r="G19" s="112" t="str">
        <f>Total!G2454</f>
        <v>EV. E9-MA-20900</v>
      </c>
      <c r="H19" s="112" t="str">
        <f>Total!H2454</f>
        <v>Contracte de serveis per a l'assistència tècnica pel seguiment de les xarxes de control d'aigües subterrànies, superficials i de drenatge del reg Segarra-Garrigues. Campanyes 2020-2022.</v>
      </c>
      <c r="I19" s="157">
        <f>Total!I2454</f>
        <v>208822.7</v>
      </c>
    </row>
    <row r="20" spans="1:9" x14ac:dyDescent="0.2">
      <c r="I20" s="126">
        <f>SUM(I2:I19)</f>
        <v>2838526.5</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44"/>
  <sheetViews>
    <sheetView topLeftCell="A10" workbookViewId="0">
      <selection activeCell="A10"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Total!B2394</f>
        <v>43958</v>
      </c>
      <c r="C2" s="101">
        <f>Total!C2394</f>
        <v>43992</v>
      </c>
      <c r="D2" s="112" t="s">
        <v>1092</v>
      </c>
      <c r="E2" s="332" t="str">
        <f>Total!E2394</f>
        <v>Obra Civil</v>
      </c>
      <c r="F2" s="96" t="str">
        <f>Total!F2394</f>
        <v>Projectes</v>
      </c>
      <c r="G2" s="112" t="str">
        <f>Total!G2394</f>
        <v>PC. UR-20240</v>
      </c>
      <c r="H2" s="112" t="str">
        <f>Total!H2394</f>
        <v>Contracte de serveis per a l'assistència tècnica per a la redacció del del Projecte constructiu de modernització del Sector B-03 dels Canals d'Urgell.</v>
      </c>
      <c r="I2" s="157">
        <f>Total!I2394</f>
        <v>169000</v>
      </c>
    </row>
    <row r="3" spans="1:9" x14ac:dyDescent="0.2">
      <c r="A3" s="8">
        <v>2</v>
      </c>
      <c r="B3" s="101">
        <f>Total!B2395</f>
        <v>43958</v>
      </c>
      <c r="C3" s="101">
        <f>Total!C2395</f>
        <v>43992</v>
      </c>
      <c r="D3" s="112" t="s">
        <v>1092</v>
      </c>
      <c r="E3" s="332" t="str">
        <f>Total!E2395</f>
        <v>Obra Civil</v>
      </c>
      <c r="F3" s="96" t="str">
        <f>Total!F2395</f>
        <v>Projectes</v>
      </c>
      <c r="G3" s="112" t="str">
        <f>Total!G2395</f>
        <v>PC. UR-20242</v>
      </c>
      <c r="H3" s="112" t="str">
        <f>Total!H2395</f>
        <v>Contracte de serveis per a l'assistència tècnica per a la redacció del projecte constructiu de modernització del Sector B-10 dels Canals d'Urgell.</v>
      </c>
      <c r="I3" s="157">
        <f>Total!I2395</f>
        <v>340000</v>
      </c>
    </row>
    <row r="4" spans="1:9" x14ac:dyDescent="0.2">
      <c r="A4" s="8">
        <v>3</v>
      </c>
      <c r="B4" s="101">
        <f>Total!B2396</f>
        <v>43958</v>
      </c>
      <c r="C4" s="101">
        <f>Total!C2396</f>
        <v>43992</v>
      </c>
      <c r="D4" s="112" t="s">
        <v>1092</v>
      </c>
      <c r="E4" s="332" t="str">
        <f>Total!E2396</f>
        <v>Obra Civil</v>
      </c>
      <c r="F4" s="96" t="str">
        <f>Total!F2396</f>
        <v>Projectes</v>
      </c>
      <c r="G4" s="112" t="str">
        <f>Total!G2396</f>
        <v>PC. UR-20239</v>
      </c>
      <c r="H4" s="112" t="str">
        <f>Total!H2396</f>
        <v>Contracte de serveis per a l'assistència tècnica per a la redacció del projecte constructiu de modernització del Sector C-02 dels Canals d'Urgell.</v>
      </c>
      <c r="I4" s="157">
        <f>Total!I2396</f>
        <v>382500</v>
      </c>
    </row>
    <row r="5" spans="1:9" x14ac:dyDescent="0.2">
      <c r="A5" s="8">
        <v>4</v>
      </c>
      <c r="B5" s="101">
        <f>Total!B2397</f>
        <v>43958</v>
      </c>
      <c r="C5" s="101">
        <f>Total!C2397</f>
        <v>43992</v>
      </c>
      <c r="D5" s="112" t="s">
        <v>1092</v>
      </c>
      <c r="E5" s="332" t="str">
        <f>Total!E2397</f>
        <v>Obra Civil</v>
      </c>
      <c r="F5" s="96" t="str">
        <f>Total!F2397</f>
        <v>Projectes</v>
      </c>
      <c r="G5" s="112" t="str">
        <f>Total!G2397</f>
        <v>PC. UR-20241</v>
      </c>
      <c r="H5" s="112" t="str">
        <f>Total!H2397</f>
        <v>Contracte de serveis per a l'assistència tècnica per a la redacció del projecte constructiu de modernització dels Sectors A-12, A-13 i canonada d'abastament al Sector A-14 dels Canals d'Urgell.</v>
      </c>
      <c r="I5" s="157">
        <f>Total!I2397</f>
        <v>457000</v>
      </c>
    </row>
    <row r="6" spans="1:9" x14ac:dyDescent="0.2">
      <c r="A6" s="8">
        <v>5</v>
      </c>
      <c r="B6" s="101">
        <f>Total!B2398</f>
        <v>43962</v>
      </c>
      <c r="C6" s="101">
        <f>Total!C2398</f>
        <v>44011</v>
      </c>
      <c r="D6" s="112" t="s">
        <v>1092</v>
      </c>
      <c r="E6" s="332" t="str">
        <f>Total!E2398</f>
        <v>Obra Civil</v>
      </c>
      <c r="F6" s="96" t="str">
        <f>Total!F2398</f>
        <v>Projectes</v>
      </c>
      <c r="G6" s="112" t="str">
        <f>Total!G2398</f>
        <v>PC. PC-CGB-20032</v>
      </c>
      <c r="H6" s="112" t="str">
        <f>Total!H2398</f>
        <v>Contracte de serveis per a l'assistència tècnica per a la redacció del projecte constructiu de protecció acústica a la C-55 del PK 11+900 al 12+000 i del PK 13+000 al 13+800. Monistrol de Montserrat.</v>
      </c>
      <c r="I6" s="157">
        <f>Total!I2398</f>
        <v>25800</v>
      </c>
    </row>
    <row r="7" spans="1:9" x14ac:dyDescent="0.2">
      <c r="A7" s="8">
        <v>6</v>
      </c>
      <c r="B7" s="101">
        <f>Total!B2399</f>
        <v>43963</v>
      </c>
      <c r="C7" s="101">
        <f>Total!C2399</f>
        <v>43992</v>
      </c>
      <c r="D7" s="112" t="s">
        <v>1092</v>
      </c>
      <c r="E7" s="332" t="str">
        <f>Total!E2399</f>
        <v>Obra Civil</v>
      </c>
      <c r="F7" s="96" t="str">
        <f>Total!F2399</f>
        <v>Projectes</v>
      </c>
      <c r="G7" s="112" t="str">
        <f>Total!G2399</f>
        <v>EV. EG-CMB-18014.F2</v>
      </c>
      <c r="H7" s="112" t="str">
        <f>Total!H2399</f>
        <v>Contracte de serveis per a l'assistència tècnica per a la redacció de l'estudi geotècnic. Pla d'auscultació per al seguiment i control de vessant de la C-17 entre el PK 43+050 i el 43+550. Centelles - Seva.</v>
      </c>
      <c r="I7" s="157">
        <f>Total!I2399</f>
        <v>409100</v>
      </c>
    </row>
    <row r="8" spans="1:9" x14ac:dyDescent="0.2">
      <c r="A8" s="8">
        <v>7</v>
      </c>
      <c r="B8" s="101">
        <f>Total!B2400</f>
        <v>43963</v>
      </c>
      <c r="C8" s="101">
        <f>Total!C2400</f>
        <v>44011</v>
      </c>
      <c r="D8" s="112" t="s">
        <v>1092</v>
      </c>
      <c r="E8" s="332" t="str">
        <f>Total!E2400</f>
        <v>Obra Civil</v>
      </c>
      <c r="F8" s="96" t="str">
        <f>Total!F2400</f>
        <v>Projectes</v>
      </c>
      <c r="G8" s="112" t="str">
        <f>Total!G2400</f>
        <v>PC. AL-05020.2-C1</v>
      </c>
      <c r="H8" s="112" t="str">
        <f>Total!H2400</f>
        <v>Contracte de serveis per a l'assistència tècnica per a la redacció del projecte constructiu de mesures correctores d'impacte ambiental del condicionament de la C-28 del PK 41+920 al 45+850. Naut Aran.</v>
      </c>
      <c r="I8" s="157">
        <f>Total!I2400</f>
        <v>20300</v>
      </c>
    </row>
    <row r="9" spans="1:9" x14ac:dyDescent="0.2">
      <c r="A9" s="8">
        <v>8</v>
      </c>
      <c r="B9" s="101">
        <f>Total!B2401</f>
        <v>43966</v>
      </c>
      <c r="C9" s="101">
        <f>Total!C2401</f>
        <v>44011</v>
      </c>
      <c r="D9" s="112" t="s">
        <v>1092</v>
      </c>
      <c r="E9" s="332" t="str">
        <f>Total!E2401</f>
        <v>Obra Civil</v>
      </c>
      <c r="F9" s="96" t="str">
        <f>Total!F2401</f>
        <v>Projectes</v>
      </c>
      <c r="G9" s="112" t="str">
        <f>Total!G2401</f>
        <v>IA. IA-CIB-19061</v>
      </c>
      <c r="H9" s="112" t="str">
        <f>Total!H2401</f>
        <v>Redacció de l'estudi d'impacte ambiental. Nou enllaç a la C-31 al carrer del Torrent de Vallmajor, del pk 213,500 al pk 215,800. Badalona.</v>
      </c>
      <c r="I9" s="157">
        <f>Total!I2401</f>
        <v>30130</v>
      </c>
    </row>
    <row r="10" spans="1:9" x14ac:dyDescent="0.2">
      <c r="A10" s="8">
        <v>9</v>
      </c>
      <c r="B10" s="101">
        <f>Total!B2402</f>
        <v>43966</v>
      </c>
      <c r="C10" s="101">
        <f>Total!C2402</f>
        <v>44011</v>
      </c>
      <c r="D10" s="112" t="s">
        <v>1092</v>
      </c>
      <c r="E10" s="332" t="str">
        <f>Total!E2402</f>
        <v>Obra Civil</v>
      </c>
      <c r="F10" s="96" t="str">
        <f>Total!F2402</f>
        <v>Projectes</v>
      </c>
      <c r="G10" s="112" t="str">
        <f>Total!G2402</f>
        <v>IA. IA-MNB-20024</v>
      </c>
      <c r="H10" s="112" t="str">
        <f>Total!H2402</f>
        <v>Redacció de l'estudi d'impacte ambiental. Perllongament de la línia L1 dels FMB entre els estacions de Lloreda-Sant Crist i Badalona Rodalies. Badalona.</v>
      </c>
      <c r="I10" s="157">
        <f>Total!I2402</f>
        <v>103500</v>
      </c>
    </row>
    <row r="11" spans="1:9" x14ac:dyDescent="0.2">
      <c r="A11" s="8">
        <v>10</v>
      </c>
      <c r="B11" s="101">
        <f>Total!B2403</f>
        <v>43966</v>
      </c>
      <c r="C11" s="101">
        <f>Total!C2403</f>
        <v>44011</v>
      </c>
      <c r="D11" s="112" t="s">
        <v>1092</v>
      </c>
      <c r="E11" s="332" t="str">
        <f>Total!E2403</f>
        <v>Edificació</v>
      </c>
      <c r="F11" s="96" t="str">
        <f>Total!F2403</f>
        <v>Projectes i Direccions d'Obra</v>
      </c>
      <c r="G11" s="112" t="str">
        <f>Total!G2403</f>
        <v>PE+DO. CAP-18335</v>
      </c>
      <c r="H11" s="112" t="str">
        <f>Total!H2403</f>
        <v>Concurs de Projectes per a la redacció del projecte bàsic, el projecte executiu i la posterior Direcció d'obra d'ampliació del Centre d'Atenció Primària Doctor Moisès Broggi, de l'Escala.</v>
      </c>
      <c r="I11" s="157">
        <f>Total!I2403</f>
        <v>143862.32999999999</v>
      </c>
    </row>
    <row r="12" spans="1:9" x14ac:dyDescent="0.2">
      <c r="A12" s="8">
        <v>11</v>
      </c>
      <c r="B12" s="101">
        <f>Total!B2404</f>
        <v>43970</v>
      </c>
      <c r="C12" s="101">
        <f>Total!C2404</f>
        <v>44011</v>
      </c>
      <c r="D12" s="112" t="s">
        <v>1092</v>
      </c>
      <c r="E12" s="332" t="str">
        <f>Total!E2404</f>
        <v>Obra Civil</v>
      </c>
      <c r="F12" s="96" t="str">
        <f>Total!F2404</f>
        <v>Projectes</v>
      </c>
      <c r="G12" s="112" t="str">
        <f>Total!G2404</f>
        <v>PC. RET-18313</v>
      </c>
      <c r="H12" s="112" t="str">
        <f>Total!H2404</f>
        <v>Contracte de serveis per a l'assistència tècnica per a la redacció del projecte constructiu. Recuperació ecològica. Zona Humida de la riera de Riudecanyes.</v>
      </c>
      <c r="I12" s="157">
        <f>Total!I2404</f>
        <v>18500</v>
      </c>
    </row>
    <row r="13" spans="1:9" x14ac:dyDescent="0.2">
      <c r="A13" s="8">
        <v>12</v>
      </c>
      <c r="B13" s="101">
        <f>Total!B2405</f>
        <v>43970</v>
      </c>
      <c r="C13" s="101">
        <f>Total!C2405</f>
        <v>44011</v>
      </c>
      <c r="D13" s="112" t="s">
        <v>1092</v>
      </c>
      <c r="E13" s="332" t="str">
        <f>Total!E2405</f>
        <v>Edificació</v>
      </c>
      <c r="F13" s="96" t="str">
        <f>Total!F2405</f>
        <v>Projectes</v>
      </c>
      <c r="G13" s="112" t="str">
        <f>Total!G2405</f>
        <v>EV. EX-ANL-20011</v>
      </c>
      <c r="H13" s="112" t="str">
        <f>Total!H2405</f>
        <v>Contracte de serveis per a l'assistència tècnica a la redacció del Document Ambiental del projecte constructiu de nova estació d'autobusos a Lleida.</v>
      </c>
      <c r="I13" s="157">
        <f>Total!I2405</f>
        <v>19500</v>
      </c>
    </row>
    <row r="14" spans="1:9" x14ac:dyDescent="0.2">
      <c r="A14" s="8">
        <v>13</v>
      </c>
      <c r="B14" s="101">
        <f>Total!B2406</f>
        <v>43970</v>
      </c>
      <c r="C14" s="101">
        <f>Total!C2406</f>
        <v>44011</v>
      </c>
      <c r="D14" s="112" t="s">
        <v>1092</v>
      </c>
      <c r="E14" s="332" t="str">
        <f>Total!E2406</f>
        <v>Obra Civil</v>
      </c>
      <c r="F14" s="96" t="str">
        <f>Total!F2406</f>
        <v>Projectes</v>
      </c>
      <c r="G14" s="112" t="str">
        <f>Total!G2406</f>
        <v>PC. CGG-20033</v>
      </c>
      <c r="H14" s="112" t="str">
        <f>Total!H2406</f>
        <v>Contracte de serveis per a l'assistència tècnica a la redacció del projecte constructiu Protecció acústica a la C-65 del PK 26+800 al 27+000. Quart.</v>
      </c>
      <c r="I14" s="157">
        <f>Total!I2406</f>
        <v>29200</v>
      </c>
    </row>
    <row r="15" spans="1:9" x14ac:dyDescent="0.2">
      <c r="A15" s="8">
        <v>14</v>
      </c>
      <c r="B15" s="101">
        <f>Total!B2407</f>
        <v>43970</v>
      </c>
      <c r="C15" s="101">
        <f>Total!C2407</f>
        <v>43985</v>
      </c>
      <c r="D15" s="112" t="s">
        <v>1092</v>
      </c>
      <c r="E15" s="332" t="str">
        <f>Total!E2407</f>
        <v>Obra Civil</v>
      </c>
      <c r="F15" s="96" t="str">
        <f>Total!F2407</f>
        <v>Direccions d'Obra</v>
      </c>
      <c r="G15" s="112" t="str">
        <f>Total!G2407</f>
        <v>CSS. MCG-18320.A1</v>
      </c>
      <c r="H15" s="112" t="str">
        <f>Total!H2407</f>
        <v>Assistència tècnica de coordinació de seguretat i salut de les obres del projecte constructiu de millora fluvial. Restitució del medi a l'entorn fluvial de l'aprofitament hidroelèctric ubicat als rius Ritort i Fabert. Ripollès.</v>
      </c>
      <c r="I15" s="157">
        <f>Total!I2407</f>
        <v>3240</v>
      </c>
    </row>
    <row r="16" spans="1:9" x14ac:dyDescent="0.2">
      <c r="A16" s="8">
        <v>15</v>
      </c>
      <c r="B16" s="101">
        <f>Total!B2408</f>
        <v>43970</v>
      </c>
      <c r="C16" s="101">
        <f>Total!C2408</f>
        <v>43985</v>
      </c>
      <c r="D16" s="112" t="s">
        <v>1092</v>
      </c>
      <c r="E16" s="332" t="str">
        <f>Total!E2408</f>
        <v>Obra Civil</v>
      </c>
      <c r="F16" s="96" t="str">
        <f>Total!F2408</f>
        <v>Direccions d'Obra</v>
      </c>
      <c r="G16" s="112" t="str">
        <f>Total!G2408</f>
        <v>DO. MCG-18320.A1</v>
      </c>
      <c r="H16" s="112" t="str">
        <f>Total!H2408</f>
        <v>Contracte de serveis per a la direcció de les obres del projecte constructiu de millora fluvial. Restitució del medi a l'entorn fluvial de l'aprofitament hidroelèctric ubicat als rius Ritort i Fabert. Ripollès.</v>
      </c>
      <c r="I16" s="157">
        <f>Total!I2408</f>
        <v>11088</v>
      </c>
    </row>
    <row r="17" spans="1:9" x14ac:dyDescent="0.2">
      <c r="A17" s="8">
        <v>16</v>
      </c>
      <c r="B17" s="101">
        <f>Total!B2409</f>
        <v>43971</v>
      </c>
      <c r="C17" s="101">
        <f>Total!C2409</f>
        <v>44011</v>
      </c>
      <c r="D17" s="112" t="s">
        <v>1092</v>
      </c>
      <c r="E17" s="332" t="str">
        <f>Total!E2409</f>
        <v>Obra Civil</v>
      </c>
      <c r="F17" s="96" t="str">
        <f>Total!F2409</f>
        <v>Projectes</v>
      </c>
      <c r="G17" s="112" t="str">
        <f>Total!G2409</f>
        <v>EV. EX-VB-00025</v>
      </c>
      <c r="H17" s="112" t="str">
        <f>Total!H2409</f>
        <v>Contracte de serveis per a l'assistència tècnica per a la redacció de la memòria ambiental "Document ambiental del projecte constructiu Variant. C-1413a. Sant Quirze del Vallès.</v>
      </c>
      <c r="I17" s="157">
        <f>Total!I2409</f>
        <v>14800</v>
      </c>
    </row>
    <row r="18" spans="1:9" x14ac:dyDescent="0.2">
      <c r="A18" s="8">
        <v>17</v>
      </c>
      <c r="B18" s="101">
        <f>Total!B2410</f>
        <v>43971</v>
      </c>
      <c r="C18" s="101">
        <f>Total!C2410</f>
        <v>44011</v>
      </c>
      <c r="D18" s="112" t="s">
        <v>1092</v>
      </c>
      <c r="E18" s="332" t="str">
        <f>Total!E2410</f>
        <v>Obra Civil</v>
      </c>
      <c r="F18" s="96" t="str">
        <f>Total!F2410</f>
        <v>Projectes</v>
      </c>
      <c r="G18" s="112" t="str">
        <f>Total!G2410</f>
        <v>PC. ML-14044.1</v>
      </c>
      <c r="H18" s="112" t="str">
        <f>Total!H2410</f>
        <v>Contracte de serveis per a l'assistència tècnica per a la redacció del projecte constructiu Ordenació de la travessera del Pi de Sant Just i tancament de rotondes a la C-55 del PK 75+770 al 77+350. El Pi de Sant Just.</v>
      </c>
      <c r="I18" s="157">
        <f>Total!I2410</f>
        <v>32300</v>
      </c>
    </row>
    <row r="19" spans="1:9" x14ac:dyDescent="0.2">
      <c r="A19" s="8">
        <v>18</v>
      </c>
      <c r="B19" s="101">
        <f>Total!B2411</f>
        <v>43971</v>
      </c>
      <c r="C19" s="101">
        <f>Total!C2411</f>
        <v>44004</v>
      </c>
      <c r="D19" s="112" t="s">
        <v>1092</v>
      </c>
      <c r="E19" s="332" t="str">
        <f>Total!E2411</f>
        <v>Edificació</v>
      </c>
      <c r="F19" s="96" t="str">
        <f>Total!F2411</f>
        <v>Projectes i Direccions d'Obra</v>
      </c>
      <c r="G19" s="112" t="str">
        <f>Total!G2411</f>
        <v>PE+DO JVX-20203</v>
      </c>
      <c r="H19" s="112" t="str">
        <f>Total!H2411</f>
        <v>Assistència tècnica per a la redacció del projecte bàsic i executiu i la posterior direcció de les obres RAM d'adequació de les instal·lacions que transcorren per els pous de servei i la seva impermeabilització, en el Centre Penitenciari de Brians 2.</v>
      </c>
      <c r="I19" s="157">
        <f>Total!I2411</f>
        <v>93515.83</v>
      </c>
    </row>
    <row r="20" spans="1:9" x14ac:dyDescent="0.2">
      <c r="A20" s="8">
        <v>19</v>
      </c>
      <c r="B20" s="101">
        <f>Total!B2412</f>
        <v>43971</v>
      </c>
      <c r="C20" s="101">
        <f>Total!C2412</f>
        <v>44018</v>
      </c>
      <c r="D20" s="112" t="s">
        <v>1092</v>
      </c>
      <c r="E20" s="332" t="str">
        <f>Total!E2412</f>
        <v>Obra Civil</v>
      </c>
      <c r="F20" s="96" t="str">
        <f>Total!F2412</f>
        <v>Direccions d'Obra</v>
      </c>
      <c r="G20" s="112" t="str">
        <f>Total!G2412</f>
        <v>CSS. MA-17901</v>
      </c>
      <c r="H20" s="112" t="str">
        <f>Total!H2412</f>
        <v>Assistència tècnica de coordinació de seguretat i salut de les obres del projecte de mesures correctores de la concentració parcel·laria d'Alfés. Mesures correctores i compensatòries del regadiu sistema Segarra-Garrigues. DIA 2010.</v>
      </c>
      <c r="I20" s="157">
        <f>Total!I2412</f>
        <v>3600</v>
      </c>
    </row>
    <row r="21" spans="1:9" x14ac:dyDescent="0.2">
      <c r="A21" s="8">
        <v>20</v>
      </c>
      <c r="B21" s="101">
        <f>Total!B2413</f>
        <v>43971</v>
      </c>
      <c r="C21" s="101">
        <f>Total!C2413</f>
        <v>44018</v>
      </c>
      <c r="D21" s="112" t="s">
        <v>1092</v>
      </c>
      <c r="E21" s="332" t="str">
        <f>Total!E2413</f>
        <v>Obra Civil</v>
      </c>
      <c r="F21" s="96" t="str">
        <f>Total!F2413</f>
        <v>Direccions d'Obra</v>
      </c>
      <c r="G21" s="112" t="str">
        <f>Total!G2413</f>
        <v>DO. MA-17901</v>
      </c>
      <c r="H21" s="112" t="str">
        <f>Total!H2413</f>
        <v>Contracte de serveis per a la Direcció de les obres de mesures correctores de la concentració parcel·lària d¿Alfés. Mesures correctores i compensatòries del regadiu del sistema Segarra-Garrigues. DIA 2010.</v>
      </c>
      <c r="I21" s="157">
        <f>Total!I2413</f>
        <v>13860</v>
      </c>
    </row>
    <row r="22" spans="1:9" x14ac:dyDescent="0.2">
      <c r="A22" s="8">
        <v>21</v>
      </c>
      <c r="B22" s="101">
        <f>Total!B2414</f>
        <v>43971</v>
      </c>
      <c r="C22" s="101">
        <f>Total!C2414</f>
        <v>44018</v>
      </c>
      <c r="D22" s="112" t="s">
        <v>1092</v>
      </c>
      <c r="E22" s="332" t="str">
        <f>Total!E2414</f>
        <v>Obra Civil</v>
      </c>
      <c r="F22" s="96" t="str">
        <f>Total!F2414</f>
        <v>Control de Qualitat</v>
      </c>
      <c r="G22" s="112" t="str">
        <f>Total!G2414</f>
        <v>CQ. MA-17901</v>
      </c>
      <c r="H22" s="112" t="str">
        <f>Total!H2414</f>
        <v>Contracte de serveis per a l'assistència tècnica de control de qualitat de les obres mesures correctores de la Concentració parcel·lària d'Alfés. Mesures correctores i compensatòries del regadiu del sistema Segarra-Garrigues. DIA 2010.</v>
      </c>
      <c r="I22" s="157">
        <f>Total!I2414</f>
        <v>1443.72</v>
      </c>
    </row>
    <row r="23" spans="1:9" x14ac:dyDescent="0.2">
      <c r="A23" s="8">
        <v>22</v>
      </c>
      <c r="B23" s="101">
        <f>Total!B2415</f>
        <v>43972</v>
      </c>
      <c r="C23" s="101">
        <f>Total!C2415</f>
        <v>44020</v>
      </c>
      <c r="D23" s="112" t="s">
        <v>1092</v>
      </c>
      <c r="E23" s="332" t="str">
        <f>Total!E2415</f>
        <v>Edificació</v>
      </c>
      <c r="F23" s="96" t="str">
        <f>Total!F2415</f>
        <v>Projectes</v>
      </c>
      <c r="G23" s="112" t="str">
        <f>Total!G2415</f>
        <v>PC. PSE-19406</v>
      </c>
      <c r="H23" s="112" t="str">
        <f>Total!H2415</f>
        <v>Contracte de serveis per a l'assistència tècnica per a la redacció del projecte constructiu. Restauració ambiental de la finca la "Guixera" al terme municipal de Castellserà.</v>
      </c>
      <c r="I23" s="157">
        <f>Total!I2415</f>
        <v>23450</v>
      </c>
    </row>
    <row r="24" spans="1:9" x14ac:dyDescent="0.2">
      <c r="A24" s="8">
        <v>23</v>
      </c>
      <c r="B24" s="101">
        <f>Total!B2416</f>
        <v>43972</v>
      </c>
      <c r="C24" s="101">
        <f>Total!C2416</f>
        <v>43990</v>
      </c>
      <c r="D24" s="112" t="s">
        <v>1092</v>
      </c>
      <c r="E24" s="332" t="str">
        <f>Total!E2416</f>
        <v>Edificació</v>
      </c>
      <c r="F24" s="96" t="str">
        <f>Total!F2416</f>
        <v>Direccions d'execució</v>
      </c>
      <c r="G24" s="112" t="str">
        <f>Total!G2416</f>
        <v>CSS. PRL-20910</v>
      </c>
      <c r="H24" s="112" t="str">
        <f>Total!H2416</f>
        <v>Contracte de serveis per a l'assistència tècnica de coordinació de seguretat i salut dels treballs de reparació a executar en el període de garantia o suspensió de les obres.</v>
      </c>
      <c r="I24" s="157">
        <f>Total!I2416</f>
        <v>50000</v>
      </c>
    </row>
    <row r="25" spans="1:9" x14ac:dyDescent="0.2">
      <c r="A25" s="8">
        <v>24</v>
      </c>
      <c r="B25" s="101">
        <f>Total!B2417</f>
        <v>43972</v>
      </c>
      <c r="C25" s="101">
        <f>Total!C2417</f>
        <v>44013</v>
      </c>
      <c r="D25" s="112" t="s">
        <v>1092</v>
      </c>
      <c r="E25" s="332" t="str">
        <f>Total!E2417</f>
        <v>Obra Civil</v>
      </c>
      <c r="F25" s="96" t="str">
        <f>Total!F2417</f>
        <v>Projectes</v>
      </c>
      <c r="G25" s="112" t="str">
        <f>Total!G2417</f>
        <v>EV. EP-CPL-20022</v>
      </c>
      <c r="H25" s="112" t="str">
        <f>Total!H2417</f>
        <v>Contracte de serveis per a l'assistència tècnica per a la redacció de l'estudi previ de millora de l'accessibilitat a l'enllaç de la LL-12 amb la LL-11 i connexió amb la C-13. Lleida.</v>
      </c>
      <c r="I25" s="157">
        <f>Total!I2417</f>
        <v>60000</v>
      </c>
    </row>
    <row r="26" spans="1:9" x14ac:dyDescent="0.2">
      <c r="A26" s="8">
        <v>25</v>
      </c>
      <c r="B26" s="101">
        <f>Total!B2418</f>
        <v>43972</v>
      </c>
      <c r="C26" s="101">
        <f>Total!C2418</f>
        <v>44020</v>
      </c>
      <c r="D26" s="112" t="s">
        <v>1092</v>
      </c>
      <c r="E26" s="332" t="str">
        <f>Total!E2418</f>
        <v>Obra Civil</v>
      </c>
      <c r="F26" s="96" t="str">
        <f>Total!F2418</f>
        <v>Projectes</v>
      </c>
      <c r="G26" s="112" t="str">
        <f>Total!G2418</f>
        <v>PC. CPL-20016</v>
      </c>
      <c r="H26" s="112" t="str">
        <f>Total!H2418</f>
        <v>Contracte de serveis per a l'assistència tècnica per a la redacció del projecte constructiu de construcció de carril de girs a esquerres a la C-26, PK 16+709. Castelló de Farfanya.</v>
      </c>
      <c r="I26" s="157">
        <f>Total!I2418</f>
        <v>31500</v>
      </c>
    </row>
    <row r="27" spans="1:9" x14ac:dyDescent="0.2">
      <c r="A27" s="8">
        <v>26</v>
      </c>
      <c r="B27" s="101">
        <f>Total!B2419</f>
        <v>43973</v>
      </c>
      <c r="C27" s="101">
        <f>Total!C2419</f>
        <v>44013</v>
      </c>
      <c r="D27" s="112" t="s">
        <v>1092</v>
      </c>
      <c r="E27" s="332" t="str">
        <f>Total!E2419</f>
        <v>Obra Civil</v>
      </c>
      <c r="F27" s="96" t="str">
        <f>Total!F2419</f>
        <v>Projectes</v>
      </c>
      <c r="G27" s="112" t="str">
        <f>Total!G2419</f>
        <v>PC. PC-CIL-20015</v>
      </c>
      <c r="H27" s="112" t="str">
        <f>Total!H2419</f>
        <v>Contracte de serveis per a l'assistència tècnica a la redacció del projecte constructiu de millora del ferm i ordenació de la travessera a la C-13 del PK 20+450 al 21+580 a Térmens.</v>
      </c>
      <c r="I27" s="157">
        <f>Total!I2419</f>
        <v>50600</v>
      </c>
    </row>
    <row r="28" spans="1:9" x14ac:dyDescent="0.2">
      <c r="A28" s="8">
        <v>27</v>
      </c>
      <c r="B28" s="101">
        <f>Total!B2420</f>
        <v>43973</v>
      </c>
      <c r="C28" s="101">
        <f>Total!C2420</f>
        <v>44013</v>
      </c>
      <c r="D28" s="112" t="s">
        <v>1092</v>
      </c>
      <c r="E28" s="332" t="str">
        <f>Total!E2420</f>
        <v>Obra Civil</v>
      </c>
      <c r="F28" s="96" t="str">
        <f>Total!F2420</f>
        <v>Projectes</v>
      </c>
      <c r="G28" s="112" t="str">
        <f>Total!G2420</f>
        <v>PC. TF-07426.A1</v>
      </c>
      <c r="H28" s="112" t="str">
        <f>Total!H2420</f>
        <v>Contracte de serveis per a l'assistència tècnica per a la redacció del projecte constructiu "actualitzat del nou vestíbul a l'estació de Cornellà Riera d'FGC".</v>
      </c>
      <c r="I28" s="157">
        <f>Total!I2420</f>
        <v>154000</v>
      </c>
    </row>
    <row r="29" spans="1:9" x14ac:dyDescent="0.2">
      <c r="A29" s="8">
        <v>28</v>
      </c>
      <c r="B29" s="101">
        <f>Total!B2421</f>
        <v>43973</v>
      </c>
      <c r="C29" s="101">
        <f>Total!C2421</f>
        <v>44013</v>
      </c>
      <c r="D29" s="112" t="s">
        <v>1092</v>
      </c>
      <c r="E29" s="332" t="str">
        <f>Total!E2421</f>
        <v>Obra Civil</v>
      </c>
      <c r="F29" s="96" t="str">
        <f>Total!F2421</f>
        <v>Projectes</v>
      </c>
      <c r="G29" s="112" t="str">
        <f>Total!G2421</f>
        <v>PC. PC-CGB-19068</v>
      </c>
      <c r="H29" s="112" t="str">
        <f>Total!H2421</f>
        <v>Contracte de serveis per a l'assistència tècnica a la redacció del projecte constructiu "estabilització de talussos en desmunt a la N-II del PK 654+000 al 667+000. Caldes d'Estrac ¿ Calella".</v>
      </c>
      <c r="I29" s="157">
        <f>Total!I2421</f>
        <v>43130</v>
      </c>
    </row>
    <row r="30" spans="1:9" x14ac:dyDescent="0.2">
      <c r="A30" s="8">
        <v>29</v>
      </c>
      <c r="B30" s="101">
        <f>Total!B2422</f>
        <v>43973</v>
      </c>
      <c r="C30" s="101">
        <f>Total!C2422</f>
        <v>44025</v>
      </c>
      <c r="D30" s="112" t="s">
        <v>1092</v>
      </c>
      <c r="E30" s="332" t="str">
        <f>Total!E2422</f>
        <v>Edificació</v>
      </c>
      <c r="F30" s="96" t="str">
        <f>Total!F2422</f>
        <v>Projectes i Direccions d'Obra</v>
      </c>
      <c r="G30" s="112" t="str">
        <f>Total!G2422</f>
        <v>PE+DO JVV-08227.A</v>
      </c>
      <c r="H30" s="112" t="str">
        <f>Total!H2422</f>
        <v>Contracte de serveis per a l'assistència tècnica per a la redacció del projecte actualitzat i la posterior direcció de les obres de la nova construcció de l'Àrea de Comunicacions al Centre Educatiu el Segre, de Lleida.</v>
      </c>
      <c r="I30" s="157">
        <f>Total!I2422</f>
        <v>88703.75</v>
      </c>
    </row>
    <row r="31" spans="1:9" x14ac:dyDescent="0.2">
      <c r="A31" s="8">
        <v>30</v>
      </c>
      <c r="B31" s="101">
        <f>Total!B2423</f>
        <v>43973</v>
      </c>
      <c r="C31" s="101">
        <f>Total!C2423</f>
        <v>44013</v>
      </c>
      <c r="D31" s="112" t="s">
        <v>1092</v>
      </c>
      <c r="E31" s="332" t="str">
        <f>Total!E2423</f>
        <v>Obra Civil</v>
      </c>
      <c r="F31" s="96" t="str">
        <f>Total!F2423</f>
        <v>Projectes</v>
      </c>
      <c r="G31" s="112" t="str">
        <f>Total!G2423</f>
        <v>PC. TM-11020.F1</v>
      </c>
      <c r="H31" s="112" t="str">
        <f>Total!H2423</f>
        <v>Contracte de serveis per a l'assistència tècnica a la redacció del projecte constructiu de les actuacions de millora de l'evacuació i de l'accessibilitat de l'estació de Ciutadella-Vila Olímpica de la Línia 4 d'FMB.</v>
      </c>
      <c r="I31" s="157">
        <f>Total!I2423</f>
        <v>123881</v>
      </c>
    </row>
    <row r="32" spans="1:9" x14ac:dyDescent="0.2">
      <c r="A32" s="8">
        <v>31</v>
      </c>
      <c r="B32" s="101">
        <f>Total!B2424</f>
        <v>43977</v>
      </c>
      <c r="C32" s="101">
        <f>Total!C2424</f>
        <v>44013</v>
      </c>
      <c r="D32" s="112" t="s">
        <v>1092</v>
      </c>
      <c r="E32" s="332" t="str">
        <f>Total!E2424</f>
        <v>Obra Civil</v>
      </c>
      <c r="F32" s="96" t="str">
        <f>Total!F2424</f>
        <v>Control de Qualitat</v>
      </c>
      <c r="G32" s="112" t="str">
        <f>Total!G2424</f>
        <v>CQ. TM-00509.57.2</v>
      </c>
      <c r="H32" s="112" t="str">
        <f>Total!H2424</f>
        <v>Control de qualitat de les obres del projecte constructiu del parament per minimitzar l'efecte del vent en estacions exteriors de la Zona Franca de L9 de Barcelona. Estacions Port Comercial, Ecoparc i ZAL/Riu Vella.</v>
      </c>
      <c r="I32" s="157">
        <f>Total!I2424</f>
        <v>6763.95</v>
      </c>
    </row>
    <row r="33" spans="1:9" x14ac:dyDescent="0.2">
      <c r="A33" s="8">
        <v>32</v>
      </c>
      <c r="B33" s="101">
        <f>Total!B2425</f>
        <v>43977</v>
      </c>
      <c r="C33" s="101">
        <f>Total!C2425</f>
        <v>44013</v>
      </c>
      <c r="D33" s="112" t="s">
        <v>1092</v>
      </c>
      <c r="E33" s="332" t="str">
        <f>Total!E2425</f>
        <v>Obra Civil</v>
      </c>
      <c r="F33" s="96" t="str">
        <f>Total!F2425</f>
        <v>Projectes</v>
      </c>
      <c r="G33" s="112" t="str">
        <f>Total!G2425</f>
        <v>EV. REG-20244</v>
      </c>
      <c r="H33" s="112" t="str">
        <f>Total!H2425</f>
        <v>Redacció de l'estudi hidrogeològic i hidràulic per al càlcul del cabal ecològic per la Recuperació ambiental de la de la xarxa de drenatge del marge dret de la Muga i els estanys del Cortalet, Matà, i Llacunes litorals a Alt Empordà.</v>
      </c>
      <c r="I33" s="157">
        <f>Total!I2425</f>
        <v>15950</v>
      </c>
    </row>
    <row r="34" spans="1:9" x14ac:dyDescent="0.2">
      <c r="A34" s="8">
        <v>33</v>
      </c>
      <c r="B34" s="101">
        <f>Total!B2426</f>
        <v>43977</v>
      </c>
      <c r="C34" s="101">
        <f>Total!C2426</f>
        <v>43997</v>
      </c>
      <c r="D34" s="112" t="s">
        <v>1092</v>
      </c>
      <c r="E34" s="332" t="str">
        <f>Total!E2426</f>
        <v>Obra Civil</v>
      </c>
      <c r="F34" s="96" t="str">
        <f>Total!F2426</f>
        <v>Projectes</v>
      </c>
      <c r="G34" s="112" t="str">
        <f>Total!G2426</f>
        <v>PB. PB-FIL-19072+PC-FIL-19072</v>
      </c>
      <c r="H34" s="112" t="str">
        <f>Total!H2426</f>
        <v>Contracte de serveis per a l'assistència tècnica per a la redacció del projecte bàsic i del projecte constructiu de noves andanes i integració urbana de la línia Lleida - la Pobla dels FGC. Balaguer.</v>
      </c>
      <c r="I34" s="157">
        <f>Total!I2426</f>
        <v>185485</v>
      </c>
    </row>
    <row r="35" spans="1:9" x14ac:dyDescent="0.2">
      <c r="A35" s="8">
        <v>34</v>
      </c>
      <c r="B35" s="101">
        <f>Total!B2427</f>
        <v>43977</v>
      </c>
      <c r="C35" s="101">
        <f>Total!C2427</f>
        <v>44013</v>
      </c>
      <c r="D35" s="112" t="s">
        <v>1092</v>
      </c>
      <c r="E35" s="332" t="str">
        <f>Total!E2427</f>
        <v>Obra Civil</v>
      </c>
      <c r="F35" s="96" t="str">
        <f>Total!F2427</f>
        <v>Direccions d'Obra</v>
      </c>
      <c r="G35" s="112" t="str">
        <f>Total!G2427</f>
        <v>CSS. TM-00509.57.2</v>
      </c>
      <c r="H35" s="112" t="str">
        <f>Total!H2427</f>
        <v>Coordinació de Seguretat i Salut de les obres del projecte constructiu del parament per minimitzar l'efecte del vent en estacions exteriors de la Zona Franca de L9 de Barcelona. Estacions Port Comercial, Ecoparc i ZAL/Riu Vella.</v>
      </c>
      <c r="I35" s="157">
        <f>Total!I2427</f>
        <v>7320</v>
      </c>
    </row>
    <row r="36" spans="1:9" x14ac:dyDescent="0.2">
      <c r="A36" s="8">
        <v>35</v>
      </c>
      <c r="B36" s="101">
        <f>Total!B2428</f>
        <v>43977</v>
      </c>
      <c r="C36" s="101">
        <f>Total!C2428</f>
        <v>44013</v>
      </c>
      <c r="D36" s="112" t="s">
        <v>1092</v>
      </c>
      <c r="E36" s="332" t="str">
        <f>Total!E2428</f>
        <v>Obra Civil</v>
      </c>
      <c r="F36" s="96" t="str">
        <f>Total!F2428</f>
        <v>Direccions d'Obra</v>
      </c>
      <c r="G36" s="112" t="str">
        <f>Total!G2428</f>
        <v>DO. TM-00509.57.2</v>
      </c>
      <c r="H36" s="112" t="str">
        <f>Total!H2428</f>
        <v>Contracte de serveis per a la direcció de les obres del projecte constructiu del parament per minimitzar l'efecte del vent en estacions exteriors de la Zona Franca de L9 de Barcelona. Estacions Port Comercial, Ecoparc i ZAL/Riu Vella.</v>
      </c>
      <c r="I36" s="157">
        <f>Total!I2428</f>
        <v>30800</v>
      </c>
    </row>
    <row r="37" spans="1:9" x14ac:dyDescent="0.2">
      <c r="A37" s="8">
        <v>36</v>
      </c>
      <c r="B37" s="101">
        <f>Total!B2429</f>
        <v>43979</v>
      </c>
      <c r="C37" s="101">
        <f>Total!C2429</f>
        <v>44013</v>
      </c>
      <c r="D37" s="112" t="s">
        <v>1092</v>
      </c>
      <c r="E37" s="332" t="str">
        <f>Total!E2429</f>
        <v>Obra Civil</v>
      </c>
      <c r="F37" s="96" t="str">
        <f>Total!F2429</f>
        <v>Projectes</v>
      </c>
      <c r="G37" s="112" t="str">
        <f>Total!G2429</f>
        <v>PC. PC-CIL-20041</v>
      </c>
      <c r="H37" s="112" t="str">
        <f>Total!H2429</f>
        <v>Contracte de serveis per a l'assistència tècnica per a la redacció del projecte constructiu "Millora de característiques superficials i reestudi de secció transversal a la C-12 del PK 125+000 al 133+000. Alfès - Lleida".</v>
      </c>
      <c r="I37" s="157">
        <f>Total!I2429</f>
        <v>153400</v>
      </c>
    </row>
    <row r="38" spans="1:9" x14ac:dyDescent="0.2">
      <c r="A38" s="8">
        <v>37</v>
      </c>
      <c r="B38" s="101">
        <f>Total!B2430</f>
        <v>43979</v>
      </c>
      <c r="C38" s="101">
        <f>Total!C2430</f>
        <v>44018</v>
      </c>
      <c r="D38" s="112" t="s">
        <v>1092</v>
      </c>
      <c r="E38" s="332" t="str">
        <f>Total!E2430</f>
        <v>Obra Civil</v>
      </c>
      <c r="F38" s="96" t="str">
        <f>Total!F2430</f>
        <v>Projectes</v>
      </c>
      <c r="G38" s="112" t="str">
        <f>Total!G2430</f>
        <v>PC. ER-00942.10</v>
      </c>
      <c r="H38" s="112" t="str">
        <f>Total!H2430</f>
        <v>Contracte de serveis per a l'assistència tècnica per a la redacció del projecte constructiu de l'ampliació del regadiu del Segrià Sud, zones M5 i M5 i als TTMM de Flix, Llardecans, Maials i Torrebesses (Ribera d'Ebre i Segrià).</v>
      </c>
      <c r="I38" s="157">
        <f>Total!I2430</f>
        <v>139000</v>
      </c>
    </row>
    <row r="39" spans="1:9" x14ac:dyDescent="0.2">
      <c r="A39" s="8">
        <v>38</v>
      </c>
      <c r="B39" s="101">
        <f>Total!B2431</f>
        <v>43979</v>
      </c>
      <c r="C39" s="101">
        <f>Total!C2431</f>
        <v>44018</v>
      </c>
      <c r="D39" s="112" t="s">
        <v>1092</v>
      </c>
      <c r="E39" s="332" t="str">
        <f>Total!E2431</f>
        <v>Edificació</v>
      </c>
      <c r="F39" s="96" t="str">
        <f>Total!F2431</f>
        <v>Projectes i Direccions d'Obra</v>
      </c>
      <c r="G39" s="112" t="str">
        <f>Total!G2431</f>
        <v>PE+DO. JNP-16250.1 nova licit</v>
      </c>
      <c r="H39" s="112" t="str">
        <f>Total!H2431</f>
        <v>Redacció del projecte bàsic i executiu i la posterior direcció d'obra de les obres de l'arxiu soterrat per dependències judicials i la seva urbanització del Centre Penitenciari obert a Tarragona.</v>
      </c>
      <c r="I39" s="157">
        <f>Total!I2431</f>
        <v>54895.97</v>
      </c>
    </row>
    <row r="40" spans="1:9" x14ac:dyDescent="0.2">
      <c r="A40" s="8">
        <v>39</v>
      </c>
      <c r="B40" s="101">
        <f>Total!B2432</f>
        <v>43979</v>
      </c>
      <c r="C40" s="101">
        <f>Total!C2432</f>
        <v>44018</v>
      </c>
      <c r="D40" s="112" t="s">
        <v>1092</v>
      </c>
      <c r="E40" s="332" t="str">
        <f>Total!E2432</f>
        <v>Obra Civil</v>
      </c>
      <c r="F40" s="96" t="str">
        <f>Total!F2432</f>
        <v>Projectes</v>
      </c>
      <c r="G40" s="112" t="str">
        <f>Total!G2432</f>
        <v>PC. ER-00942.9</v>
      </c>
      <c r="H40" s="112" t="str">
        <f>Total!H2432</f>
        <v>Contracte de serveis per a l'assistència tècnica per a la redacció del projecte constructiu de l'ampliació del regadiu del Segrià Sud, zona M4 als TTMM de Flix i Maials (Ribera d'Ebre i Segrià).</v>
      </c>
      <c r="I40" s="157">
        <f>Total!I2432</f>
        <v>92100</v>
      </c>
    </row>
    <row r="41" spans="1:9" x14ac:dyDescent="0.2">
      <c r="A41" s="8">
        <v>40</v>
      </c>
      <c r="B41" s="101">
        <f>Total!B2433</f>
        <v>43979</v>
      </c>
      <c r="C41" s="101">
        <f>Total!C2433</f>
        <v>44011</v>
      </c>
      <c r="D41" s="112" t="s">
        <v>1092</v>
      </c>
      <c r="E41" s="332" t="str">
        <f>Total!E2433</f>
        <v>Edificació</v>
      </c>
      <c r="F41" s="96" t="str">
        <f>Total!F2433</f>
        <v>Projectes</v>
      </c>
      <c r="G41" s="112" t="str">
        <f>Total!G2433</f>
        <v>PC. PC-MIB-20029</v>
      </c>
      <c r="H41" s="112" t="str">
        <f>Total!H2433</f>
        <v>Contracte de serveis per a l'assistència tècnica per a la redacció del projecte constructiu d'ampliació dels tallers i cotxeres de Sant Genís de la línia 3 dels FMB. Barcelona.</v>
      </c>
      <c r="I41" s="157">
        <f>Total!I2433</f>
        <v>482000</v>
      </c>
    </row>
    <row r="42" spans="1:9" x14ac:dyDescent="0.2">
      <c r="A42" s="8">
        <v>41</v>
      </c>
      <c r="B42" s="101">
        <f>Total!B2434</f>
        <v>43979</v>
      </c>
      <c r="C42" s="101">
        <f>Total!C2434</f>
        <v>44018</v>
      </c>
      <c r="D42" s="112" t="s">
        <v>1092</v>
      </c>
      <c r="E42" s="332" t="str">
        <f>Total!E2434</f>
        <v>Obra Civil</v>
      </c>
      <c r="F42" s="96" t="str">
        <f>Total!F2434</f>
        <v>Projectes</v>
      </c>
      <c r="G42" s="112" t="str">
        <f>Total!G2434</f>
        <v>PC. BNC-18128.2</v>
      </c>
      <c r="H42" s="112" t="str">
        <f>Total!H2434</f>
        <v>Contracte de serveis per a l'assistència tècnica per a la redacció del projecte constructiu. Via ciclista paral·lela a les BV-5301, C-35 i GI-552. Santa Maria de Palautordera - Riells i Viabrea. Tram Sant Celoni - Gualba - Riells i Viabrea.</v>
      </c>
      <c r="I42" s="157">
        <f>Total!I2434</f>
        <v>82660</v>
      </c>
    </row>
    <row r="43" spans="1:9" x14ac:dyDescent="0.2">
      <c r="A43" s="8">
        <v>42</v>
      </c>
      <c r="B43" s="101">
        <f>Total!B2435</f>
        <v>43980</v>
      </c>
      <c r="C43" s="101">
        <f>Total!C2435</f>
        <v>44020</v>
      </c>
      <c r="D43" s="112" t="s">
        <v>1092</v>
      </c>
      <c r="E43" s="332" t="str">
        <f>Total!E2435</f>
        <v>Edificació</v>
      </c>
      <c r="F43" s="96" t="str">
        <f>Total!F2435</f>
        <v>Projectes i Direccions d'Obra</v>
      </c>
      <c r="G43" s="112" t="str">
        <f>Total!G2435</f>
        <v>PE+DO. JVX-20251</v>
      </c>
      <c r="H43" s="112" t="str">
        <f>Total!H2435</f>
        <v>Assistència tècnica per a la redacció del projecte bàsic i executiu i la posterior direcció de les obres RAM per la millora del sistema de tractament d'aigües residuals (EDAR) en el Centre Penitenciari de Brians 1.</v>
      </c>
      <c r="I43" s="157">
        <f>Total!I2435</f>
        <v>23778.55</v>
      </c>
    </row>
    <row r="44" spans="1:9" x14ac:dyDescent="0.2">
      <c r="I44" s="126">
        <f>SUM(I2:I43)</f>
        <v>4221658.1000000006</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80"/>
  <sheetViews>
    <sheetView topLeftCell="A43" workbookViewId="0">
      <selection activeCell="A53" sqref="A53:A79"/>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Total!B2313</f>
        <v>43922</v>
      </c>
      <c r="C2" s="101">
        <f>Total!C2313</f>
        <v>43957</v>
      </c>
      <c r="D2" s="112" t="s">
        <v>1092</v>
      </c>
      <c r="E2" s="332" t="str">
        <f>Total!E2313</f>
        <v>Obra Civil</v>
      </c>
      <c r="F2" s="96" t="str">
        <f>Total!F2313</f>
        <v>Projectes</v>
      </c>
      <c r="G2" s="112" t="str">
        <f>Total!G2313</f>
        <v>PC-CGL-19008</v>
      </c>
      <c r="H2" s="112" t="str">
        <f>Total!H2313</f>
        <v>Contracte de serveis per a l'assistència tècnica per a la redacció del projecte constructiu de la implantació de barreres antiallaus a la C-28 al PK 53+557. Alt Àneu.</v>
      </c>
      <c r="I2" s="157">
        <f>Total!I2313</f>
        <v>31500</v>
      </c>
    </row>
    <row r="3" spans="1:9" x14ac:dyDescent="0.2">
      <c r="A3" s="8">
        <v>2</v>
      </c>
      <c r="B3" s="101">
        <f>Total!B2314</f>
        <v>43922</v>
      </c>
      <c r="C3" s="101">
        <f>Total!C2314</f>
        <v>43957</v>
      </c>
      <c r="D3" s="112" t="s">
        <v>1092</v>
      </c>
      <c r="E3" s="332" t="str">
        <f>Total!E2314</f>
        <v>Obra Civil</v>
      </c>
      <c r="F3" s="96" t="str">
        <f>Total!F2314</f>
        <v>Projectes</v>
      </c>
      <c r="G3" s="112" t="str">
        <f>Total!G2314</f>
        <v>PR. AL-05037-C1</v>
      </c>
      <c r="H3" s="112" t="str">
        <f>Total!H2314</f>
        <v>Contracte de serveis per a l'assistència tècnica per a la redacció del projecte complementari núm. 1 del projecte constructiu de reparació del paviment a la C-14 del PK 161+475 al 162+315. Organyà.</v>
      </c>
      <c r="I3" s="157">
        <f>Total!I2314</f>
        <v>25500</v>
      </c>
    </row>
    <row r="4" spans="1:9" x14ac:dyDescent="0.2">
      <c r="A4" s="8">
        <v>3</v>
      </c>
      <c r="B4" s="101">
        <f>Total!B2315</f>
        <v>43922</v>
      </c>
      <c r="C4" s="101">
        <f>Total!C2315</f>
        <v>43957</v>
      </c>
      <c r="D4" s="112" t="s">
        <v>1092</v>
      </c>
      <c r="E4" s="332" t="str">
        <f>Total!E2315</f>
        <v>Edificació</v>
      </c>
      <c r="F4" s="96" t="str">
        <f>Total!F2315</f>
        <v>Projectes i Direccions d'Obra</v>
      </c>
      <c r="G4" s="112" t="str">
        <f>Total!G2315</f>
        <v>PE+DO CAP-18307.A</v>
      </c>
      <c r="H4" s="112" t="str">
        <f>Total!H2315</f>
        <v>Contracte de serveis per a l'assistència tècnica per a la redacció de l'actualització del projecte executiu i la posterior direcció de les obres del nou Centre d'Atenció Primària La Florida, de l'Hospitalet de Llobregat.</v>
      </c>
      <c r="I4" s="157">
        <f>Total!I2315</f>
        <v>111580.86</v>
      </c>
    </row>
    <row r="5" spans="1:9" x14ac:dyDescent="0.2">
      <c r="A5" s="8">
        <v>4</v>
      </c>
      <c r="B5" s="101">
        <f>Total!B2316</f>
        <v>43924</v>
      </c>
      <c r="C5" s="101">
        <f>Total!C2316</f>
        <v>43957</v>
      </c>
      <c r="D5" s="112" t="s">
        <v>1092</v>
      </c>
      <c r="E5" s="332" t="str">
        <f>Total!E2316</f>
        <v>Obra Civil</v>
      </c>
      <c r="F5" s="96" t="str">
        <f>Total!F2316</f>
        <v>Projectes</v>
      </c>
      <c r="G5" s="112" t="str">
        <f>Total!G2316</f>
        <v>PC. CGT-19021</v>
      </c>
      <c r="H5" s="112" t="str">
        <f>Total!H2316</f>
        <v>Contracte de serveis per a l'assistència tècnica per a la redacció del projecte constructiu de protecció acústica a la C-14z al PK 9+900 i a la C-14 del PK 21+000 al 26+500 i del PK 28+100 al 28+300. La Selva del Camp, Alcover i La Riba.</v>
      </c>
      <c r="I5" s="157">
        <f>Total!I2316</f>
        <v>26200</v>
      </c>
    </row>
    <row r="6" spans="1:9" x14ac:dyDescent="0.2">
      <c r="A6" s="8">
        <v>5</v>
      </c>
      <c r="B6" s="101">
        <f>Total!B2317</f>
        <v>43924</v>
      </c>
      <c r="C6" s="101">
        <f>Total!C2317</f>
        <v>43957</v>
      </c>
      <c r="D6" s="112" t="s">
        <v>1092</v>
      </c>
      <c r="E6" s="332" t="str">
        <f>Total!E2317</f>
        <v>Obra Civil</v>
      </c>
      <c r="F6" s="96" t="str">
        <f>Total!F2317</f>
        <v>Projectes</v>
      </c>
      <c r="G6" s="112" t="str">
        <f>Total!G2317</f>
        <v>EV. EU-CGB-20001</v>
      </c>
      <c r="H6" s="112" t="str">
        <f>Total!H2317</f>
        <v>Contracte de serveis per a l'assistència tècnica per a la redacció de l'estudi acústic de la C-17 del PK 1+500 al 7+000, C-33 del PK 78+000 al 83+500 i C-58 del PK 1+400 al PK 7+800. Montcada i Reixac.</v>
      </c>
      <c r="I6" s="157">
        <f>Total!I2317</f>
        <v>27600</v>
      </c>
    </row>
    <row r="7" spans="1:9" x14ac:dyDescent="0.2">
      <c r="A7" s="8">
        <v>6</v>
      </c>
      <c r="B7" s="101">
        <f>Total!B2318</f>
        <v>43924</v>
      </c>
      <c r="C7" s="101">
        <f>Total!C2318</f>
        <v>43957</v>
      </c>
      <c r="D7" s="112" t="s">
        <v>1092</v>
      </c>
      <c r="E7" s="332" t="str">
        <f>Total!E2318</f>
        <v>Obra Civil</v>
      </c>
      <c r="F7" s="96" t="str">
        <f>Total!F2318</f>
        <v>Projectes</v>
      </c>
      <c r="G7" s="112" t="str">
        <f>Total!G2318</f>
        <v>PC. CPB-19013</v>
      </c>
      <c r="H7" s="112" t="str">
        <f>Total!H2318</f>
        <v>Contracte de serveis per a l'assistència tècnica per a la redacció del projecte constructiu. Rotonda a la intersecció de la N-II, al PK 646+700, amb el carrer Sant Felicià i pas del Cargol. Mataró.</v>
      </c>
      <c r="I7" s="157">
        <f>Total!I2318</f>
        <v>31500</v>
      </c>
    </row>
    <row r="8" spans="1:9" x14ac:dyDescent="0.2">
      <c r="A8" s="8">
        <v>7</v>
      </c>
      <c r="B8" s="101">
        <f>Total!B2319</f>
        <v>43924</v>
      </c>
      <c r="C8" s="101">
        <f>Total!C2319</f>
        <v>43957</v>
      </c>
      <c r="D8" s="112" t="s">
        <v>1092</v>
      </c>
      <c r="E8" s="332" t="str">
        <f>Total!E2319</f>
        <v>Obra Civil</v>
      </c>
      <c r="F8" s="96" t="str">
        <f>Total!F2319</f>
        <v>Projectes</v>
      </c>
      <c r="G8" s="112" t="str">
        <f>Total!G2319</f>
        <v>PC. PC-CMT-17055</v>
      </c>
      <c r="H8" s="112" t="str">
        <f>Total!H2319</f>
        <v>Contracte de serveis per a l'assistència tècnica per a la redacció del projecte constructiu Cunetes trepitjables, adequació d'elements de contenció de vehicles i millora de ferm a la carretera C-242 del PK 44+850 al 54+000. Tram: Cornudella de Montsant.</v>
      </c>
      <c r="I8" s="157">
        <f>Total!I2319</f>
        <v>67900</v>
      </c>
    </row>
    <row r="9" spans="1:9" x14ac:dyDescent="0.2">
      <c r="A9" s="8">
        <v>8</v>
      </c>
      <c r="B9" s="101">
        <f>Total!B2320</f>
        <v>43930</v>
      </c>
      <c r="C9" s="101">
        <f>Total!C2320</f>
        <v>43969</v>
      </c>
      <c r="D9" s="112" t="s">
        <v>1092</v>
      </c>
      <c r="E9" s="332" t="str">
        <f>Total!E2320</f>
        <v>Obra Civil</v>
      </c>
      <c r="F9" s="96" t="str">
        <f>Total!F2320</f>
        <v>Projectes</v>
      </c>
      <c r="G9" s="112" t="str">
        <f>Total!G2320</f>
        <v>PC. PC-CIL-19035</v>
      </c>
      <c r="H9" s="112" t="str">
        <f>Total!H2320</f>
        <v>Contracte de serveis per a l'assistència tècnica per a la redacció del projecte constructiu Condicionament del Camí de Mequinensa entre la rotonda de la LP-7041 al PK 19+750 i el final amb l'Aragó al PK 3+850 de la A-2414. La Granja d'Escarp.</v>
      </c>
      <c r="I9" s="157">
        <f>Total!I2320</f>
        <v>98000</v>
      </c>
    </row>
    <row r="10" spans="1:9" x14ac:dyDescent="0.2">
      <c r="A10" s="8">
        <v>9</v>
      </c>
      <c r="B10" s="101">
        <f>Total!B2321</f>
        <v>43930</v>
      </c>
      <c r="C10" s="101">
        <f>Total!C2321</f>
        <v>43976</v>
      </c>
      <c r="D10" s="112" t="s">
        <v>1092</v>
      </c>
      <c r="E10" s="332" t="str">
        <f>Total!E2321</f>
        <v>Obra Civil</v>
      </c>
      <c r="F10" s="96" t="str">
        <f>Total!F2321</f>
        <v>Projectes</v>
      </c>
      <c r="G10" s="112" t="str">
        <f>Total!G2321</f>
        <v>PR. MG-08128-C2</v>
      </c>
      <c r="H10" s="112" t="str">
        <f>Total!H2321</f>
        <v>Contracte de serveis per a l'assistència tècnica per a la redacció del projecte constructiu. Millores en el drenatge a la carretera C-25, del PK 238+000 al 242+600. Riudellots de la Selva - Campllong.</v>
      </c>
      <c r="I10" s="157">
        <f>Total!I2321</f>
        <v>39200</v>
      </c>
    </row>
    <row r="11" spans="1:9" x14ac:dyDescent="0.2">
      <c r="A11" s="8">
        <v>10</v>
      </c>
      <c r="B11" s="101">
        <f>Total!B2322</f>
        <v>43930</v>
      </c>
      <c r="C11" s="101">
        <f>Total!C2322</f>
        <v>43969</v>
      </c>
      <c r="D11" s="112" t="s">
        <v>1092</v>
      </c>
      <c r="E11" s="332" t="str">
        <f>Total!E2322</f>
        <v>Obra Civil</v>
      </c>
      <c r="F11" s="96" t="str">
        <f>Total!F2322</f>
        <v>Projectes</v>
      </c>
      <c r="G11" s="112" t="str">
        <f>Total!G2322</f>
        <v>PC. PC-CMT-17053</v>
      </c>
      <c r="H11" s="112" t="str">
        <f>Total!H2322</f>
        <v>Redacció del projecte constructiu de cunetes trepitjables, adequació d'elements de contenció de vehicles i millora de ferm a la carretera T-214, del PK 2+900 al 4+970. Tram: Altafulla - la Riera de Gaià.</v>
      </c>
      <c r="I11" s="157">
        <f>Total!I2322</f>
        <v>25000</v>
      </c>
    </row>
    <row r="12" spans="1:9" x14ac:dyDescent="0.2">
      <c r="A12" s="8">
        <v>11</v>
      </c>
      <c r="B12" s="101">
        <f>Total!B2323</f>
        <v>43930</v>
      </c>
      <c r="C12" s="101">
        <f>Total!C2323</f>
        <v>43976</v>
      </c>
      <c r="D12" s="112" t="s">
        <v>1092</v>
      </c>
      <c r="E12" s="332" t="str">
        <f>Total!E2323</f>
        <v>Obra Civil</v>
      </c>
      <c r="F12" s="96" t="str">
        <f>Total!F2323</f>
        <v>Projectes</v>
      </c>
      <c r="G12" s="112" t="str">
        <f>Total!G2323</f>
        <v>PC-CGT-19046</v>
      </c>
      <c r="H12" s="112" t="str">
        <f>Total!H2323</f>
        <v>Contracte de serveis per a l'assistència tècnica per a la redacció del projecte constructiu de la construcció de cunetes trepitjables a la TV-3001 i TV-3031. La Torre de Fontaubella, Marçà i Pradell de la Teixeta.</v>
      </c>
      <c r="I12" s="157">
        <f>Total!I2323</f>
        <v>31500</v>
      </c>
    </row>
    <row r="13" spans="1:9" x14ac:dyDescent="0.2">
      <c r="A13" s="8">
        <v>12</v>
      </c>
      <c r="B13" s="101">
        <f>Total!B2324</f>
        <v>43930</v>
      </c>
      <c r="C13" s="101">
        <f>Total!C2324</f>
        <v>43971</v>
      </c>
      <c r="D13" s="112" t="s">
        <v>1092</v>
      </c>
      <c r="E13" s="332" t="str">
        <f>Total!E2324</f>
        <v>Obra Civil</v>
      </c>
      <c r="F13" s="96" t="str">
        <f>Total!F2324</f>
        <v>Projectes</v>
      </c>
      <c r="G13" s="112" t="str">
        <f>Total!G2324</f>
        <v>PC. PC-AB-15032.F5</v>
      </c>
      <c r="H13" s="112" t="str">
        <f>Total!H2324</f>
        <v>Contracte de serveis per a l'Assistència tècnica per a la redacció del projecte constructiu Passarel·la de Parets del Vallès sobre la C-17. Enllumenat del nus de la C-35. Carretera C-17 del PK 15+500 al PK 15+900.</v>
      </c>
      <c r="I13" s="157">
        <f>Total!I2324</f>
        <v>47000</v>
      </c>
    </row>
    <row r="14" spans="1:9" x14ac:dyDescent="0.2">
      <c r="A14" s="8">
        <v>13</v>
      </c>
      <c r="B14" s="101">
        <f>Total!B2325</f>
        <v>43930</v>
      </c>
      <c r="C14" s="101">
        <f>Total!C2325</f>
        <v>43969</v>
      </c>
      <c r="D14" s="112" t="s">
        <v>1092</v>
      </c>
      <c r="E14" s="332" t="str">
        <f>Total!E2325</f>
        <v>Obra Civil</v>
      </c>
      <c r="F14" s="96" t="str">
        <f>Total!F2325</f>
        <v>Projectes</v>
      </c>
      <c r="G14" s="112" t="str">
        <f>Total!G2325</f>
        <v>PC. PC-CMT-17056</v>
      </c>
      <c r="H14" s="112" t="str">
        <f>Total!H2325</f>
        <v>Contracte de serveis per a l'assistència tècnica per a la redacció del projecte constructiu Cunetes trepitjables i adequació d'elements de contenció de vehicles a la T-224, del PK 0+800 al 14+500. Santa Coloma de Queralt - Vallfogona de Riucorb.</v>
      </c>
      <c r="I14" s="157">
        <f>Total!I2325</f>
        <v>43200</v>
      </c>
    </row>
    <row r="15" spans="1:9" x14ac:dyDescent="0.2">
      <c r="A15" s="8">
        <v>14</v>
      </c>
      <c r="B15" s="101">
        <f>Total!B2326</f>
        <v>43930</v>
      </c>
      <c r="C15" s="101">
        <f>Total!C2326</f>
        <v>43969</v>
      </c>
      <c r="D15" s="112" t="s">
        <v>1092</v>
      </c>
      <c r="E15" s="332" t="str">
        <f>Total!E2326</f>
        <v>Obra Civil</v>
      </c>
      <c r="F15" s="96" t="str">
        <f>Total!F2326</f>
        <v>Projectes</v>
      </c>
      <c r="G15" s="112" t="str">
        <f>Total!G2326</f>
        <v>PC. PC-CGB-19064</v>
      </c>
      <c r="H15" s="112" t="str">
        <f>Total!H2326</f>
        <v>Contracte de serveis per a l'assistència tècnica per a la redacció del projecte constructiu Ponts i estructures. Nova passarel·la en paral·lel a la C-155 del PK 6+900 al PK 7+100. Palau-solità i Plegamans.</v>
      </c>
      <c r="I15" s="157">
        <f>Total!I2326</f>
        <v>57500</v>
      </c>
    </row>
    <row r="16" spans="1:9" x14ac:dyDescent="0.2">
      <c r="A16" s="8">
        <v>15</v>
      </c>
      <c r="B16" s="101">
        <f>Total!B2327</f>
        <v>43930</v>
      </c>
      <c r="C16" s="101">
        <f>Total!C2327</f>
        <v>43969</v>
      </c>
      <c r="D16" s="112" t="s">
        <v>1092</v>
      </c>
      <c r="E16" s="332" t="str">
        <f>Total!E2327</f>
        <v>Obra Civil</v>
      </c>
      <c r="F16" s="96" t="str">
        <f>Total!F2327</f>
        <v>Projectes</v>
      </c>
      <c r="G16" s="112" t="str">
        <f>Total!G2327</f>
        <v>PC. PC-CPG-19022</v>
      </c>
      <c r="H16" s="112" t="str">
        <f>Total!H2327</f>
        <v>Contracte de serveis per a l'assistència tècnica per a la redacció del projecte constructiu d'eixample i ordenació d'accessos a la GI-555 del PK 1+350 al 2+850. Tram: Sils - Riudarenes.</v>
      </c>
      <c r="I16" s="157">
        <f>Total!I2327</f>
        <v>86900</v>
      </c>
    </row>
    <row r="17" spans="1:9" x14ac:dyDescent="0.2">
      <c r="A17" s="8">
        <v>16</v>
      </c>
      <c r="B17" s="101">
        <f>Total!B2328</f>
        <v>43930</v>
      </c>
      <c r="C17" s="101">
        <f>Total!C2328</f>
        <v>43971</v>
      </c>
      <c r="D17" s="112" t="s">
        <v>1092</v>
      </c>
      <c r="E17" s="332" t="str">
        <f>Total!E2328</f>
        <v>Edificació</v>
      </c>
      <c r="F17" s="96" t="str">
        <f>Total!F2328</f>
        <v>Projectes i Direccions d'Obra</v>
      </c>
      <c r="G17" s="112" t="str">
        <f>Total!G2328</f>
        <v>PE+DO CAP-18322</v>
      </c>
      <c r="H17" s="112" t="str">
        <f>Total!H2328</f>
        <v>Concurs de Projectes per a la redacció del projecte bàsic, el projecte executiu i la posterior Direcció d'obra del nou Centre d'Atenció Primària de la Palma de Cervelló.</v>
      </c>
      <c r="I17" s="157">
        <f>Total!I2328</f>
        <v>122652.63</v>
      </c>
    </row>
    <row r="18" spans="1:9" x14ac:dyDescent="0.2">
      <c r="A18" s="8">
        <v>17</v>
      </c>
      <c r="B18" s="101">
        <f>Total!B2329</f>
        <v>43930</v>
      </c>
      <c r="C18" s="101">
        <f>Total!C2329</f>
        <v>43969</v>
      </c>
      <c r="D18" s="112" t="s">
        <v>1092</v>
      </c>
      <c r="E18" s="332" t="str">
        <f>Total!E2329</f>
        <v>Obra Civil</v>
      </c>
      <c r="F18" s="96" t="str">
        <f>Total!F2329</f>
        <v>Projectes</v>
      </c>
      <c r="G18" s="112" t="str">
        <f>Total!G2329</f>
        <v>PR. VE-06008.1-C1</v>
      </c>
      <c r="H18" s="112" t="str">
        <f>Total!H2329</f>
        <v>Contracte de serveis per a l'Assistència tècnica per a la redacció del projecte constructiu Actuacions d'enllaç a la variant de Gandesa. C-43 del PK 11+700 al 13+600. Gandesa.</v>
      </c>
      <c r="I18" s="157">
        <f>Total!I2329</f>
        <v>35400</v>
      </c>
    </row>
    <row r="19" spans="1:9" x14ac:dyDescent="0.2">
      <c r="A19" s="8">
        <v>18</v>
      </c>
      <c r="B19" s="101">
        <f>Total!B2330</f>
        <v>43930</v>
      </c>
      <c r="C19" s="101">
        <f>Total!C2330</f>
        <v>43969</v>
      </c>
      <c r="D19" s="112" t="s">
        <v>1092</v>
      </c>
      <c r="E19" s="332" t="str">
        <f>Total!E2330</f>
        <v>Obra Civil</v>
      </c>
      <c r="F19" s="96" t="str">
        <f>Total!F2330</f>
        <v>Projectes</v>
      </c>
      <c r="G19" s="112" t="str">
        <f>Total!G2330</f>
        <v>PC. PC-CGT-19047</v>
      </c>
      <c r="H19" s="112" t="str">
        <f>Total!H2330</f>
        <v>Contracte de serveis per a l'assistència tècnica per a la redacció del projecte constructiu de construcció de cunetes trepitjables a la T-723 i TV-7005. Mont-roig del Camp, Prades i Vilanova de Prades.</v>
      </c>
      <c r="I19" s="157">
        <f>Total!I2330</f>
        <v>31500</v>
      </c>
    </row>
    <row r="20" spans="1:9" x14ac:dyDescent="0.2">
      <c r="A20" s="8">
        <v>19</v>
      </c>
      <c r="B20" s="101">
        <f>Total!B2331</f>
        <v>43930</v>
      </c>
      <c r="C20" s="101">
        <f>Total!C2331</f>
        <v>43969</v>
      </c>
      <c r="D20" s="112" t="s">
        <v>1092</v>
      </c>
      <c r="E20" s="332" t="str">
        <f>Total!E2331</f>
        <v>Obra Civil</v>
      </c>
      <c r="F20" s="96" t="str">
        <f>Total!F2331</f>
        <v>Projectes</v>
      </c>
      <c r="G20" s="112" t="str">
        <f>Total!G2331</f>
        <v>PC. PC-CPB-19011</v>
      </c>
      <c r="H20" s="112" t="str">
        <f>Total!H2331</f>
        <v>Contracte de serveis per a l'assistència tècnica per a la redacció del projecte constructiu de rotonda a la N-II al PK 635+730. El Masnou.</v>
      </c>
      <c r="I20" s="157">
        <f>Total!I2331</f>
        <v>36500</v>
      </c>
    </row>
    <row r="21" spans="1:9" x14ac:dyDescent="0.2">
      <c r="A21" s="8">
        <v>20</v>
      </c>
      <c r="B21" s="101">
        <f>Total!B2332</f>
        <v>43929</v>
      </c>
      <c r="C21" s="101">
        <f>Total!C2332</f>
        <v>43964</v>
      </c>
      <c r="D21" s="112" t="s">
        <v>1092</v>
      </c>
      <c r="E21" s="332" t="str">
        <f>Total!E2332</f>
        <v>Obra Civil</v>
      </c>
      <c r="F21" s="96" t="str">
        <f>Total!F2332</f>
        <v>Projectes</v>
      </c>
      <c r="G21" s="112" t="str">
        <f>Total!G2332</f>
        <v>PR. TF-03474.3A-C2</v>
      </c>
      <c r="H21" s="112" t="str">
        <f>Total!H2332</f>
        <v>Contracte de serveis per a l'assistència tècnica per a la redacció del Projecte Complementari. Perllongament de la línia d'FGC a Terrassa. Integració paisatgística de l'edicle d'accés al dipòsit de trens.</v>
      </c>
      <c r="I21" s="157">
        <f>Total!I2332</f>
        <v>13500</v>
      </c>
    </row>
    <row r="22" spans="1:9" x14ac:dyDescent="0.2">
      <c r="A22" s="8">
        <v>21</v>
      </c>
      <c r="B22" s="101">
        <f>Total!B2333</f>
        <v>43929</v>
      </c>
      <c r="C22" s="101">
        <f>Total!C2333</f>
        <v>43964</v>
      </c>
      <c r="D22" s="112" t="s">
        <v>1092</v>
      </c>
      <c r="E22" s="332" t="str">
        <f>Total!E2333</f>
        <v>Obra Civil</v>
      </c>
      <c r="F22" s="96" t="str">
        <f>Total!F2333</f>
        <v>Projectes</v>
      </c>
      <c r="G22" s="112" t="str">
        <f>Total!G2333</f>
        <v>PC-AIT-18119</v>
      </c>
      <c r="H22" s="112" t="str">
        <f>Total!H2333</f>
        <v>Contracte de serveis per a l'assistència tècnica per a la redacció del projecte constructiu "Condicionament de dues parades de línies de transport interurbà de passatgers i nova intersecció a la travessera urbana de la carretera N-420a a Falset".</v>
      </c>
      <c r="I22" s="157">
        <f>Total!I2333</f>
        <v>31500</v>
      </c>
    </row>
    <row r="23" spans="1:9" x14ac:dyDescent="0.2">
      <c r="A23" s="8">
        <v>22</v>
      </c>
      <c r="B23" s="101">
        <f>Total!B2334</f>
        <v>43929</v>
      </c>
      <c r="C23" s="101">
        <f>Total!C2334</f>
        <v>43964</v>
      </c>
      <c r="D23" s="112" t="s">
        <v>1092</v>
      </c>
      <c r="E23" s="332" t="str">
        <f>Total!E2334</f>
        <v>Obra Civil</v>
      </c>
      <c r="F23" s="96" t="str">
        <f>Total!F2334</f>
        <v>Projectes</v>
      </c>
      <c r="G23" s="112" t="str">
        <f>Total!G2334</f>
        <v>PC. NL-04151.1-F1-A1</v>
      </c>
      <c r="H23" s="112" t="str">
        <f>Total!H2334</f>
        <v>Contracte de serveis per a l'assistència tècnica per a la redacció del projecte constructiu de millora de l'accessibilitat a la variant Sud de Lleida connexió est. Enllaç de la C-13 amb la LL-12. Lleida.</v>
      </c>
      <c r="I23" s="157">
        <f>Total!I2334</f>
        <v>84700</v>
      </c>
    </row>
    <row r="24" spans="1:9" x14ac:dyDescent="0.2">
      <c r="A24" s="8">
        <v>23</v>
      </c>
      <c r="B24" s="101">
        <f>Total!B2335</f>
        <v>43929</v>
      </c>
      <c r="C24" s="101">
        <f>Total!C2335</f>
        <v>43964</v>
      </c>
      <c r="D24" s="112" t="s">
        <v>1092</v>
      </c>
      <c r="E24" s="332" t="str">
        <f>Total!E2335</f>
        <v>Obra Civil</v>
      </c>
      <c r="F24" s="96" t="str">
        <f>Total!F2335</f>
        <v>Projectes</v>
      </c>
      <c r="G24" s="112" t="str">
        <f>Total!G2335</f>
        <v>PC. PC-CPT-19045</v>
      </c>
      <c r="H24" s="112" t="str">
        <f>Total!H2335</f>
        <v>Contracte de serveis per a l'assistència tècnica per a la redacció del projecte constructiu de millora de la C-37z del PK 5+868 al 6+700 i de la T-742 del PK 0+000 a l'1+330. Tram: Valls.</v>
      </c>
      <c r="I24" s="157">
        <f>Total!I2335</f>
        <v>37300</v>
      </c>
    </row>
    <row r="25" spans="1:9" x14ac:dyDescent="0.2">
      <c r="A25" s="8">
        <v>24</v>
      </c>
      <c r="B25" s="101">
        <f>Total!B2336</f>
        <v>43929</v>
      </c>
      <c r="C25" s="101">
        <f>Total!C2336</f>
        <v>43964</v>
      </c>
      <c r="D25" s="112" t="s">
        <v>1092</v>
      </c>
      <c r="E25" s="332" t="str">
        <f>Total!E2336</f>
        <v>Obra Civil</v>
      </c>
      <c r="F25" s="96" t="str">
        <f>Total!F2336</f>
        <v>Projectes</v>
      </c>
      <c r="G25" s="112" t="str">
        <f>Total!G2336</f>
        <v>EV. EP-CCE-17096</v>
      </c>
      <c r="H25" s="112" t="str">
        <f>Total!H2336</f>
        <v>Contracte de serveis per a l'assistència tècnica per a la redaccio de l'estudi previ de conservació extraordinària. Millora del drenatge a la carretera TP-3311 del PK 0+000 al 21+850. Tram: Santa Bàrbara - la Sènia.</v>
      </c>
      <c r="I25" s="157">
        <f>Total!I2336</f>
        <v>35500</v>
      </c>
    </row>
    <row r="26" spans="1:9" x14ac:dyDescent="0.2">
      <c r="A26" s="8">
        <v>25</v>
      </c>
      <c r="B26" s="101">
        <f>Total!B2337</f>
        <v>43929</v>
      </c>
      <c r="C26" s="101">
        <f>Total!C2337</f>
        <v>43976</v>
      </c>
      <c r="D26" s="112" t="s">
        <v>1092</v>
      </c>
      <c r="E26" s="332" t="str">
        <f>Total!E2337</f>
        <v>Obra Civil</v>
      </c>
      <c r="F26" s="96" t="str">
        <f>Total!F2337</f>
        <v>Projectes</v>
      </c>
      <c r="G26" s="112" t="str">
        <f>Total!G2337</f>
        <v>PC-CGB-19042</v>
      </c>
      <c r="H26" s="112" t="str">
        <f>Total!H2337</f>
        <v>Contracte de serveis per a l'assistència tècnica per a la redacció del projecte constructiu de condicionament i millora dels sistemes de contenció a la C-58 i les seves calçades laterals del PK 0+000 al PK 25+200.</v>
      </c>
      <c r="I26" s="157">
        <f>Total!I2337</f>
        <v>37500</v>
      </c>
    </row>
    <row r="27" spans="1:9" x14ac:dyDescent="0.2">
      <c r="A27" s="8">
        <v>26</v>
      </c>
      <c r="B27" s="101">
        <f>Total!B2338</f>
        <v>43929</v>
      </c>
      <c r="C27" s="101">
        <f>Total!C2338</f>
        <v>43976</v>
      </c>
      <c r="D27" s="112" t="s">
        <v>1092</v>
      </c>
      <c r="E27" s="332" t="str">
        <f>Total!E2338</f>
        <v>Obra Civil</v>
      </c>
      <c r="F27" s="96" t="str">
        <f>Total!F2338</f>
        <v>Projectes</v>
      </c>
      <c r="G27" s="112" t="str">
        <f>Total!G2338</f>
        <v>PC. VB-98171-A2.1</v>
      </c>
      <c r="H27" s="112" t="str">
        <f>Total!H2338</f>
        <v>Contracte de serveis per a l'assistència tècnica per a la redacció del projecte constructiu. Variant de Vallbona d'Anoia de l'enllaç del PK 36+000 de la C-15 al PK 6+800 de la B-224. Vallbona d'Anoia - Piera.</v>
      </c>
      <c r="I27" s="157">
        <f>Total!I2338</f>
        <v>385800</v>
      </c>
    </row>
    <row r="28" spans="1:9" x14ac:dyDescent="0.2">
      <c r="A28" s="8">
        <v>27</v>
      </c>
      <c r="B28" s="101">
        <f>Total!B2339</f>
        <v>43929</v>
      </c>
      <c r="C28" s="101">
        <f>Total!C2339</f>
        <v>43976</v>
      </c>
      <c r="D28" s="112" t="s">
        <v>1092</v>
      </c>
      <c r="E28" s="332" t="str">
        <f>Total!E2339</f>
        <v>Edificació</v>
      </c>
      <c r="F28" s="96" t="str">
        <f>Total!F2339</f>
        <v>Projectes</v>
      </c>
      <c r="G28" s="112" t="str">
        <f>Total!G2339</f>
        <v>PC-ANL-20011</v>
      </c>
      <c r="H28" s="112" t="str">
        <f>Total!H2339</f>
        <v>Contracte de serveis per a l'assistència tècnica per a la redacció del projecte constructiu de la nova estació d'autobusos a Lleida.</v>
      </c>
      <c r="I28" s="157">
        <f>Total!I2339</f>
        <v>299900</v>
      </c>
    </row>
    <row r="29" spans="1:9" x14ac:dyDescent="0.2">
      <c r="A29" s="8">
        <v>28</v>
      </c>
      <c r="B29" s="101">
        <f>Total!B2340</f>
        <v>43929</v>
      </c>
      <c r="C29" s="101">
        <f>Total!C2340</f>
        <v>43964</v>
      </c>
      <c r="D29" s="112" t="s">
        <v>1092</v>
      </c>
      <c r="E29" s="332" t="str">
        <f>Total!E2340</f>
        <v>Edificació</v>
      </c>
      <c r="F29" s="96" t="str">
        <f>Total!F2340</f>
        <v>Projectes</v>
      </c>
      <c r="G29" s="112" t="str">
        <f>Total!G2340</f>
        <v>PC. PC-AIC-19030.F1</v>
      </c>
      <c r="H29" s="112" t="str">
        <f>Total!H2340</f>
        <v>Contracte de serveis per a l'assistència tècnica per a la redacció del projecte constructiu d'instal·lació de marquesines a parades dels serveis de transport interurbà de viatgers per carretera a diversos indrets de Catalunya. Fase 1.</v>
      </c>
      <c r="I29" s="157">
        <f>Total!I2340</f>
        <v>59100</v>
      </c>
    </row>
    <row r="30" spans="1:9" x14ac:dyDescent="0.2">
      <c r="A30" s="8">
        <v>29</v>
      </c>
      <c r="B30" s="101">
        <f>Total!B2341</f>
        <v>43928</v>
      </c>
      <c r="C30" s="101">
        <f>Total!C2341</f>
        <v>43964</v>
      </c>
      <c r="D30" s="112" t="s">
        <v>1092</v>
      </c>
      <c r="E30" s="332" t="str">
        <f>Total!E2341</f>
        <v>Obra Civil</v>
      </c>
      <c r="F30" s="96" t="str">
        <f>Total!F2341</f>
        <v>Projectes</v>
      </c>
      <c r="G30" s="112" t="str">
        <f>Total!G2341</f>
        <v>EV. EM-TM-04311</v>
      </c>
      <c r="H30" s="112" t="str">
        <f>Total!H2341</f>
        <v>Contracte de serveis per a l'assistència tècnica per a la redacció de l'estudi de capacitat de l'intercanviador de l'estació de Maragall (L4 i L5 d'FMB). Connexió andana L4 sentit Trinitat Nova - passadís de correspondència.</v>
      </c>
      <c r="I30" s="157">
        <f>Total!I2341</f>
        <v>11970</v>
      </c>
    </row>
    <row r="31" spans="1:9" x14ac:dyDescent="0.2">
      <c r="A31" s="8">
        <v>30</v>
      </c>
      <c r="B31" s="101">
        <f>Total!B2342</f>
        <v>43928</v>
      </c>
      <c r="C31" s="101">
        <f>Total!C2342</f>
        <v>43969</v>
      </c>
      <c r="D31" s="112" t="s">
        <v>1092</v>
      </c>
      <c r="E31" s="332" t="str">
        <f>Total!E2342</f>
        <v>Edificació</v>
      </c>
      <c r="F31" s="96" t="str">
        <f>Total!F2342</f>
        <v>Projectes i Direccions Facultatives</v>
      </c>
      <c r="G31" s="112" t="str">
        <f>Total!G2342</f>
        <v>PE+DF. MSA S70-FGC-04467</v>
      </c>
      <c r="H31" s="112" t="str">
        <f>Total!H2342</f>
        <v>Contracte de serveis per a la redacció del projecte executiu i l'estudi de seguretat i salut i la posterior direcció facultativa de les obres de millora de la climatització de la Seu d'Infraestructures.cat a Barcelona.</v>
      </c>
      <c r="I31" s="157">
        <f>Total!I2342</f>
        <v>45500</v>
      </c>
    </row>
    <row r="32" spans="1:9" x14ac:dyDescent="0.2">
      <c r="A32" s="8">
        <v>31</v>
      </c>
      <c r="B32" s="101">
        <f>Total!B2343</f>
        <v>43928</v>
      </c>
      <c r="C32" s="101">
        <f>Total!C2343</f>
        <v>43964</v>
      </c>
      <c r="D32" s="112" t="s">
        <v>1092</v>
      </c>
      <c r="E32" s="332" t="str">
        <f>Total!E2343</f>
        <v>Obra Civil</v>
      </c>
      <c r="F32" s="96" t="str">
        <f>Total!F2343</f>
        <v>Projectes</v>
      </c>
      <c r="G32" s="112" t="str">
        <f>Total!G2343</f>
        <v>PC. TM-04311.2</v>
      </c>
      <c r="H32" s="112" t="str">
        <f>Total!H2343</f>
        <v>Contracte de serveis per a l'assistència tècnica per a la redacció del projecte constructiu de millora de l'accessibilitat i renovació del vestíbul costat Av. dels Quinze de l'estació de Maragall de l'L5 d'FMB.</v>
      </c>
      <c r="I32" s="157">
        <f>Total!I2343</f>
        <v>48500</v>
      </c>
    </row>
    <row r="33" spans="1:9" x14ac:dyDescent="0.2">
      <c r="A33" s="8">
        <v>32</v>
      </c>
      <c r="B33" s="101">
        <f>Total!B2344</f>
        <v>43928</v>
      </c>
      <c r="C33" s="101">
        <f>Total!C2344</f>
        <v>43969</v>
      </c>
      <c r="D33" s="112" t="s">
        <v>1092</v>
      </c>
      <c r="E33" s="332" t="str">
        <f>Total!E2344</f>
        <v>Edificació</v>
      </c>
      <c r="F33" s="96" t="str">
        <f>Total!F2344</f>
        <v>Projectes i Direccions d'Obra</v>
      </c>
      <c r="G33" s="112" t="str">
        <f>Total!G2344</f>
        <v>PE+DO JVX-20202</v>
      </c>
      <c r="H33" s="112" t="str">
        <f>Total!H2344</f>
        <v>Contracte de serveis per a la redacció del projecte bàsic, el projecte executiu i la posterior Direcció d'obra de de les obres RAM de substitució del sistema de climatització i actuacions de reforma en l'edifici UHPP en el Centre Penitenciari de Brians 1.</v>
      </c>
      <c r="I33" s="157">
        <f>Total!I2344</f>
        <v>91998.15</v>
      </c>
    </row>
    <row r="34" spans="1:9" x14ac:dyDescent="0.2">
      <c r="A34" s="8">
        <v>33</v>
      </c>
      <c r="B34" s="101">
        <f>Total!B2345</f>
        <v>43928</v>
      </c>
      <c r="C34" s="101">
        <f>Total!C2345</f>
        <v>43964</v>
      </c>
      <c r="D34" s="112" t="s">
        <v>1092</v>
      </c>
      <c r="E34" s="332" t="str">
        <f>Total!E2345</f>
        <v>Obra Civil</v>
      </c>
      <c r="F34" s="96" t="str">
        <f>Total!F2345</f>
        <v>Projectes</v>
      </c>
      <c r="G34" s="112" t="str">
        <f>Total!G2345</f>
        <v>PC. PC-CMT-17054</v>
      </c>
      <c r="H34" s="112" t="str">
        <f>Total!H2345</f>
        <v>Contracte de serveis per a l'assistència tècnica per a la redacció del projecte constructiu de cunetes trepitjables, adequació d'elements de contenció de vehicles i millora de ferm a la carretera T-242, del PK 24+590 al 34+220. Tram: Ulldemolins.</v>
      </c>
      <c r="I34" s="157">
        <f>Total!I2345</f>
        <v>67900</v>
      </c>
    </row>
    <row r="35" spans="1:9" x14ac:dyDescent="0.2">
      <c r="A35" s="8">
        <v>34</v>
      </c>
      <c r="B35" s="101">
        <f>Total!B2346</f>
        <v>43928</v>
      </c>
      <c r="C35" s="101">
        <f>Total!C2346</f>
        <v>43964</v>
      </c>
      <c r="D35" s="112" t="s">
        <v>1092</v>
      </c>
      <c r="E35" s="332" t="str">
        <f>Total!E2346</f>
        <v>Edificació</v>
      </c>
      <c r="F35" s="96" t="str">
        <f>Total!F2346</f>
        <v>Projectes i Direccions d'Obra</v>
      </c>
      <c r="G35" s="112" t="str">
        <f>Total!G2346</f>
        <v>PE+DO. ICF-19294</v>
      </c>
      <c r="H35" s="112" t="str">
        <f>Total!H2346</f>
        <v>Redacció del projecte bàsic i executiu i la posterior direcció de les obres de reforma de la planta primera i zones comunes de la planta primera, segona i tercera de l'edifici situat a Via Augusta, 252 de Barcelona.</v>
      </c>
      <c r="I35" s="157">
        <f>Total!I2346</f>
        <v>97641.13</v>
      </c>
    </row>
    <row r="36" spans="1:9" x14ac:dyDescent="0.2">
      <c r="A36" s="8">
        <v>35</v>
      </c>
      <c r="B36" s="101">
        <f>Total!B2347</f>
        <v>43928</v>
      </c>
      <c r="C36" s="101">
        <f>Total!C2347</f>
        <v>43976</v>
      </c>
      <c r="D36" s="112" t="s">
        <v>1092</v>
      </c>
      <c r="E36" s="332" t="str">
        <f>Total!E2347</f>
        <v>Obra Civil</v>
      </c>
      <c r="F36" s="96" t="str">
        <f>Total!F2347</f>
        <v>Projectes</v>
      </c>
      <c r="G36" s="112" t="str">
        <f>Total!G2347</f>
        <v>PC. CIB-19028</v>
      </c>
      <c r="H36" s="112" t="str">
        <f>Total!H2347</f>
        <v>Contracte de serveis per a l'assistència tècnica per a la redacció del projecte constructiu de condicionament de la C-59 del PK 22+000 al 38+460. Sant Feliu de Codines - Moià.</v>
      </c>
      <c r="I36" s="157">
        <f>Total!I2347</f>
        <v>64500</v>
      </c>
    </row>
    <row r="37" spans="1:9" x14ac:dyDescent="0.2">
      <c r="A37" s="8">
        <v>36</v>
      </c>
      <c r="B37" s="101">
        <f>Total!B2348</f>
        <v>43928</v>
      </c>
      <c r="C37" s="101">
        <f>Total!C2348</f>
        <v>43964</v>
      </c>
      <c r="D37" s="112" t="s">
        <v>1092</v>
      </c>
      <c r="E37" s="332" t="str">
        <f>Total!E2348</f>
        <v>Obra Civil</v>
      </c>
      <c r="F37" s="96" t="str">
        <f>Total!F2348</f>
        <v>Projectes</v>
      </c>
      <c r="G37" s="112" t="str">
        <f>Total!G2348</f>
        <v>PC. PC-CMT-17052</v>
      </c>
      <c r="H37" s="112" t="str">
        <f>Total!H2348</f>
        <v>Contracte de serveis per a l'assistència tècnica per a la redacció del projecte constructiu d'adequació d'elements de contenció de vehicles i millora de ferm a la carretera T-204, del PK 3+500 al 7+900. Tram: Montferri - Salomó.</v>
      </c>
      <c r="I37" s="157">
        <f>Total!I2348</f>
        <v>35500</v>
      </c>
    </row>
    <row r="38" spans="1:9" x14ac:dyDescent="0.2">
      <c r="A38" s="8">
        <v>37</v>
      </c>
      <c r="B38" s="101">
        <f>Total!B2349</f>
        <v>43935</v>
      </c>
      <c r="C38" s="101">
        <f>Total!C2349</f>
        <v>43976</v>
      </c>
      <c r="D38" s="112" t="s">
        <v>1092</v>
      </c>
      <c r="E38" s="332" t="str">
        <f>Total!E2349</f>
        <v>Obra Civil</v>
      </c>
      <c r="F38" s="96" t="str">
        <f>Total!F2349</f>
        <v>Projectes</v>
      </c>
      <c r="G38" s="112" t="str">
        <f>Total!G2349</f>
        <v>PC. ME-16005</v>
      </c>
      <c r="H38" s="112" t="str">
        <f>Total!H2349</f>
        <v>Contracte de serveis per a l'assistència tècnica per a la redacció del projecte constructiu de millora de les característiques superficials del ferm i obres complementàries a la carretera T-302 del PK 30+680 al 35+630. Tram: Rasquera - Benifallet.</v>
      </c>
      <c r="I38" s="157">
        <f>Total!I2349</f>
        <v>43100</v>
      </c>
    </row>
    <row r="39" spans="1:9" x14ac:dyDescent="0.2">
      <c r="A39" s="8">
        <v>38</v>
      </c>
      <c r="B39" s="101">
        <f>Total!B2350</f>
        <v>43935</v>
      </c>
      <c r="C39" s="101">
        <f>Total!C2350</f>
        <v>43976</v>
      </c>
      <c r="D39" s="112" t="s">
        <v>1092</v>
      </c>
      <c r="E39" s="332" t="str">
        <f>Total!E2350</f>
        <v>Obra Civil</v>
      </c>
      <c r="F39" s="96" t="str">
        <f>Total!F2350</f>
        <v>Projectes</v>
      </c>
      <c r="G39" s="112" t="str">
        <f>Total!G2350</f>
        <v>PC. MG-08128-C1</v>
      </c>
      <c r="H39" s="112" t="str">
        <f>Total!H2350</f>
        <v>Contracte de serveis per a l'assistència tècnica per a la redacció del projecte constructiu de protecció acústica a la C-25 del PK 238+000 al 242+100. Riudellots de la Selva-Campllong.</v>
      </c>
      <c r="I39" s="157">
        <f>Total!I2350</f>
        <v>20900</v>
      </c>
    </row>
    <row r="40" spans="1:9" x14ac:dyDescent="0.2">
      <c r="A40" s="8">
        <v>39</v>
      </c>
      <c r="B40" s="101">
        <f>Total!B2351</f>
        <v>43936</v>
      </c>
      <c r="C40" s="101">
        <f>Total!C2351</f>
        <v>43976</v>
      </c>
      <c r="D40" s="112" t="s">
        <v>1092</v>
      </c>
      <c r="E40" s="332" t="str">
        <f>Total!E2351</f>
        <v>Obra Civil</v>
      </c>
      <c r="F40" s="96" t="str">
        <f>Total!F2351</f>
        <v>Projectes</v>
      </c>
      <c r="G40" s="112" t="str">
        <f>Total!G2351</f>
        <v>PC. JC-19234</v>
      </c>
      <c r="H40" s="112" t="str">
        <f>Total!H2351</f>
        <v>Redacció del projecte constructiu del nou col·lector de salmorres de la conca del Llobregat. Ramal Llobregat. Fase 2: des de Cardona i Balsareny fins a Abrera i tram final el Prat de Llobregat ¿ Depurbaix" en el tram entre Balsareny i Castellgalí.</v>
      </c>
      <c r="I40" s="157">
        <f>Total!I2351</f>
        <v>30000</v>
      </c>
    </row>
    <row r="41" spans="1:9" x14ac:dyDescent="0.2">
      <c r="A41" s="8">
        <v>40</v>
      </c>
      <c r="B41" s="101">
        <f>Total!B2352</f>
        <v>43937</v>
      </c>
      <c r="C41" s="101">
        <f>Total!C2352</f>
        <v>43976</v>
      </c>
      <c r="D41" s="112" t="s">
        <v>1092</v>
      </c>
      <c r="E41" s="332" t="str">
        <f>Total!E2352</f>
        <v>Obra Civil</v>
      </c>
      <c r="F41" s="96" t="str">
        <f>Total!F2352</f>
        <v>Projectes</v>
      </c>
      <c r="G41" s="112" t="str">
        <f>Total!G2352</f>
        <v>EI. EI-CNL-19051</v>
      </c>
      <c r="H41" s="112" t="str">
        <f>Total!H2352</f>
        <v>Contracte de serveis per a l'assistència tècnica per a la redacció de l'estudi informatiu de la nova variant de la LV-1003 a la B-100. Sant Guim de Freixenet.</v>
      </c>
      <c r="I41" s="157">
        <f>Total!I2352</f>
        <v>56400</v>
      </c>
    </row>
    <row r="42" spans="1:9" x14ac:dyDescent="0.2">
      <c r="A42" s="8">
        <v>41</v>
      </c>
      <c r="B42" s="101">
        <f>Total!B2353</f>
        <v>43937</v>
      </c>
      <c r="C42" s="101">
        <f>Total!C2353</f>
        <v>43985</v>
      </c>
      <c r="D42" s="112" t="s">
        <v>1092</v>
      </c>
      <c r="E42" s="332" t="str">
        <f>Total!E2353</f>
        <v>Obra Civil</v>
      </c>
      <c r="F42" s="96" t="str">
        <f>Total!F2353</f>
        <v>Projectes</v>
      </c>
      <c r="G42" s="112" t="str">
        <f>Total!G2353</f>
        <v>PC. ML-16017.F2</v>
      </c>
      <c r="H42" s="112" t="str">
        <f>Total!H2353</f>
        <v>Contracte de serveis per a l'assistència tècnica per a la redacció del projecte constructiu de la ruta cicloturística al corredor de Lleida - La Pobla de Segur. Fase 2. Balaguer - La Pobla de Segur.</v>
      </c>
      <c r="I42" s="157">
        <f>Total!I2353</f>
        <v>79000</v>
      </c>
    </row>
    <row r="43" spans="1:9" x14ac:dyDescent="0.2">
      <c r="A43" s="8">
        <v>42</v>
      </c>
      <c r="B43" s="101">
        <f>Total!B2354</f>
        <v>43937</v>
      </c>
      <c r="C43" s="101">
        <f>Total!C2354</f>
        <v>43985</v>
      </c>
      <c r="D43" s="112" t="s">
        <v>1092</v>
      </c>
      <c r="E43" s="332" t="str">
        <f>Total!E2354</f>
        <v>Edificació</v>
      </c>
      <c r="F43" s="96" t="str">
        <f>Total!F2354</f>
        <v>Projectes i Direccions d'Obra</v>
      </c>
      <c r="G43" s="112" t="str">
        <f>Total!G2354</f>
        <v>PE+DO. CCG-19261</v>
      </c>
      <c r="H43" s="112" t="str">
        <f>Total!H2354</f>
        <v>Redacció del projecte bàsic i executiu i la posterior direcció de les obres de renovació de càmeres i millores en els sistemes de videovigilància en RP Metropolitana Sud, Camp de Tarragona i Terres de l'Ebre.</v>
      </c>
      <c r="I43" s="157">
        <f>Total!I2354</f>
        <v>89501.69</v>
      </c>
    </row>
    <row r="44" spans="1:9" x14ac:dyDescent="0.2">
      <c r="A44" s="8">
        <v>43</v>
      </c>
      <c r="B44" s="101">
        <f>Total!B2355</f>
        <v>43937</v>
      </c>
      <c r="C44" s="101">
        <f>Total!C2355</f>
        <v>43985</v>
      </c>
      <c r="D44" s="112" t="s">
        <v>1092</v>
      </c>
      <c r="E44" s="332" t="str">
        <f>Total!E2355</f>
        <v>Obra Civil</v>
      </c>
      <c r="F44" s="96" t="str">
        <f>Total!F2355</f>
        <v>Projectes</v>
      </c>
      <c r="G44" s="112" t="str">
        <f>Total!G2355</f>
        <v>PC-XIE-19014</v>
      </c>
      <c r="H44" s="112" t="str">
        <f>Total!H2355</f>
        <v>Contracte de serveis per a l'assistència tècnica per a la redacció del Projecte Constructiu d'Adaptació a PMR de la passarel·la de vianants situada al PK 18+280 de la C-12 a Tortosa.</v>
      </c>
      <c r="I44" s="157">
        <f>Total!I2355</f>
        <v>25000</v>
      </c>
    </row>
    <row r="45" spans="1:9" x14ac:dyDescent="0.2">
      <c r="A45" s="8">
        <v>44</v>
      </c>
      <c r="B45" s="101">
        <f>Total!B2356</f>
        <v>43937</v>
      </c>
      <c r="C45" s="101">
        <f>Total!C2356</f>
        <v>43978</v>
      </c>
      <c r="D45" s="112" t="s">
        <v>1092</v>
      </c>
      <c r="E45" s="332" t="str">
        <f>Total!E2356</f>
        <v>Obra Civil</v>
      </c>
      <c r="F45" s="96" t="str">
        <f>Total!F2356</f>
        <v>Projectes</v>
      </c>
      <c r="G45" s="112" t="str">
        <f>Total!G2356</f>
        <v>PC. ME-15040</v>
      </c>
      <c r="H45" s="112" t="str">
        <f>Total!H2356</f>
        <v>Contracte de serveis per a l'assistència tècnica per a la redacció del Projecte Constructiu de Millora de les interseccions de la C-12 al PK 54+930 i a la T-302 al PK 56+420 a Ginestar.</v>
      </c>
      <c r="I45" s="157">
        <f>Total!I2356</f>
        <v>44400</v>
      </c>
    </row>
    <row r="46" spans="1:9" x14ac:dyDescent="0.2">
      <c r="A46" s="8">
        <v>45</v>
      </c>
      <c r="B46" s="101">
        <f>Total!B2357</f>
        <v>43937</v>
      </c>
      <c r="C46" s="101">
        <f>Total!C2357</f>
        <v>43985</v>
      </c>
      <c r="D46" s="112" t="s">
        <v>1092</v>
      </c>
      <c r="E46" s="332" t="str">
        <f>Total!E2357</f>
        <v>Obra Civil</v>
      </c>
      <c r="F46" s="96" t="str">
        <f>Total!F2357</f>
        <v>Projectes</v>
      </c>
      <c r="G46" s="112" t="str">
        <f>Total!G2357</f>
        <v>EV. EA. MCB-18312</v>
      </c>
      <c r="H46" s="112" t="str">
        <f>Total!H2357</f>
        <v>Contracte de serveis per a l'assistència tècnica per a la redacció Estudi Ambiental. Millora Connectivitat Terrestre i Permeabilització de l'AP-7, la carretera C-35 i les línies de ferrocarril de Barcelona a Maçanet-Massanes i LAV a Sant Celoni.</v>
      </c>
      <c r="I46" s="157">
        <f>Total!I2357</f>
        <v>22500</v>
      </c>
    </row>
    <row r="47" spans="1:9" x14ac:dyDescent="0.2">
      <c r="A47" s="8">
        <v>46</v>
      </c>
      <c r="B47" s="101">
        <f>Total!B2358</f>
        <v>43937</v>
      </c>
      <c r="C47" s="101">
        <f>Total!C2358</f>
        <v>43985</v>
      </c>
      <c r="D47" s="112" t="s">
        <v>1092</v>
      </c>
      <c r="E47" s="332" t="str">
        <f>Total!E2358</f>
        <v>Obra Civil</v>
      </c>
      <c r="F47" s="96" t="str">
        <f>Total!F2358</f>
        <v>Projectes</v>
      </c>
      <c r="G47" s="112" t="str">
        <f>Total!G2358</f>
        <v>PC-CIB-19018</v>
      </c>
      <c r="H47" s="112" t="str">
        <f>Total!H2358</f>
        <v>Contracte de serveis per a l¿assistència tècnica per a la redacció del projecte constructiu "Condicionament de la BV-2241 del PK 0+000 al 8+938. Sant Sadurní d'Anoia-Masquefa".</v>
      </c>
      <c r="I47" s="157">
        <f>Total!I2358</f>
        <v>81400</v>
      </c>
    </row>
    <row r="48" spans="1:9" x14ac:dyDescent="0.2">
      <c r="A48" s="8">
        <v>47</v>
      </c>
      <c r="B48" s="101">
        <f>Total!B2359</f>
        <v>43937</v>
      </c>
      <c r="C48" s="101">
        <f>Total!C2359</f>
        <v>43976</v>
      </c>
      <c r="D48" s="112" t="s">
        <v>1092</v>
      </c>
      <c r="E48" s="332" t="str">
        <f>Total!E2359</f>
        <v>Obra Civil</v>
      </c>
      <c r="F48" s="96" t="str">
        <f>Total!F2359</f>
        <v>Projectes</v>
      </c>
      <c r="G48" s="112" t="str">
        <f>Total!G2359</f>
        <v>IA. IA-CNL-19051</v>
      </c>
      <c r="H48" s="112" t="str">
        <f>Total!H2359</f>
        <v>Contracte de serveis per a l'assistència tècnica per a la redacció de l'estudi d'impacte ambiental de la nova variant de la LV-1003 a la B-100. Sant Guim de Freixenet.</v>
      </c>
      <c r="I48" s="157">
        <f>Total!I2359</f>
        <v>22800</v>
      </c>
    </row>
    <row r="49" spans="1:9" x14ac:dyDescent="0.2">
      <c r="A49" s="8">
        <v>48</v>
      </c>
      <c r="B49" s="101">
        <f>Total!B2360</f>
        <v>43937</v>
      </c>
      <c r="C49" s="101">
        <f>Total!C2360</f>
        <v>43978</v>
      </c>
      <c r="D49" s="112" t="s">
        <v>1092</v>
      </c>
      <c r="E49" s="332" t="str">
        <f>Total!E2360</f>
        <v>Obra Civil</v>
      </c>
      <c r="F49" s="96" t="str">
        <f>Total!F2360</f>
        <v>Projectes</v>
      </c>
      <c r="G49" s="112" t="str">
        <f>Total!G2360</f>
        <v>PC-BNL-19063</v>
      </c>
      <c r="H49" s="112" t="str">
        <f>Total!H2360</f>
        <v>Contracte de serveis per a l'assistència tècnica per a la redacció del Projecte Constructiu d'un pas a diferent nivell per a vianants i ciclistes a la C-53, PK 130+750 a Castellserà.</v>
      </c>
      <c r="I49" s="157">
        <f>Total!I2360</f>
        <v>31000</v>
      </c>
    </row>
    <row r="50" spans="1:9" x14ac:dyDescent="0.2">
      <c r="A50" s="8">
        <v>49</v>
      </c>
      <c r="B50" s="101">
        <f>Total!B2361</f>
        <v>43937</v>
      </c>
      <c r="C50" s="101">
        <f>Total!C2361</f>
        <v>43978</v>
      </c>
      <c r="D50" s="112" t="s">
        <v>1092</v>
      </c>
      <c r="E50" s="332" t="str">
        <f>Total!E2361</f>
        <v>Obra Civil</v>
      </c>
      <c r="F50" s="96" t="str">
        <f>Total!F2361</f>
        <v>Projectes</v>
      </c>
      <c r="G50" s="112" t="str">
        <f>Total!G2361</f>
        <v>MG-08008.1</v>
      </c>
      <c r="H50" s="112" t="str">
        <f>Total!H2361</f>
        <v>Contracte de serveis per a l'assistència tècnica per a la redacció del Projecte Constructiu d'Ordenació d'accessos a la carretera C-63 del PK 5+300 al PK 8+850 a Vidreres.</v>
      </c>
      <c r="I50" s="157">
        <f>Total!I2361</f>
        <v>72800</v>
      </c>
    </row>
    <row r="51" spans="1:9" x14ac:dyDescent="0.2">
      <c r="A51" s="8">
        <v>50</v>
      </c>
      <c r="B51" s="101">
        <f>Total!B2362</f>
        <v>43937</v>
      </c>
      <c r="C51" s="101">
        <f>Total!C2362</f>
        <v>43978</v>
      </c>
      <c r="D51" s="112" t="s">
        <v>1092</v>
      </c>
      <c r="E51" s="332" t="str">
        <f>Total!E2362</f>
        <v>Obra Civil</v>
      </c>
      <c r="F51" s="96" t="str">
        <f>Total!F2362</f>
        <v>Projectes</v>
      </c>
      <c r="G51" s="112" t="str">
        <f>Total!G2362</f>
        <v>IA. AG-07040.4</v>
      </c>
      <c r="H51" s="112" t="str">
        <f>Total!H2362</f>
        <v>Contracte de serveis per a l'assistència tècnica per a la redacció de l'estudi d'impacte ambiental. Condicionament de la GI-643 del PK 0+000 a l'1+150. Gualta.</v>
      </c>
      <c r="I51" s="157">
        <f>Total!I2362</f>
        <v>13000</v>
      </c>
    </row>
    <row r="52" spans="1:9" x14ac:dyDescent="0.2">
      <c r="A52" s="8">
        <v>51</v>
      </c>
      <c r="B52" s="101">
        <f>Total!B2363</f>
        <v>43937</v>
      </c>
      <c r="C52" s="101">
        <f>Total!C2363</f>
        <v>43978</v>
      </c>
      <c r="D52" s="112" t="s">
        <v>1092</v>
      </c>
      <c r="E52" s="332" t="str">
        <f>Total!E2363</f>
        <v>Obra Civil</v>
      </c>
      <c r="F52" s="96" t="str">
        <f>Total!F2363</f>
        <v>Projectes</v>
      </c>
      <c r="G52" s="112" t="str">
        <f>Total!G2363</f>
        <v>EI-AG-07040.4</v>
      </c>
      <c r="H52" s="112" t="str">
        <f>Total!H2363</f>
        <v>Contracte de serveis per a l'assistència tècnica per a la redacció de l'estudi informatiu de Condicionament de la GI-643 del PK 0+000 a l'1+150. Gualta.</v>
      </c>
      <c r="I52" s="157">
        <f>Total!I2363</f>
        <v>37800</v>
      </c>
    </row>
    <row r="53" spans="1:9" x14ac:dyDescent="0.2">
      <c r="A53" s="8">
        <v>52</v>
      </c>
      <c r="B53" s="101">
        <f>Total!B2364</f>
        <v>43938</v>
      </c>
      <c r="C53" s="101">
        <f>Total!C2364</f>
        <v>43978</v>
      </c>
      <c r="D53" s="112" t="s">
        <v>1092</v>
      </c>
      <c r="E53" s="332" t="str">
        <f>Total!E2364</f>
        <v>Obra Civil</v>
      </c>
      <c r="F53" s="96" t="str">
        <f>Total!F2364</f>
        <v>Projectes</v>
      </c>
      <c r="G53" s="112" t="str">
        <f>Total!G2364</f>
        <v>PC-CAB-17038</v>
      </c>
      <c r="H53" s="112" t="str">
        <f>Total!H2364</f>
        <v>Contracte de serveis per a l'assistència tècnica per a la redacció del projecte constructiu de condicionament del tercer carril de la C-16 del PK 22+000 al 23+800. Terrassa.</v>
      </c>
      <c r="I53" s="157">
        <f>Total!I2364</f>
        <v>184100</v>
      </c>
    </row>
    <row r="54" spans="1:9" x14ac:dyDescent="0.2">
      <c r="A54" s="8">
        <v>53</v>
      </c>
      <c r="B54" s="101">
        <f>Total!B2365</f>
        <v>43941</v>
      </c>
      <c r="C54" s="101">
        <f>Total!C2365</f>
        <v>43985</v>
      </c>
      <c r="D54" s="112" t="s">
        <v>1092</v>
      </c>
      <c r="E54" s="332" t="str">
        <f>Total!E2365</f>
        <v>Obra Civil</v>
      </c>
      <c r="F54" s="96" t="str">
        <f>Total!F2365</f>
        <v>Projectes</v>
      </c>
      <c r="G54" s="112" t="str">
        <f>Total!G2365</f>
        <v>JC-19236</v>
      </c>
      <c r="H54" s="112" t="str">
        <f>Total!H2365</f>
        <v>Contracte de serveis per a l¿assistència tècnica per a la redacció del Projecte Modificat del Projecte Col·lector de Salmorres Conca del Llobregat. Ramal Llobregat. Tram: El Prat.</v>
      </c>
      <c r="I54" s="157">
        <f>Total!I2365</f>
        <v>75000</v>
      </c>
    </row>
    <row r="55" spans="1:9" x14ac:dyDescent="0.2">
      <c r="A55" s="8">
        <v>54</v>
      </c>
      <c r="B55" s="101">
        <f>Total!B2366</f>
        <v>43942</v>
      </c>
      <c r="C55" s="101">
        <f>Total!C2366</f>
        <v>43985</v>
      </c>
      <c r="D55" s="112" t="s">
        <v>1092</v>
      </c>
      <c r="E55" s="332" t="str">
        <f>Total!E2366</f>
        <v>Obra Civil</v>
      </c>
      <c r="F55" s="96" t="str">
        <f>Total!F2366</f>
        <v>Direccions d'Obra</v>
      </c>
      <c r="G55" s="112" t="str">
        <f>Total!G2366</f>
        <v>ATI-TM-09294.A2</v>
      </c>
      <c r="H55" s="112" t="str">
        <f>Total!H2366</f>
        <v>Contracte de serveis per a l'Assistència Tècnica per a l'enginyeria d'integració de sistemes i avaluació independent de seguretat (ISA) per la posada en servei de l'estació d'Ernest Lluch de la línia 5 del Metro de Barcelona.</v>
      </c>
      <c r="I55" s="157">
        <f>Total!I2366</f>
        <v>140650</v>
      </c>
    </row>
    <row r="56" spans="1:9" x14ac:dyDescent="0.2">
      <c r="A56" s="8">
        <v>55</v>
      </c>
      <c r="B56" s="101">
        <f>Total!B2367</f>
        <v>43943</v>
      </c>
      <c r="C56" s="101">
        <f>Total!C2367</f>
        <v>43985</v>
      </c>
      <c r="D56" s="112" t="s">
        <v>1092</v>
      </c>
      <c r="E56" s="332" t="str">
        <f>Total!E2367</f>
        <v>Obra Civil</v>
      </c>
      <c r="F56" s="96" t="str">
        <f>Total!F2367</f>
        <v>Projectes</v>
      </c>
      <c r="G56" s="112" t="str">
        <f>Total!G2367</f>
        <v>PC. JC-19233</v>
      </c>
      <c r="H56" s="112" t="str">
        <f>Total!H2367</f>
        <v>Redacció de la modificació del projecte del col·lector de salmorres Conca del Llobregat. Ramal Cardener. Tram: Cardona - Castellgalí amb la incorporació de la canonada d'impulsió de l'aigua regenerada de l'EDAR de Manresa.</v>
      </c>
      <c r="I56" s="157">
        <f>Total!I2367</f>
        <v>250000</v>
      </c>
    </row>
    <row r="57" spans="1:9" x14ac:dyDescent="0.2">
      <c r="A57" s="8">
        <v>56</v>
      </c>
      <c r="B57" s="101">
        <f>Total!B2371</f>
        <v>43944</v>
      </c>
      <c r="C57" s="101">
        <f>Total!C2371</f>
        <v>43990</v>
      </c>
      <c r="D57" s="112" t="s">
        <v>1092</v>
      </c>
      <c r="E57" s="332" t="str">
        <f>Total!E2371</f>
        <v>Obra Civil</v>
      </c>
      <c r="F57" s="96" t="str">
        <f>Total!F2371</f>
        <v>Projectes</v>
      </c>
      <c r="G57" s="112" t="str">
        <f>Total!G2371</f>
        <v>PC. PC-CPT-18195</v>
      </c>
      <c r="H57" s="112" t="str">
        <f>Total!H2371</f>
        <v>Contracte de serveis per a l'assistència tècnica per a la redacció del projecte constructiu d'ampliació del pont de la TP-2311 al PK 10+440. Sarral.</v>
      </c>
      <c r="I57" s="157">
        <f>Total!I2371</f>
        <v>39200</v>
      </c>
    </row>
    <row r="58" spans="1:9" x14ac:dyDescent="0.2">
      <c r="A58" s="8">
        <v>57</v>
      </c>
      <c r="B58" s="101">
        <f>Total!B2372</f>
        <v>43944</v>
      </c>
      <c r="C58" s="101">
        <f>Total!C2372</f>
        <v>43976</v>
      </c>
      <c r="D58" s="112" t="s">
        <v>1092</v>
      </c>
      <c r="E58" s="332" t="str">
        <f>Total!E2372</f>
        <v>Obra Civil</v>
      </c>
      <c r="F58" s="96" t="str">
        <f>Total!F2372</f>
        <v>Projectes</v>
      </c>
      <c r="G58" s="112" t="str">
        <f>Total!G2372</f>
        <v>PC. PC-ANE-19037</v>
      </c>
      <c r="H58" s="112" t="str">
        <f>Total!H2372</f>
        <v>Contracte de serveis per a l'assistència tècnica per a la redacció del projecte constructiu. Nova estació d'autobusos a Sant Carles de la Ràpita.</v>
      </c>
      <c r="I58" s="157">
        <f>Total!I2372</f>
        <v>48500</v>
      </c>
    </row>
    <row r="59" spans="1:9" x14ac:dyDescent="0.2">
      <c r="A59" s="8">
        <v>58</v>
      </c>
      <c r="B59" s="101">
        <f>Total!B2373</f>
        <v>43948</v>
      </c>
      <c r="C59" s="101">
        <f>Total!C2373</f>
        <v>43990</v>
      </c>
      <c r="D59" s="112" t="s">
        <v>1092</v>
      </c>
      <c r="E59" s="332" t="str">
        <f>Total!E2373</f>
        <v>Obra Civil</v>
      </c>
      <c r="F59" s="96" t="str">
        <f>Total!F2373</f>
        <v>Direccions d'Obra</v>
      </c>
      <c r="G59" s="112" t="str">
        <f>Total!G2373</f>
        <v>CSS. MC-14032-AA</v>
      </c>
      <c r="H59" s="112" t="str">
        <f>Total!H2373</f>
        <v>Coord. S. i S. obres del proj. constructiu més l'annex d'actualització de Millora de la intersecció entre les ctres. C-35 i GI-552 i obres complem. Carretera C-35, del PK 61+950 al 62+200. Tram: Sant Celoni - Riells i Viabrea.</v>
      </c>
      <c r="I59" s="157">
        <f>Total!I2373</f>
        <v>12480</v>
      </c>
    </row>
    <row r="60" spans="1:9" x14ac:dyDescent="0.2">
      <c r="A60" s="8">
        <v>59</v>
      </c>
      <c r="B60" s="101">
        <f>Total!B2374</f>
        <v>43948</v>
      </c>
      <c r="C60" s="101">
        <f>Total!C2374</f>
        <v>43990</v>
      </c>
      <c r="D60" s="112" t="s">
        <v>1092</v>
      </c>
      <c r="E60" s="332" t="str">
        <f>Total!E2374</f>
        <v>Obra Civil</v>
      </c>
      <c r="F60" s="96" t="str">
        <f>Total!F2374</f>
        <v>Direccions d'Obra</v>
      </c>
      <c r="G60" s="112" t="str">
        <f>Total!G2374</f>
        <v>DO. PC-CML-17081</v>
      </c>
      <c r="H60" s="112" t="str">
        <f>Total!H2374</f>
        <v>Contracte de serveis per a la Direcció de les obres del projecte constructiu de Millora local. Millora de nus a la carretera C-13, PK 87+126. Tram: Tremp.</v>
      </c>
      <c r="I60" s="157">
        <f>Total!I2374</f>
        <v>20146.669999999998</v>
      </c>
    </row>
    <row r="61" spans="1:9" x14ac:dyDescent="0.2">
      <c r="A61" s="8">
        <v>60</v>
      </c>
      <c r="B61" s="101">
        <f>Total!B2375</f>
        <v>43948</v>
      </c>
      <c r="C61" s="101">
        <f>Total!C2375</f>
        <v>43990</v>
      </c>
      <c r="D61" s="112" t="s">
        <v>1092</v>
      </c>
      <c r="E61" s="332" t="str">
        <f>Total!E2375</f>
        <v>Obra Civil</v>
      </c>
      <c r="F61" s="96" t="str">
        <f>Total!F2375</f>
        <v>Direccions d'Obra</v>
      </c>
      <c r="G61" s="112" t="str">
        <f>Total!G2375</f>
        <v>DO. MC-14032-AA</v>
      </c>
      <c r="H61" s="112" t="str">
        <f>Total!H2375</f>
        <v>Direcció de les obres del projecte constructiu més l'annex d'actualització de Millora de la intersecció entre les carreteres C-35 i GI-552 i obres complementàries. Carretera C-35, del PK 61+950 al 62+200. Tram: Sant Celoni - Riells i Viabrea.</v>
      </c>
      <c r="I61" s="157">
        <f>Total!I2375</f>
        <v>41066.660000000003</v>
      </c>
    </row>
    <row r="62" spans="1:9" x14ac:dyDescent="0.2">
      <c r="A62" s="8">
        <v>61</v>
      </c>
      <c r="B62" s="101">
        <f>Total!B2376</f>
        <v>43948</v>
      </c>
      <c r="C62" s="101">
        <f>Total!C2376</f>
        <v>43990</v>
      </c>
      <c r="D62" s="112" t="s">
        <v>1092</v>
      </c>
      <c r="E62" s="332" t="str">
        <f>Total!E2376</f>
        <v>Obra Civil</v>
      </c>
      <c r="F62" s="96" t="str">
        <f>Total!F2376</f>
        <v>Control de Qualitat</v>
      </c>
      <c r="G62" s="112" t="str">
        <f>Total!G2376</f>
        <v>CQ. PC-CML-17081</v>
      </c>
      <c r="H62" s="112" t="str">
        <f>Total!H2376</f>
        <v>Contracte de serveis per a l'assistència tècnica de control de qualitat de les obres del projecte constructiu de Millora local. Millora de nus a la carretera C-13, PK 87+126. Tram: Tremp.</v>
      </c>
      <c r="I62" s="157">
        <f>Total!I2376</f>
        <v>4349.22</v>
      </c>
    </row>
    <row r="63" spans="1:9" x14ac:dyDescent="0.2">
      <c r="A63" s="8">
        <v>62</v>
      </c>
      <c r="B63" s="101">
        <f>Total!B2377</f>
        <v>43948</v>
      </c>
      <c r="C63" s="101">
        <f>Total!C2377</f>
        <v>43978</v>
      </c>
      <c r="D63" s="112" t="s">
        <v>1092</v>
      </c>
      <c r="E63" s="332" t="str">
        <f>Total!E2377</f>
        <v>Obra Civil</v>
      </c>
      <c r="F63" s="96" t="str">
        <f>Total!F2377</f>
        <v>Projectes</v>
      </c>
      <c r="G63" s="112" t="str">
        <f>Total!G2377</f>
        <v>PC. PC-CPB-20028</v>
      </c>
      <c r="H63" s="112" t="str">
        <f>Total!H2377</f>
        <v>Contracte de serveis per a l'assistència tècnica per a la redacció del projecte constructiu de rotonda a la BV-4501, PK 4+425. Santpedor.</v>
      </c>
      <c r="I63" s="157">
        <f>Total!I2377</f>
        <v>31500</v>
      </c>
    </row>
    <row r="64" spans="1:9" x14ac:dyDescent="0.2">
      <c r="A64" s="8">
        <v>63</v>
      </c>
      <c r="B64" s="101">
        <f>Total!B2378</f>
        <v>43948</v>
      </c>
      <c r="C64" s="101">
        <f>Total!C2378</f>
        <v>43990</v>
      </c>
      <c r="D64" s="112" t="s">
        <v>1092</v>
      </c>
      <c r="E64" s="332" t="str">
        <f>Total!E2378</f>
        <v>Obra Civil</v>
      </c>
      <c r="F64" s="96" t="str">
        <f>Total!F2378</f>
        <v>Control de Qualitat</v>
      </c>
      <c r="G64" s="112" t="str">
        <f>Total!G2378</f>
        <v>CQ. MC-14032-AA</v>
      </c>
      <c r="H64" s="112" t="str">
        <f>Total!H2378</f>
        <v>Control de qualitat de les obres del projecte constructiu més l'annex d'actualització de Millora de la intersecció entre les carreteres C-35 i GI-552 i obres complementàries. Carretera C-35, del PK 61+950 al 62+200. Tram: Sant Celoni - Riells i Viabrea.</v>
      </c>
      <c r="I64" s="157">
        <f>Total!I2378</f>
        <v>14664.79</v>
      </c>
    </row>
    <row r="65" spans="1:9" x14ac:dyDescent="0.2">
      <c r="A65" s="8">
        <v>64</v>
      </c>
      <c r="B65" s="101">
        <f>Total!B2379</f>
        <v>43948</v>
      </c>
      <c r="C65" s="101">
        <f>Total!C2379</f>
        <v>43990</v>
      </c>
      <c r="D65" s="112" t="s">
        <v>1092</v>
      </c>
      <c r="E65" s="332" t="str">
        <f>Total!E2379</f>
        <v>Obra Civil</v>
      </c>
      <c r="F65" s="96" t="str">
        <f>Total!F2379</f>
        <v>Direccions d'Obra</v>
      </c>
      <c r="G65" s="112" t="str">
        <f>Total!G2379</f>
        <v>CSS. PC-CML-17081</v>
      </c>
      <c r="H65" s="112" t="str">
        <f>Total!H2379</f>
        <v>Coordinació de Seguretat i Salut de les obres del projecte constructiu de Millora local. Millora de nus a la carretera C-13, PK 87+126. Tram: Tremp.</v>
      </c>
      <c r="I65" s="157">
        <f>Total!I2379</f>
        <v>5760</v>
      </c>
    </row>
    <row r="66" spans="1:9" x14ac:dyDescent="0.2">
      <c r="A66" s="8">
        <v>65</v>
      </c>
      <c r="B66" s="101">
        <f>Total!B2380</f>
        <v>43948</v>
      </c>
      <c r="C66" s="101">
        <f>Total!C2380</f>
        <v>43990</v>
      </c>
      <c r="D66" s="112" t="s">
        <v>1092</v>
      </c>
      <c r="E66" s="332" t="str">
        <f>Total!E2380</f>
        <v>Edificació</v>
      </c>
      <c r="F66" s="96" t="str">
        <f>Total!F2380</f>
        <v>Control de Qualitat</v>
      </c>
      <c r="G66" s="112" t="str">
        <f>Total!G2380</f>
        <v>CQ. JVX-18299</v>
      </c>
      <c r="H66" s="112" t="str">
        <f>Total!H2380</f>
        <v>Control qualitat obres RAM de subst. canonades distribució aigua del sist. de climatit. i modernització de les instal. de PDCI, CCTV,intrusió i megafonia de l'edifici judicial de La Seu d'Urgell, ubicat al c/ Tres Ponts, 9.</v>
      </c>
      <c r="I66" s="157">
        <f>Total!I2380</f>
        <v>4350</v>
      </c>
    </row>
    <row r="67" spans="1:9" x14ac:dyDescent="0.2">
      <c r="A67" s="8">
        <v>66</v>
      </c>
      <c r="B67" s="101">
        <f>Total!B2381</f>
        <v>43949</v>
      </c>
      <c r="C67" s="101">
        <f>Total!C2381</f>
        <v>43990</v>
      </c>
      <c r="D67" s="112" t="s">
        <v>1092</v>
      </c>
      <c r="E67" s="332" t="str">
        <f>Total!E2381</f>
        <v>Obra Civil</v>
      </c>
      <c r="F67" s="96" t="str">
        <f>Total!F2381</f>
        <v>Direccions d'Obra</v>
      </c>
      <c r="G67" s="112" t="str">
        <f>Total!G2381</f>
        <v>DO. PC-CME-17092.1</v>
      </c>
      <c r="H67" s="112" t="str">
        <f>Total!H2381</f>
        <v>Contracte de serveis per a la direcció de les obres de millora de la seguretat viària a les carreteres TV-3408 i TV-3406. Tram 1: Condicionament. Sant Carles de la Ràpita.</v>
      </c>
      <c r="I67" s="157">
        <f>Total!I2381</f>
        <v>88480</v>
      </c>
    </row>
    <row r="68" spans="1:9" x14ac:dyDescent="0.2">
      <c r="A68" s="8">
        <v>67</v>
      </c>
      <c r="B68" s="101">
        <f>Total!B2382</f>
        <v>43949</v>
      </c>
      <c r="C68" s="101">
        <f>Total!C2382</f>
        <v>43990</v>
      </c>
      <c r="D68" s="112" t="s">
        <v>1092</v>
      </c>
      <c r="E68" s="332" t="str">
        <f>Total!E2382</f>
        <v>Obra Civil</v>
      </c>
      <c r="F68" s="96" t="str">
        <f>Total!F2382</f>
        <v>Control de Qualitat</v>
      </c>
      <c r="G68" s="112" t="str">
        <f>Total!G2382</f>
        <v>CQ. PC-CME-17092.1.</v>
      </c>
      <c r="H68" s="112" t="str">
        <f>Total!H2382</f>
        <v>Contracte de serveis per a l'assistència tècnica de control de qualitat de les obres de Millora de la seguretat viària a les carreteres TV-3408 i TV-3406. Tram 1: Condicionament. Sant Carles de la Ràpita.</v>
      </c>
      <c r="I68" s="157">
        <f>Total!I2382</f>
        <v>15544.61</v>
      </c>
    </row>
    <row r="69" spans="1:9" x14ac:dyDescent="0.2">
      <c r="A69" s="8">
        <v>68</v>
      </c>
      <c r="B69" s="101">
        <f>Total!B2383</f>
        <v>43949</v>
      </c>
      <c r="C69" s="101">
        <f>Total!C2383</f>
        <v>43990</v>
      </c>
      <c r="D69" s="112" t="s">
        <v>1092</v>
      </c>
      <c r="E69" s="332" t="str">
        <f>Total!E2383</f>
        <v>Obra Civil</v>
      </c>
      <c r="F69" s="96" t="str">
        <f>Total!F2383</f>
        <v>Direccions d'Obra</v>
      </c>
      <c r="G69" s="112" t="str">
        <f>Total!G2383</f>
        <v>CSS. PC-CME-17092.1</v>
      </c>
      <c r="H69" s="112" t="str">
        <f>Total!H2383</f>
        <v>Contracte de serveis per a l'Assistència tècnica per la Coordinació de seguretat i salut de l'execució de les obres "Millora de la seguretat viària a les carreteres TV-3408 i TV-3406. Tram 1: Condicionament. Sant Carles de la Ràpita".</v>
      </c>
      <c r="I69" s="157">
        <f>Total!I2383</f>
        <v>20280</v>
      </c>
    </row>
    <row r="70" spans="1:9" x14ac:dyDescent="0.2">
      <c r="A70" s="8">
        <v>69</v>
      </c>
      <c r="B70" s="101">
        <f>Total!B2384</f>
        <v>43950</v>
      </c>
      <c r="C70" s="101">
        <f>Total!C2384</f>
        <v>43976</v>
      </c>
      <c r="D70" s="112" t="s">
        <v>1092</v>
      </c>
      <c r="E70" s="332" t="str">
        <f>Total!E2384</f>
        <v>Obra Civil</v>
      </c>
      <c r="F70" s="96" t="str">
        <f>Total!F2384</f>
        <v>Projectes</v>
      </c>
      <c r="G70" s="112" t="str">
        <f>Total!G2384</f>
        <v>EV. EA-UR-19239</v>
      </c>
      <c r="H70" s="112" t="str">
        <f>Total!H2384</f>
        <v>Contracte de serveis per a l'assistència tècnica per a la redacció del Document ambiental. Memòria ambiental de l'Estudi de la modernització del sistema hidràulic dels canals d'Urgell.</v>
      </c>
      <c r="I70" s="157">
        <f>Total!I2384</f>
        <v>23281</v>
      </c>
    </row>
    <row r="71" spans="1:9" x14ac:dyDescent="0.2">
      <c r="A71" s="8">
        <v>70</v>
      </c>
      <c r="B71" s="101">
        <f>Total!B2385</f>
        <v>43950</v>
      </c>
      <c r="C71" s="101">
        <f>Total!C2385</f>
        <v>43992</v>
      </c>
      <c r="D71" s="112" t="s">
        <v>1092</v>
      </c>
      <c r="E71" s="332" t="str">
        <f>Total!E2385</f>
        <v>Obra Civil</v>
      </c>
      <c r="F71" s="96" t="str">
        <f>Total!F2385</f>
        <v>Control de Qualitat</v>
      </c>
      <c r="G71" s="112" t="str">
        <f>Total!G2385</f>
        <v>CQ. RB-16053</v>
      </c>
      <c r="H71" s="112" t="str">
        <f>Total!H2385</f>
        <v>Control de qualitat de l'execució de les obres del projecte constructiu de ferm. Millora de característiques superficials i obres complementàries a la carretera C-17 del PK 27+830 al 36+250. Tram: la Garriga - Tagamanent.</v>
      </c>
      <c r="I71" s="157">
        <f>Total!I2385</f>
        <v>50772.3</v>
      </c>
    </row>
    <row r="72" spans="1:9" x14ac:dyDescent="0.2">
      <c r="A72" s="8">
        <v>71</v>
      </c>
      <c r="B72" s="101">
        <f>Total!B2386</f>
        <v>43950</v>
      </c>
      <c r="C72" s="101">
        <f>Total!C2386</f>
        <v>43992</v>
      </c>
      <c r="D72" s="112" t="s">
        <v>1092</v>
      </c>
      <c r="E72" s="332" t="str">
        <f>Total!E2386</f>
        <v>Obra Civil</v>
      </c>
      <c r="F72" s="96" t="str">
        <f>Total!F2386</f>
        <v>Direccions d'Obra</v>
      </c>
      <c r="G72" s="112" t="str">
        <f>Total!G2386</f>
        <v>DO. RB-16053</v>
      </c>
      <c r="H72" s="112" t="str">
        <f>Total!H2386</f>
        <v>Contracte de serveis per a la direcció de les obres del projecte constructiu de ferm. Millora de característiques superficials i obres complementàries a la carretera C-17 del PK 27+830 al 36+250. Tram: la Garriga - Tagamanent.</v>
      </c>
      <c r="I72" s="157">
        <f>Total!I2386</f>
        <v>133320</v>
      </c>
    </row>
    <row r="73" spans="1:9" x14ac:dyDescent="0.2">
      <c r="A73" s="8">
        <v>72</v>
      </c>
      <c r="B73" s="101">
        <f>Total!B2387</f>
        <v>43950</v>
      </c>
      <c r="C73" s="101">
        <f>Total!C2387</f>
        <v>43992</v>
      </c>
      <c r="D73" s="112" t="s">
        <v>1092</v>
      </c>
      <c r="E73" s="332" t="str">
        <f>Total!E2387</f>
        <v>Obra Civil</v>
      </c>
      <c r="F73" s="96" t="str">
        <f>Total!F2387</f>
        <v>Direccions d'Obra</v>
      </c>
      <c r="G73" s="112" t="str">
        <f>Total!G2387</f>
        <v>CSS. RB-16053</v>
      </c>
      <c r="H73" s="112" t="str">
        <f>Total!H2387</f>
        <v>Coordinació de seguretat i salut de l'execució de les obres del projecte constructiu de ferm. Millora de característiques superficials i obres complementàries a la carretera C-17 del PK 27+830 al 36+250. Tram: la Garriga - Tagamanent.</v>
      </c>
      <c r="I73" s="157">
        <f>Total!I2387</f>
        <v>26160</v>
      </c>
    </row>
    <row r="74" spans="1:9" x14ac:dyDescent="0.2">
      <c r="A74" s="8">
        <v>73</v>
      </c>
      <c r="B74" s="101">
        <f>Total!B2388</f>
        <v>43951</v>
      </c>
      <c r="C74" s="101">
        <f>Total!C2388</f>
        <v>43997</v>
      </c>
      <c r="D74" s="112" t="s">
        <v>1092</v>
      </c>
      <c r="E74" s="332" t="str">
        <f>Total!E2388</f>
        <v>Edificació</v>
      </c>
      <c r="F74" s="96" t="str">
        <f>Total!F2388</f>
        <v>Direccions d'execució</v>
      </c>
      <c r="G74" s="112" t="str">
        <f>Total!G2388</f>
        <v>DE.CGM-17249</v>
      </c>
      <c r="H74" s="112" t="str">
        <f>Total!H2388</f>
        <v>Contracte de serveis per a la direcció d'execució de les obres RAM d'actualització i homogeneïtzació dels sistemes de control de persones i accessos de diverses comissaries de Mossos d'Esquadra.</v>
      </c>
      <c r="I74" s="157">
        <f>Total!I2388</f>
        <v>17000</v>
      </c>
    </row>
    <row r="75" spans="1:9" x14ac:dyDescent="0.2">
      <c r="A75" s="8">
        <v>74</v>
      </c>
      <c r="B75" s="101">
        <f>Total!B2389</f>
        <v>43951</v>
      </c>
      <c r="C75" s="101">
        <f>Total!C2389</f>
        <v>44004</v>
      </c>
      <c r="D75" s="112" t="s">
        <v>1092</v>
      </c>
      <c r="E75" s="332" t="str">
        <f>Total!E2389</f>
        <v>Obra Civil</v>
      </c>
      <c r="F75" s="96" t="str">
        <f>Total!F2389</f>
        <v>Direccions d'Obra</v>
      </c>
      <c r="G75" s="112" t="str">
        <f>Total!G2389</f>
        <v>DO. RB-16019</v>
      </c>
      <c r="H75" s="112" t="str">
        <f>Total!H2389</f>
        <v>Contracte de serveis per a la direcció de les obres de ferm. Millora de les característiques superficials i obres complementàries a la carretera C-1415a del PK 18+570 al 27+275 i del PK 28+270 al 32+585. Tram: Terrassa - Sentmenat.</v>
      </c>
      <c r="I75" s="157">
        <f>Total!I2389</f>
        <v>99466.67</v>
      </c>
    </row>
    <row r="76" spans="1:9" x14ac:dyDescent="0.2">
      <c r="A76" s="8">
        <v>75</v>
      </c>
      <c r="B76" s="101">
        <f>Total!B2390</f>
        <v>43951</v>
      </c>
      <c r="C76" s="101">
        <f>Total!C2390</f>
        <v>44004</v>
      </c>
      <c r="D76" s="112" t="s">
        <v>1092</v>
      </c>
      <c r="E76" s="332" t="str">
        <f>Total!E2390</f>
        <v>Obra Civil</v>
      </c>
      <c r="F76" s="96" t="str">
        <f>Total!F2390</f>
        <v>Control de Qualitat</v>
      </c>
      <c r="G76" s="112" t="str">
        <f>Total!G2390</f>
        <v>CQ. RB-16019</v>
      </c>
      <c r="H76" s="112" t="str">
        <f>Total!H2390</f>
        <v>Control de qualitat de les obres de ferm. Millora de les característiques superficials i obres complementàries a la carretera C-1415a del PK 18+570 al 27+275 i del PK 28+270 al 32+585. Tram: Terrassa-Sentmenat.</v>
      </c>
      <c r="I76" s="157">
        <f>Total!I2390</f>
        <v>31783.119999999999</v>
      </c>
    </row>
    <row r="77" spans="1:9" x14ac:dyDescent="0.2">
      <c r="A77" s="8">
        <v>76</v>
      </c>
      <c r="B77" s="101">
        <f>Total!B2391</f>
        <v>43951</v>
      </c>
      <c r="C77" s="101">
        <f>Total!C2391</f>
        <v>43997</v>
      </c>
      <c r="D77" s="112" t="s">
        <v>1092</v>
      </c>
      <c r="E77" s="332" t="str">
        <f>Total!E2391</f>
        <v>Edificació</v>
      </c>
      <c r="F77" s="96" t="str">
        <f>Total!F2391</f>
        <v>Direccions d'execució</v>
      </c>
      <c r="G77" s="112" t="str">
        <f>Total!G2391</f>
        <v>CSS. CGM-17249</v>
      </c>
      <c r="H77" s="112" t="str">
        <f>Total!H2391</f>
        <v>Contracte de serveis per a l'assistència tècnica de coordinació de seguretat i salut de les obres RAM d'actualització i homogeneïtzació dels sistemes de control de persones i accessos de diverses comissaries de Mossos d'Esquadra.</v>
      </c>
      <c r="I77" s="157">
        <f>Total!I2391</f>
        <v>5100</v>
      </c>
    </row>
    <row r="78" spans="1:9" x14ac:dyDescent="0.2">
      <c r="A78" s="8">
        <v>77</v>
      </c>
      <c r="B78" s="101">
        <f>Total!B2392</f>
        <v>43951</v>
      </c>
      <c r="C78" s="101">
        <f>Total!C2392</f>
        <v>43997</v>
      </c>
      <c r="D78" s="112" t="s">
        <v>1092</v>
      </c>
      <c r="E78" s="332" t="str">
        <f>Total!E2392</f>
        <v>Edificació</v>
      </c>
      <c r="F78" s="96" t="str">
        <f>Total!F2392</f>
        <v>Control de Qualitat</v>
      </c>
      <c r="G78" s="112" t="str">
        <f>Total!G2392</f>
        <v>CQ. CGM-17249</v>
      </c>
      <c r="H78" s="112" t="str">
        <f>Total!H2392</f>
        <v>Contracte de serveis per a l'assistència tècnica de control de qualitat de les obres RAM d'actualització i homogeneïtzació dels sistemes de control de persones i accessos de diverses comissaries de Mossos d'Esquadra.</v>
      </c>
      <c r="I78" s="157">
        <f>Total!I2392</f>
        <v>4800</v>
      </c>
    </row>
    <row r="79" spans="1:9" x14ac:dyDescent="0.2">
      <c r="A79" s="8">
        <v>78</v>
      </c>
      <c r="B79" s="101">
        <f>Total!B2393</f>
        <v>43951</v>
      </c>
      <c r="C79" s="101">
        <f>Total!C2393</f>
        <v>44004</v>
      </c>
      <c r="D79" s="112" t="s">
        <v>1092</v>
      </c>
      <c r="E79" s="332" t="str">
        <f>Total!E2393</f>
        <v>Obra Civil</v>
      </c>
      <c r="F79" s="96" t="str">
        <f>Total!F2393</f>
        <v>Direccions d'Obra</v>
      </c>
      <c r="G79" s="112" t="str">
        <f>Total!G2393</f>
        <v>CSS. RB-16019</v>
      </c>
      <c r="H79" s="112" t="str">
        <f>Total!H2393</f>
        <v>Coordinació de seguretat i salut de l'execució de les obres "Ferm. Millora de les característiques superficials i obres complementàries a la carretera C-1415a del PK 18+570 al 27+275 i del PK 28+270 al 32+585. Tram: Terrassa - Sentmenat".</v>
      </c>
      <c r="I79" s="157">
        <f>Total!I2393</f>
        <v>20160</v>
      </c>
    </row>
    <row r="80" spans="1:9" x14ac:dyDescent="0.2">
      <c r="I80" s="126">
        <f>SUM(I2:I79)</f>
        <v>4501959.5</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19"/>
  <sheetViews>
    <sheetView workbookViewId="0">
      <selection activeCell="H11" sqref="H11"/>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Total!B2296</f>
        <v>43893</v>
      </c>
      <c r="C2" s="101">
        <f>Total!C2296</f>
        <v>43908</v>
      </c>
      <c r="D2" s="112" t="s">
        <v>1092</v>
      </c>
      <c r="E2" s="332" t="str">
        <f>Total!E2296</f>
        <v>Edificació</v>
      </c>
      <c r="F2" s="96" t="str">
        <f>Total!F2296</f>
        <v>Projectes i Direccions d'Obra</v>
      </c>
      <c r="G2" s="112" t="str">
        <f>Total!G2296</f>
        <v>PE+DO. INE-19228</v>
      </c>
      <c r="H2" s="112" t="str">
        <f>Total!H2296</f>
        <v>Redacció del projecte bàsic i executiu i la posterior direcció de les obres de reforma dels vestidors, lavabos i altres treballs de l'edifici de l'INEFC de Barcelona.</v>
      </c>
      <c r="I2" s="157">
        <f>Total!I2296</f>
        <v>121943.55</v>
      </c>
    </row>
    <row r="3" spans="1:9" x14ac:dyDescent="0.2">
      <c r="A3" s="8">
        <v>2</v>
      </c>
      <c r="B3" s="101">
        <f>Total!B2297</f>
        <v>43894</v>
      </c>
      <c r="C3" s="101">
        <f>Total!C2297</f>
        <v>43913</v>
      </c>
      <c r="D3" s="112" t="s">
        <v>1092</v>
      </c>
      <c r="E3" s="332" t="str">
        <f>Total!E2297</f>
        <v>Obra Civil</v>
      </c>
      <c r="F3" s="96" t="str">
        <f>Total!F2297</f>
        <v>Projectes</v>
      </c>
      <c r="G3" s="112" t="str">
        <f>Total!G2297</f>
        <v>PC. PCR-19403</v>
      </c>
      <c r="H3" s="112" t="str">
        <f>Total!H2297</f>
        <v>Redacció del projecte constructiu d'accessibilitat, aparcament, edifici de serveis i reordenació d'accessos al Parc Natural del Cap de Creus.</v>
      </c>
      <c r="I3" s="157">
        <f>Total!I2297</f>
        <v>44800</v>
      </c>
    </row>
    <row r="4" spans="1:9" x14ac:dyDescent="0.2">
      <c r="A4" s="8">
        <v>3</v>
      </c>
      <c r="B4" s="101">
        <f>Total!B2298</f>
        <v>43894</v>
      </c>
      <c r="C4" s="101">
        <f>Total!C2298</f>
        <v>43913</v>
      </c>
      <c r="D4" s="112" t="s">
        <v>1092</v>
      </c>
      <c r="E4" s="332" t="str">
        <f>Total!E2298</f>
        <v>Edificació</v>
      </c>
      <c r="F4" s="96" t="str">
        <f>Total!F2298</f>
        <v>Projectes i Direccions d'Obra</v>
      </c>
      <c r="G4" s="112" t="str">
        <f>Total!G2298</f>
        <v>PE+DO CLT-18338</v>
      </c>
      <c r="H4" s="112" t="str">
        <f>Total!H2298</f>
        <v>Redacció del projecte bàsic , el projecte executiu i la posterior direcció d'obra del nou Consultori Local de Jesús.</v>
      </c>
      <c r="I4" s="157">
        <f>Total!I2298</f>
        <v>149332.81</v>
      </c>
    </row>
    <row r="5" spans="1:9" x14ac:dyDescent="0.2">
      <c r="A5" s="8">
        <v>4</v>
      </c>
      <c r="B5" s="101">
        <f>Total!B2299</f>
        <v>43894</v>
      </c>
      <c r="C5" s="101">
        <f>Total!C2299</f>
        <v>43913</v>
      </c>
      <c r="D5" s="112" t="s">
        <v>1092</v>
      </c>
      <c r="E5" s="332" t="str">
        <f>Total!E2299</f>
        <v>Obra Civil</v>
      </c>
      <c r="F5" s="96" t="str">
        <f>Total!F2299</f>
        <v>Projectes</v>
      </c>
      <c r="G5" s="112" t="str">
        <f>Total!G2299</f>
        <v>PC. SC-PSE-19413</v>
      </c>
      <c r="H5" s="112" t="str">
        <f>Total!H2299</f>
        <v>Redacció del plec de conservació ambiental. Gestió ambiental de finques dels Espais Naturals Protegits de la Plana de Lleida, campanya 2020-2022.</v>
      </c>
      <c r="I5" s="157">
        <f>Total!I2299</f>
        <v>19500</v>
      </c>
    </row>
    <row r="6" spans="1:9" x14ac:dyDescent="0.2">
      <c r="A6" s="8">
        <v>5</v>
      </c>
      <c r="B6" s="101">
        <f>Total!B2300</f>
        <v>43895</v>
      </c>
      <c r="C6" s="101">
        <f>Total!C2300</f>
        <v>43913</v>
      </c>
      <c r="D6" s="112" t="s">
        <v>1092</v>
      </c>
      <c r="E6" s="332" t="str">
        <f>Total!E2300</f>
        <v>Edificació</v>
      </c>
      <c r="F6" s="96" t="str">
        <f>Total!F2300</f>
        <v>Projectes i Direccions d'Obra</v>
      </c>
      <c r="G6" s="112" t="str">
        <f>Total!G2300</f>
        <v>PE+DO PGM-19206</v>
      </c>
      <c r="H6" s="112" t="str">
        <f>Total!H2300</f>
        <v>Contracte de serveis per a l'assistència tècnica per a la redacció del projecte bàsic, el projecte executiu i la posterior Direcció d'obra d'arranjament dels paviments exteriors i tanca del Parc de Bombers de Bellaterra.</v>
      </c>
      <c r="I6" s="157">
        <f>Total!I2300</f>
        <v>130524.65</v>
      </c>
    </row>
    <row r="7" spans="1:9" x14ac:dyDescent="0.2">
      <c r="A7" s="8">
        <v>6</v>
      </c>
      <c r="B7" s="101">
        <f>Total!B2301</f>
        <v>43895</v>
      </c>
      <c r="C7" s="101">
        <f>Total!C2301</f>
        <v>43913</v>
      </c>
      <c r="D7" s="112" t="s">
        <v>1092</v>
      </c>
      <c r="E7" s="332" t="str">
        <f>Total!E2301</f>
        <v>Edificació</v>
      </c>
      <c r="F7" s="96" t="str">
        <f>Total!F2301</f>
        <v>Projectes i Direccions d'Obra</v>
      </c>
      <c r="G7" s="112" t="str">
        <f>Total!G2301</f>
        <v>PE+DO JVX-18319</v>
      </c>
      <c r="H7" s="112" t="str">
        <f>Total!H2301</f>
        <v>Contracte de serveis per a l'assistència tècnica per a la redacció del projecte bàsic, el projecte executiu i la posterior Direcció d'obra de reforma funcional de l'edifici vell de Tortosa.</v>
      </c>
      <c r="I7" s="157">
        <f>Total!I2301</f>
        <v>145008.70000000001</v>
      </c>
    </row>
    <row r="8" spans="1:9" x14ac:dyDescent="0.2">
      <c r="A8" s="8">
        <v>7</v>
      </c>
      <c r="B8" s="101">
        <f>Total!B2302</f>
        <v>43895</v>
      </c>
      <c r="C8" s="101">
        <f>Total!C2302</f>
        <v>43913</v>
      </c>
      <c r="D8" s="112" t="s">
        <v>1092</v>
      </c>
      <c r="E8" s="332" t="str">
        <f>Total!E2302</f>
        <v>Edificació</v>
      </c>
      <c r="F8" s="96" t="str">
        <f>Total!F2302</f>
        <v>Control de Qualitat</v>
      </c>
      <c r="G8" s="112" t="str">
        <f>Total!G2302</f>
        <v>MSA. CQ. S10-BSD-06348</v>
      </c>
      <c r="H8" s="112" t="str">
        <f>Total!H2302</f>
        <v>Contracte de serveis per a l'assistència tècnica de control de qualitat de les obres de condicionament de les plaques solars tèrmiques i l'espai on s'ubiquen de la coberta de la Residència de Balàfia II de Lleida.</v>
      </c>
      <c r="I8" s="157">
        <f>Total!I2302</f>
        <v>1800</v>
      </c>
    </row>
    <row r="9" spans="1:9" x14ac:dyDescent="0.2">
      <c r="A9" s="8">
        <v>8</v>
      </c>
      <c r="B9" s="101">
        <f>Total!B2303</f>
        <v>43895</v>
      </c>
      <c r="C9" s="101">
        <f>Total!C2303</f>
        <v>43913</v>
      </c>
      <c r="D9" s="112" t="s">
        <v>1092</v>
      </c>
      <c r="E9" s="332" t="str">
        <f>Total!E2303</f>
        <v>Edificació</v>
      </c>
      <c r="F9" s="96" t="str">
        <f>Total!F2303</f>
        <v>Projectes i Direccions d'Obra</v>
      </c>
      <c r="G9" s="112" t="str">
        <f>Total!G2303</f>
        <v>PE+DO IAC-19241</v>
      </c>
      <c r="H9" s="112" t="str">
        <f>Total!H2303</f>
        <v>Contracte de serveis per a l'assistència tècnica per a la redacció del projecte bàsic, el projecte executiu i la posterior direcció de les obres d'ampliació de l'Institut Montserrat Colomer a Sant Esteve Sesrovires.</v>
      </c>
      <c r="I9" s="157">
        <f>Total!I2303</f>
        <v>165273.92000000001</v>
      </c>
    </row>
    <row r="10" spans="1:9" x14ac:dyDescent="0.2">
      <c r="A10" s="8">
        <v>9</v>
      </c>
      <c r="B10" s="101">
        <f>Total!B2304</f>
        <v>43895</v>
      </c>
      <c r="C10" s="101">
        <f>Total!C2304</f>
        <v>43916</v>
      </c>
      <c r="D10" s="112" t="s">
        <v>1092</v>
      </c>
      <c r="E10" s="332" t="str">
        <f>Total!E2304</f>
        <v>Obra Civil</v>
      </c>
      <c r="F10" s="96" t="str">
        <f>Total!F2304</f>
        <v>Projectes</v>
      </c>
      <c r="G10" s="112" t="str">
        <f>Total!G2304</f>
        <v>EV. EA-MCT-18311</v>
      </c>
      <c r="H10" s="112" t="str">
        <f>Total!H2304</f>
        <v>Contracte de serveis per a l'assistència tècnica per a la redacció de l'estudi ambiental de millora de la connectivitat terrestre permeabilització de l'AP-7 i de la C-101 entre Ulldecona i Freginals.</v>
      </c>
      <c r="I10" s="157">
        <f>Total!I2304</f>
        <v>35500</v>
      </c>
    </row>
    <row r="11" spans="1:9" x14ac:dyDescent="0.2">
      <c r="A11" s="8">
        <v>10</v>
      </c>
      <c r="B11" s="101">
        <f>Total!B2305</f>
        <v>43896</v>
      </c>
      <c r="C11" s="101">
        <f>Total!C2305</f>
        <v>43913</v>
      </c>
      <c r="D11" s="112" t="s">
        <v>1092</v>
      </c>
      <c r="E11" s="332" t="str">
        <f>Total!E2305</f>
        <v>Edificació</v>
      </c>
      <c r="F11" s="96" t="str">
        <f>Total!F2305</f>
        <v>Projectes</v>
      </c>
      <c r="G11" s="112" t="str">
        <f>Total!G2305</f>
        <v>PC. PZV-19404</v>
      </c>
      <c r="H11" s="112" t="str">
        <f>Total!H2305</f>
        <v>Serveis per l'assistència tècnica per a la redacció del Projecte Constructiu de reordenació de l'aparcament de l'àrea d'acollida de Can Serra al Parc Natural de la Zona Volcànica de la Garrotxa.</v>
      </c>
      <c r="I11" s="157">
        <f>Total!I2305</f>
        <v>20450</v>
      </c>
    </row>
    <row r="12" spans="1:9" x14ac:dyDescent="0.2">
      <c r="A12" s="8">
        <v>11</v>
      </c>
      <c r="B12" s="101">
        <f>Total!B2306</f>
        <v>43899</v>
      </c>
      <c r="C12" s="101">
        <f>Total!C2306</f>
        <v>43927</v>
      </c>
      <c r="D12" s="112" t="s">
        <v>1092</v>
      </c>
      <c r="E12" s="332" t="str">
        <f>Total!E2306</f>
        <v>Edificació</v>
      </c>
      <c r="F12" s="96" t="str">
        <f>Total!F2306</f>
        <v>Projectes i Direccions d'Obra</v>
      </c>
      <c r="G12" s="112" t="str">
        <f>Total!G2306</f>
        <v>PE+DO PNT-19222</v>
      </c>
      <c r="H12" s="112" t="str">
        <f>Total!H2306</f>
        <v>Concurs de projectes per a la redacció del projecte bàsic, el projecte executiu i la posterior direcció d'obra de reconversió d'una part de l'Edifici Ciutat de Reus per a la nova construcció de l'Escola Els Ganxets 1 L de Reus.</v>
      </c>
      <c r="I12" s="157">
        <f>Total!I2306</f>
        <v>218906.59</v>
      </c>
    </row>
    <row r="13" spans="1:9" x14ac:dyDescent="0.2">
      <c r="A13" s="8">
        <v>12</v>
      </c>
      <c r="B13" s="101">
        <f>Total!B2307</f>
        <v>43900</v>
      </c>
      <c r="C13" s="101">
        <f>Total!C2307</f>
        <v>43927</v>
      </c>
      <c r="D13" s="112" t="s">
        <v>1092</v>
      </c>
      <c r="E13" s="332" t="str">
        <f>Total!E2307</f>
        <v>Obra Civil</v>
      </c>
      <c r="F13" s="96" t="str">
        <f>Total!F2307</f>
        <v>Projectes</v>
      </c>
      <c r="G13" s="112" t="str">
        <f>Total!G2307</f>
        <v>PC. PC-CGB-19065</v>
      </c>
      <c r="H13" s="112" t="str">
        <f>Total!H2307</f>
        <v>Contracte de serveis per a l'assistència tècnica per a la redacció del projecte constructiu de millores en els sistemes de contenció de vehicles de la C-17 del PK 18+700 al PK 44+100. Granollers - Centelles.</v>
      </c>
      <c r="I13" s="157">
        <f>Total!I2307</f>
        <v>245300</v>
      </c>
    </row>
    <row r="14" spans="1:9" x14ac:dyDescent="0.2">
      <c r="A14" s="8">
        <v>13</v>
      </c>
      <c r="B14" s="101">
        <f>Total!B2308</f>
        <v>43900</v>
      </c>
      <c r="C14" s="101">
        <f>Total!C2308</f>
        <v>43927</v>
      </c>
      <c r="D14" s="112" t="s">
        <v>1092</v>
      </c>
      <c r="E14" s="332" t="str">
        <f>Total!E2308</f>
        <v>Edificació</v>
      </c>
      <c r="F14" s="96" t="str">
        <f>Total!F2308</f>
        <v>Projectes i Direccions d'Obra</v>
      </c>
      <c r="G14" s="112" t="str">
        <f>Total!G2308</f>
        <v>PE+DO. CAP-19216</v>
      </c>
      <c r="H14" s="112" t="str">
        <f>Total!H2308</f>
        <v>Concurs de Projectes per a la redacció del projecte bàsic, el projecte executiu i la posterior Direcció d'obra del nou Centre d'Atenció Primària Olot-2, d'Olot.</v>
      </c>
      <c r="I14" s="157">
        <f>Total!I2308</f>
        <v>373982.35</v>
      </c>
    </row>
    <row r="15" spans="1:9" x14ac:dyDescent="0.2">
      <c r="A15" s="8">
        <v>14</v>
      </c>
      <c r="B15" s="101">
        <f>Total!B2309</f>
        <v>43900</v>
      </c>
      <c r="C15" s="101">
        <f>Total!C2309</f>
        <v>43915</v>
      </c>
      <c r="D15" s="112" t="s">
        <v>1092</v>
      </c>
      <c r="E15" s="332" t="str">
        <f>Total!E2309</f>
        <v>Obra Civil</v>
      </c>
      <c r="F15" s="96" t="str">
        <f>Total!F2309</f>
        <v>Projectes</v>
      </c>
      <c r="G15" s="112" t="str">
        <f>Total!G2309</f>
        <v>PC. EV. PR-19217</v>
      </c>
      <c r="H15" s="112" t="str">
        <f>Total!H2309</f>
        <v>Contracte de serveis per a l'assistència tècnica a la redacció del Document Ambiental de modernització del reg del canal de Pinyana. Projecte constructiu del sector 5. TM de Lleida i Alcarràs.</v>
      </c>
      <c r="I15" s="157">
        <f>Total!I2309</f>
        <v>19880</v>
      </c>
    </row>
    <row r="16" spans="1:9" x14ac:dyDescent="0.2">
      <c r="A16" s="8">
        <v>15</v>
      </c>
      <c r="B16" s="101">
        <f>Total!B2310</f>
        <v>43900</v>
      </c>
      <c r="C16" s="101">
        <f>Total!C2310</f>
        <v>43927</v>
      </c>
      <c r="D16" s="112" t="s">
        <v>1092</v>
      </c>
      <c r="E16" s="332" t="str">
        <f>Total!E2310</f>
        <v>Edificació</v>
      </c>
      <c r="F16" s="96" t="str">
        <f>Total!F2310</f>
        <v>Projectes i Direccions d'Obra</v>
      </c>
      <c r="G16" s="112" t="str">
        <f>Total!G2310</f>
        <v>PE+DO. CAP-18341</v>
      </c>
      <c r="H16" s="112" t="str">
        <f>Total!H2310</f>
        <v>Concurs de Projectes per a la redacció del projecte bàsic, el projecte executiu i la posterior Direcció d'obra del nou Centre d'Atenció Primària de la Llagosta.</v>
      </c>
      <c r="I16" s="157">
        <f>Total!I2310</f>
        <v>366453.12</v>
      </c>
    </row>
    <row r="17" spans="1:9" x14ac:dyDescent="0.2">
      <c r="A17" s="8">
        <v>16</v>
      </c>
      <c r="B17" s="101">
        <f>Total!B2311</f>
        <v>43901</v>
      </c>
      <c r="C17" s="101">
        <f>Total!C2311</f>
        <v>43920</v>
      </c>
      <c r="D17" s="112" t="s">
        <v>1092</v>
      </c>
      <c r="E17" s="332" t="str">
        <f>Total!E2311</f>
        <v>Edificació</v>
      </c>
      <c r="F17" s="96" t="str">
        <f>Total!F2311</f>
        <v>Projectes i Direccions d'Obra</v>
      </c>
      <c r="G17" s="112" t="str">
        <f>Total!G2311</f>
        <v>PE+DO. CCM-17261</v>
      </c>
      <c r="H17" s="112" t="str">
        <f>Total!H2311</f>
        <v>Contracte de serveis per a l'assistència tècnica per a la redacció del projecte bàsic i executiu i la posterior direcció de les obres de renovació de càmeres i millores en els sistemes de videovigilància en RP MetroNord i Barcelona.</v>
      </c>
      <c r="I17" s="157">
        <f>Total!I2311</f>
        <v>97173.6</v>
      </c>
    </row>
    <row r="18" spans="1:9" x14ac:dyDescent="0.2">
      <c r="A18" s="8">
        <v>17</v>
      </c>
      <c r="B18" s="101">
        <f>Total!B2312</f>
        <v>43910</v>
      </c>
      <c r="C18" s="101">
        <f>Total!C2312</f>
        <v>43966</v>
      </c>
      <c r="D18" s="112" t="s">
        <v>1092</v>
      </c>
      <c r="E18" s="332" t="str">
        <f>Total!E2312</f>
        <v>Edificació</v>
      </c>
      <c r="F18" s="96" t="str">
        <f>Total!F2312</f>
        <v>Projectes i Direccions d'Obra</v>
      </c>
      <c r="G18" s="112" t="str">
        <f>Total!G2312</f>
        <v>PE+DO CAP-19215</v>
      </c>
      <c r="H18" s="112" t="str">
        <f>Total!H2312</f>
        <v>Concurs de projectes per a la redacció del projecte bàsic, el projecte executiu i la posterior direcció de les obres de nova construcció del CAP Hostalric.</v>
      </c>
      <c r="I18" s="157">
        <f>Total!I2312</f>
        <v>237299.65</v>
      </c>
    </row>
    <row r="19" spans="1:9" x14ac:dyDescent="0.2">
      <c r="I19" s="126">
        <f>SUM(I2:I18)</f>
        <v>2393128.94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51"/>
  <sheetViews>
    <sheetView topLeftCell="A19" workbookViewId="0">
      <selection activeCell="H50" sqref="H50"/>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Total!B2246</f>
        <v>43864</v>
      </c>
      <c r="C2" s="101">
        <f>Total!C2246</f>
        <v>43880</v>
      </c>
      <c r="D2" s="112" t="s">
        <v>1092</v>
      </c>
      <c r="E2" s="332" t="str">
        <f>Total!E2246</f>
        <v>Obra Civil</v>
      </c>
      <c r="F2" s="96" t="str">
        <f>Total!F2246</f>
        <v>Direccions d'Obra</v>
      </c>
      <c r="G2" s="112" t="str">
        <f>Total!G2246</f>
        <v>DO. SPD-20201</v>
      </c>
      <c r="H2" s="112" t="str">
        <f>Total!H2246</f>
        <v>Contracte de serveis per a la direcció de les obres de desplegament de xarxa troncal de fibra òptica entre Llavorsí i Sort, "XT00069a¿TRONCAL DE FIBRA ÒPTICA ENTRE LLAVORSÍ I SORT".</v>
      </c>
      <c r="I2" s="157">
        <f>Total!I2246</f>
        <v>28320</v>
      </c>
    </row>
    <row r="3" spans="1:9" x14ac:dyDescent="0.2">
      <c r="A3" s="8">
        <v>2</v>
      </c>
      <c r="B3" s="101">
        <f>Total!B2247</f>
        <v>43864</v>
      </c>
      <c r="C3" s="101">
        <f>Total!C2247</f>
        <v>43880</v>
      </c>
      <c r="D3" s="112" t="s">
        <v>1092</v>
      </c>
      <c r="E3" s="332" t="str">
        <f>Total!E2247</f>
        <v>Obra Civil</v>
      </c>
      <c r="F3" s="96" t="str">
        <f>Total!F2247</f>
        <v>Direccions d'Obra</v>
      </c>
      <c r="G3" s="112" t="str">
        <f>Total!G2247</f>
        <v>CSS. SPD-20201</v>
      </c>
      <c r="H3" s="112" t="str">
        <f>Total!H2247</f>
        <v>Contracte de serveis per a l'Assistència tècnica per la Coordinació de seguretat i salut de les obres de desplegament de xarxa troncal de fibra òptica entre Llavorsí i Sort, "XT00069a¿TRONCAL DE FIBRA ÒPTICA ENTRE LLAVORSÍ I SORT".</v>
      </c>
      <c r="I3" s="157">
        <f>Total!I2247</f>
        <v>6600</v>
      </c>
    </row>
    <row r="4" spans="1:9" x14ac:dyDescent="0.2">
      <c r="A4" s="8">
        <v>3</v>
      </c>
      <c r="B4" s="101">
        <f>Total!B2248</f>
        <v>43865</v>
      </c>
      <c r="C4" s="101">
        <f>Total!C2248</f>
        <v>43880</v>
      </c>
      <c r="D4" s="112" t="s">
        <v>1092</v>
      </c>
      <c r="E4" s="332" t="str">
        <f>Total!E2248</f>
        <v>Edificació</v>
      </c>
      <c r="F4" s="96" t="str">
        <f>Total!F2248</f>
        <v>Control de Qualitat</v>
      </c>
      <c r="G4" s="112" t="str">
        <f>Total!G2248</f>
        <v>MSA. CQ. S9-CAP-05550</v>
      </c>
      <c r="H4" s="112" t="str">
        <f>Total!H2248</f>
        <v>Contracte de serveis per a l'assistència tècnica de control de qualitat de les obres d'adequació de la instal·lació de climatització i resolució de filtracions al CAP de Can Serra.</v>
      </c>
      <c r="I4" s="157">
        <f>Total!I2248</f>
        <v>2876.28</v>
      </c>
    </row>
    <row r="5" spans="1:9" x14ac:dyDescent="0.2">
      <c r="A5" s="8">
        <v>4</v>
      </c>
      <c r="B5" s="101">
        <f>Total!B2249</f>
        <v>43865</v>
      </c>
      <c r="C5" s="101">
        <f>Total!C2249</f>
        <v>43885</v>
      </c>
      <c r="D5" s="112" t="s">
        <v>1092</v>
      </c>
      <c r="E5" s="332" t="str">
        <f>Total!E2249</f>
        <v>Obra Civil</v>
      </c>
      <c r="F5" s="96" t="str">
        <f>Total!F2249</f>
        <v>Projectes</v>
      </c>
      <c r="G5" s="112" t="str">
        <f>Total!G2249</f>
        <v>PC. MCT-18310</v>
      </c>
      <c r="H5" s="112" t="str">
        <f>Total!H2249</f>
        <v>Contracte de serveis per a l'assistència tècnica per a la redacció del projecte constructiu. Millora Connectivitat Terrestre. Permeabilització de l'AP-2 i la C-435 a Cabra del Camp.</v>
      </c>
      <c r="I5" s="157">
        <f>Total!I2249</f>
        <v>29500</v>
      </c>
    </row>
    <row r="6" spans="1:9" x14ac:dyDescent="0.2">
      <c r="A6" s="8">
        <v>5</v>
      </c>
      <c r="B6" s="101">
        <f>Total!B2250</f>
        <v>43865</v>
      </c>
      <c r="C6" s="101">
        <f>Total!C2250</f>
        <v>43894</v>
      </c>
      <c r="D6" s="112" t="s">
        <v>1092</v>
      </c>
      <c r="E6" s="332" t="str">
        <f>Total!E2250</f>
        <v>Obra Civil</v>
      </c>
      <c r="F6" s="96" t="str">
        <f>Total!F2250</f>
        <v>Projectes</v>
      </c>
      <c r="G6" s="112" t="str">
        <f>Total!G2250</f>
        <v>PC. JS-19254</v>
      </c>
      <c r="H6" s="112" t="str">
        <f>Total!H2250</f>
        <v>Contracte de serveis per a l'assistència tècnica per a la redacció del projecte d'adequació de l'emissari submarí Vila-seca/Salou i instal·lacions de sanejament en alta afectades per l'ampliació del Port de Tarragona.</v>
      </c>
      <c r="I6" s="157">
        <f>Total!I2250</f>
        <v>217178</v>
      </c>
    </row>
    <row r="7" spans="1:9" x14ac:dyDescent="0.2">
      <c r="A7" s="8">
        <v>6</v>
      </c>
      <c r="B7" s="101">
        <f>Total!B2251</f>
        <v>43865</v>
      </c>
      <c r="C7" s="101">
        <f>Total!C2251</f>
        <v>43885</v>
      </c>
      <c r="D7" s="112" t="s">
        <v>1092</v>
      </c>
      <c r="E7" s="332" t="str">
        <f>Total!E2251</f>
        <v>Obra Civil</v>
      </c>
      <c r="F7" s="96" t="str">
        <f>Total!F2251</f>
        <v>Projectes</v>
      </c>
      <c r="G7" s="112" t="str">
        <f>Total!G2251</f>
        <v>PC. REL-18316</v>
      </c>
      <c r="H7" s="112" t="str">
        <f>Total!H2251</f>
        <v>Contracte de serveis per a l'assistència tècnica per a la redacció del projecte constructiu. Recuperació ecològica de la Zona Humida de l'Aiguabarreig Segre-Noguera Ribagorçana a Vilanova de la Barca.</v>
      </c>
      <c r="I7" s="157">
        <f>Total!I2251</f>
        <v>24500</v>
      </c>
    </row>
    <row r="8" spans="1:9" x14ac:dyDescent="0.2">
      <c r="A8" s="8">
        <v>7</v>
      </c>
      <c r="B8" s="101">
        <f>Total!B2252</f>
        <v>43865</v>
      </c>
      <c r="C8" s="101">
        <f>Total!C2252</f>
        <v>43894</v>
      </c>
      <c r="D8" s="112" t="s">
        <v>1092</v>
      </c>
      <c r="E8" s="332" t="str">
        <f>Total!E2252</f>
        <v>Edificació</v>
      </c>
      <c r="F8" s="96" t="str">
        <f>Total!F2252</f>
        <v>Projectes i Direccions Facultatives</v>
      </c>
      <c r="G8" s="112" t="str">
        <f>Total!G2252</f>
        <v>MSA. PE+DF. MEC-19L05</v>
      </c>
      <c r="H8" s="112" t="str">
        <f>Total!H2252</f>
        <v>Acord Marc per a la contractació dels contractes de serveis per a les assistències tècniques per a la redacció d'estudis, projectes i posterior direcció facultativa de les obres per al manteniment, conservació i millora d'edificis i equipaments. 2 LOTS.</v>
      </c>
      <c r="I8" s="157">
        <f>Total!I2252</f>
        <v>900000</v>
      </c>
    </row>
    <row r="9" spans="1:9" x14ac:dyDescent="0.2">
      <c r="A9" s="8">
        <v>8</v>
      </c>
      <c r="B9" s="101">
        <f>Total!B2253</f>
        <v>43866</v>
      </c>
      <c r="C9" s="101">
        <f>Total!C2253</f>
        <v>43885</v>
      </c>
      <c r="D9" s="112" t="s">
        <v>1092</v>
      </c>
      <c r="E9" s="332" t="str">
        <f>Total!E2253</f>
        <v>Edificació</v>
      </c>
      <c r="F9" s="96" t="str">
        <f>Total!F2253</f>
        <v>Direccions d'Execució</v>
      </c>
      <c r="G9" s="112" t="str">
        <f>Total!G2253</f>
        <v>CSS. PNH-17246</v>
      </c>
      <c r="H9" s="112" t="str">
        <f>Total!H2253</f>
        <v>Contracte de serveis per a l'assistència tècnica per la coordinació de seguretat i salut de l'execució de les obres de nova construcció 1 línia a l'Escola La Serreta de Santpedor.</v>
      </c>
      <c r="I9" s="157">
        <f>Total!I2253</f>
        <v>27014.400000000001</v>
      </c>
    </row>
    <row r="10" spans="1:9" x14ac:dyDescent="0.2">
      <c r="A10" s="8">
        <v>9</v>
      </c>
      <c r="B10" s="101">
        <f>Total!B2254</f>
        <v>43866</v>
      </c>
      <c r="C10" s="101">
        <f>Total!C2254</f>
        <v>43885</v>
      </c>
      <c r="D10" s="112" t="s">
        <v>1092</v>
      </c>
      <c r="E10" s="332" t="str">
        <f>Total!E2254</f>
        <v>Edificació</v>
      </c>
      <c r="F10" s="96" t="str">
        <f>Total!F2254</f>
        <v>Direccions d'Execució</v>
      </c>
      <c r="G10" s="112" t="str">
        <f>Total!G2254</f>
        <v>DE. PNH-17246</v>
      </c>
      <c r="H10" s="112" t="str">
        <f>Total!H2254</f>
        <v>Contracte de serveis per a l'assistència tècnica de direcció d'execució de les obres de nova construcció 1 línia a l'Escola La Serreta de Santpedor.</v>
      </c>
      <c r="I10" s="157">
        <f>Total!I2254</f>
        <v>90048.53</v>
      </c>
    </row>
    <row r="11" spans="1:9" x14ac:dyDescent="0.2">
      <c r="A11" s="8">
        <v>10</v>
      </c>
      <c r="B11" s="101">
        <f>Total!B2255</f>
        <v>43866</v>
      </c>
      <c r="C11" s="101">
        <f>Total!C2255</f>
        <v>43885</v>
      </c>
      <c r="D11" s="112" t="s">
        <v>1092</v>
      </c>
      <c r="E11" s="332" t="str">
        <f>Total!E2255</f>
        <v>Obra Civil</v>
      </c>
      <c r="F11" s="96" t="str">
        <f>Total!F2255</f>
        <v>Direccions d'Obra</v>
      </c>
      <c r="G11" s="112" t="str">
        <f>Total!G2255</f>
        <v>DO. R0-17266.1</v>
      </c>
      <c r="H11" s="112" t="str">
        <f>Total!H2255</f>
        <v>Contracte de serveis per a la direcció de les obres del projecte de millora de la rigidesa de la via per a la reducció del nivell de vibracions existents a la Línia 9/L10 del metro de Barcelona. Via superior i inferior zona Bon Pastor (C. Sant Adrià).</v>
      </c>
      <c r="I11" s="157">
        <f>Total!I2255</f>
        <v>16280</v>
      </c>
    </row>
    <row r="12" spans="1:9" x14ac:dyDescent="0.2">
      <c r="A12" s="8">
        <v>11</v>
      </c>
      <c r="B12" s="101">
        <f>Total!B2256</f>
        <v>43866</v>
      </c>
      <c r="C12" s="101">
        <f>Total!C2256</f>
        <v>43885</v>
      </c>
      <c r="D12" s="112" t="s">
        <v>1092</v>
      </c>
      <c r="E12" s="332" t="str">
        <f>Total!E2256</f>
        <v>Obra Civil</v>
      </c>
      <c r="F12" s="96" t="str">
        <f>Total!F2256</f>
        <v>Projectes</v>
      </c>
      <c r="G12" s="112" t="str">
        <f>Total!G2256</f>
        <v>PC. FFG-18314</v>
      </c>
      <c r="H12" s="112" t="str">
        <f>Total!H2256</f>
        <v>Contracte de serveis per a l'assistència tècnica per a la redacció del projecte constructiu. Recuperació d'espècies de flora. Recuperació ambiental de l'entorn de la presa de Darnius-Boadella. Alt Empordà.</v>
      </c>
      <c r="I12" s="157">
        <f>Total!I2256</f>
        <v>22600</v>
      </c>
    </row>
    <row r="13" spans="1:9" x14ac:dyDescent="0.2">
      <c r="A13" s="8">
        <v>12</v>
      </c>
      <c r="B13" s="101">
        <f>Total!B2257</f>
        <v>43866</v>
      </c>
      <c r="C13" s="101">
        <f>Total!C2257</f>
        <v>43885</v>
      </c>
      <c r="D13" s="112" t="s">
        <v>1092</v>
      </c>
      <c r="E13" s="332" t="str">
        <f>Total!E2257</f>
        <v>Obra Civil</v>
      </c>
      <c r="F13" s="96" t="str">
        <f>Total!F2257</f>
        <v>Direccions d'Obra</v>
      </c>
      <c r="G13" s="112" t="str">
        <f>Total!G2257</f>
        <v>CSS. R0-17266.1</v>
      </c>
      <c r="H13" s="112" t="str">
        <f>Total!H2257</f>
        <v>Coordinació de seguretat i salut de les obres del projecte de millora de la rigidesa de la via per a la reducció del nivell de vibracions existents a la Línia 9/L10 del metro de Barcelona. Via superior i inferior zona Bon Pastor (C. Sant Adrià).</v>
      </c>
      <c r="I13" s="157">
        <f>Total!I2257</f>
        <v>4884</v>
      </c>
    </row>
    <row r="14" spans="1:9" x14ac:dyDescent="0.2">
      <c r="A14" s="8">
        <v>13</v>
      </c>
      <c r="B14" s="101">
        <f>Total!B2258</f>
        <v>43866</v>
      </c>
      <c r="C14" s="101">
        <f>Total!C2258</f>
        <v>43885</v>
      </c>
      <c r="D14" s="112" t="s">
        <v>1092</v>
      </c>
      <c r="E14" s="332" t="str">
        <f>Total!E2258</f>
        <v>Edificació</v>
      </c>
      <c r="F14" s="96" t="str">
        <f>Total!F2258</f>
        <v>Control de Qualitat</v>
      </c>
      <c r="G14" s="112" t="str">
        <f>Total!G2258</f>
        <v>CQ. PNH-17246</v>
      </c>
      <c r="H14" s="112" t="str">
        <f>Total!H2258</f>
        <v>Contracte de serveis per a l'assistència tècnica de control de qualitat de les obres de nova construcció 1 línia a l'Escola La Serreta de Santpedor.</v>
      </c>
      <c r="I14" s="157">
        <f>Total!I2258</f>
        <v>50898.28</v>
      </c>
    </row>
    <row r="15" spans="1:9" x14ac:dyDescent="0.2">
      <c r="A15" s="8">
        <v>14</v>
      </c>
      <c r="B15" s="101">
        <f>Total!B2259</f>
        <v>43866</v>
      </c>
      <c r="C15" s="101">
        <f>Total!C2259</f>
        <v>43887</v>
      </c>
      <c r="D15" s="112" t="s">
        <v>1092</v>
      </c>
      <c r="E15" s="332" t="str">
        <f>Total!E2259</f>
        <v>Edificació</v>
      </c>
      <c r="F15" s="96" t="str">
        <f>Total!F2259</f>
        <v>Control de Qualitat</v>
      </c>
      <c r="G15" s="112" t="str">
        <f>Total!G2259</f>
        <v>CQ. RAM-20900</v>
      </c>
      <c r="H15" s="112" t="str">
        <f>Total!H2259</f>
        <v>Contracte de serveis per a l'assistència tècnica de control de qualitat de les obres RAM-2020 del Departament d'Educació. 4 lots.</v>
      </c>
      <c r="I15" s="157">
        <f>Total!I2259</f>
        <v>89360.38</v>
      </c>
    </row>
    <row r="16" spans="1:9" ht="13.5" customHeight="1" x14ac:dyDescent="0.2">
      <c r="A16" s="8">
        <v>15</v>
      </c>
      <c r="B16" s="101">
        <f>Total!B2260</f>
        <v>43866</v>
      </c>
      <c r="C16" s="101">
        <f>Total!C2260</f>
        <v>43885</v>
      </c>
      <c r="D16" s="112" t="s">
        <v>1092</v>
      </c>
      <c r="E16" s="332" t="str">
        <f>Total!E2260</f>
        <v>Obra Civil</v>
      </c>
      <c r="F16" s="96" t="str">
        <f>Total!F2260</f>
        <v>Control de Qualitat</v>
      </c>
      <c r="G16" s="112" t="str">
        <f>Total!G2260</f>
        <v>CQ. R0-17266.1</v>
      </c>
      <c r="H16" s="112" t="str">
        <f>Total!H2260</f>
        <v>Control de qualitat de les obres del projecte de millora de la rigidesa de la via per a la reducció del nivell de vibracions existents a la Línia 9/L10 del metro de Barcelona. Via superior i inferior zona Bon Pastor (C. Sant Adrià).</v>
      </c>
      <c r="I16" s="157">
        <f>Total!I2260</f>
        <v>2116.98</v>
      </c>
    </row>
    <row r="17" spans="1:9" x14ac:dyDescent="0.2">
      <c r="A17" s="8">
        <v>16</v>
      </c>
      <c r="B17" s="101">
        <f>Total!B2261</f>
        <v>43868</v>
      </c>
      <c r="C17" s="101">
        <f>Total!C2261</f>
        <v>43885</v>
      </c>
      <c r="D17" s="112" t="s">
        <v>1092</v>
      </c>
      <c r="E17" s="332" t="str">
        <f>Total!E2261</f>
        <v>Obra Civil</v>
      </c>
      <c r="F17" s="96" t="str">
        <f>Total!F2261</f>
        <v>Projectes</v>
      </c>
      <c r="G17" s="112" t="str">
        <f>Total!G2261</f>
        <v>PC. AT-00164.1-A1-C2</v>
      </c>
      <c r="H17" s="112" t="str">
        <f>Total!H2261</f>
        <v>Contracte de serveis per a l'assistència tècnica per a la redacció del projecte constructiu de condicionament de la C-51 a la Vilardida. Pas de fauna al PK 25+000. Vila-rodona.</v>
      </c>
      <c r="I17" s="157">
        <f>Total!I2261</f>
        <v>36900</v>
      </c>
    </row>
    <row r="18" spans="1:9" x14ac:dyDescent="0.2">
      <c r="A18" s="8">
        <v>17</v>
      </c>
      <c r="B18" s="101">
        <f>Total!B2262</f>
        <v>43868</v>
      </c>
      <c r="C18" s="101">
        <f>Total!C2262</f>
        <v>43885</v>
      </c>
      <c r="D18" s="112" t="s">
        <v>1092</v>
      </c>
      <c r="E18" s="332" t="str">
        <f>Total!E2262</f>
        <v>Obra Civil</v>
      </c>
      <c r="F18" s="96" t="str">
        <f>Total!F2262</f>
        <v>Projectes</v>
      </c>
      <c r="G18" s="112" t="str">
        <f>Total!G2262</f>
        <v>PC-CMT-17002-A1</v>
      </c>
      <c r="H18" s="112" t="str">
        <f>Total!H2262</f>
        <v>Contracte de serveis per a l'assistència tècnica per a la redacció de l¿actualització del projecte constructiu: "construcció de cunetes trepitjables a la C-241D. Montblanc ¿ Santa Coloma de Queralt".</v>
      </c>
      <c r="I18" s="157">
        <f>Total!I2262</f>
        <v>55200</v>
      </c>
    </row>
    <row r="19" spans="1:9" x14ac:dyDescent="0.2">
      <c r="A19" s="8">
        <v>18</v>
      </c>
      <c r="B19" s="101">
        <f>Total!B2263</f>
        <v>43871</v>
      </c>
      <c r="C19" s="101">
        <f>Total!C2263</f>
        <v>43887</v>
      </c>
      <c r="D19" s="112" t="s">
        <v>1092</v>
      </c>
      <c r="E19" s="332" t="str">
        <f>Total!E2263</f>
        <v>Edificació</v>
      </c>
      <c r="F19" s="96" t="str">
        <f>Total!F2263</f>
        <v>Projectes i Direccions Facultatives</v>
      </c>
      <c r="G19" s="112" t="str">
        <f>Total!G2263</f>
        <v>PE+DF. JVX-19282</v>
      </c>
      <c r="H19" s="112" t="str">
        <f>Total!H2263</f>
        <v>Contracte de serveis per a l'assistència tècnica per a la redacció del projecte bàsic i executiu i la posterior direcció facultativa de les obres RAM adequació d'espais per a sales d'escorcoll i cel·les de contenció en centres d'execució penal.</v>
      </c>
      <c r="I19" s="157">
        <f>Total!I2263</f>
        <v>54513.65</v>
      </c>
    </row>
    <row r="20" spans="1:9" x14ac:dyDescent="0.2">
      <c r="A20" s="8">
        <v>19</v>
      </c>
      <c r="B20" s="101">
        <f>Total!B2264</f>
        <v>43871</v>
      </c>
      <c r="C20" s="101">
        <f>Total!C2264</f>
        <v>43887</v>
      </c>
      <c r="D20" s="112" t="s">
        <v>1092</v>
      </c>
      <c r="E20" s="332" t="str">
        <f>Total!E2264</f>
        <v>Obra Civil</v>
      </c>
      <c r="F20" s="96" t="str">
        <f>Total!F2264</f>
        <v>Control de Qualitat</v>
      </c>
      <c r="G20" s="112" t="str">
        <f>Total!G2264</f>
        <v>CQ. RE-16041.2</v>
      </c>
      <c r="H20" s="112" t="str">
        <f>Total!H2264</f>
        <v>Control de qualitat de les obres del projecte constructiu de reoforçament del ferm a la carretera TV-3454 del pk 7,500 al 15,700. Deltebre. Rotonda Pk 15,500.</v>
      </c>
      <c r="I20" s="157">
        <f>Total!I2264</f>
        <v>16504.91</v>
      </c>
    </row>
    <row r="21" spans="1:9" x14ac:dyDescent="0.2">
      <c r="A21" s="8">
        <v>20</v>
      </c>
      <c r="B21" s="101">
        <f>Total!B2265</f>
        <v>43871</v>
      </c>
      <c r="C21" s="101">
        <f>Total!C2265</f>
        <v>43887</v>
      </c>
      <c r="D21" s="112" t="s">
        <v>1092</v>
      </c>
      <c r="E21" s="332" t="str">
        <f>Total!E2265</f>
        <v>Obra Civil</v>
      </c>
      <c r="F21" s="96" t="str">
        <f>Total!F2265</f>
        <v>Direccions d'Obra</v>
      </c>
      <c r="G21" s="112" t="str">
        <f>Total!G2265</f>
        <v>CSS. EB-19230</v>
      </c>
      <c r="H21" s="112" t="str">
        <f>Total!H2265</f>
        <v>Coordinació de seguretat i salut de les obres del projecte constructiu d'injeccions i millora de la xarxa de drenatge de la presa de Margalef.</v>
      </c>
      <c r="I21" s="157">
        <f>Total!I2265</f>
        <v>3840</v>
      </c>
    </row>
    <row r="22" spans="1:9" x14ac:dyDescent="0.2">
      <c r="A22" s="8">
        <v>21</v>
      </c>
      <c r="B22" s="101">
        <f>Total!B2266</f>
        <v>43871</v>
      </c>
      <c r="C22" s="101">
        <f>Total!C2266</f>
        <v>43887</v>
      </c>
      <c r="D22" s="112" t="s">
        <v>1092</v>
      </c>
      <c r="E22" s="332" t="str">
        <f>Total!E2266</f>
        <v>Obra Civil</v>
      </c>
      <c r="F22" s="96" t="str">
        <f>Total!F2266</f>
        <v>Direccions d'Obra</v>
      </c>
      <c r="G22" s="112" t="str">
        <f>Total!G2266</f>
        <v>CSS. RE-16041.2</v>
      </c>
      <c r="H22" s="112" t="str">
        <f>Total!H2266</f>
        <v>Coordinació de seguretat i salut de les obres del projecte constructiu de reforçament del ferm a la carretera TV-3454 del pk 7,500 al 15,700. Deltebre. Rotonda pk 15,500.</v>
      </c>
      <c r="I22" s="157">
        <f>Total!I2266</f>
        <v>8640</v>
      </c>
    </row>
    <row r="23" spans="1:9" x14ac:dyDescent="0.2">
      <c r="A23" s="8">
        <v>22</v>
      </c>
      <c r="B23" s="101">
        <f>Total!B2267</f>
        <v>43871</v>
      </c>
      <c r="C23" s="101">
        <f>Total!C2267</f>
        <v>43901</v>
      </c>
      <c r="D23" s="112" t="s">
        <v>1092</v>
      </c>
      <c r="E23" s="332" t="str">
        <f>Total!E2267</f>
        <v>Obra Civil</v>
      </c>
      <c r="F23" s="96" t="str">
        <f>Total!F2267</f>
        <v>Projectes</v>
      </c>
      <c r="G23" s="112" t="str">
        <f>Total!G2267</f>
        <v>PC. MB-15054-A1</v>
      </c>
      <c r="H23" s="112" t="str">
        <f>Total!H2267</f>
        <v>Redacció del projecte constructiu de millora local. Seguretat viària. Millora de les característiques superficials del ferm i reestudi de la secció transversal. Carretera C-55, del pk 5,075 al 9,360. Tram: Olesa de Montserrat-Collbató.</v>
      </c>
      <c r="I23" s="157">
        <f>Total!I2267</f>
        <v>186500</v>
      </c>
    </row>
    <row r="24" spans="1:9" x14ac:dyDescent="0.2">
      <c r="A24" s="8">
        <v>23</v>
      </c>
      <c r="B24" s="101">
        <f>Total!B2268</f>
        <v>43871</v>
      </c>
      <c r="C24" s="101">
        <f>Total!C2268</f>
        <v>43887</v>
      </c>
      <c r="D24" s="112" t="s">
        <v>1092</v>
      </c>
      <c r="E24" s="332" t="str">
        <f>Total!E2268</f>
        <v>Obra Civil</v>
      </c>
      <c r="F24" s="96" t="str">
        <f>Total!F2268</f>
        <v>Direccions d'Obra</v>
      </c>
      <c r="G24" s="112" t="str">
        <f>Total!G2268</f>
        <v>DO. RE-16041.2</v>
      </c>
      <c r="H24" s="112" t="str">
        <f>Total!H2268</f>
        <v>Direcció de les obres del projecte constructiu de reforçament del ferm a la carretera TV-3454 del pk 7,500 al 15,700. Deltebre. Rotonda PK 15,500.</v>
      </c>
      <c r="I24" s="157">
        <f>Total!I2268</f>
        <v>49933.33</v>
      </c>
    </row>
    <row r="25" spans="1:9" x14ac:dyDescent="0.2">
      <c r="A25" s="8">
        <v>24</v>
      </c>
      <c r="B25" s="101">
        <f>Total!B2269</f>
        <v>43871</v>
      </c>
      <c r="C25" s="101">
        <f>Total!C2269</f>
        <v>43887</v>
      </c>
      <c r="D25" s="112" t="s">
        <v>1092</v>
      </c>
      <c r="E25" s="332" t="str">
        <f>Total!E2269</f>
        <v>Obra Civil</v>
      </c>
      <c r="F25" s="96" t="str">
        <f>Total!F2269</f>
        <v>Projectes</v>
      </c>
      <c r="G25" s="112" t="str">
        <f>Total!G2269</f>
        <v>PC. PC-CPB-18117</v>
      </c>
      <c r="H25" s="112" t="str">
        <f>Total!H2269</f>
        <v>Redacció del projecte constructiu. Rotondes a la C-61, pk 1,500 i 1,700, enllaç amb la C-32. Arenys de Mar-Arenys de Munt.</v>
      </c>
      <c r="I25" s="157">
        <f>Total!I2269</f>
        <v>45100</v>
      </c>
    </row>
    <row r="26" spans="1:9" x14ac:dyDescent="0.2">
      <c r="A26" s="8">
        <v>25</v>
      </c>
      <c r="B26" s="101">
        <f>Total!B2270</f>
        <v>43872</v>
      </c>
      <c r="C26" s="101">
        <f>Total!C2270</f>
        <v>43892</v>
      </c>
      <c r="D26" s="112" t="s">
        <v>1092</v>
      </c>
      <c r="E26" s="332" t="str">
        <f>Total!E2270</f>
        <v>Obra Civil</v>
      </c>
      <c r="F26" s="96" t="str">
        <f>Total!F2270</f>
        <v>Direccions d'Obra</v>
      </c>
      <c r="G26" s="112" t="str">
        <f>Total!G2270</f>
        <v>DO.RE-13061.2</v>
      </c>
      <c r="H26" s="112" t="str">
        <f>Total!H2270</f>
        <v>Contracte de serveis per a la direcció de les obres del projecte constructiu de ferm. Reforçament del ferm a la carretera C-12, del PK 23+500 al 29+400. Tram: Aldover - Xerta.</v>
      </c>
      <c r="I26" s="157">
        <f>Total!I2270</f>
        <v>43066.67</v>
      </c>
    </row>
    <row r="27" spans="1:9" x14ac:dyDescent="0.2">
      <c r="A27" s="8">
        <v>26</v>
      </c>
      <c r="B27" s="101">
        <f>Total!B2271</f>
        <v>43872</v>
      </c>
      <c r="C27" s="101">
        <f>Total!C2271</f>
        <v>43892</v>
      </c>
      <c r="D27" s="112" t="s">
        <v>1092</v>
      </c>
      <c r="E27" s="332" t="str">
        <f>Total!E2271</f>
        <v>Obra Civil</v>
      </c>
      <c r="F27" s="96" t="str">
        <f>Total!F2271</f>
        <v>Direccions d'Obra</v>
      </c>
      <c r="G27" s="112" t="str">
        <f>Total!G2271</f>
        <v>CSS. RE-13061.2</v>
      </c>
      <c r="H27" s="112" t="str">
        <f>Total!H2271</f>
        <v>Contracte de serveis per a l'assistència tècnica per la coordinació de seguretat i salut de les obres del projecte constructiu de ferm. Reforçament del ferm a la carretera C-12, del PK 23+500 al 29+400. Tram: Aldover - Xerta. Clau: RE-13061.2</v>
      </c>
      <c r="I27" s="157">
        <f>Total!I2271</f>
        <v>9000</v>
      </c>
    </row>
    <row r="28" spans="1:9" x14ac:dyDescent="0.2">
      <c r="A28" s="8">
        <v>27</v>
      </c>
      <c r="B28" s="101">
        <f>Total!B2272</f>
        <v>43872</v>
      </c>
      <c r="C28" s="101">
        <f>Total!C2272</f>
        <v>43892</v>
      </c>
      <c r="D28" s="112" t="s">
        <v>1092</v>
      </c>
      <c r="E28" s="332" t="str">
        <f>Total!E2272</f>
        <v>Obra Civil</v>
      </c>
      <c r="F28" s="96" t="str">
        <f>Total!F2272</f>
        <v>Control de Qualitat</v>
      </c>
      <c r="G28" s="112" t="str">
        <f>Total!G2272</f>
        <v>CQ. RE-13061.2</v>
      </c>
      <c r="H28" s="112" t="str">
        <f>Total!H2272</f>
        <v>Contracte de serveis per a l'assistència tècnica de control de qualitat de les obres del projecte constructiu de ferm. Reforçament del ferm a la carretera C-12, del PK 23+500 al 29+400. Tram: Aldover - Xerta.</v>
      </c>
      <c r="I28" s="157">
        <f>Total!I2272</f>
        <v>12525.08</v>
      </c>
    </row>
    <row r="29" spans="1:9" x14ac:dyDescent="0.2">
      <c r="A29" s="8">
        <v>28</v>
      </c>
      <c r="B29" s="101">
        <f>Total!B2273</f>
        <v>43874</v>
      </c>
      <c r="C29" s="101">
        <f>Total!C2273</f>
        <v>43892</v>
      </c>
      <c r="D29" s="112" t="s">
        <v>1092</v>
      </c>
      <c r="E29" s="332" t="str">
        <f>Total!E2273</f>
        <v>Obra Civil</v>
      </c>
      <c r="F29" s="96" t="str">
        <f>Total!F2273</f>
        <v>Control de Qualitat</v>
      </c>
      <c r="G29" s="112" t="str">
        <f>Total!G2273</f>
        <v>CQ. XB-14019</v>
      </c>
      <c r="H29" s="112" t="str">
        <f>Total!H2273</f>
        <v>Contracte de serveis per a l'assistència tècnica de control de qualitat de les obres del projecte constructiu de millora general. Pr olongació de l'avinguda Països Catalans entre la carretera de Viladordis i la plaça Prat de la Riba. Tram: Manresa.</v>
      </c>
      <c r="I29" s="157">
        <f>Total!I2273</f>
        <v>31831.46</v>
      </c>
    </row>
    <row r="30" spans="1:9" x14ac:dyDescent="0.2">
      <c r="A30" s="8">
        <v>29</v>
      </c>
      <c r="B30" s="101">
        <f>Total!B2274</f>
        <v>43874</v>
      </c>
      <c r="C30" s="101">
        <f>Total!C2274</f>
        <v>43892</v>
      </c>
      <c r="D30" s="112" t="s">
        <v>1092</v>
      </c>
      <c r="E30" s="332" t="str">
        <f>Total!E2274</f>
        <v>Obra Civil</v>
      </c>
      <c r="F30" s="96" t="str">
        <f>Total!F2274</f>
        <v>Direccions d'Obra</v>
      </c>
      <c r="G30" s="112" t="str">
        <f>Total!G2274</f>
        <v>CSS. XB-14019</v>
      </c>
      <c r="H30" s="112" t="str">
        <f>Total!H2274</f>
        <v>Contracte de serveis per a l'Assistència tècnica per la Coordinació de seguretat i salut de l'execució de les obres "Millora general . Prolongació de l'avinguda Països Catalans entre la carretera de Viladordis i la plaça Prat de la Riba. Tram: Manresa.</v>
      </c>
      <c r="I30" s="157">
        <f>Total!I2274</f>
        <v>25908</v>
      </c>
    </row>
    <row r="31" spans="1:9" x14ac:dyDescent="0.2">
      <c r="A31" s="8">
        <v>30</v>
      </c>
      <c r="B31" s="101">
        <f>Total!B2275</f>
        <v>43875</v>
      </c>
      <c r="C31" s="101">
        <f>Total!C2275</f>
        <v>43892</v>
      </c>
      <c r="D31" s="112" t="s">
        <v>1092</v>
      </c>
      <c r="E31" s="332" t="str">
        <f>Total!E2275</f>
        <v>Obra Civil</v>
      </c>
      <c r="F31" s="96" t="str">
        <f>Total!F2275</f>
        <v>Direccions d'Obra</v>
      </c>
      <c r="G31" s="112" t="str">
        <f>Total!G2275</f>
        <v>ATAM. XB-14019</v>
      </c>
      <c r="H31" s="112" t="str">
        <f>Total!H2275</f>
        <v>Contracte de serveis per a l'Assistència tècnica ambiental de les obres de millora general. Prolongació de l'avinguda Països Catalans entre la carretera de Viladordis i la plaça Prat de la Riba. Tram: Manresa.</v>
      </c>
      <c r="I31" s="157">
        <f>Total!I2275</f>
        <v>17424</v>
      </c>
    </row>
    <row r="32" spans="1:9" x14ac:dyDescent="0.2">
      <c r="A32" s="8">
        <v>31</v>
      </c>
      <c r="B32" s="101">
        <f>Total!B2276</f>
        <v>43875</v>
      </c>
      <c r="C32" s="101">
        <f>Total!C2276</f>
        <v>43892</v>
      </c>
      <c r="D32" s="112" t="s">
        <v>1092</v>
      </c>
      <c r="E32" s="332" t="str">
        <f>Total!E2276</f>
        <v>Obra Civil</v>
      </c>
      <c r="F32" s="96" t="str">
        <f>Total!F2276</f>
        <v>Direccions d'Obra</v>
      </c>
      <c r="G32" s="112" t="str">
        <f>Total!G2276</f>
        <v>DO. XB-14019</v>
      </c>
      <c r="H32" s="112" t="str">
        <f>Total!H2276</f>
        <v>Contracte de serveis per a la direcció de les obres del projecte constructiu de millora general. Prolongació de l'avinguda Països Catalans entre la carretera de Viladordis i la plaça Prat de la Riba. Tram: Manresa.</v>
      </c>
      <c r="I32" s="157">
        <f>Total!I2276</f>
        <v>133520</v>
      </c>
    </row>
    <row r="33" spans="1:9" x14ac:dyDescent="0.2">
      <c r="A33" s="8">
        <v>32</v>
      </c>
      <c r="B33" s="101">
        <f>Total!B2277</f>
        <v>43879</v>
      </c>
      <c r="C33" s="101">
        <f>Total!C2277</f>
        <v>43899</v>
      </c>
      <c r="D33" s="112" t="s">
        <v>1092</v>
      </c>
      <c r="E33" s="332" t="str">
        <f>Total!E2277</f>
        <v>Edificació</v>
      </c>
      <c r="F33" s="96" t="str">
        <f>Total!F2277</f>
        <v>Direccions d'execució</v>
      </c>
      <c r="G33" s="112" t="str">
        <f>Total!G2277</f>
        <v>CSS. JVX-17272.1</v>
      </c>
      <c r="H33" s="112" t="str">
        <f>Total!H2277</f>
        <v>Contracte de serveis per a l'assistència tècnica de coordinació de seguretat i salut de les obres d'adequació del projecte RAM de reforma de la instal·lació de climatització de l'Edifici Judicial de Sabadell. Fase I. Pla de contingència.</v>
      </c>
      <c r="I33" s="157">
        <f>Total!I2277</f>
        <v>6240</v>
      </c>
    </row>
    <row r="34" spans="1:9" x14ac:dyDescent="0.2">
      <c r="A34" s="8">
        <v>33</v>
      </c>
      <c r="B34" s="101">
        <f>Total!B2278</f>
        <v>43879</v>
      </c>
      <c r="C34" s="101">
        <f>Total!C2278</f>
        <v>43899</v>
      </c>
      <c r="D34" s="112" t="s">
        <v>1092</v>
      </c>
      <c r="E34" s="332" t="str">
        <f>Total!E2278</f>
        <v>Obra Civil</v>
      </c>
      <c r="F34" s="96" t="str">
        <f>Total!F2278</f>
        <v>Projectes</v>
      </c>
      <c r="G34" s="112" t="str">
        <f>Total!G2278</f>
        <v>PR. MB-15055-C1</v>
      </c>
      <c r="H34" s="112" t="str">
        <f>Total!H2278</f>
        <v>Contracte de serveis per a l'assistència tècnica per a la redacció del projecte constructiu de millora de les característiques superficials del ferm i reestudi de la secció transversal a la C-55 del PK 16+600 al 18+000. Castellbell i el Vilar.</v>
      </c>
      <c r="I34" s="157">
        <f>Total!I2278</f>
        <v>57252</v>
      </c>
    </row>
    <row r="35" spans="1:9" x14ac:dyDescent="0.2">
      <c r="A35" s="8">
        <v>34</v>
      </c>
      <c r="B35" s="101">
        <f>Total!B2279</f>
        <v>43879</v>
      </c>
      <c r="C35" s="101">
        <f>Total!C2279</f>
        <v>43899</v>
      </c>
      <c r="D35" s="112" t="s">
        <v>1092</v>
      </c>
      <c r="E35" s="332" t="str">
        <f>Total!E2279</f>
        <v>Edificació</v>
      </c>
      <c r="F35" s="96" t="str">
        <f>Total!F2279</f>
        <v>Direccions d'execució</v>
      </c>
      <c r="G35" s="112" t="str">
        <f>Total!G2279</f>
        <v>DE. JVX-17272.1</v>
      </c>
      <c r="H35" s="112" t="str">
        <f>Total!H2279</f>
        <v>Contracte de serveis per a la direcció d'execució de les obres d'adequació del projecte RAM de reforma de la instal·lació de climati tzació de l'Edifici Judicial de Sabadell. Fase I. Pla de contingència.</v>
      </c>
      <c r="I35" s="157">
        <f>Total!I2279</f>
        <v>22770</v>
      </c>
    </row>
    <row r="36" spans="1:9" x14ac:dyDescent="0.2">
      <c r="A36" s="8">
        <v>35</v>
      </c>
      <c r="B36" s="101">
        <f>Total!B2280</f>
        <v>43879</v>
      </c>
      <c r="C36" s="101">
        <f>Total!C2280</f>
        <v>43899</v>
      </c>
      <c r="D36" s="112" t="s">
        <v>1092</v>
      </c>
      <c r="E36" s="332" t="str">
        <f>Total!E2280</f>
        <v>Obra Civil</v>
      </c>
      <c r="F36" s="96" t="str">
        <f>Total!F2280</f>
        <v>Projectes</v>
      </c>
      <c r="G36" s="112" t="str">
        <f>Total!G2280</f>
        <v>PC. MG-04010-A1</v>
      </c>
      <c r="H36" s="112" t="str">
        <f>Total!H2280</f>
        <v>Contracte de serveis per a l'assistència tècnica per a la redacció del projecte constructiu de millora local. Rotonda a la carretera C-66, PK 26+690. Tram: Bordils.</v>
      </c>
      <c r="I36" s="157">
        <f>Total!I2280</f>
        <v>28800</v>
      </c>
    </row>
    <row r="37" spans="1:9" x14ac:dyDescent="0.2">
      <c r="A37" s="8">
        <v>36</v>
      </c>
      <c r="B37" s="101">
        <f>Total!B2281</f>
        <v>43879</v>
      </c>
      <c r="C37" s="101">
        <f>Total!C2281</f>
        <v>43899</v>
      </c>
      <c r="D37" s="112" t="s">
        <v>1092</v>
      </c>
      <c r="E37" s="332" t="str">
        <f>Total!E2281</f>
        <v>Edificació</v>
      </c>
      <c r="F37" s="96" t="str">
        <f>Total!F2281</f>
        <v>Control de Qualitat</v>
      </c>
      <c r="G37" s="112" t="str">
        <f>Total!G2281</f>
        <v>CQ.JVX-17272.1</v>
      </c>
      <c r="H37" s="112" t="str">
        <f>Total!H2281</f>
        <v>Contracte de serveis per a l'assistència tècnica de control de qualitat de les obres d'adequació del projecte RAM de reforma de la instal·lació de climatització de l'Edifici Judicial de Sabadell. Fase I. Pla de contingència.</v>
      </c>
      <c r="I37" s="157">
        <f>Total!I2281</f>
        <v>8400</v>
      </c>
    </row>
    <row r="38" spans="1:9" x14ac:dyDescent="0.2">
      <c r="A38" s="8">
        <v>37</v>
      </c>
      <c r="B38" s="101">
        <f>Total!B2282</f>
        <v>43879</v>
      </c>
      <c r="C38" s="101">
        <f>Total!C2282</f>
        <v>43894</v>
      </c>
      <c r="D38" s="112" t="s">
        <v>1092</v>
      </c>
      <c r="E38" s="332" t="str">
        <f>Total!E2282</f>
        <v>Obra Civil</v>
      </c>
      <c r="F38" s="96" t="str">
        <f>Total!F2282</f>
        <v>Projectes</v>
      </c>
      <c r="G38" s="112" t="str">
        <f>Total!G2282</f>
        <v>EV. EA-MCC-19264</v>
      </c>
      <c r="H38" s="112" t="str">
        <f>Total!H2282</f>
        <v>Contracte de serveis per a l'assistència tècnica per a la redacció de l'estudi ambiental de millora de la connectivitat terrestre. Permeabilització infraestructures. La Múnia - Marmellar.</v>
      </c>
      <c r="I38" s="157">
        <f>Total!I2282</f>
        <v>45500</v>
      </c>
    </row>
    <row r="39" spans="1:9" x14ac:dyDescent="0.2">
      <c r="A39" s="8">
        <v>38</v>
      </c>
      <c r="B39" s="101">
        <f>Total!B2283</f>
        <v>43880</v>
      </c>
      <c r="C39" s="101">
        <f>Total!C2283</f>
        <v>43899</v>
      </c>
      <c r="D39" s="112" t="s">
        <v>1092</v>
      </c>
      <c r="E39" s="332" t="str">
        <f>Total!E2283</f>
        <v>Obra Civil</v>
      </c>
      <c r="F39" s="96" t="str">
        <f>Total!F2283</f>
        <v>Direccions d'Obra</v>
      </c>
      <c r="G39" s="112" t="str">
        <f>Total!G2283</f>
        <v>DO. RB-16054</v>
      </c>
      <c r="H39" s="112" t="str">
        <f>Total!H2283</f>
        <v>Contracte de serveis per a la direcció de les obres del projecte constructiu de ferm. Millora de característiques superficials i obres complementàries a la carretera C-17, del PK 36+250 al 43+050 i del 43+550 al 44+000. Tram: Tagamanent - Centelles.</v>
      </c>
      <c r="I39" s="157">
        <f>Total!I2283</f>
        <v>113000</v>
      </c>
    </row>
    <row r="40" spans="1:9" x14ac:dyDescent="0.2">
      <c r="A40" s="8">
        <v>39</v>
      </c>
      <c r="B40" s="101">
        <f>Total!B2284</f>
        <v>43880</v>
      </c>
      <c r="C40" s="101">
        <f>Total!C2284</f>
        <v>43899</v>
      </c>
      <c r="D40" s="112" t="s">
        <v>1092</v>
      </c>
      <c r="E40" s="332" t="str">
        <f>Total!E2284</f>
        <v>Obra Civil</v>
      </c>
      <c r="F40" s="96" t="str">
        <f>Total!F2284</f>
        <v>Direccions d'Obra</v>
      </c>
      <c r="G40" s="112" t="str">
        <f>Total!G2284</f>
        <v>CSS. RB-16054</v>
      </c>
      <c r="H40" s="112" t="str">
        <f>Total!H2284</f>
        <v>Coordinació de seguretat i salut de l'execució de les obres del projecte constructiu de ferm. Millora de característiques superficials i obres complementàries a la carretera C-17, del PK 36+250 al 43+050 i del 43+550 al 44+000. Tram: Tagamanent-Centelles.</v>
      </c>
      <c r="I40" s="157">
        <f>Total!I2284</f>
        <v>23880</v>
      </c>
    </row>
    <row r="41" spans="1:9" x14ac:dyDescent="0.2">
      <c r="A41" s="8">
        <v>40</v>
      </c>
      <c r="B41" s="101">
        <f>Total!B2285</f>
        <v>43880</v>
      </c>
      <c r="C41" s="101">
        <f>Total!C2285</f>
        <v>43899</v>
      </c>
      <c r="D41" s="112" t="s">
        <v>1092</v>
      </c>
      <c r="E41" s="332" t="str">
        <f>Total!E2285</f>
        <v>Obra Civil</v>
      </c>
      <c r="F41" s="96" t="str">
        <f>Total!F2285</f>
        <v>Control de Qualitat</v>
      </c>
      <c r="G41" s="112" t="str">
        <f>Total!G2285</f>
        <v>CQ. RB-16054</v>
      </c>
      <c r="H41" s="112" t="str">
        <f>Total!H2285</f>
        <v>Control de qualitat de les obres del projecte constructiu de ferm. Millora de ca racterístiques superficials i obres complementàries a la carretera C-17, del PK 36+250 al 43+050 i del 43+550 al 44+000. Tram: Tagamanent - Centelles.</v>
      </c>
      <c r="I41" s="157">
        <f>Total!I2285</f>
        <v>45857.94</v>
      </c>
    </row>
    <row r="42" spans="1:9" x14ac:dyDescent="0.2">
      <c r="A42" s="8">
        <v>41</v>
      </c>
      <c r="B42" s="101">
        <f>Total!B2287</f>
        <v>43881</v>
      </c>
      <c r="C42" s="101">
        <f>Total!C2287</f>
        <v>43899</v>
      </c>
      <c r="D42" s="112" t="s">
        <v>1092</v>
      </c>
      <c r="E42" s="332" t="str">
        <f>Total!E2287</f>
        <v>Obra Civil</v>
      </c>
      <c r="F42" s="96" t="str">
        <f>Total!F2287</f>
        <v xml:space="preserve">Projectes </v>
      </c>
      <c r="G42" s="112" t="str">
        <f>Total!G2287</f>
        <v>PC-MT-15024.1</v>
      </c>
      <c r="H42" s="112" t="str">
        <f>Total!H2287</f>
        <v>Contracte de serveis per a l'assistència tècnica per a la redacció del projecte constructiu "Millora Local. Seguretat viària. Condicionament urbà de la carretera C-31, del PK 140+840 al 143+600. Calafell".</v>
      </c>
      <c r="I42" s="157">
        <f>Total!I2287</f>
        <v>47000</v>
      </c>
    </row>
    <row r="43" spans="1:9" x14ac:dyDescent="0.2">
      <c r="A43" s="8">
        <v>42</v>
      </c>
      <c r="B43" s="101">
        <f>Total!B2288</f>
        <v>43882</v>
      </c>
      <c r="C43" s="101">
        <f>Total!C2288</f>
        <v>43899</v>
      </c>
      <c r="D43" s="112" t="s">
        <v>1092</v>
      </c>
      <c r="E43" s="332" t="str">
        <f>Total!E2288</f>
        <v>Obra Civil</v>
      </c>
      <c r="F43" s="96" t="str">
        <f>Total!F2288</f>
        <v xml:space="preserve">Projectes </v>
      </c>
      <c r="G43" s="112" t="str">
        <f>Total!G2288</f>
        <v>PC. MB-15037</v>
      </c>
      <c r="H43" s="112" t="str">
        <f>Total!H2288</f>
        <v>Contracte de serveis per a l'assistència tècnica per a la redacció del projecte constructiu "Reparació puntual del sosteniment del túnel de la Codina a la C-37 al PK 170+114. La Vall d'en Bas".</v>
      </c>
      <c r="I43" s="157">
        <f>Total!I2288</f>
        <v>58100</v>
      </c>
    </row>
    <row r="44" spans="1:9" x14ac:dyDescent="0.2">
      <c r="A44" s="8">
        <v>43</v>
      </c>
      <c r="B44" s="101">
        <f>Total!B2289</f>
        <v>43885</v>
      </c>
      <c r="C44" s="101">
        <f>Total!C2289</f>
        <v>43901</v>
      </c>
      <c r="D44" s="112" t="s">
        <v>1092</v>
      </c>
      <c r="E44" s="332" t="str">
        <f>Total!E2289</f>
        <v>Obra Civil</v>
      </c>
      <c r="F44" s="96" t="str">
        <f>Total!F2289</f>
        <v>Control de Qualitat</v>
      </c>
      <c r="G44" s="112" t="str">
        <f>Total!G2289</f>
        <v>CQ. UPA-17284</v>
      </c>
      <c r="H44" s="112" t="str">
        <f>Total!H2289</f>
        <v>Assistència tècnica de control de qualitat de les obres del proejcte constructiu de millora ambiental. Recuperació ambiental de la riera Mugueta i Rec del Molí a Castelló d'Empúries. Alt Empordà.</v>
      </c>
      <c r="I44" s="157">
        <f>Total!I2289</f>
        <v>8531.44</v>
      </c>
    </row>
    <row r="45" spans="1:9" x14ac:dyDescent="0.2">
      <c r="A45" s="8">
        <v>44</v>
      </c>
      <c r="B45" s="101">
        <f>Total!B2290</f>
        <v>43885</v>
      </c>
      <c r="C45" s="101">
        <f>Total!C2290</f>
        <v>43901</v>
      </c>
      <c r="D45" s="112" t="s">
        <v>1092</v>
      </c>
      <c r="E45" s="332" t="str">
        <f>Total!E2290</f>
        <v>Obra Civil</v>
      </c>
      <c r="F45" s="96" t="str">
        <f>Total!F2290</f>
        <v>Direccions d'Obra</v>
      </c>
      <c r="G45" s="112" t="str">
        <f>Total!G2290</f>
        <v>CSS. UPA-17284</v>
      </c>
      <c r="H45" s="112" t="str">
        <f>Total!H2290</f>
        <v>Serveis de coordinació de seguretat i salut de les obres del projecte constructiu de millora ambiental. Recuperació ambiental de la riera Mugueta i Rec del Molí a Castelló d'Empúries. Alt Empordà.</v>
      </c>
      <c r="I45" s="157">
        <f>Total!I2290</f>
        <v>6600</v>
      </c>
    </row>
    <row r="46" spans="1:9" x14ac:dyDescent="0.2">
      <c r="A46" s="8">
        <v>45</v>
      </c>
      <c r="B46" s="101">
        <f>Total!B2291</f>
        <v>43885</v>
      </c>
      <c r="C46" s="101">
        <f>Total!C2291</f>
        <v>43901</v>
      </c>
      <c r="D46" s="112" t="s">
        <v>1092</v>
      </c>
      <c r="E46" s="332" t="str">
        <f>Total!E2291</f>
        <v>Obra Civil</v>
      </c>
      <c r="F46" s="96" t="str">
        <f>Total!F2291</f>
        <v>Direccions d'Obra</v>
      </c>
      <c r="G46" s="112" t="str">
        <f>Total!G2291</f>
        <v>DO. UPA-17284</v>
      </c>
      <c r="H46" s="112" t="str">
        <f>Total!H2291</f>
        <v>Serveis per a la direcció de les obres del projecte constructiu de millora ambiental. Recuperació ambiental de la riera Mugueta i Rec del Molí a Castelló d'Empúries. Alt Empordà.</v>
      </c>
      <c r="I46" s="157">
        <f>Total!I2291</f>
        <v>33674.65</v>
      </c>
    </row>
    <row r="47" spans="1:9" x14ac:dyDescent="0.2">
      <c r="A47" s="8">
        <v>46</v>
      </c>
      <c r="B47" s="101">
        <f>Total!B2292</f>
        <v>43886</v>
      </c>
      <c r="C47" s="101">
        <f>Total!C2292</f>
        <v>43901</v>
      </c>
      <c r="D47" s="112" t="s">
        <v>1092</v>
      </c>
      <c r="E47" s="332" t="str">
        <f>Total!E2292</f>
        <v>Obra Civil</v>
      </c>
      <c r="F47" s="96" t="str">
        <f>Total!F2292</f>
        <v>Projectes</v>
      </c>
      <c r="G47" s="112" t="str">
        <f>Total!G2292</f>
        <v>EV-EX-AG-07040.1</v>
      </c>
      <c r="H47" s="112" t="str">
        <f>Total!H2292</f>
        <v>Redacció de la memòria ambiental. Condicionament de la GI-643 del pk 0,000 al 4,550. Gualta-Serra de Daró.</v>
      </c>
      <c r="I47" s="157">
        <f>Total!I2292</f>
        <v>14500</v>
      </c>
    </row>
    <row r="48" spans="1:9" x14ac:dyDescent="0.2">
      <c r="A48" s="8">
        <v>47</v>
      </c>
      <c r="B48" s="101">
        <f>Total!B2293</f>
        <v>43887</v>
      </c>
      <c r="C48" s="101">
        <f>Total!C2293</f>
        <v>43927</v>
      </c>
      <c r="D48" s="112" t="s">
        <v>1092</v>
      </c>
      <c r="E48" s="332" t="str">
        <f>Total!E2293</f>
        <v>Obra Civil</v>
      </c>
      <c r="F48" s="96" t="str">
        <f>Total!F2293</f>
        <v>Projectes</v>
      </c>
      <c r="G48" s="112" t="str">
        <f>Total!G2293</f>
        <v>PB. PB-TM-07384.1</v>
      </c>
      <c r="H48" s="112" t="str">
        <f>Total!H2293</f>
        <v>Redacció del projecte bàsic de perllongament de la línia L1 dels FMB entre les estacions de Fondo i de Lloreda-Sant Crist. Santa Coloma de Gramenet-Badalona.</v>
      </c>
      <c r="I48" s="157">
        <f>Total!I2293</f>
        <v>866224</v>
      </c>
    </row>
    <row r="49" spans="1:9" x14ac:dyDescent="0.2">
      <c r="A49" s="8">
        <v>48</v>
      </c>
      <c r="B49" s="101">
        <f>Total!B2294</f>
        <v>43887</v>
      </c>
      <c r="C49" s="101">
        <f>Total!C2294</f>
        <v>43906</v>
      </c>
      <c r="D49" s="112" t="s">
        <v>1092</v>
      </c>
      <c r="E49" s="332" t="str">
        <f>Total!E2294</f>
        <v>Obra Civil</v>
      </c>
      <c r="F49" s="96" t="str">
        <f>Total!F2294</f>
        <v>Projectes</v>
      </c>
      <c r="G49" s="112" t="str">
        <f>Total!G2294</f>
        <v>PC-BXT-19066</v>
      </c>
      <c r="H49" s="112" t="str">
        <f>Total!H2294</f>
        <v>Redacció del projecte constructiu carril bici i drenatge longitudinal a la TV-3141 del pk 6,500 (rotonda Blancafort) al 7,000. Reus.</v>
      </c>
      <c r="I49" s="157">
        <f>Total!I2294</f>
        <v>47000</v>
      </c>
    </row>
    <row r="50" spans="1:9" x14ac:dyDescent="0.2">
      <c r="A50" s="8">
        <v>49</v>
      </c>
      <c r="B50" s="101">
        <f>Total!B2295</f>
        <v>43887</v>
      </c>
      <c r="C50" s="101">
        <f>Total!C2295</f>
        <v>43906</v>
      </c>
      <c r="D50" s="112" t="s">
        <v>1092</v>
      </c>
      <c r="E50" s="332" t="str">
        <f>Total!E2295</f>
        <v>Obra Civil</v>
      </c>
      <c r="F50" s="96" t="str">
        <f>Total!F2295</f>
        <v>Projectes</v>
      </c>
      <c r="G50" s="112" t="str">
        <f>Total!G2295</f>
        <v>PC. PC-CGT-19048</v>
      </c>
      <c r="H50" s="112" t="str">
        <f>Total!H2295</f>
        <v>Redacció del projecte constructiu de construcció de cunetes trepitjables a la T-701. Cornudella de Montsant i Prades.</v>
      </c>
      <c r="I50" s="157">
        <f>Total!I2295</f>
        <v>31500</v>
      </c>
    </row>
    <row r="51" spans="1:9" x14ac:dyDescent="0.2">
      <c r="I51" s="126">
        <f>SUM(I2:I50)</f>
        <v>3707413.98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27"/>
  <sheetViews>
    <sheetView workbookViewId="0">
      <selection activeCell="A17" sqref="A17:XFD17"/>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Total!B2220</f>
        <v>43833</v>
      </c>
      <c r="C2" s="101">
        <f>Total!C2220</f>
        <v>43850</v>
      </c>
      <c r="D2" s="112" t="s">
        <v>1092</v>
      </c>
      <c r="E2" s="332" t="str">
        <f>Total!E2220</f>
        <v>Edificació</v>
      </c>
      <c r="F2" s="96" t="str">
        <f>Total!F2220</f>
        <v>Projectes i Direccions Facultatives</v>
      </c>
      <c r="G2" s="112" t="str">
        <f>Total!G2220</f>
        <v>PE+DF PGM-19259</v>
      </c>
      <c r="H2" s="112" t="str">
        <f>Total!H2220</f>
        <v>Redacció del projecte bàsic i executiu i la posterior direcció facultativa de les obres de tancament i pavimentació dels patis exteriors i de la cotxera del Parc de Bombers de Figueres.</v>
      </c>
      <c r="I2" s="157">
        <f>Total!I2220</f>
        <v>38960.6</v>
      </c>
    </row>
    <row r="3" spans="1:9" x14ac:dyDescent="0.2">
      <c r="A3" s="8">
        <v>2</v>
      </c>
      <c r="B3" s="101">
        <f>Total!B2221</f>
        <v>43838</v>
      </c>
      <c r="C3" s="101">
        <f>Total!C2221</f>
        <v>43857</v>
      </c>
      <c r="D3" s="112" t="s">
        <v>1092</v>
      </c>
      <c r="E3" s="332" t="str">
        <f>Total!E2221</f>
        <v>Edificació</v>
      </c>
      <c r="F3" s="96" t="str">
        <f>Total!F2221</f>
        <v>Projectes i Direccions d'Obra</v>
      </c>
      <c r="G3" s="112" t="str">
        <f>Total!G2221</f>
        <v>PE+DO XML-19527</v>
      </c>
      <c r="H3" s="112" t="str">
        <f>Total!H2221</f>
        <v>Concurs de Projectes per a la redacció del projecte bàsic i executiu i la posterior direcció de les obres RAM 2019 als SSTT Lleida (III) a l'Institut Lo Pla d'Urgell de Bellpuig.</v>
      </c>
      <c r="I3" s="157">
        <f>Total!I2221</f>
        <v>64816.45</v>
      </c>
    </row>
    <row r="4" spans="1:9" x14ac:dyDescent="0.2">
      <c r="A4" s="8">
        <v>3</v>
      </c>
      <c r="B4" s="101">
        <f>Total!B2222</f>
        <v>43850</v>
      </c>
      <c r="C4" s="101">
        <f>Total!C2222</f>
        <v>43866</v>
      </c>
      <c r="D4" s="112" t="s">
        <v>1092</v>
      </c>
      <c r="E4" s="332" t="str">
        <f>Total!E2222</f>
        <v>Edificació</v>
      </c>
      <c r="F4" s="96" t="str">
        <f>Total!F2222</f>
        <v>Control de Qualitat</v>
      </c>
      <c r="G4" s="112" t="str">
        <f>Total!G2222</f>
        <v>CQ. JVX-18292</v>
      </c>
      <c r="H4" s="112" t="str">
        <f>Total!H2222</f>
        <v>Contracte de serveis per a l'assistència tècnica per al control de qualitat de les obres RAM de reparació de façanes i voladius de l'edifici Judicial de Puigcerdà.</v>
      </c>
      <c r="I4" s="157">
        <f>Total!I2222</f>
        <v>1528.27</v>
      </c>
    </row>
    <row r="5" spans="1:9" x14ac:dyDescent="0.2">
      <c r="A5" s="8">
        <v>4</v>
      </c>
      <c r="B5" s="101">
        <f>Total!B2223</f>
        <v>43850</v>
      </c>
      <c r="C5" s="101">
        <f>Total!C2223</f>
        <v>43866</v>
      </c>
      <c r="D5" s="112" t="s">
        <v>1092</v>
      </c>
      <c r="E5" s="332" t="str">
        <f>Total!E2223</f>
        <v>Obra Civil</v>
      </c>
      <c r="F5" s="96" t="str">
        <f>Total!F2223</f>
        <v>Direccions d'Obra</v>
      </c>
      <c r="G5" s="112" t="str">
        <f>Total!G2223</f>
        <v>ATAM. AB-15032.F3</v>
      </c>
      <c r="H5" s="112" t="str">
        <f>Total!H2223</f>
        <v>Contracte de serveis per a l'assistència tècnica ambiental de les obres de Millora general. Tercer carril calçada sentit sud a la carretera C-17, del PK 14+700 al 18+700. Tram: Parets del Vallès - Granollers.</v>
      </c>
      <c r="I5" s="157">
        <f>Total!I2223</f>
        <v>48356</v>
      </c>
    </row>
    <row r="6" spans="1:9" x14ac:dyDescent="0.2">
      <c r="A6" s="8">
        <v>5</v>
      </c>
      <c r="B6" s="101">
        <f>Total!B2224</f>
        <v>43850</v>
      </c>
      <c r="C6" s="101">
        <f>Total!C2224</f>
        <v>43866</v>
      </c>
      <c r="D6" s="112" t="s">
        <v>1092</v>
      </c>
      <c r="E6" s="332" t="str">
        <f>Total!E2224</f>
        <v>Obra Civil</v>
      </c>
      <c r="F6" s="96" t="str">
        <f>Total!F2224</f>
        <v>Control de Qualitat</v>
      </c>
      <c r="G6" s="112" t="str">
        <f>Total!G2224</f>
        <v>CQ. AB-15032.F3</v>
      </c>
      <c r="H6" s="112" t="str">
        <f>Total!H2224</f>
        <v>Contracte de serveis per a l'assistència tècnica de control de qualitat de les obres de Millora general. Tercer carril calçada sentit sud a la carretera C-17, del PK 14+700 al 18+700. Tram: Parets del Vallès - Granollers.</v>
      </c>
      <c r="I6" s="157">
        <f>Total!I2224</f>
        <v>95414.83</v>
      </c>
    </row>
    <row r="7" spans="1:9" x14ac:dyDescent="0.2">
      <c r="A7" s="8">
        <v>6</v>
      </c>
      <c r="B7" s="101">
        <f>Total!B2225</f>
        <v>43850</v>
      </c>
      <c r="C7" s="101">
        <f>Total!C2225</f>
        <v>43866</v>
      </c>
      <c r="D7" s="112" t="s">
        <v>1092</v>
      </c>
      <c r="E7" s="332" t="str">
        <f>Total!E2225</f>
        <v>Obra Civil</v>
      </c>
      <c r="F7" s="96" t="str">
        <f>Total!F2225</f>
        <v>Direccions d'Obra</v>
      </c>
      <c r="G7" s="112" t="str">
        <f>Total!G2225</f>
        <v>CSS. AB-15032.F3</v>
      </c>
      <c r="H7" s="112" t="str">
        <f>Total!H2225</f>
        <v>Contracte de serveis per a l'assistència tècnica de Coordinació de seguretat i salut de les obres de Millora general. Tercer carril calçada sentit sud a la carretera C-17, del PK 14+700 al 18+700. Tram: Parets del Vallès - Granollers.</v>
      </c>
      <c r="I7" s="157">
        <f>Total!I2225</f>
        <v>58200</v>
      </c>
    </row>
    <row r="8" spans="1:9" x14ac:dyDescent="0.2">
      <c r="A8" s="8">
        <v>7</v>
      </c>
      <c r="B8" s="101">
        <f>Total!B2226</f>
        <v>43850</v>
      </c>
      <c r="C8" s="101">
        <f>Total!C2226</f>
        <v>43866</v>
      </c>
      <c r="D8" s="112" t="s">
        <v>1092</v>
      </c>
      <c r="E8" s="332" t="str">
        <f>Total!E2226</f>
        <v>Edificació</v>
      </c>
      <c r="F8" s="96" t="str">
        <f>Total!F2226</f>
        <v>Control de Qualitat</v>
      </c>
      <c r="G8" s="112" t="str">
        <f>Total!G2226</f>
        <v>CQ. JVX-18289</v>
      </c>
      <c r="H8" s="112" t="str">
        <f>Total!H2226</f>
        <v>Contracte de serveis per a l'assistència tècnica pel control de qualitat de les obres RAM de substitució d'una planta refredadora en la instal·lació de climatització de l'edifici judicial a Figueres.</v>
      </c>
      <c r="I8" s="157">
        <f>Total!I2226</f>
        <v>995.32</v>
      </c>
    </row>
    <row r="9" spans="1:9" x14ac:dyDescent="0.2">
      <c r="A9" s="8">
        <v>8</v>
      </c>
      <c r="B9" s="101">
        <f>Total!B2227</f>
        <v>43852</v>
      </c>
      <c r="C9" s="101">
        <f>Total!C2227</f>
        <v>43880</v>
      </c>
      <c r="D9" s="112" t="s">
        <v>1092</v>
      </c>
      <c r="E9" s="332" t="str">
        <f>Total!E2227</f>
        <v>Obra Civil</v>
      </c>
      <c r="F9" s="96" t="str">
        <f>Total!F2227</f>
        <v>Direccions d'Obra</v>
      </c>
      <c r="G9" s="112" t="str">
        <f>Total!G2227</f>
        <v>DO. AB-15032.F3</v>
      </c>
      <c r="H9" s="112" t="str">
        <f>Total!H2227</f>
        <v>Contracte de serveis per a la direcció de les obres de Millora general. Tercer carril calçada sentit sud a la carretera C-17, del PK 14+700 al 18+700. Tram: Parets del Vallès - Granollers.</v>
      </c>
      <c r="I9" s="157">
        <f>Total!I2227</f>
        <v>365026.67</v>
      </c>
    </row>
    <row r="10" spans="1:9" x14ac:dyDescent="0.2">
      <c r="A10" s="8">
        <v>9</v>
      </c>
      <c r="B10" s="101">
        <f>Total!B2228</f>
        <v>43853</v>
      </c>
      <c r="C10" s="101">
        <f>Total!C2228</f>
        <v>43871</v>
      </c>
      <c r="D10" s="112" t="s">
        <v>1092</v>
      </c>
      <c r="E10" s="332" t="str">
        <f>Total!E2228</f>
        <v>Obra Civil</v>
      </c>
      <c r="F10" s="96" t="str">
        <f>Total!F2228</f>
        <v>Control de Qualitat</v>
      </c>
      <c r="G10" s="112" t="str">
        <f>Total!G2228</f>
        <v>CQ. PC-CXG-17032</v>
      </c>
      <c r="H10" s="112" t="str">
        <f>Total!H2228</f>
        <v>Contracte de serveis per a l'assistència tècnica de control de qualitat de les obres del projecte constructiu de portada d'aigües a la finca Sant Mateu. Carretera C-37, PK 168+000, marge esquerre. Tram: La Vall d'en Bas.</v>
      </c>
      <c r="I10" s="157">
        <f>Total!I2228</f>
        <v>1960.04</v>
      </c>
    </row>
    <row r="11" spans="1:9" x14ac:dyDescent="0.2">
      <c r="A11" s="8">
        <v>10</v>
      </c>
      <c r="B11" s="101">
        <f>Total!B2229</f>
        <v>43853</v>
      </c>
      <c r="C11" s="101">
        <f>Total!C2229</f>
        <v>43871</v>
      </c>
      <c r="D11" s="112" t="s">
        <v>1092</v>
      </c>
      <c r="E11" s="332" t="str">
        <f>Total!E2229</f>
        <v>Obra Civil</v>
      </c>
      <c r="F11" s="96" t="str">
        <f>Total!F2229</f>
        <v>Direccions d'Obra</v>
      </c>
      <c r="G11" s="112" t="str">
        <f>Total!G2229</f>
        <v>DO. PC-CXG-17032</v>
      </c>
      <c r="H11" s="112" t="str">
        <f>Total!H2229</f>
        <v>Contracte de serveis per a la direcció de les obres del projecte constructiu de portada d'aigües a la finca Sant Mateu. Carretera C-37, PK 168+000, marge esquerre. Tram: La Vall d'en Bas.</v>
      </c>
      <c r="I11" s="157">
        <f>Total!I2229</f>
        <v>6406.67</v>
      </c>
    </row>
    <row r="12" spans="1:9" x14ac:dyDescent="0.2">
      <c r="A12" s="8">
        <v>11</v>
      </c>
      <c r="B12" s="101">
        <f>Total!B2230</f>
        <v>43853</v>
      </c>
      <c r="C12" s="101">
        <f>Total!C2230</f>
        <v>43871</v>
      </c>
      <c r="D12" s="112" t="s">
        <v>1092</v>
      </c>
      <c r="E12" s="332" t="str">
        <f>Total!E2230</f>
        <v>Edificació</v>
      </c>
      <c r="F12" s="96" t="str">
        <f>Total!F2230</f>
        <v>Projectes</v>
      </c>
      <c r="G12" s="112" t="str">
        <f>Total!G2230</f>
        <v>EV. EG25</v>
      </c>
      <c r="H12" s="112" t="str">
        <f>Total!H2230</f>
        <v>Contracte de serveis per a l¿assistència tècnica per a la realització dels informes preliminars dels emplaçaments dels projectes d¿edificació.</v>
      </c>
      <c r="I12" s="157">
        <f>Total!I2230</f>
        <v>99937.52</v>
      </c>
    </row>
    <row r="13" spans="1:9" x14ac:dyDescent="0.2">
      <c r="A13" s="8">
        <v>12</v>
      </c>
      <c r="B13" s="101">
        <f>Total!B2231</f>
        <v>43854</v>
      </c>
      <c r="C13" s="101">
        <f>Total!C2231</f>
        <v>43871</v>
      </c>
      <c r="D13" s="112" t="s">
        <v>1092</v>
      </c>
      <c r="E13" s="332" t="str">
        <f>Total!E2231</f>
        <v>Obra Civil</v>
      </c>
      <c r="F13" s="96" t="str">
        <f>Total!F2231</f>
        <v>Direccions d'Obra</v>
      </c>
      <c r="G13" s="112" t="str">
        <f>Total!G2231</f>
        <v>DO. PC-CMT-17051.A1</v>
      </c>
      <c r="H13" s="112" t="str">
        <f>Total!H2231</f>
        <v>Contracte de serveis per a la direcció de les obres del projecte constructiu de cunetes trepitjables, adequació d'elements de contenció de vehicles i millora de ferm a la T-202, del PK 6+370 al 12+040. La Nou de Gaià - Salomó.</v>
      </c>
      <c r="I13" s="157">
        <f>Total!I2231</f>
        <v>45306.67</v>
      </c>
    </row>
    <row r="14" spans="1:9" x14ac:dyDescent="0.2">
      <c r="A14" s="8">
        <v>13</v>
      </c>
      <c r="B14" s="101">
        <f>Total!B2232</f>
        <v>43854</v>
      </c>
      <c r="C14" s="101">
        <f>Total!C2232</f>
        <v>43871</v>
      </c>
      <c r="D14" s="112" t="s">
        <v>1092</v>
      </c>
      <c r="E14" s="332" t="str">
        <f>Total!E2232</f>
        <v>Obra Civil</v>
      </c>
      <c r="F14" s="96" t="str">
        <f>Total!F2232</f>
        <v>Direccions d'Obra</v>
      </c>
      <c r="G14" s="112" t="str">
        <f>Total!G2232</f>
        <v>CSS. PC-CMT-17051.A1</v>
      </c>
      <c r="H14" s="112" t="str">
        <f>Total!H2232</f>
        <v>Assistència tècnica de coordinacció de seguretat i salut de les obres del projecte constructiu de cunetes trepitjables, adequació d'elements de contenció de vehicles i millora de ferm a la T-202, del PK 6+370 al 12+040. La Nou de Gaià - Salomó.</v>
      </c>
      <c r="I14" s="157">
        <f>Total!I2232</f>
        <v>10248</v>
      </c>
    </row>
    <row r="15" spans="1:9" x14ac:dyDescent="0.2">
      <c r="A15" s="8">
        <v>14</v>
      </c>
      <c r="B15" s="101">
        <f>Total!B2233</f>
        <v>43854</v>
      </c>
      <c r="C15" s="101">
        <f>Total!C2233</f>
        <v>43871</v>
      </c>
      <c r="D15" s="112" t="s">
        <v>1092</v>
      </c>
      <c r="E15" s="332" t="str">
        <f>Total!E2233</f>
        <v>Obra Civil</v>
      </c>
      <c r="F15" s="96" t="str">
        <f>Total!F2233</f>
        <v>Control de Qualitat</v>
      </c>
      <c r="G15" s="112" t="str">
        <f>Total!G2233</f>
        <v>CQ. PC-CMT-17051.A1</v>
      </c>
      <c r="H15" s="112" t="str">
        <f>Total!H2233</f>
        <v>Assistència tècnica de control de qualitat de les obres del projecte constructiu de cunetes trepitjables, adequació d'elements de contenció de vehicles i millora de ferm a la T-202, del PK 6+370 al 12+040. La Nou de Gaià - Salomó.</v>
      </c>
      <c r="I15" s="157">
        <f>Total!I2233</f>
        <v>14688.33</v>
      </c>
    </row>
    <row r="16" spans="1:9" x14ac:dyDescent="0.2">
      <c r="A16" s="8">
        <v>15</v>
      </c>
      <c r="B16" s="101">
        <f>Total!B2234</f>
        <v>43854</v>
      </c>
      <c r="C16" s="101">
        <f>Total!C2234</f>
        <v>43878</v>
      </c>
      <c r="D16" s="112" t="s">
        <v>1092</v>
      </c>
      <c r="E16" s="332" t="str">
        <f>Total!E2234</f>
        <v>Edificació</v>
      </c>
      <c r="F16" s="96" t="str">
        <f>Total!F2234</f>
        <v>Projectes i Direccions d'Obra</v>
      </c>
      <c r="G16" s="112" t="str">
        <f>Total!G2234</f>
        <v>PE+DO JVX_19275</v>
      </c>
      <c r="H16" s="112" t="str">
        <f>Total!H2234</f>
        <v>Redacció del projecte bàsic i executiu i la posterior direcció d'obra de les obres RAM per a l'adequació de la infermeria i de la xarxa general de distribució d'aigua, i actualització dels sistemes de PCI i Interfonia, al Centre Penitenciari de Ponent.</v>
      </c>
      <c r="I16" s="157">
        <f>Total!I2234</f>
        <v>114302.05</v>
      </c>
    </row>
    <row r="17" spans="1:9" x14ac:dyDescent="0.2">
      <c r="A17" s="8">
        <v>17</v>
      </c>
      <c r="B17" s="101">
        <f>Total!B2236</f>
        <v>43858</v>
      </c>
      <c r="C17" s="101">
        <f>Total!C2236</f>
        <v>43878</v>
      </c>
      <c r="D17" s="112" t="s">
        <v>1092</v>
      </c>
      <c r="E17" s="332" t="str">
        <f>Total!E2236</f>
        <v>Edificació</v>
      </c>
      <c r="F17" s="96" t="str">
        <f>Total!F2236</f>
        <v>Direccions d'Execució</v>
      </c>
      <c r="G17" s="112" t="str">
        <f>Total!G2236</f>
        <v>MSA.DE.S10-PNC-05429</v>
      </c>
      <c r="H17" s="112" t="str">
        <f>Total!H2236</f>
        <v>Contracte de serveis per a la direcció d'execució de les obres de la demolició parcial de la llosa del CEIP Les Fonts de Gelida.</v>
      </c>
      <c r="I17" s="157">
        <f>Total!I2236</f>
        <v>7900</v>
      </c>
    </row>
    <row r="18" spans="1:9" x14ac:dyDescent="0.2">
      <c r="A18" s="8">
        <v>18</v>
      </c>
      <c r="B18" s="101">
        <f>Total!B2237</f>
        <v>43858</v>
      </c>
      <c r="C18" s="101">
        <f>Total!C2237</f>
        <v>43878</v>
      </c>
      <c r="D18" s="112" t="s">
        <v>1092</v>
      </c>
      <c r="E18" s="332" t="str">
        <f>Total!E2237</f>
        <v>Edificació</v>
      </c>
      <c r="F18" s="96" t="str">
        <f>Total!F2237</f>
        <v>Control de Qualitat</v>
      </c>
      <c r="G18" s="112" t="str">
        <f>Total!G2237</f>
        <v>MSA.CQ.S10-PNC-05429</v>
      </c>
      <c r="H18" s="112" t="str">
        <f>Total!H2237</f>
        <v>Contracte de serveis per a l'assistència tècnica de control de qualitat de les obres de la demolició parcial de la llosa del CEIP Les Fonts de Gelida.</v>
      </c>
      <c r="I18" s="157">
        <f>Total!I2237</f>
        <v>1358.72</v>
      </c>
    </row>
    <row r="19" spans="1:9" x14ac:dyDescent="0.2">
      <c r="A19" s="8">
        <v>19</v>
      </c>
      <c r="B19" s="101">
        <f>Total!B2238</f>
        <v>43858</v>
      </c>
      <c r="C19" s="101">
        <f>Total!C2238</f>
        <v>43878</v>
      </c>
      <c r="D19" s="112" t="s">
        <v>1092</v>
      </c>
      <c r="E19" s="332" t="str">
        <f>Total!E2238</f>
        <v>Obra Civil</v>
      </c>
      <c r="F19" s="96" t="str">
        <f>Total!F2238</f>
        <v>Projectes</v>
      </c>
      <c r="G19" s="112" t="str">
        <f>Total!G2238</f>
        <v>PC.PC-CGB-19019</v>
      </c>
      <c r="H19" s="112" t="str">
        <f>Total!H2238</f>
        <v>Contracte de serveis per a l'assistència tècnica per a la redacció del projecte constructiu: "Rehabilitació de les obres de fàbrica a la C-31 al PK 192+425. El Prat de Llobregat"</v>
      </c>
      <c r="I19" s="157">
        <f>Total!I2238</f>
        <v>31500</v>
      </c>
    </row>
    <row r="20" spans="1:9" x14ac:dyDescent="0.2">
      <c r="A20" s="8">
        <v>20</v>
      </c>
      <c r="B20" s="101">
        <f>Total!B2239</f>
        <v>43858</v>
      </c>
      <c r="C20" s="101">
        <f>Total!C2239</f>
        <v>43873</v>
      </c>
      <c r="D20" s="112" t="s">
        <v>1092</v>
      </c>
      <c r="E20" s="332" t="str">
        <f>Total!E2239</f>
        <v>Edificació</v>
      </c>
      <c r="F20" s="96" t="str">
        <f>Total!F2239</f>
        <v>Control de Qualitat</v>
      </c>
      <c r="G20" s="112" t="str">
        <f>Total!G2239</f>
        <v>MSA. CQ.S16-CAP-06372</v>
      </c>
      <c r="H20" s="112" t="str">
        <f>Total!H2239</f>
        <v>Contracte de serveis per a l'assistència tècnica de control de qualitat de les obres de reparació de patologies en façana i enrajola t interior del CAP Igualada Nord.</v>
      </c>
      <c r="I20" s="157">
        <f>Total!I2239</f>
        <v>2708.21</v>
      </c>
    </row>
    <row r="21" spans="1:9" x14ac:dyDescent="0.2">
      <c r="A21" s="8">
        <v>21</v>
      </c>
      <c r="B21" s="101">
        <f>Total!B2240</f>
        <v>43858</v>
      </c>
      <c r="C21" s="101">
        <f>Total!C2240</f>
        <v>43873</v>
      </c>
      <c r="D21" s="112" t="s">
        <v>1092</v>
      </c>
      <c r="E21" s="332" t="str">
        <f>Total!E2240</f>
        <v>Edificació</v>
      </c>
      <c r="F21" s="96" t="str">
        <f>Total!F2240</f>
        <v>Projectes</v>
      </c>
      <c r="G21" s="112" t="str">
        <f>Total!G2240</f>
        <v>PC.R0-19272</v>
      </c>
      <c r="H21" s="112" t="str">
        <f>Total!H2240</f>
        <v>Contracte de serveis per a la redacció del Projecte constructiu d'instal·lació fotovoltaica als Tallers de la Zona Franca de la L9.</v>
      </c>
      <c r="I21" s="157">
        <f>Total!I2240</f>
        <v>58500</v>
      </c>
    </row>
    <row r="22" spans="1:9" x14ac:dyDescent="0.2">
      <c r="A22" s="8">
        <v>22</v>
      </c>
      <c r="B22" s="101">
        <f>Total!B2241</f>
        <v>43858</v>
      </c>
      <c r="C22" s="101">
        <f>Total!C2241</f>
        <v>43878</v>
      </c>
      <c r="D22" s="112" t="s">
        <v>1092</v>
      </c>
      <c r="E22" s="332" t="str">
        <f>Total!E2241</f>
        <v>Edificació</v>
      </c>
      <c r="F22" s="96" t="str">
        <f>Total!F2241</f>
        <v>Direccions d'Execució</v>
      </c>
      <c r="G22" s="112" t="str">
        <f>Total!G2241</f>
        <v>CSS. S10-PNC-05429</v>
      </c>
      <c r="H22" s="112" t="str">
        <f>Total!H2241</f>
        <v>Contracte de serveis per a l'assistència tècnica per la coordinació de seguretat i salut de les obres de la demolició parcial de la llosa del CEIP Les Fonts de Gelida.</v>
      </c>
      <c r="I22" s="157">
        <f>Total!I2241</f>
        <v>2160</v>
      </c>
    </row>
    <row r="23" spans="1:9" x14ac:dyDescent="0.2">
      <c r="A23" s="8">
        <v>23</v>
      </c>
      <c r="B23" s="101">
        <f>Total!B2242</f>
        <v>43858</v>
      </c>
      <c r="C23" s="101">
        <f>Total!C2242</f>
        <v>43878</v>
      </c>
      <c r="D23" s="112" t="s">
        <v>1092</v>
      </c>
      <c r="E23" s="332" t="str">
        <f>Total!E2242</f>
        <v>Obra Civil</v>
      </c>
      <c r="F23" s="96" t="str">
        <f>Total!F2242</f>
        <v>Direccions d'Obra</v>
      </c>
      <c r="G23" s="112" t="str">
        <f>Total!G2242</f>
        <v>EV ES-MA-20900</v>
      </c>
      <c r="H23" s="112" t="str">
        <f>Total!H2242</f>
        <v>Contracte de serveis per a l'assistència tècnica per la planificació de la gestió la campanya 2020-2021 en les finques de compensació de l'àmbit del Regadiu Segarra-Garrigues</v>
      </c>
      <c r="I23" s="157">
        <f>Total!I2242</f>
        <v>25400.880000000001</v>
      </c>
    </row>
    <row r="24" spans="1:9" x14ac:dyDescent="0.2">
      <c r="A24" s="8">
        <v>24</v>
      </c>
      <c r="B24" s="101">
        <f>Total!B2243</f>
        <v>43860</v>
      </c>
      <c r="C24" s="101">
        <f>Total!C2243</f>
        <v>43878</v>
      </c>
      <c r="D24" s="112" t="s">
        <v>1092</v>
      </c>
      <c r="E24" s="332" t="str">
        <f>Total!E2243</f>
        <v>Edificació</v>
      </c>
      <c r="F24" s="96" t="str">
        <f>Total!F2243</f>
        <v>Control de Qualitat</v>
      </c>
      <c r="G24" s="112" t="str">
        <f>Total!G2243</f>
        <v>MSA.CQ.S6-CAP-06508</v>
      </c>
      <c r="H24" s="112" t="str">
        <f>Total!H2243</f>
        <v>Contracte de serveis per a l'assistència tècnica de control de qualitat de les obres de subsanació de deficiències al CAP de Cunit.</v>
      </c>
      <c r="I24" s="157">
        <f>Total!I2243</f>
        <v>1706.35</v>
      </c>
    </row>
    <row r="25" spans="1:9" x14ac:dyDescent="0.2">
      <c r="A25" s="8">
        <v>25</v>
      </c>
      <c r="B25" s="101">
        <f>Total!B2244</f>
        <v>43860</v>
      </c>
      <c r="C25" s="101">
        <f>Total!C2244</f>
        <v>43880</v>
      </c>
      <c r="D25" s="112" t="s">
        <v>1092</v>
      </c>
      <c r="E25" s="332" t="str">
        <f>Total!E2244</f>
        <v>Edificació</v>
      </c>
      <c r="F25" s="96" t="str">
        <f>Total!F2244</f>
        <v>Direccions d'Obra</v>
      </c>
      <c r="G25" s="112" t="str">
        <f>Total!G2244</f>
        <v>PE+DF XEB-19275</v>
      </c>
      <c r="H25" s="112" t="str">
        <f>Total!H2244</f>
        <v>Contracte de serveis per a l'assistència tècnica per a la redacció del projecte bàsic i executiu i la posterior direcció facultativa de les obres de Consolidació estructural de l'edifici Masia Torre del Bisbe.</v>
      </c>
      <c r="I25" s="157">
        <f>Total!I2244</f>
        <v>14393.94</v>
      </c>
    </row>
    <row r="26" spans="1:9" x14ac:dyDescent="0.2">
      <c r="A26" s="8">
        <v>26</v>
      </c>
      <c r="B26" s="101">
        <f>Total!B2245</f>
        <v>43861</v>
      </c>
      <c r="C26" s="101">
        <f>Total!C2245</f>
        <v>43878</v>
      </c>
      <c r="D26" s="112" t="s">
        <v>1092</v>
      </c>
      <c r="E26" s="332" t="str">
        <f>Total!E2245</f>
        <v>Edificació</v>
      </c>
      <c r="F26" s="96" t="str">
        <f>Total!F2245</f>
        <v>Control de Qualitat</v>
      </c>
      <c r="G26" s="112" t="str">
        <f>Total!G2245</f>
        <v>MSA. CQ. S4-CAP-02714</v>
      </c>
      <c r="H26" s="112" t="str">
        <f>Total!H2245</f>
        <v>Control de qualitat de les obres de subsanació de deficiències al CAP de Cardedeu.</v>
      </c>
      <c r="I26" s="157">
        <f>Total!I2245</f>
        <v>1346.7</v>
      </c>
    </row>
    <row r="27" spans="1:9" x14ac:dyDescent="0.2">
      <c r="I27" s="126">
        <f>SUM(I2:I26)</f>
        <v>1113122.22</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54"/>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Total!B2168</f>
        <v>43801</v>
      </c>
      <c r="C2" s="101">
        <f>Total!C2168</f>
        <v>43838</v>
      </c>
      <c r="D2" s="112" t="s">
        <v>1092</v>
      </c>
      <c r="E2" s="332" t="str">
        <f>Total!E2168</f>
        <v>Edificació</v>
      </c>
      <c r="F2" s="96" t="str">
        <f>Total!F2168</f>
        <v>Direccions d'Execució</v>
      </c>
      <c r="G2" s="112" t="str">
        <f>Total!G2168</f>
        <v>CSS. CAP-17239</v>
      </c>
      <c r="H2" s="112" t="str">
        <f>Total!H2168</f>
        <v>Coordinació de seguretat i salut per l'execució de les obres nova construcció del CAP El Gorg, de Badalona.</v>
      </c>
      <c r="I2" s="157">
        <f>Total!I2168</f>
        <v>24177.599999999999</v>
      </c>
    </row>
    <row r="3" spans="1:9" x14ac:dyDescent="0.2">
      <c r="A3" s="8">
        <v>2</v>
      </c>
      <c r="B3" s="101">
        <f>Total!B2169</f>
        <v>43801</v>
      </c>
      <c r="C3" s="101">
        <f>Total!C2169</f>
        <v>43838</v>
      </c>
      <c r="D3" s="112" t="s">
        <v>1092</v>
      </c>
      <c r="E3" s="332" t="str">
        <f>Total!E2169</f>
        <v>Edificació</v>
      </c>
      <c r="F3" s="96" t="str">
        <f>Total!F2169</f>
        <v>Direccions d'Execució</v>
      </c>
      <c r="G3" s="112" t="str">
        <f>Total!G2169</f>
        <v>DE. CAP-17239</v>
      </c>
      <c r="H3" s="112" t="str">
        <f>Total!H2169</f>
        <v>Direcció d'execució de les obres nova construcció del CAP El Gorg, de Badalona.</v>
      </c>
      <c r="I3" s="157">
        <f>Total!I2169</f>
        <v>80594.600000000006</v>
      </c>
    </row>
    <row r="4" spans="1:9" x14ac:dyDescent="0.2">
      <c r="A4" s="8">
        <v>3</v>
      </c>
      <c r="B4" s="101">
        <f>Total!B2170</f>
        <v>43801</v>
      </c>
      <c r="C4" s="101">
        <f>Total!C2170</f>
        <v>43817</v>
      </c>
      <c r="D4" s="112" t="s">
        <v>1092</v>
      </c>
      <c r="E4" s="332" t="str">
        <f>Total!E2170</f>
        <v>Edificació</v>
      </c>
      <c r="F4" s="96" t="str">
        <f>Total!F2170</f>
        <v>Control de Qualitat</v>
      </c>
      <c r="G4" s="112" t="str">
        <f>Total!G2170</f>
        <v>CQ. CAP-17263</v>
      </c>
      <c r="H4" s="112" t="str">
        <f>Total!H2170</f>
        <v>Control de qualitat de les obres del nou CAP de Navarcles.</v>
      </c>
      <c r="I4" s="157">
        <f>Total!I2170</f>
        <v>20877.689999999999</v>
      </c>
    </row>
    <row r="5" spans="1:9" x14ac:dyDescent="0.2">
      <c r="A5" s="8">
        <v>4</v>
      </c>
      <c r="B5" s="101">
        <f>Total!B2171</f>
        <v>43801</v>
      </c>
      <c r="C5" s="101">
        <f>Total!C2171</f>
        <v>43817</v>
      </c>
      <c r="D5" s="112" t="s">
        <v>1092</v>
      </c>
      <c r="E5" s="332" t="str">
        <f>Total!E2171</f>
        <v>Edificació</v>
      </c>
      <c r="F5" s="96" t="str">
        <f>Total!F2171</f>
        <v>Direccions d'Execució</v>
      </c>
      <c r="G5" s="112" t="str">
        <f>Total!G2171</f>
        <v>CSS. CAP-17263</v>
      </c>
      <c r="H5" s="112" t="str">
        <f>Total!H2171</f>
        <v>Coordinació de seguretat i salut per l'execució de les obres del nou CAP de Navarcles.</v>
      </c>
      <c r="I5" s="157">
        <f>Total!I2171</f>
        <v>21490.799999999999</v>
      </c>
    </row>
    <row r="6" spans="1:9" x14ac:dyDescent="0.2">
      <c r="A6" s="8">
        <v>5</v>
      </c>
      <c r="B6" s="101">
        <f>Total!B2172</f>
        <v>43801</v>
      </c>
      <c r="C6" s="101">
        <f>Total!C2172</f>
        <v>43838</v>
      </c>
      <c r="D6" s="112" t="s">
        <v>1092</v>
      </c>
      <c r="E6" s="332" t="str">
        <f>Total!E2172</f>
        <v>Edificació</v>
      </c>
      <c r="F6" s="96" t="str">
        <f>Total!F2172</f>
        <v>Control de Qualitat</v>
      </c>
      <c r="G6" s="112" t="str">
        <f>Total!G2172</f>
        <v>CQ. CAP-17239</v>
      </c>
      <c r="H6" s="112" t="str">
        <f>Total!H2172</f>
        <v>Control de qualitat de les obres nova construcció del CAP El Gorg, de Badalona.</v>
      </c>
      <c r="I6" s="157">
        <f>Total!I2172</f>
        <v>39181.339999999997</v>
      </c>
    </row>
    <row r="7" spans="1:9" x14ac:dyDescent="0.2">
      <c r="A7" s="8">
        <v>6</v>
      </c>
      <c r="B7" s="101">
        <f>Total!B2173</f>
        <v>43803</v>
      </c>
      <c r="C7" s="101">
        <f>Total!C2173</f>
        <v>43819</v>
      </c>
      <c r="D7" s="112" t="s">
        <v>1092</v>
      </c>
      <c r="E7" s="332" t="str">
        <f>Total!E2173</f>
        <v>Edificació</v>
      </c>
      <c r="F7" s="96" t="str">
        <f>Total!F2173</f>
        <v>Projectes i Direccions Facultatives</v>
      </c>
      <c r="G7" s="112" t="str">
        <f>Total!G2173</f>
        <v>PE+DF. XMV-20536</v>
      </c>
      <c r="H7" s="112" t="str">
        <f>Total!H2173</f>
        <v>Redacció del projecte executiu i l'estudi de S.iS. I la posterior direcció facultativa de les obres RAM 2020 als Serveis Territorials al Vallès Occidental (V): I.E. Can Llobet (Barberà del Vallès).</v>
      </c>
      <c r="I7" s="157">
        <f>Total!I2173</f>
        <v>38347.11</v>
      </c>
    </row>
    <row r="8" spans="1:9" x14ac:dyDescent="0.2">
      <c r="A8" s="8">
        <v>7</v>
      </c>
      <c r="B8" s="101">
        <f>Total!B2174</f>
        <v>43803</v>
      </c>
      <c r="C8" s="101">
        <f>Total!C2174</f>
        <v>43819</v>
      </c>
      <c r="D8" s="112" t="s">
        <v>1092</v>
      </c>
      <c r="E8" s="332" t="str">
        <f>Total!E2174</f>
        <v>Edificació</v>
      </c>
      <c r="F8" s="96" t="str">
        <f>Total!F2174</f>
        <v>Projectes i Direccions Facultatives</v>
      </c>
      <c r="G8" s="112" t="str">
        <f>Total!G2174</f>
        <v>PE+DF. XMG-20535</v>
      </c>
      <c r="H8" s="112" t="str">
        <f>Total!H2174</f>
        <v>Redacció del projecte executiu i l'estudi de S.iS. I la posterior direcció facultativa de les obres RAM 2020 als Serveis Territorials a Girona (III): Institut Sant Feliu de Guíxols (Sant Feliu de Guíxols).</v>
      </c>
      <c r="I8" s="157">
        <f>Total!I2174</f>
        <v>29958.68</v>
      </c>
    </row>
    <row r="9" spans="1:9" x14ac:dyDescent="0.2">
      <c r="A9" s="8">
        <v>8</v>
      </c>
      <c r="B9" s="101">
        <f>Total!B2175</f>
        <v>43803</v>
      </c>
      <c r="C9" s="101">
        <f>Total!C2175</f>
        <v>43819</v>
      </c>
      <c r="D9" s="112" t="s">
        <v>1092</v>
      </c>
      <c r="E9" s="332" t="str">
        <f>Total!E2175</f>
        <v>Edificació</v>
      </c>
      <c r="F9" s="96" t="str">
        <f>Total!F2175</f>
        <v>Projectes i Direccions Facultatives</v>
      </c>
      <c r="G9" s="112" t="str">
        <f>Total!G2175</f>
        <v>PE+DF. XMT-20528</v>
      </c>
      <c r="H9" s="112" t="str">
        <f>Total!H2175</f>
        <v>Redacció del projecte executiu i l'estudi de S.iS. I la posterior direcció facultativa de les obres RAM 2020 als Serveis Territorials a Tarragona (I): Institut Ramon Berenguer IV (Cambrils), Escola Onze de Setembre (El Masroig) i Institut Martí i Franquès</v>
      </c>
      <c r="I9" s="157">
        <f>Total!I2175</f>
        <v>58838.85</v>
      </c>
    </row>
    <row r="10" spans="1:9" x14ac:dyDescent="0.2">
      <c r="A10" s="8">
        <v>9</v>
      </c>
      <c r="B10" s="101">
        <f>Total!B2176</f>
        <v>43803</v>
      </c>
      <c r="C10" s="101">
        <f>Total!C2176</f>
        <v>43819</v>
      </c>
      <c r="D10" s="112" t="s">
        <v>1092</v>
      </c>
      <c r="E10" s="332" t="str">
        <f>Total!E2176</f>
        <v>Edificació</v>
      </c>
      <c r="F10" s="96" t="str">
        <f>Total!F2176</f>
        <v>Projectes i Direccions Facultatives</v>
      </c>
      <c r="G10" s="112" t="str">
        <f>Total!G2176</f>
        <v>PE+DF. XMA-20518</v>
      </c>
      <c r="H10" s="112" t="str">
        <f>Total!H2176</f>
        <v>Redacció del projecte executiu i l'estudi de S.iS. I la posterior direcció facultativa de les obres RAM 2020 als Serveis Territorials al Baix Llobregat (IV). Institut Joan Miró (Cornellà Llobregat) i Inst. Esteve Terrades (Cornellà de Llobregat).</v>
      </c>
      <c r="I10" s="157">
        <f>Total!I2176</f>
        <v>37148.76</v>
      </c>
    </row>
    <row r="11" spans="1:9" x14ac:dyDescent="0.2">
      <c r="A11" s="8">
        <v>10</v>
      </c>
      <c r="B11" s="101">
        <f>Total!B2177</f>
        <v>43803</v>
      </c>
      <c r="C11" s="101">
        <f>Total!C2177</f>
        <v>43819</v>
      </c>
      <c r="D11" s="112" t="s">
        <v>1092</v>
      </c>
      <c r="E11" s="332" t="str">
        <f>Total!E2177</f>
        <v>Edificació</v>
      </c>
      <c r="F11" s="96" t="str">
        <f>Total!F2177</f>
        <v>Projectes i Direccions Facultatives</v>
      </c>
      <c r="G11" s="112" t="str">
        <f>Total!G2177</f>
        <v>PE+DF. XMM-20525</v>
      </c>
      <c r="H11" s="112" t="str">
        <f>Total!H2177</f>
        <v>Redacció del projecte executiu i l'estudi de S.iS. I la posterior direcció facultativa de les obres RAM 2020 als Serveis Territorials al Maresme-Vallès Oriental (V). I.E. Mar Mediterrània (Mataró) i Escola Salvador Espriu (Granollers).</v>
      </c>
      <c r="I11" s="157">
        <f>Total!I2177</f>
        <v>56322.32</v>
      </c>
    </row>
    <row r="12" spans="1:9" x14ac:dyDescent="0.2">
      <c r="A12" s="8">
        <v>11</v>
      </c>
      <c r="B12" s="101">
        <f>Total!B2178</f>
        <v>43803</v>
      </c>
      <c r="C12" s="101">
        <f>Total!C2178</f>
        <v>43819</v>
      </c>
      <c r="D12" s="112" t="s">
        <v>1092</v>
      </c>
      <c r="E12" s="332" t="str">
        <f>Total!E2178</f>
        <v>Edificació</v>
      </c>
      <c r="F12" s="96" t="str">
        <f>Total!F2178</f>
        <v>Projectes i Direccions Facultatives</v>
      </c>
      <c r="G12" s="112" t="str">
        <f>Total!G2178</f>
        <v>PE+DF. XMC-20522</v>
      </c>
      <c r="H12" s="112" t="str">
        <f>Total!H2178</f>
        <v>Redacció del projecte executiu i l'estudi de S.iS. I la posterior direcció facultativa de les obres RAM 2020 als Serveis Territorials a Barcelona Comarques (V). Institut Vilafranca, Escola Joaquim Ruyra i Inst. Torres i Bages (Hospitalet de Llobregat).</v>
      </c>
      <c r="I12" s="157">
        <f>Total!I2178</f>
        <v>45657.03</v>
      </c>
    </row>
    <row r="13" spans="1:9" x14ac:dyDescent="0.2">
      <c r="A13" s="8">
        <v>12</v>
      </c>
      <c r="B13" s="101">
        <f>Total!B2179</f>
        <v>43803</v>
      </c>
      <c r="C13" s="101">
        <f>Total!C2179</f>
        <v>43819</v>
      </c>
      <c r="D13" s="112" t="s">
        <v>1092</v>
      </c>
      <c r="E13" s="332" t="str">
        <f>Total!E2179</f>
        <v>Edificació</v>
      </c>
      <c r="F13" s="96" t="str">
        <f>Total!F2179</f>
        <v>Projectes i Direccions Facultatives</v>
      </c>
      <c r="G13" s="112" t="str">
        <f>Total!G2179</f>
        <v>PE+DF. XMA-20520</v>
      </c>
      <c r="H13" s="112" t="str">
        <f>Total!H2179</f>
        <v>Redacció del projecte executiu i l'estudi de S.iS. I la posterior direcció facultativa de les obres RAM 2020 als Serveis Territorials al Baix Llobregat (VI). Inst. Els Brugers (Gavà) i Escola Sant Jordi (Sant Vicenç dels Horts).</v>
      </c>
      <c r="I13" s="157">
        <f>Total!I2179</f>
        <v>58958.68</v>
      </c>
    </row>
    <row r="14" spans="1:9" x14ac:dyDescent="0.2">
      <c r="A14" s="8">
        <v>13</v>
      </c>
      <c r="B14" s="101">
        <f>Total!B2180</f>
        <v>43803</v>
      </c>
      <c r="C14" s="101">
        <f>Total!C2180</f>
        <v>43819</v>
      </c>
      <c r="D14" s="112" t="s">
        <v>1092</v>
      </c>
      <c r="E14" s="332" t="str">
        <f>Total!E2180</f>
        <v>Edificació</v>
      </c>
      <c r="F14" s="96" t="str">
        <f>Total!F2180</f>
        <v>Projectes i Direccions Facultatives</v>
      </c>
      <c r="G14" s="112" t="str">
        <f>Total!G2180</f>
        <v>PE+DF. XMV-20537</v>
      </c>
      <c r="H14" s="112" t="str">
        <f>Total!H2180</f>
        <v>Redacció del projecte executiu i l'estudi de S.iS. I la posterior direcció facultativa de les obres RAM 2020 als Serveis Territorials al Vallès Occidental (VI). Escola Bellaterra (Cerdanyola), Inst. Duc de Montblanc (Rubí) i Escola Ciutat d'Alba.</v>
      </c>
      <c r="I14" s="157">
        <f>Total!I2180</f>
        <v>37747.94</v>
      </c>
    </row>
    <row r="15" spans="1:9" x14ac:dyDescent="0.2">
      <c r="A15" s="8">
        <v>14</v>
      </c>
      <c r="B15" s="101">
        <f>Total!B2181</f>
        <v>43803</v>
      </c>
      <c r="C15" s="101">
        <f>Total!C2181</f>
        <v>43819</v>
      </c>
      <c r="D15" s="112" t="s">
        <v>1092</v>
      </c>
      <c r="E15" s="332" t="str">
        <f>Total!E2181</f>
        <v>Edificació</v>
      </c>
      <c r="F15" s="96" t="str">
        <f>Total!F2181</f>
        <v>Projectes i Direccions Facultatives</v>
      </c>
      <c r="G15" s="112" t="str">
        <f>Total!G2181</f>
        <v>PE+DF. XMM-20524</v>
      </c>
      <c r="H15" s="112" t="str">
        <f>Total!H2181</f>
        <v>Redacció del projecte executiu i l'estudi de S.iS. I la posterior direcció facultativa de les obres RAM 2020 als Serveis Territorials al Maresme-Vallès Oriental (IV). IE Angela Bransuela (Mataró) i Inst. Bisbe Sivilla (Calella).</v>
      </c>
      <c r="I15" s="157">
        <f>Total!I2181</f>
        <v>47933.88</v>
      </c>
    </row>
    <row r="16" spans="1:9" x14ac:dyDescent="0.2">
      <c r="A16" s="8">
        <v>15</v>
      </c>
      <c r="B16" s="101">
        <f>Total!B2182</f>
        <v>43803</v>
      </c>
      <c r="C16" s="101">
        <f>Total!C2182</f>
        <v>43819</v>
      </c>
      <c r="D16" s="112" t="s">
        <v>1092</v>
      </c>
      <c r="E16" s="332" t="str">
        <f>Total!E2182</f>
        <v>Edificació</v>
      </c>
      <c r="F16" s="96" t="str">
        <f>Total!F2182</f>
        <v>Projectes i Direccions Facultatives</v>
      </c>
      <c r="G16" s="112" t="str">
        <f>Total!G2182</f>
        <v>PE+DF. XML-20533</v>
      </c>
      <c r="H16" s="112" t="str">
        <f>Total!H2182</f>
        <v>Redacció del projecte executiu i l'estudi de S.iS. I la posterior direcció facultativa de les obres RAM 2020 als Serveis Territorials a Lleida (IV): Institut de La Pobla (La Pobla de Segur) i Institut Aubenç (Oliana).</v>
      </c>
      <c r="I16" s="157">
        <f>Total!I2182</f>
        <v>19772.73</v>
      </c>
    </row>
    <row r="17" spans="1:9" x14ac:dyDescent="0.2">
      <c r="A17" s="8">
        <v>16</v>
      </c>
      <c r="B17" s="101">
        <f>Total!B2183</f>
        <v>43803</v>
      </c>
      <c r="C17" s="101">
        <f>Total!C2183</f>
        <v>43819</v>
      </c>
      <c r="D17" s="112" t="s">
        <v>1092</v>
      </c>
      <c r="E17" s="332" t="str">
        <f>Total!E2183</f>
        <v>Edificació</v>
      </c>
      <c r="F17" s="96" t="str">
        <f>Total!F2183</f>
        <v>Projectes i Direccions Facultatives</v>
      </c>
      <c r="G17" s="112" t="str">
        <f>Total!G2183</f>
        <v>PE+DF. XMV-20538</v>
      </c>
      <c r="H17" s="112" t="str">
        <f>Total!H2183</f>
        <v>Redacció del projecte executiu i l'estudi de S.iS. I la posterior direcció facultativa de les obres RAM 2020 als Serveis Territorials al Vallès Occidental (VII). Escola Joan Torredemer (Matadepera), Escola Roureda (Sabadell), Inst. Ribot i Serra (Sabadell</v>
      </c>
      <c r="I17" s="157">
        <f>Total!I2183</f>
        <v>36549.589999999997</v>
      </c>
    </row>
    <row r="18" spans="1:9" x14ac:dyDescent="0.2">
      <c r="A18" s="8">
        <v>17</v>
      </c>
      <c r="B18" s="101">
        <f>Total!B2184</f>
        <v>43803</v>
      </c>
      <c r="C18" s="101">
        <f>Total!C2184</f>
        <v>43819</v>
      </c>
      <c r="D18" s="112" t="s">
        <v>1092</v>
      </c>
      <c r="E18" s="332" t="str">
        <f>Total!E2184</f>
        <v>Edificació</v>
      </c>
      <c r="F18" s="96" t="str">
        <f>Total!F2184</f>
        <v>Projectes i Direccions Facultatives</v>
      </c>
      <c r="G18" s="112" t="str">
        <f>Total!G2184</f>
        <v>PE+DF. XMC-20521</v>
      </c>
      <c r="H18" s="112" t="str">
        <f>Total!H2184</f>
        <v>Redacció del projecte executiu i l'estudi de S.iS. I la posterior direcció facultativa de les obres RAM 2020 als Serveis Territorials a Barcelona Comarques (IV): IE Llibertat (Badalona), Inst. La Bastida (Santa coloma de Gramenet) i Instl. Les Vinyes-</v>
      </c>
      <c r="I18" s="157">
        <f>Total!I2184</f>
        <v>41942.15</v>
      </c>
    </row>
    <row r="19" spans="1:9" x14ac:dyDescent="0.2">
      <c r="A19" s="8">
        <v>18</v>
      </c>
      <c r="B19" s="101">
        <f>Total!B2185</f>
        <v>43803</v>
      </c>
      <c r="C19" s="101">
        <f>Total!C2185</f>
        <v>43819</v>
      </c>
      <c r="D19" s="112" t="s">
        <v>1092</v>
      </c>
      <c r="E19" s="332" t="str">
        <f>Total!E2185</f>
        <v>Edificació</v>
      </c>
      <c r="F19" s="96" t="str">
        <f>Total!F2185</f>
        <v>Projectes i Direccions Facultatives</v>
      </c>
      <c r="G19" s="112" t="str">
        <f>Total!G2185</f>
        <v>PE+DF. XMA-20519</v>
      </c>
      <c r="H19" s="112" t="str">
        <f>Total!H2185</f>
        <v>Redacció del projecte executiu i l'estudi de S.iS. I la posterior direcció facultativa de les obres RAM 2020 als Serveis Territorials al Baix Llobregat (V). Escola Àngel Guimerà (Pallejà) i Escola Echegaray (Martorell).</v>
      </c>
      <c r="I19" s="157">
        <f>Total!I2185</f>
        <v>57520.66</v>
      </c>
    </row>
    <row r="20" spans="1:9" x14ac:dyDescent="0.2">
      <c r="A20" s="8">
        <v>19</v>
      </c>
      <c r="B20" s="101">
        <f>Total!B2186</f>
        <v>43803</v>
      </c>
      <c r="C20" s="101">
        <f>Total!C2186</f>
        <v>43819</v>
      </c>
      <c r="D20" s="112" t="s">
        <v>1092</v>
      </c>
      <c r="E20" s="332" t="str">
        <f>Total!E2186</f>
        <v>Edificació</v>
      </c>
      <c r="F20" s="96" t="str">
        <f>Total!F2186</f>
        <v>Projectes i Direccions Facultatives</v>
      </c>
      <c r="G20" s="112" t="str">
        <f>Total!G2186</f>
        <v>PE+DF. XMH-20530</v>
      </c>
      <c r="H20" s="112" t="str">
        <f>Total!H2186</f>
        <v>Redacció del projecte executiu i l'estudi de S.iS. I la posterior direcció facultativa de les obres RAM 2020 als Serveis Territorials a la Catalunya Central (III). Institut Joan Mercader (Igualada) i Escola Sant Vicenç (Sant Vicenç de Castellet)</v>
      </c>
      <c r="I20" s="157">
        <f>Total!I2186</f>
        <v>30078.52</v>
      </c>
    </row>
    <row r="21" spans="1:9" x14ac:dyDescent="0.2">
      <c r="A21" s="8">
        <v>20</v>
      </c>
      <c r="B21" s="101">
        <f>Total!B2187</f>
        <v>43803</v>
      </c>
      <c r="C21" s="101">
        <f>Total!C2187</f>
        <v>43819</v>
      </c>
      <c r="D21" s="112" t="s">
        <v>1092</v>
      </c>
      <c r="E21" s="332" t="str">
        <f>Total!E2187</f>
        <v>Edificació</v>
      </c>
      <c r="F21" s="96" t="str">
        <f>Total!F2187</f>
        <v>Projectes i Direccions Facultatives</v>
      </c>
      <c r="G21" s="112" t="str">
        <f>Total!G2187</f>
        <v>PE+DF. XMG-20534</v>
      </c>
      <c r="H21" s="112" t="str">
        <f>Total!H2187</f>
        <v>Redacció del projecte executiu i l'estudi de S.iS. I la posterior direcció facultativa de les obres RAM 2020 als Serveis Territorials a Girona (II). Institut El Padró (l'Escala), Escola de Llers (Llers) i Escola Veïnat (Salt).</v>
      </c>
      <c r="I21" s="157">
        <f>Total!I2187</f>
        <v>33553.71</v>
      </c>
    </row>
    <row r="22" spans="1:9" x14ac:dyDescent="0.2">
      <c r="A22" s="8">
        <v>21</v>
      </c>
      <c r="B22" s="101">
        <f>Total!B2188</f>
        <v>43803</v>
      </c>
      <c r="C22" s="101">
        <f>Total!C2188</f>
        <v>43819</v>
      </c>
      <c r="D22" s="112" t="s">
        <v>1092</v>
      </c>
      <c r="E22" s="332" t="str">
        <f>Total!E2188</f>
        <v>Edificació</v>
      </c>
      <c r="F22" s="96" t="str">
        <f>Total!F2188</f>
        <v>Projectes i Direccions Facultatives</v>
      </c>
      <c r="G22" s="112" t="str">
        <f>Total!G2188</f>
        <v>PE+DF. XMC-20523</v>
      </c>
      <c r="H22" s="112" t="str">
        <f>Total!H2188</f>
        <v>Redacció del projecte executiu i l'estudi de S.iS. I la posterior direcció facultativa de les obres RAM 2020 als Serveis Territorials a Barcelona comarques (VI). Escola Frederic Mistral (l'Hospitalet de Llobregat) i Institut Rubio i Ors (l'Hospitalet ).</v>
      </c>
      <c r="I22" s="157">
        <f>Total!I2188</f>
        <v>52727.27</v>
      </c>
    </row>
    <row r="23" spans="1:9" x14ac:dyDescent="0.2">
      <c r="A23" s="8">
        <v>22</v>
      </c>
      <c r="B23" s="101">
        <f>Total!B2189</f>
        <v>43803</v>
      </c>
      <c r="C23" s="101">
        <f>Total!C2189</f>
        <v>43819</v>
      </c>
      <c r="D23" s="112" t="s">
        <v>1092</v>
      </c>
      <c r="E23" s="332" t="str">
        <f>Total!E2189</f>
        <v>Edificació</v>
      </c>
      <c r="F23" s="96" t="str">
        <f>Total!F2189</f>
        <v>Projectes i Direccions Facultatives</v>
      </c>
      <c r="G23" s="112" t="str">
        <f>Total!G2189</f>
        <v>PE+DF. XML-20532</v>
      </c>
      <c r="H23" s="112" t="str">
        <f>Total!H2189</f>
        <v>Redacció del projecte executiu i l'estudi de S.iS. I la posterior direcció facultativa de les obres RAM 2020 als Serveis Territorials a Lleida (III). Escola Comtes de Torregrossa (Alcarràs).</v>
      </c>
      <c r="I23" s="157">
        <f>Total!I2189</f>
        <v>19173.55</v>
      </c>
    </row>
    <row r="24" spans="1:9" x14ac:dyDescent="0.2">
      <c r="A24" s="8">
        <v>23</v>
      </c>
      <c r="B24" s="101">
        <f>Total!B2190</f>
        <v>43803</v>
      </c>
      <c r="C24" s="101">
        <f>Total!C2190</f>
        <v>43819</v>
      </c>
      <c r="D24" s="112" t="s">
        <v>1092</v>
      </c>
      <c r="E24" s="332" t="str">
        <f>Total!E2190</f>
        <v>Edificació</v>
      </c>
      <c r="F24" s="96" t="str">
        <f>Total!F2190</f>
        <v>Projectes i Direccions Facultatives</v>
      </c>
      <c r="G24" s="112" t="str">
        <f>Total!G2190</f>
        <v>PE+DF. XMM-20526</v>
      </c>
      <c r="H24" s="112" t="str">
        <f>Total!H2190</f>
        <v>Redacció del projecte executiu i l'estudi de S.iS. I la posterior direcció facultativa de les obres RAM 2020 als Serveis Territorials al Maresme-Vallès Oriental (VI). Institut Montmeló (Montmeló) i Escola Tiziana (TIANA)</v>
      </c>
      <c r="I24" s="157">
        <f>Total!I2190</f>
        <v>46735.53</v>
      </c>
    </row>
    <row r="25" spans="1:9" x14ac:dyDescent="0.2">
      <c r="A25" s="8">
        <v>24</v>
      </c>
      <c r="B25" s="101">
        <f>Total!B2191</f>
        <v>43803</v>
      </c>
      <c r="C25" s="101">
        <f>Total!C2191</f>
        <v>43819</v>
      </c>
      <c r="D25" s="112" t="s">
        <v>1092</v>
      </c>
      <c r="E25" s="332" t="str">
        <f>Total!E2191</f>
        <v>Edificació</v>
      </c>
      <c r="F25" s="96" t="str">
        <f>Total!F2191</f>
        <v>Projectes i Direccions Facultatives</v>
      </c>
      <c r="G25" s="112" t="str">
        <f>Total!G2191</f>
        <v>PE+DF. XMM-20514</v>
      </c>
      <c r="H25" s="112" t="str">
        <f>Total!H2191</f>
        <v>Redacció del projecte executiu i l'estudi de S.iS. I la posterior direcció facultativa de les obres RAM 2020 als Serveis Territorials al Maresme-Vallès Oriental (II). IE Pallerola (Sant Celoni).</v>
      </c>
      <c r="I25" s="157">
        <f>Total!I2191</f>
        <v>53286.559999999998</v>
      </c>
    </row>
    <row r="26" spans="1:9" x14ac:dyDescent="0.2">
      <c r="A26" s="8">
        <v>25</v>
      </c>
      <c r="B26" s="101">
        <f>Total!B2192</f>
        <v>43803</v>
      </c>
      <c r="C26" s="101">
        <f>Total!C2192</f>
        <v>43819</v>
      </c>
      <c r="D26" s="112" t="s">
        <v>1092</v>
      </c>
      <c r="E26" s="332" t="str">
        <f>Total!E2192</f>
        <v>Edificació</v>
      </c>
      <c r="F26" s="96" t="str">
        <f>Total!F2192</f>
        <v>Projectes i Direccions Facultatives</v>
      </c>
      <c r="G26" s="112" t="str">
        <f>Total!G2192</f>
        <v>PE+DF. XMH-20529</v>
      </c>
      <c r="H26" s="112" t="str">
        <f>Total!H2192</f>
        <v>Redacció del projecte executiu i l'estudi de S.iS. I la posterior direcció facultativa de les obres RAM 2020 als Serveis Territorials a la Catalunya Central (II). IE Barnola (Avinyó), IE Pompeu Fabra (el Pont de Vilomara), Inst. Guillem Cata (Manresa) ...</v>
      </c>
      <c r="I26" s="157">
        <f>Total!I2192</f>
        <v>49132.23</v>
      </c>
    </row>
    <row r="27" spans="1:9" x14ac:dyDescent="0.2">
      <c r="A27" s="8">
        <v>26</v>
      </c>
      <c r="B27" s="101">
        <f>Total!B2193</f>
        <v>43803</v>
      </c>
      <c r="C27" s="101">
        <f>Total!C2193</f>
        <v>43819</v>
      </c>
      <c r="D27" s="112" t="s">
        <v>1092</v>
      </c>
      <c r="E27" s="332" t="str">
        <f>Total!E2193</f>
        <v>Edificació</v>
      </c>
      <c r="F27" s="96" t="str">
        <f>Total!F2193</f>
        <v>Projectes i Direccions Facultatives</v>
      </c>
      <c r="G27" s="112" t="str">
        <f>Total!G2193</f>
        <v>PE+DF. XMH-20531</v>
      </c>
      <c r="H27" s="112" t="str">
        <f>Total!H2193</f>
        <v>Redacció del projecte executiu i l'estudi de S.iS. I la posterior direcció facultativa de les obres RAM 2020 als Serveis Territorials a la Catalunya Central (IV). Escola Vic-centre (Vic).</v>
      </c>
      <c r="I27" s="157">
        <f>Total!I2193</f>
        <v>23367.77</v>
      </c>
    </row>
    <row r="28" spans="1:9" x14ac:dyDescent="0.2">
      <c r="A28" s="8">
        <v>27</v>
      </c>
      <c r="B28" s="101">
        <f>Total!B2194</f>
        <v>43803</v>
      </c>
      <c r="C28" s="101">
        <f>Total!C2194</f>
        <v>43838</v>
      </c>
      <c r="D28" s="112" t="s">
        <v>1092</v>
      </c>
      <c r="E28" s="332" t="str">
        <f>Total!E2194</f>
        <v>Edificació</v>
      </c>
      <c r="F28" s="96" t="str">
        <f>Total!F2194</f>
        <v>Projectes i Direccions d'Obra</v>
      </c>
      <c r="G28" s="112" t="str">
        <f>Total!G2194</f>
        <v>PE+DO JVP-18238</v>
      </c>
      <c r="H28" s="112" t="str">
        <f>Total!H2194</f>
        <v>Redacció del projecte bàsic i executiu i la jposterior direcció d'obra de les obres de rehabilitació al centre educatiu Til·lers a Mollet del Vallès.</v>
      </c>
      <c r="I28" s="157">
        <f>Total!I2194</f>
        <v>174765.6</v>
      </c>
    </row>
    <row r="29" spans="1:9" x14ac:dyDescent="0.2">
      <c r="A29" s="8">
        <v>28</v>
      </c>
      <c r="B29" s="101">
        <f>Total!B2195</f>
        <v>43811</v>
      </c>
      <c r="C29" s="101">
        <f>Total!C2195</f>
        <v>43838</v>
      </c>
      <c r="D29" s="112" t="s">
        <v>1092</v>
      </c>
      <c r="E29" s="332" t="str">
        <f>Total!E2195</f>
        <v>Edificació</v>
      </c>
      <c r="F29" s="96" t="str">
        <f>Total!F2195</f>
        <v>Projectes</v>
      </c>
      <c r="G29" s="112" t="str">
        <f>Total!G2195</f>
        <v>EV. EG19</v>
      </c>
      <c r="H29" s="112" t="str">
        <f>Total!H2195</f>
        <v>Assistència tècnica per a la realització dels informes preliminars dels desplaçaments dels projectes d'edificació encarregats per Servei Català de Salut.</v>
      </c>
      <c r="I29" s="157">
        <f>Total!I2195</f>
        <v>50400</v>
      </c>
    </row>
    <row r="30" spans="1:9" x14ac:dyDescent="0.2">
      <c r="A30" s="8">
        <v>29</v>
      </c>
      <c r="B30" s="101">
        <f>Total!B2196</f>
        <v>43812</v>
      </c>
      <c r="C30" s="101">
        <f>Total!C2196</f>
        <v>43843</v>
      </c>
      <c r="D30" s="112" t="s">
        <v>1092</v>
      </c>
      <c r="E30" s="332" t="str">
        <f>Total!E2196</f>
        <v>Edificació</v>
      </c>
      <c r="F30" s="96" t="str">
        <f>Total!F2196</f>
        <v>Direccións d'Execució</v>
      </c>
      <c r="G30" s="112" t="str">
        <f>Total!G2196</f>
        <v>CSS.HMB-16284</v>
      </c>
      <c r="H30" s="112" t="str">
        <f>Total!H2196</f>
        <v>Assistència tècnica per la coordinació de seguretat i salut per l'execució de les obres de reforma d'espais de l'Hospital de Mataró (Hospital de dia, Bloc quirúrgic i altres).</v>
      </c>
      <c r="I30" s="157">
        <f>Total!I2196</f>
        <v>42982.8</v>
      </c>
    </row>
    <row r="31" spans="1:9" x14ac:dyDescent="0.2">
      <c r="A31" s="8">
        <v>30</v>
      </c>
      <c r="B31" s="101">
        <f>Total!B2197</f>
        <v>43812</v>
      </c>
      <c r="C31" s="101">
        <f>Total!C2197</f>
        <v>43843</v>
      </c>
      <c r="D31" s="112" t="s">
        <v>1092</v>
      </c>
      <c r="E31" s="332" t="str">
        <f>Total!E2197</f>
        <v>Edificació</v>
      </c>
      <c r="F31" s="96" t="str">
        <f>Total!F2197</f>
        <v>Control de Qualitat</v>
      </c>
      <c r="G31" s="112" t="str">
        <f>Total!G2197</f>
        <v>CQ.HMB-16284</v>
      </c>
      <c r="H31" s="112" t="str">
        <f>Total!H2197</f>
        <v>Assistència tècnica de control de qualitat de les obres de reforma d'espais de l'Hospital de Mataró (Hospital de dia, Bloc quirúrgic i altres).</v>
      </c>
      <c r="I31" s="157">
        <f>Total!I2197</f>
        <v>59710.6</v>
      </c>
    </row>
    <row r="32" spans="1:9" x14ac:dyDescent="0.2">
      <c r="A32" s="8">
        <v>31</v>
      </c>
      <c r="B32" s="101">
        <f>Total!B2198</f>
        <v>43812</v>
      </c>
      <c r="C32" s="101">
        <f>Total!C2198</f>
        <v>43843</v>
      </c>
      <c r="D32" s="112" t="s">
        <v>1092</v>
      </c>
      <c r="E32" s="332" t="str">
        <f>Total!E2198</f>
        <v>Edificació</v>
      </c>
      <c r="F32" s="96" t="str">
        <f>Total!F2198</f>
        <v>Direccions d'execució</v>
      </c>
      <c r="G32" s="112" t="str">
        <f>Total!G2198</f>
        <v>DE.HMB-16284</v>
      </c>
      <c r="H32" s="112" t="str">
        <f>Total!H2198</f>
        <v>Assistència tècnica de la direcció d'execució de les obres de reforma d'espais de l'Hospital de Mataró (Hospital de dia, Bloc quirúrgic i altres).</v>
      </c>
      <c r="I32" s="157">
        <f>Total!I2198</f>
        <v>143279.29</v>
      </c>
    </row>
    <row r="33" spans="1:9" x14ac:dyDescent="0.2">
      <c r="A33" s="8">
        <v>32</v>
      </c>
      <c r="B33" s="101">
        <f>Total!B2199</f>
        <v>43815</v>
      </c>
      <c r="C33" s="101">
        <f>Total!C2199</f>
        <v>43845</v>
      </c>
      <c r="D33" s="112" t="s">
        <v>1092</v>
      </c>
      <c r="E33" s="332" t="str">
        <f>Total!E2199</f>
        <v>Edificació</v>
      </c>
      <c r="F33" s="96" t="str">
        <f>Total!F2199</f>
        <v>Control de Qualitat</v>
      </c>
      <c r="G33" s="112" t="str">
        <f>Total!G2199</f>
        <v>CQ. PNL-17211</v>
      </c>
      <c r="H33" s="112" t="str">
        <f>Total!H2199</f>
        <v>Control de qualitat de les obres de nova construcció Escola 2 línies a l'Escola Pinyana, a Lleida.</v>
      </c>
      <c r="I33" s="157">
        <f>Total!I2199</f>
        <v>54892.160000000003</v>
      </c>
    </row>
    <row r="34" spans="1:9" x14ac:dyDescent="0.2">
      <c r="A34" s="8">
        <v>33</v>
      </c>
      <c r="B34" s="101">
        <f>Total!B2200</f>
        <v>43815</v>
      </c>
      <c r="C34" s="101">
        <f>Total!C2200</f>
        <v>43845</v>
      </c>
      <c r="D34" s="112" t="s">
        <v>1092</v>
      </c>
      <c r="E34" s="332" t="str">
        <f>Total!E2200</f>
        <v>Edificació</v>
      </c>
      <c r="F34" s="96" t="str">
        <f>Total!F2200</f>
        <v>Direccions d'execució</v>
      </c>
      <c r="G34" s="112" t="str">
        <f>Total!G2200</f>
        <v>DE. PNL-17211</v>
      </c>
      <c r="H34" s="112" t="str">
        <f>Total!H2200</f>
        <v>Direcció d'execució de les obres de nova construcció Escola 2 línies a l'Escola Pinyana, a Lleida.</v>
      </c>
      <c r="I34" s="157">
        <f>Total!I2200</f>
        <v>120432.89</v>
      </c>
    </row>
    <row r="35" spans="1:9" x14ac:dyDescent="0.2">
      <c r="A35" s="8">
        <v>34</v>
      </c>
      <c r="B35" s="101">
        <f>Total!B2201</f>
        <v>43818</v>
      </c>
      <c r="C35" s="101">
        <f>Total!C2201</f>
        <v>43845</v>
      </c>
      <c r="D35" s="112" t="s">
        <v>1092</v>
      </c>
      <c r="E35" s="332" t="str">
        <f>Total!E2201</f>
        <v>Edificació</v>
      </c>
      <c r="F35" s="96" t="str">
        <f>Total!F2201</f>
        <v>Control de Qualitat</v>
      </c>
      <c r="G35" s="112" t="str">
        <f>Total!G2201</f>
        <v>CQ. CGM-17226 (nova licitació)</v>
      </c>
      <c r="H35" s="112" t="str">
        <f>Total!H2201</f>
        <v>Control de qualitat de les obres RAM de Raparació i rehabilitació de diverses instal·lacions i espais de les Comissaries de les Regions Policials de Girona, Metropolitana Nord, Metropolitana Sud, Barcelona i actuació de col·locació de pilones de protecció</v>
      </c>
      <c r="I35" s="157">
        <f>Total!I2201</f>
        <v>4530.13</v>
      </c>
    </row>
    <row r="36" spans="1:9" x14ac:dyDescent="0.2">
      <c r="A36" s="8">
        <v>35</v>
      </c>
      <c r="B36" s="101">
        <f>Total!B2202</f>
        <v>43818</v>
      </c>
      <c r="C36" s="101">
        <f>Total!C2202</f>
        <v>43838</v>
      </c>
      <c r="D36" s="112" t="s">
        <v>1092</v>
      </c>
      <c r="E36" s="332" t="str">
        <f>Total!E2202</f>
        <v>Edificació</v>
      </c>
      <c r="F36" s="96" t="str">
        <f>Total!F2202</f>
        <v>Control de Qualitat</v>
      </c>
      <c r="G36" s="112" t="str">
        <f>Total!G2202</f>
        <v>CQ. JVX-18288</v>
      </c>
      <c r="H36" s="112" t="str">
        <f>Total!H2202</f>
        <v>Contracte de serveis per a l'assistència tècnica per al control de qualitat de les obres RAM per al condicionament d'espais per a la ubicació d'un nou òrgan judicial (1a Instància 7 família) al Palau de Justícia de Girona.</v>
      </c>
      <c r="I36" s="157">
        <f>Total!I2202</f>
        <v>1759.19</v>
      </c>
    </row>
    <row r="37" spans="1:9" x14ac:dyDescent="0.2">
      <c r="A37" s="8">
        <v>36</v>
      </c>
      <c r="B37" s="101">
        <f>Total!B2203</f>
        <v>43818</v>
      </c>
      <c r="C37" s="101">
        <f>Total!C2203</f>
        <v>43838</v>
      </c>
      <c r="D37" s="112" t="s">
        <v>1092</v>
      </c>
      <c r="E37" s="332" t="str">
        <f>Total!E2203</f>
        <v>Edificació</v>
      </c>
      <c r="F37" s="96" t="str">
        <f>Total!F2203</f>
        <v>Control de Qualitat</v>
      </c>
      <c r="G37" s="112" t="str">
        <f>Total!G2203</f>
        <v>CQ. JVX-18293</v>
      </c>
      <c r="H37" s="112" t="str">
        <f>Total!H2203</f>
        <v>Contracte de serveis per a l'assistència tècnica per al control de qualitat de les obres d'adequació del projecte d'obra RAM de reparació de façanes i voladius de l'edifici judicial situat a l'Avinguda Ramon Folch 4-6 de Girona.</v>
      </c>
      <c r="I37" s="157">
        <f>Total!I2203</f>
        <v>3252.01</v>
      </c>
    </row>
    <row r="38" spans="1:9" x14ac:dyDescent="0.2">
      <c r="A38" s="8">
        <v>37</v>
      </c>
      <c r="B38" s="101">
        <f>Total!B2204</f>
        <v>43819</v>
      </c>
      <c r="C38" s="101">
        <f>Total!C2204</f>
        <v>43850</v>
      </c>
      <c r="D38" s="112" t="s">
        <v>1092</v>
      </c>
      <c r="E38" s="332" t="str">
        <f>Total!E2204</f>
        <v>Obra Civil</v>
      </c>
      <c r="F38" s="96" t="str">
        <f>Total!F2204</f>
        <v>Control de Qualitat</v>
      </c>
      <c r="G38" s="112" t="str">
        <f>Total!G2204</f>
        <v>CQ. TA-07997.A1</v>
      </c>
      <c r="H38" s="112" t="str">
        <f>Total!H2204</f>
        <v>Control de qualitat de les obres del projecte constructiu del nou carril bus i via ciclista a la ctra. C-245 entre Castelldefels i Cornellà de Llobregat.</v>
      </c>
      <c r="I38" s="157">
        <f>Total!I2204</f>
        <v>252768.95</v>
      </c>
    </row>
    <row r="39" spans="1:9" x14ac:dyDescent="0.2">
      <c r="A39" s="8">
        <v>38</v>
      </c>
      <c r="B39" s="101">
        <f>Total!B2205</f>
        <v>43819</v>
      </c>
      <c r="C39" s="101">
        <f>Total!C2205</f>
        <v>43850</v>
      </c>
      <c r="D39" s="112" t="s">
        <v>1092</v>
      </c>
      <c r="E39" s="332" t="str">
        <f>Total!E2205</f>
        <v>Obra Civil</v>
      </c>
      <c r="F39" s="96" t="str">
        <f>Total!F2205</f>
        <v>Direccions d'Obra</v>
      </c>
      <c r="G39" s="112" t="str">
        <f>Total!G2205</f>
        <v>DO. TA-07997.A1</v>
      </c>
      <c r="H39" s="112" t="str">
        <f>Total!H2205</f>
        <v>Direcció de les obres del projecte constructiu del nou carril bus i via ciclista a la ctra. C-245 entre Castelldefels i Cornellà de Llobregat.</v>
      </c>
      <c r="I39" s="157">
        <f>Total!I2205</f>
        <v>1394666.66</v>
      </c>
    </row>
    <row r="40" spans="1:9" x14ac:dyDescent="0.2">
      <c r="A40" s="8">
        <v>39</v>
      </c>
      <c r="B40" s="101">
        <f>Total!B2206</f>
        <v>43819</v>
      </c>
      <c r="C40" s="101">
        <f>Total!C2206</f>
        <v>43838</v>
      </c>
      <c r="D40" s="112" t="s">
        <v>1092</v>
      </c>
      <c r="E40" s="332" t="str">
        <f>Total!E2206</f>
        <v>Obra Civil</v>
      </c>
      <c r="F40" s="96" t="str">
        <f>Total!F2206</f>
        <v>Projectes</v>
      </c>
      <c r="G40" s="112" t="str">
        <f>Total!G2206</f>
        <v>EV. E6-MA-20900</v>
      </c>
      <c r="H40" s="112" t="str">
        <f>Total!H2206</f>
        <v>Redacció de l'Estudi i seguiment de la població d'esparver cendrós a la Plana de Lleida, localització de nius. Mesures correctores i compensatòries del regadiu del sistema Segarra-Garrigues. Campanya 2020-2021.</v>
      </c>
      <c r="I40" s="157">
        <f>Total!I2206</f>
        <v>31621.439999999999</v>
      </c>
    </row>
    <row r="41" spans="1:9" x14ac:dyDescent="0.2">
      <c r="A41" s="8">
        <v>40</v>
      </c>
      <c r="B41" s="101">
        <f>Total!B2207</f>
        <v>43819</v>
      </c>
      <c r="C41" s="101">
        <f>Total!C2207</f>
        <v>43838</v>
      </c>
      <c r="D41" s="112" t="s">
        <v>1092</v>
      </c>
      <c r="E41" s="332" t="str">
        <f>Total!E2207</f>
        <v>Obra Civil</v>
      </c>
      <c r="F41" s="96" t="str">
        <f>Total!F2207</f>
        <v>Projectes</v>
      </c>
      <c r="G41" s="112" t="str">
        <f>Total!G2207</f>
        <v>EV. E4-MA-20900</v>
      </c>
      <c r="H41" s="112" t="str">
        <f>Total!H2207</f>
        <v>Redacció de l'Estudi i seguiment de la població de xoriguer petit de la Plana de Lleida, anàlisi de l'ocupació de torres i caixes niu. Mesures correctores i compensatòries del regadiu del sistema Segarra-Garrigues. Campanya 2020-2021.</v>
      </c>
      <c r="I41" s="157">
        <f>Total!I2207</f>
        <v>26389.599999999999</v>
      </c>
    </row>
    <row r="42" spans="1:9" x14ac:dyDescent="0.2">
      <c r="A42" s="8">
        <v>41</v>
      </c>
      <c r="B42" s="101">
        <f>Total!B2208</f>
        <v>43819</v>
      </c>
      <c r="C42" s="101">
        <f>Total!C2208</f>
        <v>43838</v>
      </c>
      <c r="D42" s="112" t="s">
        <v>1092</v>
      </c>
      <c r="E42" s="332" t="str">
        <f>Total!E2208</f>
        <v>Obra Civil</v>
      </c>
      <c r="F42" s="96" t="str">
        <f>Total!F2208</f>
        <v>Projectes</v>
      </c>
      <c r="G42" s="112" t="str">
        <f>Total!G2208</f>
        <v>EV. E3-MA-20900</v>
      </c>
      <c r="H42" s="112" t="str">
        <f>Total!H2208</f>
        <v>Redacció de l'Estudi i seguiment. Cens de mascles de sisó en Àrees pilot dels secans orientals i en els regs històrics del Canalet de Tàrrega. Mesures correctores i compensatòries del regadiu del sistema Segarra-Garrigues. Campanya 2020-2021.</v>
      </c>
      <c r="I42" s="157">
        <f>Total!I2208</f>
        <v>21118.95</v>
      </c>
    </row>
    <row r="43" spans="1:9" x14ac:dyDescent="0.2">
      <c r="A43" s="8">
        <v>42</v>
      </c>
      <c r="B43" s="101">
        <f>Total!B2209</f>
        <v>43819</v>
      </c>
      <c r="C43" s="101">
        <f>Total!C2209</f>
        <v>43838</v>
      </c>
      <c r="D43" s="112" t="s">
        <v>1092</v>
      </c>
      <c r="E43" s="332" t="str">
        <f>Total!E2209</f>
        <v>Obra Civil</v>
      </c>
      <c r="F43" s="96" t="str">
        <f>Total!F2209</f>
        <v>Direccions d'Obra</v>
      </c>
      <c r="G43" s="112" t="str">
        <f>Total!G2209</f>
        <v>EV. E1-MA-20900</v>
      </c>
      <c r="H43" s="112" t="str">
        <f>Total!H2209</f>
        <v>Contracte de serveis per a l'assistència tècnica pel seguiment de les finques gestionades als Secans Orientals. Mesures correctores i compensatòries del regadiu del sistema Segarra-Garrigues. Campanya 2020-2021.</v>
      </c>
      <c r="I43" s="157">
        <f>Total!I2209</f>
        <v>42787.86</v>
      </c>
    </row>
    <row r="44" spans="1:9" x14ac:dyDescent="0.2">
      <c r="A44" s="8">
        <v>43</v>
      </c>
      <c r="B44" s="101">
        <f>Total!B2210</f>
        <v>43819</v>
      </c>
      <c r="C44" s="101">
        <f>Total!C2210</f>
        <v>43843</v>
      </c>
      <c r="D44" s="112" t="s">
        <v>1092</v>
      </c>
      <c r="E44" s="332" t="str">
        <f>Total!E2210</f>
        <v>Obra Civil</v>
      </c>
      <c r="F44" s="96" t="str">
        <f>Total!F2210</f>
        <v>Direccions d'Obra</v>
      </c>
      <c r="G44" s="112" t="str">
        <f>Total!G2210</f>
        <v>ATAM. TA-07997.A1</v>
      </c>
      <c r="H44" s="112" t="str">
        <f>Total!H2210</f>
        <v>Contracte de serveis per a l'Assistència Tècnica Ambiental de les obres del projecte constructiu del nou carril bus i via ciclista a la carretera C-245 entre Castelldefels i Cornellà de Llobregat.</v>
      </c>
      <c r="I44" s="157">
        <f>Total!I2210</f>
        <v>132792</v>
      </c>
    </row>
    <row r="45" spans="1:9" x14ac:dyDescent="0.2">
      <c r="A45" s="8">
        <v>44</v>
      </c>
      <c r="B45" s="101">
        <f>Total!B2211</f>
        <v>43819</v>
      </c>
      <c r="C45" s="101">
        <f>Total!C2211</f>
        <v>43838</v>
      </c>
      <c r="D45" s="112" t="s">
        <v>1092</v>
      </c>
      <c r="E45" s="332" t="str">
        <f>Total!E2211</f>
        <v>Obra Civil</v>
      </c>
      <c r="F45" s="96" t="str">
        <f>Total!F2211</f>
        <v>Direccions d'Obra</v>
      </c>
      <c r="G45" s="112" t="str">
        <f>Total!G2211</f>
        <v>EV. E2-MA-20900</v>
      </c>
      <c r="H45" s="112" t="str">
        <f>Total!H2211</f>
        <v>Contracte de serveis per a l'assistència tècnica pel seguiment de les finques gestionades als Secans Occidentals. Mesures correctores i compensatòries del regadiu del sistema Segarra-Garrigues. Campanya 2020-2021.</v>
      </c>
      <c r="I45" s="157">
        <f>Total!I2211</f>
        <v>23697.9</v>
      </c>
    </row>
    <row r="46" spans="1:9" x14ac:dyDescent="0.2">
      <c r="A46" s="8">
        <v>45</v>
      </c>
      <c r="B46" s="101">
        <f>Total!B2212</f>
        <v>43819</v>
      </c>
      <c r="C46" s="101">
        <f>Total!C2212</f>
        <v>43843</v>
      </c>
      <c r="D46" s="112" t="s">
        <v>1092</v>
      </c>
      <c r="E46" s="332" t="str">
        <f>Total!E2212</f>
        <v>Obra Civil</v>
      </c>
      <c r="F46" s="96" t="str">
        <f>Total!F2212</f>
        <v>Direccions d'Obra</v>
      </c>
      <c r="G46" s="112" t="str">
        <f>Total!G2212</f>
        <v>CSS. TA-07997.A1</v>
      </c>
      <c r="H46" s="112" t="str">
        <f>Total!H2212</f>
        <v>Contracte de serveis per a l'Assistència tècnica per la Coordinació de seguretat i salut de les obres del projecte constructiu del nou carril bus i via ciclista a la carretera C-245 entre Castelldefels i Cornellà de Llobregat.</v>
      </c>
      <c r="I46" s="157">
        <f>Total!I2212</f>
        <v>203520</v>
      </c>
    </row>
    <row r="47" spans="1:9" x14ac:dyDescent="0.2">
      <c r="A47" s="8">
        <v>46</v>
      </c>
      <c r="B47" s="101">
        <f>Total!B2213</f>
        <v>43822</v>
      </c>
      <c r="C47" s="101">
        <f>Total!C2213</f>
        <v>43843</v>
      </c>
      <c r="D47" s="112" t="s">
        <v>1092</v>
      </c>
      <c r="E47" s="332" t="str">
        <f>Total!E2213</f>
        <v>Obra Civil</v>
      </c>
      <c r="F47" s="96" t="str">
        <f>Total!F2213</f>
        <v>Control de Qualitat</v>
      </c>
      <c r="G47" s="112" t="str">
        <f>Total!G2213</f>
        <v>CQ. AG-03020.3.1</v>
      </c>
      <c r="H47" s="112" t="str">
        <f>Total!H2213</f>
        <v>Control de qualitat de les obres del projecte constructiu de millora general. Condicionament. Corredor Brugent - Ter. Variant d'Anglès. De la carretera C-63, PK 38+000, a la carretera N-141e, PK 101+150. Tram: Anglès.</v>
      </c>
      <c r="I47" s="157">
        <f>Total!I2213</f>
        <v>208084.02</v>
      </c>
    </row>
    <row r="48" spans="1:9" x14ac:dyDescent="0.2">
      <c r="A48" s="8">
        <v>47</v>
      </c>
      <c r="B48" s="101">
        <f>Total!B2214</f>
        <v>43822</v>
      </c>
      <c r="C48" s="101">
        <f>Total!C2214</f>
        <v>43838</v>
      </c>
      <c r="D48" s="112" t="s">
        <v>1092</v>
      </c>
      <c r="E48" s="332" t="str">
        <f>Total!E2214</f>
        <v>Obra Civil</v>
      </c>
      <c r="F48" s="96" t="str">
        <f>Total!F2214</f>
        <v>Direccions d'Obra</v>
      </c>
      <c r="G48" s="112" t="str">
        <f>Total!G2214</f>
        <v>ATAM. AG-03020.3.1</v>
      </c>
      <c r="H48" s="112" t="str">
        <f>Total!H2214</f>
        <v>Contracte de serveis per a l'assistència tècnica ambiental de les obres de millora general. Condicionament. Corredor Brugent-Ter. Variant d'Anglès de la carretera C-63, PK 38+000, a la carretera N-141e, PK 101+150. Tram: Anglès.</v>
      </c>
      <c r="I48" s="157">
        <f>Total!I2214</f>
        <v>107448</v>
      </c>
    </row>
    <row r="49" spans="1:9" x14ac:dyDescent="0.2">
      <c r="A49" s="8">
        <v>48</v>
      </c>
      <c r="B49" s="101">
        <f>Total!B2215</f>
        <v>43822</v>
      </c>
      <c r="C49" s="101">
        <f>Total!C2215</f>
        <v>43838</v>
      </c>
      <c r="D49" s="112" t="s">
        <v>1092</v>
      </c>
      <c r="E49" s="332" t="str">
        <f>Total!E2215</f>
        <v>Obra Civil</v>
      </c>
      <c r="F49" s="96" t="str">
        <f>Total!F2215</f>
        <v>Direccions d'Obra</v>
      </c>
      <c r="G49" s="112" t="str">
        <f>Total!G2215</f>
        <v>CSS. AG-03020.3.1</v>
      </c>
      <c r="H49" s="112" t="str">
        <f>Total!H2215</f>
        <v>Coordinació de seguretat i salut de les obres de millora general. Condicionament. Corredor Brugent¿Ter. Variant d'Anglès de la carretera C-63, PK 38+000, a la carretera N-141e, PK 101+150. Tram: Anglès.</v>
      </c>
      <c r="I49" s="157">
        <f>Total!I2215</f>
        <v>126000</v>
      </c>
    </row>
    <row r="50" spans="1:9" x14ac:dyDescent="0.2">
      <c r="A50" s="8">
        <v>49</v>
      </c>
      <c r="B50" s="101">
        <f>Total!B2216</f>
        <v>43822</v>
      </c>
      <c r="C50" s="101">
        <f>Total!C2216</f>
        <v>43850</v>
      </c>
      <c r="D50" s="112" t="s">
        <v>1092</v>
      </c>
      <c r="E50" s="332" t="str">
        <f>Total!E2216</f>
        <v>Obra Civil</v>
      </c>
      <c r="F50" s="96" t="str">
        <f>Total!F2216</f>
        <v>Direccions d'Obra</v>
      </c>
      <c r="G50" s="112" t="str">
        <f>Total!G2216</f>
        <v>DO. AG-03020.3.1</v>
      </c>
      <c r="H50" s="112" t="str">
        <f>Total!H2216</f>
        <v>Contracte de serveis per a la direcció de les obres del projecte constructiu de millora general. Condicionament. Corredor Brugent - Ter. Variant d'Anglès. De la carretera C-63, PK 38+000, a la carretera N-141e, PK 101+150. Tram: Anglès.</v>
      </c>
      <c r="I50" s="157">
        <f>Total!I2216</f>
        <v>739200</v>
      </c>
    </row>
    <row r="51" spans="1:9" x14ac:dyDescent="0.2">
      <c r="A51" s="8">
        <v>50</v>
      </c>
      <c r="B51" s="101">
        <f>Total!B2217</f>
        <v>43823</v>
      </c>
      <c r="C51" s="101">
        <f>Total!C2217</f>
        <v>43845</v>
      </c>
      <c r="D51" s="112" t="s">
        <v>1092</v>
      </c>
      <c r="E51" s="332" t="str">
        <f>Total!E2217</f>
        <v>Edificació</v>
      </c>
      <c r="F51" s="96" t="str">
        <f>Total!F2217</f>
        <v>Control de Qualitat</v>
      </c>
      <c r="G51" s="112" t="str">
        <f>Total!G2217</f>
        <v>CQ.JVX-18291</v>
      </c>
      <c r="H51" s="112" t="str">
        <f>Total!H2217</f>
        <v>Contracte de serveis per a l'assistència tècnica de control de qualitat de les obres de de les obres RAM per al condicionament d'espais per a la secció d'apel·lacions i altres espais del Palau de Justicia de Barcelona.</v>
      </c>
      <c r="I51" s="157">
        <f>Total!I2217</f>
        <v>3196.55</v>
      </c>
    </row>
    <row r="52" spans="1:9" x14ac:dyDescent="0.2">
      <c r="A52" s="8">
        <v>51</v>
      </c>
      <c r="B52" s="101">
        <f>Total!B2218</f>
        <v>43823</v>
      </c>
      <c r="C52" s="101">
        <f>Total!C2218</f>
        <v>43838</v>
      </c>
      <c r="D52" s="112" t="s">
        <v>1092</v>
      </c>
      <c r="E52" s="332" t="str">
        <f>Total!E2218</f>
        <v>Obra Civil</v>
      </c>
      <c r="F52" s="96" t="str">
        <f>Total!F2218</f>
        <v>Direccions d'Obra</v>
      </c>
      <c r="G52" s="112" t="str">
        <f>Total!G2218</f>
        <v>CSS. PRL-20001</v>
      </c>
      <c r="H52" s="112" t="str">
        <f>Total!H2218</f>
        <v>Contracte de serveis per a la supervisió de la prevenció de riscos laborals i de la coordinació de seguretat i salut de les obres de la L9.</v>
      </c>
      <c r="I52" s="157">
        <f>Total!I2218</f>
        <v>45000</v>
      </c>
    </row>
    <row r="53" spans="1:9" x14ac:dyDescent="0.2">
      <c r="A53" s="8">
        <v>52</v>
      </c>
      <c r="B53" s="101">
        <f>Total!B2219</f>
        <v>43823</v>
      </c>
      <c r="C53" s="101">
        <f>Total!C2219</f>
        <v>43850</v>
      </c>
      <c r="D53" s="112" t="s">
        <v>1092</v>
      </c>
      <c r="E53" s="332" t="str">
        <f>Total!E2219</f>
        <v>Edificació</v>
      </c>
      <c r="F53" s="96" t="str">
        <f>Total!F2219</f>
        <v>Control de Qualitat</v>
      </c>
      <c r="G53" s="112" t="str">
        <f>Total!G2219</f>
        <v>CQ. MEC-19L05</v>
      </c>
      <c r="H53" s="112" t="str">
        <f>Total!H2219</f>
        <v>Acord Marc per a la contractació dels contractes de serveis per a les assistències tècniques de control de qualitat de les obres pel manteniment, conservació i millora d'edificis i equipaments.</v>
      </c>
      <c r="I53" s="157">
        <f>Total!I2219</f>
        <v>140000</v>
      </c>
    </row>
    <row r="54" spans="1:9" x14ac:dyDescent="0.2">
      <c r="I54" s="126">
        <f>SUM(I2:I53)</f>
        <v>5215372.1499999994</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38"/>
  <sheetViews>
    <sheetView topLeftCell="A7" workbookViewId="0">
      <selection activeCell="A7"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Total!B2132</f>
        <v>43773</v>
      </c>
      <c r="C2" s="101">
        <f>Total!C2132</f>
        <v>43789</v>
      </c>
      <c r="D2" s="112" t="s">
        <v>1092</v>
      </c>
      <c r="E2" s="332" t="str">
        <f>Total!E2132</f>
        <v>Obra Civil</v>
      </c>
      <c r="F2" s="96" t="str">
        <f>Total!F2132</f>
        <v>Direccions d'Obra</v>
      </c>
      <c r="G2" s="112" t="str">
        <f>Total!G2132</f>
        <v>CSS.TM-11016.1</v>
      </c>
      <c r="H2" s="112" t="str">
        <f>Total!H2132</f>
        <v>Coord. seg. i salut en exec. obres actuacions millora evacuació i accessibilitat intercanviador estació Pl. Espanya (L1 i L3 d'FMB i L8 FGC) i actuacions millora evacuació acces. intercanviador estació Pl. Espanya (L1 i L3 FMB i L8 FGC). Ventilació,....</v>
      </c>
      <c r="I2" s="157">
        <f>Total!I2132</f>
        <v>87600</v>
      </c>
    </row>
    <row r="3" spans="1:9" x14ac:dyDescent="0.2">
      <c r="A3" s="8">
        <v>2</v>
      </c>
      <c r="B3" s="101">
        <f>Total!B2133</f>
        <v>43773</v>
      </c>
      <c r="C3" s="101">
        <f>Total!C2133</f>
        <v>43789</v>
      </c>
      <c r="D3" s="112" t="s">
        <v>1092</v>
      </c>
      <c r="E3" s="332" t="str">
        <f>Total!E2133</f>
        <v>Obra Civil</v>
      </c>
      <c r="F3" s="96" t="str">
        <f>Total!F2133</f>
        <v>Control de Qualitat</v>
      </c>
      <c r="G3" s="112" t="str">
        <f>Total!G2133</f>
        <v>CQ.TM-11016</v>
      </c>
      <c r="H3" s="112" t="str">
        <f>Total!H2133</f>
        <v>Contracte de serveis per a l'assistència tècnica de control de qualitat de les obres del projecte constructiu de millora de l'evacuació i de l'accessibilitat de l'intercanviador de l'estació de Plaça. Espanya (L1 i L3 d'FMB i L8 d'FGC).</v>
      </c>
      <c r="I3" s="157">
        <f>Total!I2133</f>
        <v>71999.63</v>
      </c>
    </row>
    <row r="4" spans="1:9" x14ac:dyDescent="0.2">
      <c r="A4" s="8">
        <v>3</v>
      </c>
      <c r="B4" s="101">
        <f>Total!B2134</f>
        <v>43773</v>
      </c>
      <c r="C4" s="101">
        <f>Total!C2134</f>
        <v>43789</v>
      </c>
      <c r="D4" s="112" t="s">
        <v>1092</v>
      </c>
      <c r="E4" s="332" t="str">
        <f>Total!E2134</f>
        <v>Obra Civil</v>
      </c>
      <c r="F4" s="96" t="str">
        <f>Total!F2134</f>
        <v>Direccions d'Obra</v>
      </c>
      <c r="G4" s="112" t="str">
        <f>Total!G2134</f>
        <v>ATAM.TM-11016+TM-11016.1</v>
      </c>
      <c r="H4" s="112" t="str">
        <f>Total!H2134</f>
        <v>Assit. tècnica ambiental exec. obres actuacions millora evacuació i accessibilitat intercanviador estació Pl. Espanya (L1 i L3 d'FMB i L8 FGC) i actuacions millora evacuació acces. intercanviador estació Pl. Espanya (L1 i L3 FMB i L8 FGC). Ventilació,....</v>
      </c>
      <c r="I4" s="157">
        <f>Total!I2134</f>
        <v>84084</v>
      </c>
    </row>
    <row r="5" spans="1:9" x14ac:dyDescent="0.2">
      <c r="A5" s="8">
        <v>4</v>
      </c>
      <c r="B5" s="101">
        <f>Total!B2135</f>
        <v>43773</v>
      </c>
      <c r="C5" s="101">
        <f>Total!C2135</f>
        <v>43803</v>
      </c>
      <c r="D5" s="112" t="s">
        <v>1092</v>
      </c>
      <c r="E5" s="332" t="str">
        <f>Total!E2135</f>
        <v>Obra Civil</v>
      </c>
      <c r="F5" s="96" t="str">
        <f>Total!F2135</f>
        <v>Direccions d'Obra</v>
      </c>
      <c r="G5" s="112" t="str">
        <f>Total!G2135</f>
        <v>DO.TM-11016+TM-11016.1</v>
      </c>
      <c r="H5" s="112" t="str">
        <f>Total!H2135</f>
        <v>Direcció conjunta de les obres actuacions millora evacuació i accessibilitat intercanviador estació Pl. Espanya (L1 i L3 d'FMB i L8 FGC) i actuacions millora evacuació acces. intercanviador estació Pl. Espanya (L1 i L3 FMB i L8 FGC). Ventilació,....</v>
      </c>
      <c r="I5" s="157">
        <f>Total!I2135</f>
        <v>728080</v>
      </c>
    </row>
    <row r="6" spans="1:9" x14ac:dyDescent="0.2">
      <c r="A6" s="8">
        <v>5</v>
      </c>
      <c r="B6" s="101">
        <f>Total!B2136</f>
        <v>43777</v>
      </c>
      <c r="C6" s="101">
        <f>Total!C2136</f>
        <v>43794</v>
      </c>
      <c r="D6" s="112" t="s">
        <v>1092</v>
      </c>
      <c r="E6" s="332" t="str">
        <f>Total!E2136</f>
        <v>Edificació</v>
      </c>
      <c r="F6" s="96" t="str">
        <f>Total!F2136</f>
        <v>Direccions d'Execució</v>
      </c>
      <c r="G6" s="112" t="str">
        <f>Total!G2136</f>
        <v>DE. CAP-17238.A</v>
      </c>
      <c r="H6" s="112" t="str">
        <f>Total!H2136</f>
        <v>Contracte de serveis per a l'assistència tècnica de direcció d'execució de les obres de construcció del nou Centre d'Atenció Primària de Sant Feliu de Codines.</v>
      </c>
      <c r="I6" s="157">
        <f>Total!I2136</f>
        <v>62684.69</v>
      </c>
    </row>
    <row r="7" spans="1:9" x14ac:dyDescent="0.2">
      <c r="A7" s="8">
        <v>6</v>
      </c>
      <c r="B7" s="101">
        <f>Total!B2137</f>
        <v>43777</v>
      </c>
      <c r="C7" s="101">
        <f>Total!C2137</f>
        <v>43794</v>
      </c>
      <c r="D7" s="112" t="s">
        <v>1092</v>
      </c>
      <c r="E7" s="332" t="str">
        <f>Total!E2137</f>
        <v>Edificació</v>
      </c>
      <c r="F7" s="96" t="str">
        <f>Total!F2137</f>
        <v>Direccions d'Execució</v>
      </c>
      <c r="G7" s="112" t="str">
        <f>Total!G2137</f>
        <v>DE.CAP-17237.A</v>
      </c>
      <c r="H7" s="112" t="str">
        <f>Total!H2137</f>
        <v>Contracte per a l'assistència tècnica de direcció d'execució de les obres del projecte actualitzat nova construcció del nou Centre d'Atenció Primària de Riells i Viabrea.</v>
      </c>
      <c r="I7" s="157">
        <f>Total!I2137</f>
        <v>58267.77</v>
      </c>
    </row>
    <row r="8" spans="1:9" x14ac:dyDescent="0.2">
      <c r="A8" s="8">
        <v>7</v>
      </c>
      <c r="B8" s="101">
        <f>Total!B2138</f>
        <v>43781</v>
      </c>
      <c r="C8" s="101">
        <f>Total!C2138</f>
        <v>43796</v>
      </c>
      <c r="D8" s="112" t="s">
        <v>1092</v>
      </c>
      <c r="E8" s="332" t="str">
        <f>Total!E2138</f>
        <v>Edificació</v>
      </c>
      <c r="F8" s="96" t="str">
        <f>Total!F2138</f>
        <v>Direccions d'Execució</v>
      </c>
      <c r="G8" s="112" t="str">
        <f>Total!G2138</f>
        <v>DE. PGM-15353</v>
      </c>
      <c r="H8" s="112" t="str">
        <f>Total!H2138</f>
        <v>Contracte de serveis per a la direcció d'execució de les obres d'adequació i millora del Parc de Bombers de Balaguer.</v>
      </c>
      <c r="I8" s="157">
        <f>Total!I2138</f>
        <v>26250</v>
      </c>
    </row>
    <row r="9" spans="1:9" x14ac:dyDescent="0.2">
      <c r="A9" s="8">
        <v>8</v>
      </c>
      <c r="B9" s="101">
        <f>Total!B2139</f>
        <v>43781</v>
      </c>
      <c r="C9" s="101">
        <f>Total!C2139</f>
        <v>43796</v>
      </c>
      <c r="D9" s="112" t="s">
        <v>1092</v>
      </c>
      <c r="E9" s="332" t="str">
        <f>Total!E2139</f>
        <v>Edificació</v>
      </c>
      <c r="F9" s="96" t="str">
        <f>Total!F2139</f>
        <v>Control de Qualitat</v>
      </c>
      <c r="G9" s="112" t="str">
        <f>Total!G2139</f>
        <v>CQ. PGM-15353</v>
      </c>
      <c r="H9" s="112" t="str">
        <f>Total!H2139</f>
        <v>Contracte de serveis per a l'assistència tècnica per al control de qualitat de les obres d'adequació i millora del Parc de Bombers de Balaguer.</v>
      </c>
      <c r="I9" s="157">
        <f>Total!I2139</f>
        <v>15534.39</v>
      </c>
    </row>
    <row r="10" spans="1:9" x14ac:dyDescent="0.2">
      <c r="A10" s="8">
        <v>9</v>
      </c>
      <c r="B10" s="101">
        <f>Total!B2140</f>
        <v>43781</v>
      </c>
      <c r="C10" s="101">
        <f>Total!C2140</f>
        <v>43796</v>
      </c>
      <c r="D10" s="112" t="s">
        <v>1092</v>
      </c>
      <c r="E10" s="332" t="str">
        <f>Total!E2140</f>
        <v>Edificació</v>
      </c>
      <c r="F10" s="96" t="str">
        <f>Total!F2140</f>
        <v>Direccions d'Execució</v>
      </c>
      <c r="G10" s="112" t="str">
        <f>Total!G2140</f>
        <v>CSS. PGM-15353</v>
      </c>
      <c r="H10" s="112" t="str">
        <f>Total!H2140</f>
        <v>Contracte de serveis per a l'assistència tècnica per a la coordinació de seguretat i salut de les obres d'adequació i millora del Parc de Bombers de Balaguer.</v>
      </c>
      <c r="I10" s="157">
        <f>Total!I2140</f>
        <v>7440</v>
      </c>
    </row>
    <row r="11" spans="1:9" x14ac:dyDescent="0.2">
      <c r="A11" s="8">
        <v>10</v>
      </c>
      <c r="B11" s="101">
        <f>Total!B2141</f>
        <v>43784</v>
      </c>
      <c r="C11" s="101">
        <f>Total!C2141</f>
        <v>43801</v>
      </c>
      <c r="D11" s="112" t="s">
        <v>1092</v>
      </c>
      <c r="E11" s="332" t="str">
        <f>Total!E2141</f>
        <v>Edificació</v>
      </c>
      <c r="F11" s="96" t="str">
        <f>Total!F2141</f>
        <v>Control de Qualitat</v>
      </c>
      <c r="G11" s="112" t="str">
        <f>Total!G2141</f>
        <v>CQ. XMH-19543</v>
      </c>
      <c r="H11" s="112" t="str">
        <f>Total!H2141</f>
        <v>Control de qualitat de les obres RAM 2019 als Serveis Territorials a Catalunya Central V: Centre de Recursos del Solsonès (Solsona) i Escola Flama, actualització projecte (Sant Fruitós del Bages).</v>
      </c>
      <c r="I11" s="157">
        <f>Total!I2141</f>
        <v>1936.91</v>
      </c>
    </row>
    <row r="12" spans="1:9" x14ac:dyDescent="0.2">
      <c r="A12" s="8">
        <v>11</v>
      </c>
      <c r="B12" s="101">
        <f>Total!B2142</f>
        <v>43784</v>
      </c>
      <c r="C12" s="101">
        <f>Total!C2142</f>
        <v>43801</v>
      </c>
      <c r="D12" s="112" t="s">
        <v>1092</v>
      </c>
      <c r="E12" s="332" t="str">
        <f>Total!E2142</f>
        <v>Edificació</v>
      </c>
      <c r="F12" s="96" t="str">
        <f>Total!F2142</f>
        <v>Projectes i Direccions Facultatives</v>
      </c>
      <c r="G12" s="112" t="str">
        <f>Total!G2142</f>
        <v>PE+DF. XMH-19543</v>
      </c>
      <c r="H12" s="112" t="str">
        <f>Total!H2142</f>
        <v>Redacció del proj. executiu i estudi S.S i la posterior direcció facultativa de les obres RAM 2019 als Serveis Territorials a Catalunya Central V: Centre de Recursos del Solsonès (Solsona) i Escola Flama, actualització projecte (Sant Fruitós del Bages).</v>
      </c>
      <c r="I12" s="157">
        <f>Total!I2142</f>
        <v>27952.92</v>
      </c>
    </row>
    <row r="13" spans="1:9" x14ac:dyDescent="0.2">
      <c r="A13" s="8">
        <v>12</v>
      </c>
      <c r="B13" s="101">
        <f>Total!B2143</f>
        <v>43788</v>
      </c>
      <c r="C13" s="101">
        <f>Total!C2143</f>
        <v>43803</v>
      </c>
      <c r="D13" s="112" t="s">
        <v>1092</v>
      </c>
      <c r="E13" s="332" t="str">
        <f>Total!E2143</f>
        <v>Edificació</v>
      </c>
      <c r="F13" s="96" t="str">
        <f>Total!F2143</f>
        <v>Projectes i Direccions Facultatives</v>
      </c>
      <c r="G13" s="112" t="str">
        <f>Total!G2143</f>
        <v>PE+DF. XMG-20517</v>
      </c>
      <c r="H13" s="112" t="str">
        <f>Total!H2143</f>
        <v>Redacció del projecte executiu i l'estudi de seguretat i salut i la posterior direcció facultativa de les obres RAM 2020 als Serveis Territorials a Girona (I): Institut Sant Quirze de Lloret de Mar.</v>
      </c>
      <c r="I13" s="157">
        <f>Total!I2143</f>
        <v>10785.12</v>
      </c>
    </row>
    <row r="14" spans="1:9" x14ac:dyDescent="0.2">
      <c r="A14" s="8">
        <v>13</v>
      </c>
      <c r="B14" s="101">
        <f>Total!B2144</f>
        <v>43788</v>
      </c>
      <c r="C14" s="101">
        <f>Total!C2144</f>
        <v>43803</v>
      </c>
      <c r="D14" s="112" t="s">
        <v>1092</v>
      </c>
      <c r="E14" s="332" t="str">
        <f>Total!E2144</f>
        <v>Edificació</v>
      </c>
      <c r="F14" s="96" t="str">
        <f>Total!F2144</f>
        <v>Projectes i Direccions Facultatives</v>
      </c>
      <c r="G14" s="112" t="str">
        <f>Total!G2144</f>
        <v>PE+DF.XMV-20506</v>
      </c>
      <c r="H14" s="112" t="str">
        <f>Total!H2144</f>
        <v>Redac. projecte i l'estudi de S. i S. i la posterior direcció facultativa de les obres RAM 2020 als Serveis Territorials al Vallès Occidental (IV): Institut Ca n'Oriac (Sabadell), Institut Jaume Cabré (dins Escola Joan Marques) (Terrassa) i Escola Auró.</v>
      </c>
      <c r="I14" s="157">
        <f>Total!I2144</f>
        <v>45537.2</v>
      </c>
    </row>
    <row r="15" spans="1:9" x14ac:dyDescent="0.2">
      <c r="A15" s="8">
        <v>14</v>
      </c>
      <c r="B15" s="101">
        <f>Total!B2145</f>
        <v>43788</v>
      </c>
      <c r="C15" s="101">
        <f>Total!C2145</f>
        <v>43803</v>
      </c>
      <c r="D15" s="112" t="s">
        <v>1092</v>
      </c>
      <c r="E15" s="332" t="str">
        <f>Total!E2145</f>
        <v>Edificació</v>
      </c>
      <c r="F15" s="96" t="str">
        <f>Total!F2145</f>
        <v>Projectes i Direccions Facultatives</v>
      </c>
      <c r="G15" s="112" t="str">
        <f>Total!G2145</f>
        <v>PE+DF.XMV-20505</v>
      </c>
      <c r="H15" s="112" t="str">
        <f>Total!H2145</f>
        <v>Redacció del projecte i l'estudi de seguretat i salut i la posterior direcció facultativa de les obres RAM 2020 als Serveis Territorials al Vallès Occidental (III): Institut Escola Pere Viver (Terrassa).</v>
      </c>
      <c r="I15" s="157">
        <f>Total!I2145</f>
        <v>59557.85</v>
      </c>
    </row>
    <row r="16" spans="1:9" x14ac:dyDescent="0.2">
      <c r="A16" s="8">
        <v>15</v>
      </c>
      <c r="B16" s="101">
        <f>Total!B2146</f>
        <v>43788</v>
      </c>
      <c r="C16" s="101">
        <f>Total!C2146</f>
        <v>43803</v>
      </c>
      <c r="D16" s="112" t="s">
        <v>1092</v>
      </c>
      <c r="E16" s="332" t="str">
        <f>Total!E2146</f>
        <v>Edificació</v>
      </c>
      <c r="F16" s="96" t="str">
        <f>Total!F2146</f>
        <v>Projectes i Direccions Facultatives</v>
      </c>
      <c r="G16" s="112" t="str">
        <f>Total!G2146</f>
        <v>PE+DF. XMC-20511</v>
      </c>
      <c r="H16" s="112" t="str">
        <f>Total!H2146</f>
        <v>Redac. proj. executiu i l'estudi S.S. i posterior direc. facultativa obres RAM 2020 als Serv. Territorials a Barcelona Comarques (II): Inst. Santa Coloma (Sta. Coloma Gramenet), Inst. Escola Folch i Torres (Badalona) i Inst. Escola Pallaresa (Sta. Coloma)</v>
      </c>
      <c r="I16" s="157">
        <f>Total!I2146</f>
        <v>47095.040000000001</v>
      </c>
    </row>
    <row r="17" spans="1:9" x14ac:dyDescent="0.2">
      <c r="A17" s="8">
        <v>16</v>
      </c>
      <c r="B17" s="101">
        <f>Total!B2147</f>
        <v>43788</v>
      </c>
      <c r="C17" s="101">
        <f>Total!C2147</f>
        <v>43803</v>
      </c>
      <c r="D17" s="112" t="s">
        <v>1092</v>
      </c>
      <c r="E17" s="332" t="str">
        <f>Total!E2147</f>
        <v>Edificació</v>
      </c>
      <c r="F17" s="96" t="str">
        <f>Total!F2147</f>
        <v>Projectes i Direccions Facultatives</v>
      </c>
      <c r="G17" s="112" t="str">
        <f>Total!G2147</f>
        <v>PE+DF. XMC-20512</v>
      </c>
      <c r="H17" s="112" t="str">
        <f>Total!H2147</f>
        <v>Redacció del projecte executiu i l'estudi de seguretat i salut i la posterior direcció facultativa de les obres RAM 2020 als Serveis Territorials a Barcelona Comarques (III): Institut Eugeni d'Ors (Vilafranca del Penedès).</v>
      </c>
      <c r="I17" s="157">
        <f>Total!I2147</f>
        <v>31152.69</v>
      </c>
    </row>
    <row r="18" spans="1:9" x14ac:dyDescent="0.2">
      <c r="A18" s="8">
        <v>17</v>
      </c>
      <c r="B18" s="101">
        <f>Total!B2148</f>
        <v>43788</v>
      </c>
      <c r="C18" s="101">
        <f>Total!C2148</f>
        <v>43803</v>
      </c>
      <c r="D18" s="112" t="s">
        <v>1092</v>
      </c>
      <c r="E18" s="332" t="str">
        <f>Total!E2148</f>
        <v>Edificació</v>
      </c>
      <c r="F18" s="96" t="str">
        <f>Total!F2148</f>
        <v>Projectes i Direccions Facultatives</v>
      </c>
      <c r="G18" s="112" t="str">
        <f>Total!G2148</f>
        <v>PE+DF. XML-20502</v>
      </c>
      <c r="H18" s="112" t="str">
        <f>Total!H2148</f>
        <v>Redacció del projecte executiu i l'estudi de seguretat i salut i la posterior direcció facultativa de les obres RAM 2020 als Serveis Territorials a Lleida (II): Institut d'Alpicat (Alpicat), Institut Mollerussa IV (Mollerussa) i Institut de Serós (Serós).</v>
      </c>
      <c r="I18" s="157">
        <f>Total!I2148</f>
        <v>58719.02</v>
      </c>
    </row>
    <row r="19" spans="1:9" x14ac:dyDescent="0.2">
      <c r="A19" s="8">
        <v>18</v>
      </c>
      <c r="B19" s="101">
        <f>Total!B2149</f>
        <v>43788</v>
      </c>
      <c r="C19" s="101">
        <f>Total!C2149</f>
        <v>43803</v>
      </c>
      <c r="D19" s="112" t="s">
        <v>1092</v>
      </c>
      <c r="E19" s="332" t="str">
        <f>Total!E2149</f>
        <v>Edificació</v>
      </c>
      <c r="F19" s="96" t="str">
        <f>Total!F2149</f>
        <v>Projectes i Direccions Facultatives</v>
      </c>
      <c r="G19" s="112" t="str">
        <f>Total!G2149</f>
        <v>PE+DF. XML-20501</v>
      </c>
      <c r="H19" s="112" t="str">
        <f>Total!H2149</f>
        <v>Redacció del projecte execcutiu i l'estudi de seguretat i salut i la posterior direcció facultativa de les obres RAM 2020 als Serveis Territorials a Lleida (I): Institut d'Alcarràs (Alcarràs).</v>
      </c>
      <c r="I19" s="157">
        <f>Total!I2149</f>
        <v>59917.35</v>
      </c>
    </row>
    <row r="20" spans="1:9" x14ac:dyDescent="0.2">
      <c r="A20" s="8">
        <v>19</v>
      </c>
      <c r="B20" s="101">
        <f>Total!B2150</f>
        <v>43788</v>
      </c>
      <c r="C20" s="101">
        <f>Total!C2150</f>
        <v>43803</v>
      </c>
      <c r="D20" s="112" t="s">
        <v>1092</v>
      </c>
      <c r="E20" s="332" t="str">
        <f>Total!E2150</f>
        <v>Edificació</v>
      </c>
      <c r="F20" s="96" t="str">
        <f>Total!F2150</f>
        <v>Projectes i Direccions Facultatives</v>
      </c>
      <c r="G20" s="112" t="str">
        <f>Total!G2150</f>
        <v>PE+DF. XMH-20500</v>
      </c>
      <c r="H20" s="112" t="str">
        <f>Total!H2150</f>
        <v>Redacció del projecte executiu i l'estudi de seguretat i salut i la posterior direcció facultativa de les obres RAM 2020 als Serveis Territorials a la Catalunya Central (I): Escola Les Bases (Manresa) i Institut Manresa VI (Manresa).</v>
      </c>
      <c r="I20" s="157">
        <f>Total!I2150</f>
        <v>23966.94</v>
      </c>
    </row>
    <row r="21" spans="1:9" x14ac:dyDescent="0.2">
      <c r="A21" s="8">
        <v>20</v>
      </c>
      <c r="B21" s="101">
        <f>Total!B2151</f>
        <v>43788</v>
      </c>
      <c r="C21" s="101">
        <f>Total!C2151</f>
        <v>43803</v>
      </c>
      <c r="D21" s="112" t="s">
        <v>1092</v>
      </c>
      <c r="E21" s="332" t="str">
        <f>Total!E2151</f>
        <v>Edificació</v>
      </c>
      <c r="F21" s="96" t="str">
        <f>Total!F2151</f>
        <v>Projectes i Direccions Facultatives</v>
      </c>
      <c r="G21" s="112" t="str">
        <f>Total!G2151</f>
        <v>PE+DF. XMA-20509</v>
      </c>
      <c r="H21" s="112" t="str">
        <f>Total!H2151</f>
        <v>Redac. proj. executiu i l'estudi de S.S. i la posterior direc. facultativa obres RAM 2020 als Serveis Territorials al Baix LLobregat (III): Institut Rafael de Casanovas (Sant Boi de Llobregat) i Institut Viladecans VI (Viladecans).</v>
      </c>
      <c r="I21" s="157">
        <f>Total!I2151</f>
        <v>43080.58</v>
      </c>
    </row>
    <row r="22" spans="1:9" x14ac:dyDescent="0.2">
      <c r="A22" s="8">
        <v>21</v>
      </c>
      <c r="B22" s="101">
        <f>Total!B2152</f>
        <v>43788</v>
      </c>
      <c r="C22" s="101">
        <f>Total!C2152</f>
        <v>43803</v>
      </c>
      <c r="D22" s="112" t="s">
        <v>1092</v>
      </c>
      <c r="E22" s="332" t="str">
        <f>Total!E2152</f>
        <v>Edificació</v>
      </c>
      <c r="F22" s="96" t="str">
        <f>Total!F2152</f>
        <v>Projectes i Direccions Facultatives</v>
      </c>
      <c r="G22" s="112" t="str">
        <f>Total!G2152</f>
        <v>PE+DF. XMA-20508</v>
      </c>
      <c r="H22" s="112" t="str">
        <f>Total!H2152</f>
        <v>Redacció del projecte executiu i l'estudi de seguretat i salut i la posterior direcció facultativa de les obres RAM 2020 als Serveis Territorials al Baix LLobregat (II): Institut El Cairat (Esparreguera) i Institut Daniel Blanxart (Olesa de Montserrat).</v>
      </c>
      <c r="I22" s="157">
        <f>Total!I2152</f>
        <v>43140.5</v>
      </c>
    </row>
    <row r="23" spans="1:9" x14ac:dyDescent="0.2">
      <c r="A23" s="8">
        <v>22</v>
      </c>
      <c r="B23" s="101">
        <f>Total!B2153</f>
        <v>43788</v>
      </c>
      <c r="C23" s="101">
        <f>Total!C2153</f>
        <v>43803</v>
      </c>
      <c r="D23" s="112" t="s">
        <v>1092</v>
      </c>
      <c r="E23" s="332" t="str">
        <f>Total!E2153</f>
        <v>Edificació</v>
      </c>
      <c r="F23" s="96" t="str">
        <f>Total!F2153</f>
        <v>Projectes i Direccions Facultatives</v>
      </c>
      <c r="G23" s="112" t="str">
        <f>Total!G2153</f>
        <v>PE+DF. XMV-20503</v>
      </c>
      <c r="H23" s="112" t="str">
        <f>Total!H2153</f>
        <v>Redacció del projecte executiu i l'estudi de seguretat i salut i la posterior direcció facultativa de les obres RAM 2020 als Serveis Territorials al Vallès Occidental (I): Institut Escola El Viver (Montcada i Reixac).</v>
      </c>
      <c r="I23" s="157">
        <f>Total!I2153</f>
        <v>55123.97</v>
      </c>
    </row>
    <row r="24" spans="1:9" x14ac:dyDescent="0.2">
      <c r="A24" s="8">
        <v>23</v>
      </c>
      <c r="B24" s="101">
        <f>Total!B2154</f>
        <v>43788</v>
      </c>
      <c r="C24" s="101">
        <f>Total!C2154</f>
        <v>43803</v>
      </c>
      <c r="D24" s="112" t="s">
        <v>1092</v>
      </c>
      <c r="E24" s="332" t="str">
        <f>Total!E2154</f>
        <v>Edificació</v>
      </c>
      <c r="F24" s="96" t="str">
        <f>Total!F2154</f>
        <v>Projectes i Direccions Facultatives</v>
      </c>
      <c r="G24" s="112" t="str">
        <f>Total!G2154</f>
        <v>PE+DF. XMV-20504</v>
      </c>
      <c r="H24" s="112" t="str">
        <f>Total!H2154</f>
        <v>Redac. proj. exec. i l'est. S.S. i posterior dir. facult. obres RAM 2020 als Serv. Territ. al Vallès Occidental (II): Inst. Escola Els Pinetons (Ripollet), Inst. Narcisa Freixas (Sabadell), Escola La Mirada (St. Cugat), Inst. Sentment i Inst. Arraona.</v>
      </c>
      <c r="I24" s="157">
        <f>Total!I2154</f>
        <v>59677.68</v>
      </c>
    </row>
    <row r="25" spans="1:9" x14ac:dyDescent="0.2">
      <c r="A25" s="8">
        <v>24</v>
      </c>
      <c r="B25" s="101">
        <f>Total!B2155</f>
        <v>43788</v>
      </c>
      <c r="C25" s="101">
        <f>Total!C2155</f>
        <v>43803</v>
      </c>
      <c r="D25" s="112" t="s">
        <v>1092</v>
      </c>
      <c r="E25" s="332" t="str">
        <f>Total!E2155</f>
        <v>Edificació</v>
      </c>
      <c r="F25" s="96" t="str">
        <f>Total!F2155</f>
        <v>Projectes i Direccions Facultatives</v>
      </c>
      <c r="G25" s="112" t="str">
        <f>Total!G2155</f>
        <v>PE+DF. XME-20516</v>
      </c>
      <c r="H25" s="112" t="str">
        <f>Total!H2155</f>
        <v>Redacció del projecte executiu i l'estudi de seguretat i salut i la posterior direcció facultativa de les obres RAM 2020 als Serveis Territorials a les Terres de l'Ebre (I): Institut Escola Agustí Barberà (Amposta).</v>
      </c>
      <c r="I25" s="157">
        <f>Total!I2155</f>
        <v>26643.29</v>
      </c>
    </row>
    <row r="26" spans="1:9" x14ac:dyDescent="0.2">
      <c r="A26" s="8">
        <v>25</v>
      </c>
      <c r="B26" s="101">
        <f>Total!B2156</f>
        <v>43788</v>
      </c>
      <c r="C26" s="101">
        <f>Total!C2156</f>
        <v>43803</v>
      </c>
      <c r="D26" s="112" t="s">
        <v>1092</v>
      </c>
      <c r="E26" s="332" t="str">
        <f>Total!E2156</f>
        <v>Edificació</v>
      </c>
      <c r="F26" s="96" t="str">
        <f>Total!F2156</f>
        <v>Projectes i Direccions Facultatives</v>
      </c>
      <c r="G26" s="112" t="str">
        <f>Total!G2156</f>
        <v>PE+DF. XMA-20507</v>
      </c>
      <c r="H26" s="112" t="str">
        <f>Total!H2156</f>
        <v>Redac. proj. executiu i l'est. S.S. i posterior dir. facultativa obres RAM 2020 als Serveis Territorials al Baix Llobregat (I): CEE El Virolai (Cornellà de Llobregat) i Institut Francesc Macià (Cornellà de Llobregat).</v>
      </c>
      <c r="I26" s="157">
        <f>Total!I2156</f>
        <v>41702.480000000003</v>
      </c>
    </row>
    <row r="27" spans="1:9" x14ac:dyDescent="0.2">
      <c r="A27" s="8">
        <v>26</v>
      </c>
      <c r="B27" s="101">
        <f>Total!B2157</f>
        <v>43788</v>
      </c>
      <c r="C27" s="101">
        <f>Total!C2157</f>
        <v>43803</v>
      </c>
      <c r="D27" s="112" t="s">
        <v>1092</v>
      </c>
      <c r="E27" s="332" t="str">
        <f>Total!E2157</f>
        <v>Edificació</v>
      </c>
      <c r="F27" s="96" t="str">
        <f>Total!F2157</f>
        <v>Projectes i Direccions Facultatives</v>
      </c>
      <c r="G27" s="112" t="str">
        <f>Total!G2157</f>
        <v>PE+DF. XMM-20513</v>
      </c>
      <c r="H27" s="112" t="str">
        <f>Total!H2157</f>
        <v>Redacció del projecte executiu i l'estudi de seguretat i salut i la posterior direcció facultativa de les obres RAM 2020 als Serveis Territorials al Maresme-Vallès Oriental (I): Institut Cinc Sènies (Mataró) i Institut Sant Pol (Sant Pol de Mar).</v>
      </c>
      <c r="I27" s="157">
        <f>Total!I2157</f>
        <v>27561.98</v>
      </c>
    </row>
    <row r="28" spans="1:9" x14ac:dyDescent="0.2">
      <c r="A28" s="8">
        <v>27</v>
      </c>
      <c r="B28" s="101">
        <f>Total!B2158</f>
        <v>43788</v>
      </c>
      <c r="C28" s="101">
        <f>Total!C2158</f>
        <v>43803</v>
      </c>
      <c r="D28" s="112" t="s">
        <v>1092</v>
      </c>
      <c r="E28" s="332" t="str">
        <f>Total!E2158</f>
        <v>Edificació</v>
      </c>
      <c r="F28" s="96" t="str">
        <f>Total!F2158</f>
        <v>Control de Qualitat</v>
      </c>
      <c r="G28" s="112" t="str">
        <f>Total!G2158</f>
        <v>CQ. XMT-19542</v>
      </c>
      <c r="H28" s="112" t="str">
        <f>Total!H2158</f>
        <v>Contracte de serveis per a l'assistència tècnica de control de qualitat de les obres RAM 2019 als Serveis Territorials a Tarragona (III): Escola Antoni Torroja i Miret (Vila-seca) i Escola Cal·lípolis (Vila-seca).</v>
      </c>
      <c r="I28" s="157">
        <f>Total!I2158</f>
        <v>1014.15</v>
      </c>
    </row>
    <row r="29" spans="1:9" x14ac:dyDescent="0.2">
      <c r="A29" s="8">
        <v>28</v>
      </c>
      <c r="B29" s="101">
        <f>Total!B2159</f>
        <v>43788</v>
      </c>
      <c r="C29" s="101">
        <f>Total!C2159</f>
        <v>43803</v>
      </c>
      <c r="D29" s="112" t="s">
        <v>1092</v>
      </c>
      <c r="E29" s="332" t="str">
        <f>Total!E2159</f>
        <v>Edificació</v>
      </c>
      <c r="F29" s="96" t="str">
        <f>Total!F2159</f>
        <v>Projectes i Direccions Facultatives</v>
      </c>
      <c r="G29" s="112" t="str">
        <f>Total!G2159</f>
        <v>PE+DF. XMC-20510</v>
      </c>
      <c r="H29" s="112" t="str">
        <f>Total!H2159</f>
        <v>Redac. proj. executiu i l'estudi S.S. i la posterior direcció facultativa de les obres RAM 2020 als Serveis Territorials a Barcelona Comarques (I): Institut Escola Pere Lliscart (L'Hospitalet de Llobregat) i Institut Jaume Botey (Hospitalet de Llobregat).</v>
      </c>
      <c r="I29" s="157">
        <f>Total!I2159</f>
        <v>28760.33</v>
      </c>
    </row>
    <row r="30" spans="1:9" x14ac:dyDescent="0.2">
      <c r="A30" s="8">
        <v>29</v>
      </c>
      <c r="B30" s="101">
        <f>Total!B2160</f>
        <v>43789</v>
      </c>
      <c r="C30" s="101">
        <f>Total!C2160</f>
        <v>43808</v>
      </c>
      <c r="D30" s="112" t="s">
        <v>1092</v>
      </c>
      <c r="E30" s="332" t="str">
        <f>Total!E2160</f>
        <v>Edificació</v>
      </c>
      <c r="F30" s="96" t="str">
        <f>Total!F2160</f>
        <v>Control de Qualitat</v>
      </c>
      <c r="G30" s="112" t="str">
        <f>Total!G2160</f>
        <v>CQ. CGM-17226</v>
      </c>
      <c r="H30" s="112" t="str">
        <f>Total!H2160</f>
        <v>Control de qualitat de les obres RAM. Reparació i rehab. diverses instal. i espais de les Comissaries de les Regions Policials de Girona, Metropolitana Nord, Metrop. Sud, Barcelona i actuació col. pilones protec.</v>
      </c>
      <c r="I30" s="157">
        <f>Total!I2160</f>
        <v>5481.46</v>
      </c>
    </row>
    <row r="31" spans="1:9" x14ac:dyDescent="0.2">
      <c r="A31" s="8">
        <v>30</v>
      </c>
      <c r="B31" s="101">
        <f>Total!B2161</f>
        <v>43797</v>
      </c>
      <c r="C31" s="101">
        <f>Total!C2161</f>
        <v>43815</v>
      </c>
      <c r="D31" s="112" t="s">
        <v>1092</v>
      </c>
      <c r="E31" s="332" t="str">
        <f>Total!E2161</f>
        <v>Edificació</v>
      </c>
      <c r="F31" s="96" t="str">
        <f>Total!F2161</f>
        <v>Direccions d'Execució</v>
      </c>
      <c r="G31" s="112" t="str">
        <f>Total!G2161</f>
        <v>DE. CAP-17240</v>
      </c>
      <c r="H31" s="112" t="str">
        <f>Total!H2161</f>
        <v>Contracte de serveis per a la direcció d'execució de les obres de construcció del nou Centre d'Atenció Primària Can Llong, de Sabadell.</v>
      </c>
      <c r="I31" s="157">
        <f>Total!I2161</f>
        <v>71639.64</v>
      </c>
    </row>
    <row r="32" spans="1:9" x14ac:dyDescent="0.2">
      <c r="A32" s="8">
        <v>31</v>
      </c>
      <c r="B32" s="101">
        <f>Total!B2162</f>
        <v>43797</v>
      </c>
      <c r="C32" s="101">
        <f>Total!C2162</f>
        <v>43815</v>
      </c>
      <c r="D32" s="112" t="s">
        <v>1092</v>
      </c>
      <c r="E32" s="332" t="str">
        <f>Total!E2162</f>
        <v>Edificació</v>
      </c>
      <c r="F32" s="96" t="str">
        <f>Total!F2162</f>
        <v>Control de Qualitat</v>
      </c>
      <c r="G32" s="112" t="str">
        <f>Total!G2162</f>
        <v>CQ. CAP-17240</v>
      </c>
      <c r="H32" s="112" t="str">
        <f>Total!H2162</f>
        <v>Contracte de serveis per a l'assistència tècnica per al control de qualitat de les obres de construcció del nou Centre d'Atenció Primària Can Llong, de Sabadell.</v>
      </c>
      <c r="I32" s="157">
        <f>Total!I2162</f>
        <v>21055.89</v>
      </c>
    </row>
    <row r="33" spans="1:9" x14ac:dyDescent="0.2">
      <c r="A33" s="8">
        <v>32</v>
      </c>
      <c r="B33" s="101">
        <f>Total!B2163</f>
        <v>43797</v>
      </c>
      <c r="C33" s="101">
        <f>Total!C2163</f>
        <v>43815</v>
      </c>
      <c r="D33" s="112" t="s">
        <v>1092</v>
      </c>
      <c r="E33" s="332" t="str">
        <f>Total!E2163</f>
        <v>Edificació</v>
      </c>
      <c r="F33" s="96" t="str">
        <f>Total!F2163</f>
        <v>Projectes i Direccions Facultatives</v>
      </c>
      <c r="G33" s="112" t="str">
        <f>Total!G2163</f>
        <v>PE+DF. JVX-18317</v>
      </c>
      <c r="H33" s="112" t="str">
        <f>Total!H2163</f>
        <v>Redacció del projecte bàsic i executiu i la posterior direcció facultativa de les obres de condicionament d'espais per al servei de patologia de l'IMLCFC i la modernització de les instal·lacions PCDI, CCTV, intrusió i megafonia als Jutjats de Girona.</v>
      </c>
      <c r="I33" s="157">
        <f>Total!I2163</f>
        <v>41230.300000000003</v>
      </c>
    </row>
    <row r="34" spans="1:9" x14ac:dyDescent="0.2">
      <c r="A34" s="8">
        <v>33</v>
      </c>
      <c r="B34" s="101">
        <f>Total!B2164</f>
        <v>43797</v>
      </c>
      <c r="C34" s="101">
        <f>Total!C2164</f>
        <v>43815</v>
      </c>
      <c r="D34" s="112" t="s">
        <v>1092</v>
      </c>
      <c r="E34" s="332" t="str">
        <f>Total!E2164</f>
        <v>Edificació</v>
      </c>
      <c r="F34" s="96" t="str">
        <f>Total!F2164</f>
        <v>Direccions d'Execució</v>
      </c>
      <c r="G34" s="112" t="str">
        <f>Total!G2164</f>
        <v>CSS. CAP-17240</v>
      </c>
      <c r="H34" s="112" t="str">
        <f>Total!H2164</f>
        <v>Contracte de serveis per a l'assistència tècnica per a la coordinació de seguretat i salut de les obres de construcció del nou Centre d'Atenció Primària Can Llong, de Sabadell.</v>
      </c>
      <c r="I34" s="157">
        <f>Total!I2164</f>
        <v>21490.799999999999</v>
      </c>
    </row>
    <row r="35" spans="1:9" x14ac:dyDescent="0.2">
      <c r="A35" s="8">
        <v>34</v>
      </c>
      <c r="B35" s="101">
        <f>Total!B2165</f>
        <v>43797</v>
      </c>
      <c r="C35" s="101">
        <f>Total!C2165</f>
        <v>43826</v>
      </c>
      <c r="D35" s="112" t="s">
        <v>1092</v>
      </c>
      <c r="E35" s="332" t="str">
        <f>Total!E2165</f>
        <v>Obra Civil</v>
      </c>
      <c r="F35" s="96" t="str">
        <f>Total!F2165</f>
        <v>Projectes</v>
      </c>
      <c r="G35" s="112" t="str">
        <f>Total!G2165</f>
        <v>PC.TM-02609.33</v>
      </c>
      <c r="H35" s="112" t="str">
        <f>Total!H2165</f>
        <v>Contracte de serveis per a l'assistència tècnica per a la redacció del projecte constructiu d'adaptació de les receptores de la L9 i desenvolupament de la nova xarxa d'alimentació per a la mobilitat elèctrica.</v>
      </c>
      <c r="I35" s="157">
        <f>Total!I2165</f>
        <v>936405</v>
      </c>
    </row>
    <row r="36" spans="1:9" x14ac:dyDescent="0.2">
      <c r="A36" s="8">
        <v>35</v>
      </c>
      <c r="B36" s="101">
        <f>Total!B2166</f>
        <v>43798</v>
      </c>
      <c r="C36" s="101">
        <f>Total!C2166</f>
        <v>43815</v>
      </c>
      <c r="D36" s="112" t="s">
        <v>1092</v>
      </c>
      <c r="E36" s="332" t="str">
        <f>Total!E2166</f>
        <v>Edificació</v>
      </c>
      <c r="F36" s="96" t="str">
        <f>Total!F2166</f>
        <v>Projectes</v>
      </c>
      <c r="G36" s="112" t="str">
        <f>Total!G2166</f>
        <v>PC. JNP-16250.1</v>
      </c>
      <c r="H36" s="112" t="str">
        <f>Total!H2166</f>
        <v>Contracte de serveis per a l'assistència tècnica per a la redacció del projecte bàsic i executiu i la posterior direcció d'obra de les obres de l'arxiu soterrat per dependències judicials i la seva urbanització del Centre Penitenciari obert de Tarragona</v>
      </c>
      <c r="I36" s="157">
        <f>Total!I2166</f>
        <v>62157.34</v>
      </c>
    </row>
    <row r="37" spans="1:9" x14ac:dyDescent="0.2">
      <c r="A37" s="8">
        <v>36</v>
      </c>
      <c r="B37" s="101">
        <f>Total!B2167</f>
        <v>43798</v>
      </c>
      <c r="C37" s="101">
        <f>Total!C2167</f>
        <v>43815</v>
      </c>
      <c r="D37" s="112" t="s">
        <v>1092</v>
      </c>
      <c r="E37" s="332" t="str">
        <f>Total!E2167</f>
        <v>Obra Civil</v>
      </c>
      <c r="F37" s="96" t="str">
        <f>Total!F2167</f>
        <v>Projectes</v>
      </c>
      <c r="G37" s="112" t="str">
        <f>Total!G2167</f>
        <v>AT-00164.1-A1-C1</v>
      </c>
      <c r="H37" s="112" t="str">
        <f>Total!H2167</f>
        <v>Contracte de serveis per a l'assistència tècnica per a la redacció del projecte constructiu de millora local. Mesures correctores d'impacte ambiental del condicionament de la carretera C-51 a Vilardida PK 24+400 AL 26+840. Tram: Vila-rodona.</v>
      </c>
      <c r="I37" s="157">
        <f>Total!I2167</f>
        <v>20500</v>
      </c>
    </row>
    <row r="38" spans="1:9" x14ac:dyDescent="0.2">
      <c r="I38" s="126">
        <f>SUM(I2:I37)</f>
        <v>3015226.9099999997</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23"/>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Total!B2111</f>
        <v>43739</v>
      </c>
      <c r="C2" s="101">
        <f>Total!C2111</f>
        <v>43759</v>
      </c>
      <c r="D2" s="112" t="s">
        <v>1092</v>
      </c>
      <c r="E2" s="332" t="str">
        <f>Total!E2111</f>
        <v>Obra Civil</v>
      </c>
      <c r="F2" s="96" t="str">
        <f>Total!F2111</f>
        <v>Projectes</v>
      </c>
      <c r="G2" s="112" t="str">
        <f>Total!G2111</f>
        <v>PC. PC-XMG-18021</v>
      </c>
      <c r="H2" s="112" t="str">
        <f>Total!H2111</f>
        <v>Contracte de serveis per a l'assistència tècnica per a la redacció del projecte constructiu de millora del ferm i obres complementàries al camí d'accés a Comaoriola. PK 0+000 al 4+935. Alp - Das.</v>
      </c>
      <c r="I2" s="157">
        <f>Total!I2111</f>
        <v>78900</v>
      </c>
    </row>
    <row r="3" spans="1:9" x14ac:dyDescent="0.2">
      <c r="A3" s="8">
        <v>2</v>
      </c>
      <c r="B3" s="101">
        <f>Total!B2112</f>
        <v>43739</v>
      </c>
      <c r="C3" s="101">
        <f>Total!C2112</f>
        <v>43759</v>
      </c>
      <c r="D3" s="112" t="s">
        <v>1092</v>
      </c>
      <c r="E3" s="332" t="str">
        <f>Total!F2112</f>
        <v>Direccions d'Obra</v>
      </c>
      <c r="F3" s="96" t="str">
        <f>Total!F2112</f>
        <v>Direccions d'Obra</v>
      </c>
      <c r="G3" s="112" t="str">
        <f>Total!G2112</f>
        <v>DO.TM-02609.20.2.2 Fases 4 i 5</v>
      </c>
      <c r="H3" s="112" t="str">
        <f>Total!H2112</f>
        <v>Dir. obres del projecte constructiu de canvi de senyalèctica i de plafons de senyalització per adaptar la xarxa a la posada en servei de la Línia 10 Sud del metro de Barcelona. Estacions Ildefons Cerdà, Provençana i estacions Viaducte. Fase 4 i 5.</v>
      </c>
      <c r="I3" s="157">
        <f>Total!I2112</f>
        <v>4092</v>
      </c>
    </row>
    <row r="4" spans="1:9" x14ac:dyDescent="0.2">
      <c r="A4" s="8">
        <v>3</v>
      </c>
      <c r="B4" s="101">
        <f>Total!B2113</f>
        <v>43746</v>
      </c>
      <c r="C4" s="101">
        <f>Total!C2113</f>
        <v>43766</v>
      </c>
      <c r="D4" s="112" t="s">
        <v>1092</v>
      </c>
      <c r="E4" s="332" t="str">
        <f>Total!F2113</f>
        <v>Projectes</v>
      </c>
      <c r="F4" s="96" t="str">
        <f>Total!F2113</f>
        <v>Projectes</v>
      </c>
      <c r="G4" s="112" t="str">
        <f>Total!G2113</f>
        <v>PC. CMT-18015</v>
      </c>
      <c r="H4" s="112" t="str">
        <f>Total!H2113</f>
        <v>Contracte de serveis per a l'assistència tècnica per a la redacció del projecte constructiu Millora local. Ampliació de vorals de la C-51, del PK 8+226 a 9+060i del PK 9+600 a 10+140. El Vendrell-Albinyana.</v>
      </c>
      <c r="I4" s="157">
        <f>Total!I2113</f>
        <v>25500</v>
      </c>
    </row>
    <row r="5" spans="1:9" x14ac:dyDescent="0.2">
      <c r="A5" s="8">
        <v>4</v>
      </c>
      <c r="B5" s="101">
        <f>Total!B2114</f>
        <v>43749</v>
      </c>
      <c r="C5" s="101">
        <f>Total!C2114</f>
        <v>43766</v>
      </c>
      <c r="D5" s="112" t="s">
        <v>1092</v>
      </c>
      <c r="E5" s="332" t="str">
        <f>Total!F2114</f>
        <v>Control de Qualitat</v>
      </c>
      <c r="F5" s="96" t="str">
        <f>Total!F2114</f>
        <v>Control de Qualitat</v>
      </c>
      <c r="G5" s="112" t="str">
        <f>Total!G2114</f>
        <v>CQ. HGG-19237</v>
      </c>
      <c r="H5" s="112" t="str">
        <f>Total!H2114</f>
        <v>Contracte de serveis per a l'assistència tècnica de control de qualitat de de les obres RAM de l'Àrea d'observació i tractament de les urgències de l'Hospital Dr. Trueta de Girona.</v>
      </c>
      <c r="I5" s="157">
        <f>Total!I2114</f>
        <v>9034.8700000000008</v>
      </c>
    </row>
    <row r="6" spans="1:9" x14ac:dyDescent="0.2">
      <c r="A6" s="8">
        <v>5</v>
      </c>
      <c r="B6" s="101">
        <f>Total!B2115</f>
        <v>43754</v>
      </c>
      <c r="C6" s="101">
        <f>Total!C2115</f>
        <v>43773</v>
      </c>
      <c r="D6" s="112" t="s">
        <v>1092</v>
      </c>
      <c r="E6" s="332" t="str">
        <f>Total!F2115</f>
        <v>Projectes</v>
      </c>
      <c r="F6" s="96" t="str">
        <f>Total!F2115</f>
        <v>Projectes</v>
      </c>
      <c r="G6" s="112" t="str">
        <f>Total!G2115</f>
        <v>PC. CGG-19020</v>
      </c>
      <c r="H6" s="112" t="str">
        <f>Total!H2115</f>
        <v>Contracte de serveis per a l'assistència tècnica per a la redacció del Projecte constructiu. Protecció acústica a la C-253 del PK 40+850 al 41+250. Sant Feliu de Guíxols.</v>
      </c>
      <c r="I6" s="157">
        <f>Total!I2115</f>
        <v>32500</v>
      </c>
    </row>
    <row r="7" spans="1:9" x14ac:dyDescent="0.2">
      <c r="A7" s="8">
        <v>6</v>
      </c>
      <c r="B7" s="101">
        <f>Total!B2116</f>
        <v>43755</v>
      </c>
      <c r="C7" s="101">
        <f>Total!C2116</f>
        <v>43776</v>
      </c>
      <c r="D7" s="112" t="s">
        <v>1092</v>
      </c>
      <c r="E7" s="332" t="str">
        <f>Total!F2116</f>
        <v>Projectes</v>
      </c>
      <c r="F7" s="96" t="str">
        <f>Total!F2116</f>
        <v>Projectes</v>
      </c>
      <c r="G7" s="112" t="str">
        <f>Total!G2116</f>
        <v>PC. TM-16202</v>
      </c>
      <c r="H7" s="112" t="str">
        <f>Total!H2116</f>
        <v>Redacció del projecte constructiu: millora de l'accessibilitat dels intercanviadors de Sants Estació (línies L3 i L5 dels FMB - línies ADIF), Pg. de Gràcia (línies L2, L3 i L4 FMB) i Catalunya (línies L1 i L3 FMB). Barcelona.</v>
      </c>
      <c r="I7" s="157">
        <f>Total!I2116</f>
        <v>140500</v>
      </c>
    </row>
    <row r="8" spans="1:9" x14ac:dyDescent="0.2">
      <c r="A8" s="8">
        <v>7</v>
      </c>
      <c r="B8" s="101">
        <f>Total!B2117</f>
        <v>43760</v>
      </c>
      <c r="C8" s="101">
        <f>Total!C2117</f>
        <v>43775</v>
      </c>
      <c r="D8" s="112" t="s">
        <v>1092</v>
      </c>
      <c r="E8" s="332" t="str">
        <f>Total!F2117</f>
        <v>Projectes</v>
      </c>
      <c r="F8" s="96" t="str">
        <f>Total!F2117</f>
        <v>Projectes</v>
      </c>
      <c r="G8" s="112" t="str">
        <f>Total!G2117</f>
        <v>PC. PC-BNG-18004.F1/PC. PC-BNG-18004.F2</v>
      </c>
      <c r="H8" s="112" t="str">
        <f>Total!H2117</f>
        <v>Contracte de serveis per a l'assistència tècnica per a la redacció del projecte constructiu de la via ciclista a la C-25 del PK 241+350 al 243+650. Campllong - Cassà de la Selva.</v>
      </c>
      <c r="I8" s="157">
        <f>Total!I2117</f>
        <v>45000</v>
      </c>
    </row>
    <row r="9" spans="1:9" x14ac:dyDescent="0.2">
      <c r="A9" s="8">
        <v>8</v>
      </c>
      <c r="B9" s="101">
        <f>Total!B2118</f>
        <v>43763</v>
      </c>
      <c r="C9" s="101">
        <f>Total!C2118</f>
        <v>43780</v>
      </c>
      <c r="D9" s="112" t="s">
        <v>1092</v>
      </c>
      <c r="E9" s="332" t="str">
        <f>Total!F2118</f>
        <v>Direccions d'Obra</v>
      </c>
      <c r="F9" s="96" t="str">
        <f>Total!F2118</f>
        <v>Direccions d'Obra</v>
      </c>
      <c r="G9" s="112" t="str">
        <f>Total!G2118</f>
        <v>CSS. MB-15048</v>
      </c>
      <c r="H9" s="112" t="str">
        <f>Total!H2118</f>
        <v>Serveis per a l'assistència tècnica per la coord. S.S. de l'execució de les obres del proj. constructiu de millora local. Apantallament acústic. Ctra. N-150, Ronda Sud de Terrassa, al pk 18,500, i ctra. C-59, variant Caldes de Montbui, al pk 14,400.</v>
      </c>
      <c r="I9" s="157">
        <f>Total!I2118</f>
        <v>4500</v>
      </c>
    </row>
    <row r="10" spans="1:9" x14ac:dyDescent="0.2">
      <c r="A10" s="8">
        <v>9</v>
      </c>
      <c r="B10" s="101">
        <f>Total!B2119</f>
        <v>43763</v>
      </c>
      <c r="C10" s="101">
        <f>Total!C2119</f>
        <v>43780</v>
      </c>
      <c r="D10" s="112" t="s">
        <v>1092</v>
      </c>
      <c r="E10" s="332" t="str">
        <f>Total!F2119</f>
        <v>Direccions d'Obra</v>
      </c>
      <c r="F10" s="96" t="str">
        <f>Total!F2119</f>
        <v>Direccions d'Obra</v>
      </c>
      <c r="G10" s="112" t="str">
        <f>Total!G2119</f>
        <v>DO. MB-15048</v>
      </c>
      <c r="H10" s="112" t="str">
        <f>Total!H2119</f>
        <v>Serveis per a la direcció de les obres del proj. constructiu de millora local. Apantallament acústic. Ctra. N-150, Ronda Sud de Terrassa, al pk 18,500, i ctra. C-59, variant Caldes de Montbui, al pk 14,400. TM Terrassa i Caldes de Montbui.</v>
      </c>
      <c r="I10" s="157">
        <f>Total!I2119</f>
        <v>10316.66</v>
      </c>
    </row>
    <row r="11" spans="1:9" x14ac:dyDescent="0.2">
      <c r="A11" s="8">
        <v>10</v>
      </c>
      <c r="B11" s="101">
        <f>Total!B2120</f>
        <v>43763</v>
      </c>
      <c r="C11" s="101">
        <f>Total!C2120</f>
        <v>43780</v>
      </c>
      <c r="D11" s="112" t="s">
        <v>1092</v>
      </c>
      <c r="E11" s="332" t="str">
        <f>Total!F2120</f>
        <v>Control de Qualitat</v>
      </c>
      <c r="F11" s="96" t="str">
        <f>Total!F2120</f>
        <v>Control de Qualitat</v>
      </c>
      <c r="G11" s="112" t="str">
        <f>Total!G2120</f>
        <v>CQ. MB-15048</v>
      </c>
      <c r="H11" s="112" t="str">
        <f>Total!H2120</f>
        <v>Control de qualitat de les obres del proj. constructiu de millora local. Apantallament acústic. Ctra. N-150, Ronda Sud de Terrassa, al pk 18,500, i ctra. C-59, variant Caldes de Montbui, al pk 14,400. TM Terrassa i Caldes de Montbui.</v>
      </c>
      <c r="I11" s="157">
        <f>Total!I2120</f>
        <v>4235.78</v>
      </c>
    </row>
    <row r="12" spans="1:9" x14ac:dyDescent="0.2">
      <c r="A12" s="8">
        <v>11</v>
      </c>
      <c r="B12" s="101">
        <f>Total!B2121</f>
        <v>43767</v>
      </c>
      <c r="C12" s="101">
        <f>Total!C2121</f>
        <v>43787</v>
      </c>
      <c r="D12" s="112" t="s">
        <v>1092</v>
      </c>
      <c r="E12" s="332" t="str">
        <f>Total!F2121</f>
        <v>Projectes</v>
      </c>
      <c r="F12" s="96" t="str">
        <f>Total!F2121</f>
        <v>Projectes</v>
      </c>
      <c r="G12" s="112" t="str">
        <f>Total!G2121</f>
        <v>PC. R0-19262</v>
      </c>
      <c r="H12" s="112" t="str">
        <f>Total!H2121</f>
        <v>Contracte de serveis per a l'assistència tècnica per a la redacció del projecte constructiu per a la renovació i millora de la instal·lació de protecció contra incendis de la cua de maniobres de la L9 sota la terminal 1 de l'Aeroport de Barcelona.</v>
      </c>
      <c r="I12" s="157">
        <f>Total!I2121</f>
        <v>14500</v>
      </c>
    </row>
    <row r="13" spans="1:9" x14ac:dyDescent="0.2">
      <c r="A13" s="8">
        <v>12</v>
      </c>
      <c r="B13" s="101">
        <f>Total!B2122</f>
        <v>43768</v>
      </c>
      <c r="C13" s="101">
        <f>Total!C2122</f>
        <v>43787</v>
      </c>
      <c r="D13" s="112" t="s">
        <v>1092</v>
      </c>
      <c r="E13" s="332" t="str">
        <f>Total!F2122</f>
        <v>Direccions d'execució</v>
      </c>
      <c r="F13" s="96" t="str">
        <f>Total!F2122</f>
        <v>Direccions d'execució</v>
      </c>
      <c r="G13" s="112" t="str">
        <f>Total!G2122</f>
        <v>DE. IAV-16217</v>
      </c>
      <c r="H13" s="112" t="str">
        <f>Total!H2122</f>
        <v>Contracte de serveis per a l'assistència tècnica de direcció d'execució de les obres d'ampliació i reforma a l'Institut La Ferreria de Montcada i Reixac.</v>
      </c>
      <c r="I13" s="157">
        <f>Total!I2122</f>
        <v>55614.22</v>
      </c>
    </row>
    <row r="14" spans="1:9" x14ac:dyDescent="0.2">
      <c r="A14" s="8">
        <v>13</v>
      </c>
      <c r="B14" s="101">
        <f>Total!B2123</f>
        <v>43768</v>
      </c>
      <c r="C14" s="101">
        <f>Total!C2123</f>
        <v>43787</v>
      </c>
      <c r="D14" s="112" t="s">
        <v>1092</v>
      </c>
      <c r="E14" s="332" t="str">
        <f>Total!F2123</f>
        <v>Control de Qualitat</v>
      </c>
      <c r="F14" s="96" t="str">
        <f>Total!F2123</f>
        <v>Control de Qualitat</v>
      </c>
      <c r="G14" s="112" t="str">
        <f>Total!G2123</f>
        <v>CQ. IAV-16217</v>
      </c>
      <c r="H14" s="112" t="str">
        <f>Total!H2123</f>
        <v>Contracte de serveis per a l'assistència tècnica de control de qualitat de les obres d'ampliació i reforma a l'Institut La Ferreria de Montcada i Reixac.</v>
      </c>
      <c r="I14" s="157">
        <f>Total!I2123</f>
        <v>18871.59</v>
      </c>
    </row>
    <row r="15" spans="1:9" x14ac:dyDescent="0.2">
      <c r="A15" s="8">
        <v>14</v>
      </c>
      <c r="B15" s="101">
        <f>Total!B2124</f>
        <v>43768</v>
      </c>
      <c r="C15" s="101">
        <f>Total!C2124</f>
        <v>43787</v>
      </c>
      <c r="D15" s="112" t="s">
        <v>1092</v>
      </c>
      <c r="E15" s="332" t="str">
        <f>Total!F2124</f>
        <v>Direccions d'execució</v>
      </c>
      <c r="F15" s="96" t="str">
        <f>Total!F2124</f>
        <v>Direccions d'execució</v>
      </c>
      <c r="G15" s="112" t="str">
        <f>Total!G2124</f>
        <v>DE. JVX-17230</v>
      </c>
      <c r="H15" s="112" t="str">
        <f>Total!H2124</f>
        <v>Contracte de serveis per a la direcció d'execució de les obres RAM de rehabilitació de patologies a l'edifici judicial de Tremp.</v>
      </c>
      <c r="I15" s="157">
        <f>Total!I2124</f>
        <v>6800</v>
      </c>
    </row>
    <row r="16" spans="1:9" x14ac:dyDescent="0.2">
      <c r="A16" s="8">
        <v>15</v>
      </c>
      <c r="B16" s="101">
        <f>Total!B2125</f>
        <v>43768</v>
      </c>
      <c r="C16" s="101">
        <f>Total!C2125</f>
        <v>43787</v>
      </c>
      <c r="D16" s="112" t="s">
        <v>1092</v>
      </c>
      <c r="E16" s="332" t="str">
        <f>Total!F2125</f>
        <v>Direccions d'execució</v>
      </c>
      <c r="F16" s="96" t="str">
        <f>Total!F2125</f>
        <v>Direccions d'execució</v>
      </c>
      <c r="G16" s="112" t="str">
        <f>Total!G2125</f>
        <v>CSS. IAV-16217</v>
      </c>
      <c r="H16" s="112" t="str">
        <f>Total!H2125</f>
        <v>Contracte de serveis per a l'Assistència tècnica per la Coordinació de seguretat i salut per l'execució de les obres d'ampliació i adequació a l'Institut La Ferreria de Montcada i Reixac.</v>
      </c>
      <c r="I16" s="157">
        <f>Total!I2125</f>
        <v>16684.8</v>
      </c>
    </row>
    <row r="17" spans="1:9" x14ac:dyDescent="0.2">
      <c r="A17" s="8">
        <v>16</v>
      </c>
      <c r="B17" s="101">
        <f>Total!B2126</f>
        <v>43768</v>
      </c>
      <c r="C17" s="101">
        <f>Total!C2126</f>
        <v>43787</v>
      </c>
      <c r="D17" s="112" t="s">
        <v>1092</v>
      </c>
      <c r="E17" s="332" t="str">
        <f>Total!F2126</f>
        <v>Control de Qualitat</v>
      </c>
      <c r="F17" s="96" t="str">
        <f>Total!F2126</f>
        <v>Control de Qualitat</v>
      </c>
      <c r="G17" s="112" t="str">
        <f>Total!G2126</f>
        <v>CQ. JVX-17230</v>
      </c>
      <c r="H17" s="112" t="str">
        <f>Total!H2126</f>
        <v>Contracte de serveis per a l'assistència tècnica per al control de qualitat de les obres RAM de rehabilitació de patologies a l'edifici judicial de Tremp.</v>
      </c>
      <c r="I17" s="157">
        <f>Total!I2126</f>
        <v>1492.98</v>
      </c>
    </row>
    <row r="18" spans="1:9" x14ac:dyDescent="0.2">
      <c r="A18" s="8">
        <v>17</v>
      </c>
      <c r="B18" s="101">
        <f>Total!B2127</f>
        <v>43768</v>
      </c>
      <c r="C18" s="101">
        <f>Total!C2127</f>
        <v>43787</v>
      </c>
      <c r="D18" s="112" t="s">
        <v>1092</v>
      </c>
      <c r="E18" s="332" t="str">
        <f>Total!F2127</f>
        <v>Direccions d'execució</v>
      </c>
      <c r="F18" s="96" t="str">
        <f>Total!F2127</f>
        <v>Direccions d'execució</v>
      </c>
      <c r="G18" s="112" t="str">
        <f>Total!G2127</f>
        <v>CSS. JVX-17230</v>
      </c>
      <c r="H18" s="112" t="str">
        <f>Total!H2127</f>
        <v>Contracte de serveis per a l'assistència tècnica per a la coordinació de seguretat i salut de les obres RAM de rehabilitació de patologies a l'edifici judicial de Tremp.</v>
      </c>
      <c r="I18" s="157">
        <f>Total!I2127</f>
        <v>2100</v>
      </c>
    </row>
    <row r="19" spans="1:9" x14ac:dyDescent="0.2">
      <c r="A19" s="8">
        <v>18</v>
      </c>
      <c r="B19" s="101">
        <f>Total!B2128</f>
        <v>43769</v>
      </c>
      <c r="C19" s="101">
        <f>Total!C2128</f>
        <v>43787</v>
      </c>
      <c r="D19" s="112" t="s">
        <v>1092</v>
      </c>
      <c r="E19" s="332" t="str">
        <f>Total!F2128</f>
        <v>Projectes</v>
      </c>
      <c r="F19" s="96" t="str">
        <f>Total!F2128</f>
        <v>Projectes</v>
      </c>
      <c r="G19" s="112" t="str">
        <f>Total!G2128</f>
        <v>PC.R0-19263</v>
      </c>
      <c r="H19" s="112" t="str">
        <f>Total!H2128</f>
        <v>Contracte de serveis pqe a l'assistència tècnica per a la redacció dels estudis de ventilació, evacuació i projecte constructiu d'adequació del vestíbul multimodal de la Plaça Europa. Estacions Europa-Fira de la L9 i FGC.</v>
      </c>
      <c r="I19" s="157">
        <f>Total!I2128</f>
        <v>58000</v>
      </c>
    </row>
    <row r="20" spans="1:9" x14ac:dyDescent="0.2">
      <c r="A20" s="8">
        <v>19</v>
      </c>
      <c r="B20" s="101">
        <f>Total!B2129</f>
        <v>43769</v>
      </c>
      <c r="C20" s="101">
        <f>Total!C2129</f>
        <v>43787</v>
      </c>
      <c r="D20" s="112" t="s">
        <v>1092</v>
      </c>
      <c r="E20" s="332" t="str">
        <f>Total!F2129</f>
        <v>Direccions d'Obra</v>
      </c>
      <c r="F20" s="96" t="str">
        <f>Total!F2129</f>
        <v>Direccions d'Obra</v>
      </c>
      <c r="G20" s="112" t="str">
        <f>Total!G2129</f>
        <v>DO.PC-MAB-17079</v>
      </c>
      <c r="H20" s="112" t="str">
        <f>Total!H2129</f>
        <v>Contracte de serveis per a la direcció de les obres del projecte constructiu de renovació de l'enclavament de la cotxera i taller de Sant Genís de la línia 3 d'FMB. Barcelona.</v>
      </c>
      <c r="I20" s="157">
        <f>Total!I2129</f>
        <v>193200</v>
      </c>
    </row>
    <row r="21" spans="1:9" x14ac:dyDescent="0.2">
      <c r="A21" s="8">
        <v>20</v>
      </c>
      <c r="B21" s="101">
        <f>Total!B2130</f>
        <v>43769</v>
      </c>
      <c r="C21" s="101">
        <f>Total!C2130</f>
        <v>43787</v>
      </c>
      <c r="D21" s="112" t="s">
        <v>1092</v>
      </c>
      <c r="E21" s="332" t="str">
        <f>Total!F2130</f>
        <v>Control de Qualitat</v>
      </c>
      <c r="F21" s="96" t="str">
        <f>Total!F2130</f>
        <v>Control de Qualitat</v>
      </c>
      <c r="G21" s="112" t="str">
        <f>Total!G2130</f>
        <v>CQ.PC-MAB-17079</v>
      </c>
      <c r="H21" s="112" t="str">
        <f>Total!H2130</f>
        <v>Contracte de serveis per a l'assistència tècnica de control de qualitat de les obres del projecte constructiu de renovació de l'enclavament de la cotxera i taller de Sant Genís de la línia 3 d'FMB. Barcelona.</v>
      </c>
      <c r="I21" s="157">
        <f>Total!I2130</f>
        <v>37126.07</v>
      </c>
    </row>
    <row r="22" spans="1:9" x14ac:dyDescent="0.2">
      <c r="A22" s="8">
        <v>21</v>
      </c>
      <c r="B22" s="101">
        <f>Total!B2131</f>
        <v>43769</v>
      </c>
      <c r="C22" s="101">
        <f>Total!C2131</f>
        <v>43787</v>
      </c>
      <c r="D22" s="112" t="s">
        <v>1092</v>
      </c>
      <c r="E22" s="332" t="str">
        <f>Total!F2131</f>
        <v>Direccions d'Obra</v>
      </c>
      <c r="F22" s="96" t="str">
        <f>Total!F2131</f>
        <v>Direccions d'Obra</v>
      </c>
      <c r="G22" s="112" t="str">
        <f>Total!G2131</f>
        <v>CSS. PC-MAB-17079</v>
      </c>
      <c r="H22" s="112" t="str">
        <f>Total!H2131</f>
        <v>Contracte de serveis per a l'Assistència tècnica per la Coordinació de seguretat i salut de l'execució de les obres del projecte constructiu de renovació de l'enclavament de la cotxera i taller de Sant Genís de la línia 3 de l'FMB. Barcelona.</v>
      </c>
      <c r="I22" s="157">
        <f>Total!I2131</f>
        <v>38400</v>
      </c>
    </row>
    <row r="23" spans="1:9" x14ac:dyDescent="0.2">
      <c r="I23" s="126">
        <f>SUM(I2:I22)</f>
        <v>797368.97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40C8A-7BF2-4105-B463-518F1D4C2DAD}">
  <dimension ref="A1:I4"/>
  <sheetViews>
    <sheetView workbookViewId="0">
      <selection activeCell="I5" sqref="I5"/>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90"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Total!B3722</f>
        <v>45079</v>
      </c>
      <c r="C2" s="101">
        <f>Total!C3722</f>
        <v>45103</v>
      </c>
      <c r="D2" s="112" t="s">
        <v>1092</v>
      </c>
      <c r="E2" s="332" t="str">
        <f>Total!E3722</f>
        <v>Obra Civil</v>
      </c>
      <c r="F2" s="96" t="str">
        <f>Total!F3722</f>
        <v>Direccions d'Obra</v>
      </c>
      <c r="G2" s="112" t="str">
        <f>Total!G3722</f>
        <v>CSS. MB-15037</v>
      </c>
      <c r="H2" s="112" t="str">
        <f>Total!H3722</f>
        <v>Contracte de serveis per a l'assistència tècnica de coordinació de seguretat i salut de les obres de la reparació puntual del sosteniment del túnel de la Codina a la C-37 al PK 170+114. La Vall d'en Bas.</v>
      </c>
      <c r="I2" s="157">
        <f>Total!I3722</f>
        <v>2984.52</v>
      </c>
    </row>
    <row r="3" spans="1:9" x14ac:dyDescent="0.2">
      <c r="A3" s="8">
        <v>2</v>
      </c>
      <c r="B3" s="101">
        <f>Total!B3723</f>
        <v>45079</v>
      </c>
      <c r="C3" s="101">
        <f>Total!C3723</f>
        <v>45103</v>
      </c>
      <c r="D3" s="112" t="s">
        <v>1092</v>
      </c>
      <c r="E3" s="332" t="str">
        <f>Total!E3723</f>
        <v>Obra Civil</v>
      </c>
      <c r="F3" s="96" t="str">
        <f>Total!F3723</f>
        <v>Control de Qualitat</v>
      </c>
      <c r="G3" s="112" t="str">
        <f>Total!G3723</f>
        <v>CQ. MB-15037</v>
      </c>
      <c r="H3" s="112" t="str">
        <f>Total!H3723</f>
        <v>Contracte de serveis per a l'assistència tècnica de Control de Qualitat de les obres de la reparació puntual del sosteniment del túnel de la Codina a la C-37 al PK 170+114. La Vall d'en Bas.</v>
      </c>
      <c r="I3" s="157">
        <f>Total!I3723</f>
        <v>3662.42</v>
      </c>
    </row>
    <row r="4" spans="1:9" x14ac:dyDescent="0.2">
      <c r="I4" s="126">
        <f>SUM(I2:I3)</f>
        <v>6646.9400000000005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8"/>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Total!B2095</f>
        <v>43712</v>
      </c>
      <c r="C2" s="101">
        <f>Total!C2095</f>
        <v>43734</v>
      </c>
      <c r="D2" s="112" t="s">
        <v>1092</v>
      </c>
      <c r="E2" s="101" t="str">
        <f>Total!E2095</f>
        <v>Obra Civil</v>
      </c>
      <c r="F2" s="96" t="str">
        <f>Total!F2095</f>
        <v>Projectes</v>
      </c>
      <c r="G2" s="112" t="str">
        <f>Total!G2095</f>
        <v>EX-MG-15015.1</v>
      </c>
      <c r="H2" s="112" t="str">
        <f>Total!H2095</f>
        <v>Contracte de serveis per l'assistència tècnica per a la redacció de l'estudi d'auditoria de seguretat i reestudi de la secció transversal a la C-66 del PK 41+900 al 50+450. Cornellà de Terri.</v>
      </c>
      <c r="I2" s="157">
        <f>Total!I2095</f>
        <v>29760</v>
      </c>
    </row>
    <row r="3" spans="1:9" x14ac:dyDescent="0.2">
      <c r="A3" s="8">
        <v>2</v>
      </c>
      <c r="B3" s="101">
        <f>Total!B2096</f>
        <v>43711</v>
      </c>
      <c r="C3" s="101">
        <f>Total!C2096</f>
        <v>43733</v>
      </c>
      <c r="D3" s="112" t="s">
        <v>1092</v>
      </c>
      <c r="E3" s="101" t="str">
        <f>Total!E2096</f>
        <v>Edificació</v>
      </c>
      <c r="F3" s="96" t="str">
        <f>Total!F2096</f>
        <v>Direccions d'Obra</v>
      </c>
      <c r="G3" s="112" t="str">
        <f>Total!G2096</f>
        <v>PE+DO.JVX-15287</v>
      </c>
      <c r="H3" s="112" t="str">
        <f>Total!H2096</f>
        <v>Contracte serveis per l'A.T. per la redacció del projecte bàsic, el projecte executiu i la posterior direcció d'obra RAM de consolidació estructural del Palau de justícia de Tarragona.</v>
      </c>
      <c r="I3" s="157">
        <f>Total!I2096</f>
        <v>147659.29999999999</v>
      </c>
    </row>
    <row r="4" spans="1:9" x14ac:dyDescent="0.2">
      <c r="A4" s="8">
        <v>3</v>
      </c>
      <c r="B4" s="101">
        <f>Total!B2097</f>
        <v>43714</v>
      </c>
      <c r="C4" s="101">
        <f>Total!C2097</f>
        <v>43731</v>
      </c>
      <c r="D4" s="112" t="s">
        <v>1092</v>
      </c>
      <c r="E4" s="101" t="str">
        <f>Total!E2097</f>
        <v>Obra Civil</v>
      </c>
      <c r="F4" s="96" t="str">
        <f>Total!F2097</f>
        <v>Projectes</v>
      </c>
      <c r="G4" s="112" t="str">
        <f>Total!G2097</f>
        <v>PC.AL-05020.3</v>
      </c>
      <c r="H4" s="112" t="str">
        <f>Total!H2097</f>
        <v>Contracte de serveis per a l'assistència tècnica per a la redacció del projecte constructiu de reforçament, eixamplament i millora de traçat a la C-28 del PK 43+400 al 43+900. Naut Aran. Tonyon - Cap del Port.</v>
      </c>
      <c r="I4" s="157">
        <f>Total!I2097</f>
        <v>38900</v>
      </c>
    </row>
    <row r="5" spans="1:9" x14ac:dyDescent="0.2">
      <c r="A5" s="8">
        <v>4</v>
      </c>
      <c r="B5" s="101">
        <f>Total!B2098</f>
        <v>43714</v>
      </c>
      <c r="C5" s="101">
        <f>Total!C2098</f>
        <v>43733</v>
      </c>
      <c r="D5" s="112" t="s">
        <v>1092</v>
      </c>
      <c r="E5" s="101" t="str">
        <f>Total!E2098</f>
        <v>Edificació</v>
      </c>
      <c r="F5" s="96" t="str">
        <f>Total!F2098</f>
        <v>Projectes i Direccions d'Obra</v>
      </c>
      <c r="G5" s="112" t="str">
        <f>Total!G2098</f>
        <v>PE.DO. JVX-18300</v>
      </c>
      <c r="H5" s="112" t="str">
        <f>Total!H2098</f>
        <v>Redacció del projecte bàsic, el projecte executiu i la posterior direcció d'obra RAM per al condicionaments d'espais per a la ubicació d'un nou òrgan judicial 1ª Instància 7 (Família) i altres espais a l'edifici judicial del Canyeret de Lleida.</v>
      </c>
      <c r="I5" s="157">
        <f>Total!I2098</f>
        <v>160860.51</v>
      </c>
    </row>
    <row r="6" spans="1:9" x14ac:dyDescent="0.2">
      <c r="A6" s="8">
        <v>5</v>
      </c>
      <c r="B6" s="101">
        <f>Total!B2099</f>
        <v>43714</v>
      </c>
      <c r="C6" s="101">
        <f>Total!C2099</f>
        <v>43733</v>
      </c>
      <c r="D6" s="112" t="s">
        <v>1092</v>
      </c>
      <c r="E6" s="101" t="str">
        <f>Total!E2099</f>
        <v>Edificació</v>
      </c>
      <c r="F6" s="96" t="str">
        <f>Total!F2099</f>
        <v>Projectes i Direccions d'Obra</v>
      </c>
      <c r="G6" s="112" t="str">
        <f>Total!G2099</f>
        <v>PE.DO. JVX-17271</v>
      </c>
      <c r="H6" s="112" t="str">
        <f>Total!H2099</f>
        <v>Redacció del projecte bàsic, el projecte executiu i la posterior direcció d'obra de condicionament d'instal·lacions, redistribució d'espais i treballs necessaris per l'obtenció de la llicència d'activitats de l'edifici del Palau de Justícia de Barcelona.</v>
      </c>
      <c r="I6" s="157">
        <f>Total!I2099</f>
        <v>175178.91</v>
      </c>
    </row>
    <row r="7" spans="1:9" x14ac:dyDescent="0.2">
      <c r="A7" s="8">
        <v>6</v>
      </c>
      <c r="B7" s="101">
        <f>Total!B2100</f>
        <v>43726</v>
      </c>
      <c r="C7" s="101">
        <f>Total!C2100</f>
        <v>43745</v>
      </c>
      <c r="D7" s="112" t="s">
        <v>1092</v>
      </c>
      <c r="E7" s="101" t="str">
        <f>Total!E2100</f>
        <v>Obra Civil</v>
      </c>
      <c r="F7" s="96" t="str">
        <f>Total!F2100</f>
        <v>Projectes</v>
      </c>
      <c r="G7" s="112" t="str">
        <f>Total!G2100</f>
        <v>PC. R0-19268</v>
      </c>
      <c r="H7" s="112" t="str">
        <f>Total!H2100</f>
        <v>Contracte de serveis per a l'assistència tècnica per a la redacció del projecte constructiu d'actuacions necessàries per a la reducció del nivell de vibracions existents a la L9/L10 del metro de Barcelona. Zona Gorg.</v>
      </c>
      <c r="I7" s="157">
        <f>Total!I2100</f>
        <v>170000</v>
      </c>
    </row>
    <row r="8" spans="1:9" x14ac:dyDescent="0.2">
      <c r="A8" s="8">
        <v>7</v>
      </c>
      <c r="B8" s="101">
        <f>Total!B2101</f>
        <v>43727</v>
      </c>
      <c r="C8" s="101">
        <f>Total!C2101</f>
        <v>43745</v>
      </c>
      <c r="D8" s="112" t="s">
        <v>1092</v>
      </c>
      <c r="E8" s="101" t="str">
        <f>Total!E2101</f>
        <v>Edificació</v>
      </c>
      <c r="F8" s="96" t="str">
        <f>Total!F2101</f>
        <v>Direccions d'execució</v>
      </c>
      <c r="G8" s="112" t="str">
        <f>Total!G2101</f>
        <v>DE. CGM-17251</v>
      </c>
      <c r="H8" s="112" t="str">
        <f>Total!H2101</f>
        <v>Contracte de serveis per a la direcció d'execució de les obres RAM de renovació d'instal·lacions esgotades i renovació de màquines de clima i funcionals de diverses comissaries de Mossos d'Esquadra.</v>
      </c>
      <c r="I8" s="157">
        <f>Total!I2101</f>
        <v>16000</v>
      </c>
    </row>
    <row r="9" spans="1:9" x14ac:dyDescent="0.2">
      <c r="A9" s="8">
        <v>8</v>
      </c>
      <c r="B9" s="101">
        <f>Total!B2102</f>
        <v>43727</v>
      </c>
      <c r="C9" s="101">
        <f>Total!C2102</f>
        <v>43745</v>
      </c>
      <c r="D9" s="112" t="s">
        <v>1092</v>
      </c>
      <c r="E9" s="101" t="str">
        <f>Total!E2102</f>
        <v>Edificació</v>
      </c>
      <c r="F9" s="96" t="str">
        <f>Total!F2102</f>
        <v>Control de Qualitat</v>
      </c>
      <c r="G9" s="112" t="str">
        <f>Total!G2102</f>
        <v>CQ. CGM-17251</v>
      </c>
      <c r="H9" s="112" t="str">
        <f>Total!H2102</f>
        <v>Contracte de serveis per a l'assistència tècnica de control de qualitat de les obres RAM de renovació d'instal·lacions esgotades i renovació de màquines de clima i funcionals de diverses comissaries de Mossos d'Esquadra.</v>
      </c>
      <c r="I9" s="157">
        <f>Total!I2102</f>
        <v>5899.89</v>
      </c>
    </row>
    <row r="10" spans="1:9" x14ac:dyDescent="0.2">
      <c r="A10" s="8">
        <v>9</v>
      </c>
      <c r="B10" s="101">
        <f>Total!B2103</f>
        <v>43727</v>
      </c>
      <c r="C10" s="101">
        <f>Total!C2103</f>
        <v>43745</v>
      </c>
      <c r="D10" s="112" t="s">
        <v>1092</v>
      </c>
      <c r="E10" s="101" t="str">
        <f>Total!E2103</f>
        <v>Edificació</v>
      </c>
      <c r="F10" s="96" t="str">
        <f>Total!F2103</f>
        <v>Direccions d'execució</v>
      </c>
      <c r="G10" s="112" t="str">
        <f>Total!G2103</f>
        <v>CSS. CGM-17251</v>
      </c>
      <c r="H10" s="112" t="str">
        <f>Total!H2103</f>
        <v>Contracte de serveis per a l'Assistència Tècnica de Coordinació de Seguretat i Salut de les obres RAM de renovació d'instal·lacions esgotades i renovació de màquines de clima i funcionals de diverses comissaries de Mossos d'Esquadra.</v>
      </c>
      <c r="I10" s="157">
        <f>Total!I2103</f>
        <v>4800</v>
      </c>
    </row>
    <row r="11" spans="1:9" x14ac:dyDescent="0.2">
      <c r="A11" s="8">
        <v>10</v>
      </c>
      <c r="B11" s="101">
        <f>Total!B2104</f>
        <v>43728</v>
      </c>
      <c r="C11" s="101">
        <f>Total!C2104</f>
        <v>43747</v>
      </c>
      <c r="D11" s="112" t="s">
        <v>1092</v>
      </c>
      <c r="E11" s="101" t="str">
        <f>Total!E2104</f>
        <v>Edificació</v>
      </c>
      <c r="F11" s="96" t="str">
        <f>Total!F2104</f>
        <v>Control de Qualitat</v>
      </c>
      <c r="G11" s="112" t="str">
        <f>Total!G2104</f>
        <v>CQ. PNC-16281 (nova licitació)</v>
      </c>
      <c r="H11" s="112" t="str">
        <f>Total!H2104</f>
        <v>Contracte de serveis per a l'assistència tècnica de control de qualitat de les obres de nova construcció Escola 1 línia + 4 aules Escola Ernest Lluch de l'Hospitalet de Llobregat.</v>
      </c>
      <c r="I11" s="157">
        <f>Total!I2104</f>
        <v>28114.97</v>
      </c>
    </row>
    <row r="12" spans="1:9" x14ac:dyDescent="0.2">
      <c r="A12" s="8">
        <v>11</v>
      </c>
      <c r="B12" s="101">
        <f>Total!B2105</f>
        <v>43738</v>
      </c>
      <c r="C12" s="101">
        <f>Total!C2105</f>
        <v>43759</v>
      </c>
      <c r="D12" s="112" t="s">
        <v>1092</v>
      </c>
      <c r="E12" s="101" t="str">
        <f>Total!E2105</f>
        <v>Edificació</v>
      </c>
      <c r="F12" s="96" t="str">
        <f>Total!F2105</f>
        <v>Direccions d'execució</v>
      </c>
      <c r="G12" s="112" t="str">
        <f>Total!G2105</f>
        <v>DE. IAL-17201</v>
      </c>
      <c r="H12" s="112" t="str">
        <f>Total!H2105</f>
        <v>Contracte de serveis per a l'assistència tècnica de direcció d'execució de les obres d'ampliació i adequació Institut 3/2 + cicles formatius a Guissona.</v>
      </c>
      <c r="I12" s="157">
        <f>Total!I2105</f>
        <v>55614.22</v>
      </c>
    </row>
    <row r="13" spans="1:9" x14ac:dyDescent="0.2">
      <c r="A13" s="8">
        <v>12</v>
      </c>
      <c r="B13" s="101">
        <f>Total!B2106</f>
        <v>43738</v>
      </c>
      <c r="C13" s="101">
        <f>Total!C2106</f>
        <v>43759</v>
      </c>
      <c r="D13" s="112" t="s">
        <v>1092</v>
      </c>
      <c r="E13" s="101" t="str">
        <f>Total!E2106</f>
        <v>Edificació</v>
      </c>
      <c r="F13" s="96" t="str">
        <f>Total!F2106</f>
        <v>Direccions d'execució</v>
      </c>
      <c r="G13" s="112" t="str">
        <f>Total!G2106</f>
        <v>CSS. IAL-17201</v>
      </c>
      <c r="H13" s="112" t="str">
        <f>Total!H2106</f>
        <v>Contracte de serveis per a l'Assistència tècnica per la Coordinació de Seguretat i Salut d'execució de les obres d'ampliació i adequació Institut 3/2 + cicles formatius a Guissona.</v>
      </c>
      <c r="I13" s="157">
        <f>Total!I2106</f>
        <v>16684.8</v>
      </c>
    </row>
    <row r="14" spans="1:9" x14ac:dyDescent="0.2">
      <c r="A14" s="8">
        <v>13</v>
      </c>
      <c r="B14" s="101">
        <f>Total!B2107</f>
        <v>43738</v>
      </c>
      <c r="C14" s="101">
        <f>Total!C2107</f>
        <v>43759</v>
      </c>
      <c r="D14" s="112" t="s">
        <v>1092</v>
      </c>
      <c r="E14" s="101" t="str">
        <f>Total!E2107</f>
        <v>Edificació</v>
      </c>
      <c r="F14" s="96" t="str">
        <f>Total!F2107</f>
        <v>Direccions d'execució</v>
      </c>
      <c r="G14" s="112" t="str">
        <f>Total!G2107</f>
        <v>DE. ING-16286</v>
      </c>
      <c r="H14" s="112" t="str">
        <f>Total!H2107</f>
        <v>Contracte de serveis per a l'assistència tècnica de direcció d'execució de les obres de nova construcció Institut 2/0 + 3 aules + aula recolzament de l'Institut de Caldes de Malavella.</v>
      </c>
      <c r="I14" s="157">
        <f>Total!I2107</f>
        <v>90048.53</v>
      </c>
    </row>
    <row r="15" spans="1:9" x14ac:dyDescent="0.2">
      <c r="A15" s="8">
        <v>14</v>
      </c>
      <c r="B15" s="101">
        <f>Total!B2108</f>
        <v>43738</v>
      </c>
      <c r="C15" s="101">
        <f>Total!C2108</f>
        <v>43759</v>
      </c>
      <c r="D15" s="112" t="s">
        <v>1092</v>
      </c>
      <c r="E15" s="101" t="str">
        <f>Total!E2108</f>
        <v>Edificació</v>
      </c>
      <c r="F15" s="96" t="str">
        <f>Total!F2108</f>
        <v>Direccions d'execució</v>
      </c>
      <c r="G15" s="112" t="str">
        <f>Total!G2108</f>
        <v>CSS. ING-16286</v>
      </c>
      <c r="H15" s="112" t="str">
        <f>Total!H2108</f>
        <v>Contracte de serveis per a l'Assistència tècnica per la Coordinació de seguretat i salut d'execució de les obres de nova construcció Institut 2/0 + 3 aules + aula recolzament de l'Institut de Caldes de Malavella.</v>
      </c>
      <c r="I15" s="157">
        <f>Total!I2108</f>
        <v>27014.400000000001</v>
      </c>
    </row>
    <row r="16" spans="1:9" x14ac:dyDescent="0.2">
      <c r="A16" s="8">
        <v>15</v>
      </c>
      <c r="B16" s="101">
        <f>Total!B2109</f>
        <v>43738</v>
      </c>
      <c r="C16" s="101">
        <f>Total!C2109</f>
        <v>43759</v>
      </c>
      <c r="D16" s="112" t="s">
        <v>1092</v>
      </c>
      <c r="E16" s="101" t="str">
        <f>Total!E2109</f>
        <v>Edificació</v>
      </c>
      <c r="F16" s="96" t="str">
        <f>Total!F2109</f>
        <v>Control de Qualitat</v>
      </c>
      <c r="G16" s="112" t="str">
        <f>Total!G2109</f>
        <v>CQ. ING-16286</v>
      </c>
      <c r="H16" s="112" t="str">
        <f>Total!H2109</f>
        <v>Contracte de serveis per a l'assistència tècnica de control de qualitat de de les obres de nova construcció Institut 2/0 + 3 aules + aula recolzament de l'Institut de Caldes de Malavella.</v>
      </c>
      <c r="I16" s="157">
        <f>Total!I2109</f>
        <v>39134.18</v>
      </c>
    </row>
    <row r="17" spans="1:9" x14ac:dyDescent="0.2">
      <c r="A17" s="8">
        <v>16</v>
      </c>
      <c r="B17" s="101">
        <f>Total!B2110</f>
        <v>43738</v>
      </c>
      <c r="C17" s="101">
        <f>Total!C2110</f>
        <v>43759</v>
      </c>
      <c r="D17" s="112" t="s">
        <v>1092</v>
      </c>
      <c r="E17" s="101" t="str">
        <f>Total!E2110</f>
        <v>Edificació</v>
      </c>
      <c r="F17" s="96" t="str">
        <f>Total!F2110</f>
        <v>Control de Qualitat</v>
      </c>
      <c r="G17" s="112" t="str">
        <f>Total!G2110</f>
        <v>CQ. IAL-17201</v>
      </c>
      <c r="H17" s="112" t="str">
        <f>Total!H2110</f>
        <v>Contracte de serveis per a l'assistència tècnica de control de qualitat de les obres d'ampliació i adequació Institut 3/2 + cicles formatius a Guissona.</v>
      </c>
      <c r="I17" s="157">
        <f>Total!I2110</f>
        <v>26806.29</v>
      </c>
    </row>
    <row r="18" spans="1:9" x14ac:dyDescent="0.2">
      <c r="I18" s="126">
        <f>SUM(I2:I17)</f>
        <v>1032476.0000000001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4"/>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Total!B2083</f>
        <v>43678</v>
      </c>
      <c r="C2" s="101">
        <f>Total!C2083</f>
        <v>43710</v>
      </c>
      <c r="D2" s="112" t="s">
        <v>1092</v>
      </c>
      <c r="E2" s="101" t="str">
        <f>Total!E2083</f>
        <v>Edificiació</v>
      </c>
      <c r="F2" s="96" t="str">
        <f>Total!F2083</f>
        <v>Direccions d'Obra</v>
      </c>
      <c r="G2" s="112" t="str">
        <f>Total!G2083</f>
        <v>DO. IAL-07337.1</v>
      </c>
      <c r="H2" s="112" t="str">
        <f>Total!H2083</f>
        <v>Contracte de serveis per a l'assistència tècnica de la Direcció de les obres d'ampliació tallers i aules de Cicles Formatius a l'Institut Alfons Costafreda de Tàrrega.</v>
      </c>
      <c r="I2" s="157">
        <f>Total!I2083</f>
        <v>41041.199999999997</v>
      </c>
    </row>
    <row r="3" spans="1:9" x14ac:dyDescent="0.2">
      <c r="A3" s="8">
        <v>2</v>
      </c>
      <c r="B3" s="101">
        <f>Total!B2084</f>
        <v>43678</v>
      </c>
      <c r="C3" s="101">
        <f>Total!C2084</f>
        <v>43710</v>
      </c>
      <c r="D3" s="112" t="s">
        <v>1092</v>
      </c>
      <c r="E3" s="101" t="str">
        <f>Total!E2084</f>
        <v>Edificiació</v>
      </c>
      <c r="F3" s="96" t="str">
        <f>Total!F2084</f>
        <v>Direccions d'execució</v>
      </c>
      <c r="G3" s="112" t="str">
        <f>Total!G2084</f>
        <v>CSS. IAL-07337.1</v>
      </c>
      <c r="H3" s="112" t="str">
        <f>Total!H2084</f>
        <v>Contracte de serveis per a l'Assistència tècnica per la Coordinació de seguretat i salut de l'execució de les obres d'ampliació tallers i aules de Cicles Formatius a l'Institut Alfons Costafreda de Tàrrega.</v>
      </c>
      <c r="I3" s="157">
        <f>Total!I2084</f>
        <v>11716.8</v>
      </c>
    </row>
    <row r="4" spans="1:9" x14ac:dyDescent="0.2">
      <c r="A4" s="8">
        <v>3</v>
      </c>
      <c r="B4" s="101">
        <f>Total!B2085</f>
        <v>43678</v>
      </c>
      <c r="C4" s="101">
        <f>Total!C2085</f>
        <v>43710</v>
      </c>
      <c r="D4" s="112" t="s">
        <v>1092</v>
      </c>
      <c r="E4" s="101" t="str">
        <f>Total!E2085</f>
        <v>Edificiació</v>
      </c>
      <c r="F4" s="96" t="str">
        <f>Total!F2085</f>
        <v>Control de Qualitat</v>
      </c>
      <c r="G4" s="112" t="str">
        <f>Total!G2085</f>
        <v>CQ. IAL-07337.1</v>
      </c>
      <c r="H4" s="112" t="str">
        <f>Total!H2085</f>
        <v>Contracte de serveis per a l'assistència tècnica de Control de qualitat de les obres d'ampliació tallers i aules de Cicles Formatius a l'Institut Alfons Costafreda de Tàrrega.</v>
      </c>
      <c r="I4" s="157">
        <f>Total!I2085</f>
        <v>20891.03</v>
      </c>
    </row>
    <row r="5" spans="1:9" x14ac:dyDescent="0.2">
      <c r="A5" s="8">
        <v>4</v>
      </c>
      <c r="B5" s="101">
        <f>Total!B2086</f>
        <v>43678</v>
      </c>
      <c r="C5" s="101">
        <f>Total!C2086</f>
        <v>43710</v>
      </c>
      <c r="D5" s="112" t="s">
        <v>1092</v>
      </c>
      <c r="E5" s="101" t="str">
        <f>Total!E2086</f>
        <v>Edificiació</v>
      </c>
      <c r="F5" s="96" t="str">
        <f>Total!F2086</f>
        <v>Direccions d'execució</v>
      </c>
      <c r="G5" s="112" t="str">
        <f>Total!G2086</f>
        <v>DE. IAL-07337.1</v>
      </c>
      <c r="H5" s="112" t="str">
        <f>Total!H2086</f>
        <v>Contracte de serveis per a l'assistència tècnica de direcció d'execució de de les obres d'ampliació tallers i aules de Cicles Formatius a l'Institut Alfons Costafreda de Tàrrega.</v>
      </c>
      <c r="I5" s="157">
        <f>Total!I2086</f>
        <v>39059.24</v>
      </c>
    </row>
    <row r="6" spans="1:9" x14ac:dyDescent="0.2">
      <c r="A6" s="8">
        <v>5</v>
      </c>
      <c r="B6" s="101">
        <f>Total!B2087</f>
        <v>43682</v>
      </c>
      <c r="C6" s="101">
        <f>Total!C2087</f>
        <v>43724</v>
      </c>
      <c r="D6" s="112" t="s">
        <v>1092</v>
      </c>
      <c r="E6" s="101" t="str">
        <f>Total!E2087</f>
        <v>Obra Civil</v>
      </c>
      <c r="F6" s="96" t="str">
        <f>Total!F2087</f>
        <v>Control de Qualitat</v>
      </c>
      <c r="G6" s="112" t="str">
        <f>Total!G2087</f>
        <v>CQ. MB-16016</v>
      </c>
      <c r="H6" s="112" t="str">
        <f>Total!H2087</f>
        <v>Contracte de serveis per a l'assistència tècnica de control de qualitat de les obres del projecte constructiu de millora local. Ponts i estructures. Pont sobre el riu Llobregat a Cabrianes. Carrtera B-430 PK 0+800. Tram: Sallent.</v>
      </c>
      <c r="I6" s="157">
        <f>Total!I2087</f>
        <v>40189.31</v>
      </c>
    </row>
    <row r="7" spans="1:9" x14ac:dyDescent="0.2">
      <c r="A7" s="8">
        <v>6</v>
      </c>
      <c r="B7" s="101">
        <f>Total!B2088</f>
        <v>43682</v>
      </c>
      <c r="C7" s="101">
        <f>Total!C2088</f>
        <v>43724</v>
      </c>
      <c r="D7" s="112" t="s">
        <v>1092</v>
      </c>
      <c r="E7" s="101" t="str">
        <f>Total!E2088</f>
        <v>Obra Civil</v>
      </c>
      <c r="F7" s="96" t="str">
        <f>Total!F2088</f>
        <v>Direccions d'Obra</v>
      </c>
      <c r="G7" s="112" t="str">
        <f>Total!G2088</f>
        <v>CSS. MB-16016</v>
      </c>
      <c r="H7" s="112" t="str">
        <f>Total!H2088</f>
        <v>Assistència tècnica per la Coordinació de seguretat i salut de l'execució de les obres del projecte constructiu de Millora local. Ponts i Estructures. Pont sobre el riu Llobregat a Cabrianes. Carretera B-430, PK 0+800. Tram: Sallent.</v>
      </c>
      <c r="I7" s="157">
        <f>Total!I2088</f>
        <v>26040</v>
      </c>
    </row>
    <row r="8" spans="1:9" x14ac:dyDescent="0.2">
      <c r="A8" s="8">
        <v>7</v>
      </c>
      <c r="B8" s="101">
        <f>Total!B2089</f>
        <v>43682</v>
      </c>
      <c r="C8" s="101">
        <f>Total!C2089</f>
        <v>43724</v>
      </c>
      <c r="D8" s="112" t="s">
        <v>1092</v>
      </c>
      <c r="E8" s="101" t="str">
        <f>Total!E2089</f>
        <v>Obra Civil</v>
      </c>
      <c r="F8" s="96" t="str">
        <f>Total!F2089</f>
        <v>Direccions d'Obra</v>
      </c>
      <c r="G8" s="112" t="str">
        <f>Total!G2089</f>
        <v>DO. MB-16016</v>
      </c>
      <c r="H8" s="112" t="str">
        <f>Total!H2089</f>
        <v>Contracte de serveis per a la direcció de les obres del projecte constructiu de millora local. Ponts i estructures. Pont sobre el riu Llobregat a Cabrianes. Carretera B-430, PK 0+800. Tram: Sallent.</v>
      </c>
      <c r="I8" s="157">
        <f>Total!I2089</f>
        <v>113306.66</v>
      </c>
    </row>
    <row r="9" spans="1:9" x14ac:dyDescent="0.2">
      <c r="A9" s="8">
        <v>8</v>
      </c>
      <c r="B9" s="101">
        <f>Total!B2090</f>
        <v>43685</v>
      </c>
      <c r="C9" s="101">
        <f>Total!C2090</f>
        <v>43717</v>
      </c>
      <c r="D9" s="112" t="s">
        <v>1092</v>
      </c>
      <c r="E9" s="101" t="str">
        <f>Total!E2090</f>
        <v>Obra Civil</v>
      </c>
      <c r="F9" s="96" t="str">
        <f>Total!F2090</f>
        <v>Projectes</v>
      </c>
      <c r="G9" s="112" t="str">
        <f>Total!G2090</f>
        <v>EV. EX-CGC-18129</v>
      </c>
      <c r="H9" s="112" t="str">
        <f>Total!H2090</f>
        <v>Contracte de serveis per a l'assistència tècnica per a la redacció de l¿estudi d'identificació de Trams de Concentració d'Accidents de la xarxa de carreteres de la Generalitat de Catalunya (2014-2018).</v>
      </c>
      <c r="I9" s="157">
        <f>Total!I2090</f>
        <v>40000</v>
      </c>
    </row>
    <row r="10" spans="1:9" x14ac:dyDescent="0.2">
      <c r="A10" s="8">
        <v>9</v>
      </c>
      <c r="B10" s="101">
        <f>Total!B2091</f>
        <v>43685</v>
      </c>
      <c r="C10" s="101">
        <f>Total!C2091</f>
        <v>43717</v>
      </c>
      <c r="D10" s="112" t="s">
        <v>1092</v>
      </c>
      <c r="E10" s="101" t="str">
        <f>Total!E2091</f>
        <v>Obra Civil</v>
      </c>
      <c r="F10" s="96" t="str">
        <f>Total!F2091</f>
        <v>Projectes</v>
      </c>
      <c r="G10" s="112" t="str">
        <f>Total!G2091</f>
        <v>PC. AR-18351</v>
      </c>
      <c r="H10" s="112" t="str">
        <f>Total!H2091</f>
        <v>Contracte de serveis per a l'assistència tècnica per a la redacció del projecte constructiu del regadiu de Algerri-Balaguer. Sector C. Ampliació. TM de Balaguer.</v>
      </c>
      <c r="I10" s="157">
        <f>Total!I2091</f>
        <v>14950</v>
      </c>
    </row>
    <row r="11" spans="1:9" x14ac:dyDescent="0.2">
      <c r="A11" s="8">
        <v>10</v>
      </c>
      <c r="B11" s="101">
        <f>Total!B2092</f>
        <v>43686</v>
      </c>
      <c r="C11" s="101">
        <f>Total!C2092</f>
        <v>43731</v>
      </c>
      <c r="D11" s="112" t="s">
        <v>1092</v>
      </c>
      <c r="E11" s="101" t="str">
        <f>Total!E2092</f>
        <v>Obra Civil</v>
      </c>
      <c r="F11" s="96" t="str">
        <f>Total!F2092</f>
        <v>Projectes</v>
      </c>
      <c r="G11" s="112" t="str">
        <f>Total!G2092</f>
        <v>PC. MR-05919.7</v>
      </c>
      <c r="H11" s="112" t="str">
        <f>Total!H2092</f>
        <v>Assistència tècnica per a la redacció del Projecte constructiu del regadiu Xerta-Sénia. Xarxa de reg de la zona 1 i posada en servei i posterior manteniment de la captació, de la impulsió, del canal executat i del bombament del sector 1.</v>
      </c>
      <c r="I11" s="157">
        <f>Total!I2092</f>
        <v>41754.239999999998</v>
      </c>
    </row>
    <row r="12" spans="1:9" x14ac:dyDescent="0.2">
      <c r="A12" s="8">
        <v>11</v>
      </c>
      <c r="B12" s="101">
        <v>43707</v>
      </c>
      <c r="C12" s="101">
        <v>43727</v>
      </c>
      <c r="D12" s="112" t="s">
        <v>1092</v>
      </c>
      <c r="E12" s="101" t="s">
        <v>422</v>
      </c>
      <c r="F12" s="96" t="s">
        <v>701</v>
      </c>
      <c r="G12" s="112" t="s">
        <v>4264</v>
      </c>
      <c r="H12" s="112" t="s">
        <v>4265</v>
      </c>
      <c r="I12" s="157">
        <v>72700</v>
      </c>
    </row>
    <row r="13" spans="1:9" x14ac:dyDescent="0.2">
      <c r="A13" s="8">
        <v>12</v>
      </c>
      <c r="B13" s="101">
        <v>43707</v>
      </c>
      <c r="C13" s="101">
        <v>43727</v>
      </c>
      <c r="D13" s="112" t="s">
        <v>1092</v>
      </c>
      <c r="E13" s="101" t="s">
        <v>422</v>
      </c>
      <c r="F13" s="96" t="s">
        <v>701</v>
      </c>
      <c r="G13" s="112" t="s">
        <v>4266</v>
      </c>
      <c r="H13" s="112" t="s">
        <v>4267</v>
      </c>
      <c r="I13" s="157">
        <v>48100</v>
      </c>
    </row>
    <row r="14" spans="1:9" x14ac:dyDescent="0.2">
      <c r="I14" s="126">
        <f>SUM(I2:I13)</f>
        <v>509748.47999999998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1"/>
  <sheetViews>
    <sheetView workbookViewId="0">
      <selection activeCell="I31" sqref="I31"/>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Total!B2050</f>
        <v>43648</v>
      </c>
      <c r="C2" s="101">
        <f>Total!C2050</f>
        <v>43663</v>
      </c>
      <c r="D2" s="112" t="s">
        <v>1092</v>
      </c>
      <c r="E2" s="101" t="str">
        <f>Total!E2050</f>
        <v>Obra Civil</v>
      </c>
      <c r="F2" s="96" t="str">
        <f>Total!F2050</f>
        <v>Projectes</v>
      </c>
      <c r="G2" s="112" t="str">
        <f>Total!G2050</f>
        <v>PC. XA-19240</v>
      </c>
      <c r="H2" s="112" t="str">
        <f>Total!H2050</f>
        <v>Contracte de serveis per a l'assistència tècnica per a la redacció del projecte constructiu d'arranjament del camí d'accés a Hortoneda. TM Conca de Dalt (Pallars Jussà).</v>
      </c>
      <c r="I2" s="157">
        <f>Total!I2050</f>
        <v>13738.65</v>
      </c>
    </row>
    <row r="3" spans="1:9" x14ac:dyDescent="0.2">
      <c r="A3" s="8">
        <v>2</v>
      </c>
      <c r="B3" s="101">
        <f>Total!B2051</f>
        <v>43647</v>
      </c>
      <c r="C3" s="101">
        <f>Total!C2051</f>
        <v>43663</v>
      </c>
      <c r="D3" s="112" t="s">
        <v>1092</v>
      </c>
      <c r="E3" s="101" t="str">
        <f>Total!E2051</f>
        <v>Obra Civil</v>
      </c>
      <c r="F3" s="96" t="str">
        <f>Total!F2051</f>
        <v>Projectes</v>
      </c>
      <c r="G3" s="112" t="str">
        <f>Total!G2051</f>
        <v>PC. XA-19238</v>
      </c>
      <c r="H3" s="112" t="str">
        <f>Total!H2051</f>
        <v>Contracte de serveis per a l'assistència tècnica per a la redacció del projecteconstructiu d'arranjament i millora del Camí de Vilamajor a Masos de Millà i Mas de Marcó, TMd'Àger.</v>
      </c>
      <c r="I3" s="157">
        <f>Total!I2051</f>
        <v>33329.69</v>
      </c>
    </row>
    <row r="4" spans="1:9" x14ac:dyDescent="0.2">
      <c r="A4" s="8">
        <v>3</v>
      </c>
      <c r="B4" s="101">
        <f>Total!B2052</f>
        <v>43654</v>
      </c>
      <c r="C4" s="101">
        <f>Total!C2052</f>
        <v>43710</v>
      </c>
      <c r="D4" s="112" t="s">
        <v>1092</v>
      </c>
      <c r="E4" s="101" t="str">
        <f>Total!E2052</f>
        <v>Edificació</v>
      </c>
      <c r="F4" s="96" t="str">
        <f>Total!F2052</f>
        <v>Projectes i Direccions d'Obra</v>
      </c>
      <c r="G4" s="112" t="str">
        <f>Total!G2052</f>
        <v>PE+DO.JVP-18329</v>
      </c>
      <c r="H4" s="112" t="str">
        <f>Total!H2052</f>
        <v>Contracte de serveis per a l'assistència tècnica per la redacció del projecte bàsic, el projecte executiu i la posterior direcció d'obra del projecte d'Instal·lació elèctrica del Centre Penitenciari de Ponent a Lleida.</v>
      </c>
      <c r="I4" s="157">
        <f>Total!I2052</f>
        <v>62181.8</v>
      </c>
    </row>
    <row r="5" spans="1:9" x14ac:dyDescent="0.2">
      <c r="A5" s="8">
        <v>4</v>
      </c>
      <c r="B5" s="101">
        <f>Total!B2053</f>
        <v>43657</v>
      </c>
      <c r="C5" s="101">
        <f>Total!C2053</f>
        <v>43710</v>
      </c>
      <c r="D5" s="112" t="s">
        <v>1092</v>
      </c>
      <c r="E5" s="101" t="str">
        <f>Total!E2053</f>
        <v>Obra Civil</v>
      </c>
      <c r="F5" s="96" t="str">
        <f>Total!F2053</f>
        <v>Direccions d'Obra</v>
      </c>
      <c r="G5" s="112" t="str">
        <f>Total!G2053</f>
        <v>DO. PC-MAB-17078</v>
      </c>
      <c r="H5" s="112" t="str">
        <f>Total!H2053</f>
        <v>Contracte de serveis per a la direcció de les obres del projecte constructiu de renovació de l'enclavament del Triangle Ferroviari de les Línies 2, 4 i 9 d'FMB. Barcelona.</v>
      </c>
      <c r="I5" s="157">
        <f>Total!I2053</f>
        <v>195840</v>
      </c>
    </row>
    <row r="6" spans="1:9" x14ac:dyDescent="0.2">
      <c r="A6" s="8">
        <v>5</v>
      </c>
      <c r="B6" s="101">
        <f>Total!B2054</f>
        <v>43657</v>
      </c>
      <c r="C6" s="101">
        <f>Total!C2054</f>
        <v>43712</v>
      </c>
      <c r="D6" s="112" t="s">
        <v>1092</v>
      </c>
      <c r="E6" s="101" t="str">
        <f>Total!E2054</f>
        <v>Obra Civil</v>
      </c>
      <c r="F6" s="96" t="str">
        <f>Total!F2054</f>
        <v>Direccions d'Obra</v>
      </c>
      <c r="G6" s="112" t="str">
        <f>Total!G2054</f>
        <v>CSS. MAB-17078</v>
      </c>
      <c r="H6" s="112" t="str">
        <f>Total!H2054</f>
        <v>Contracte de serveis per a l'assistència tècnica per a la coordinació de seguretat i salut de l'execució de les obres de renovació de l'enclavament del Triangle Ferroviari de les línies 2, 4 i 9 d'FMB. Barcelona.</v>
      </c>
      <c r="I6" s="157">
        <f>Total!I2054</f>
        <v>39000</v>
      </c>
    </row>
    <row r="7" spans="1:9" x14ac:dyDescent="0.2">
      <c r="A7" s="8">
        <v>6</v>
      </c>
      <c r="B7" s="101">
        <f>Total!B2055</f>
        <v>43657</v>
      </c>
      <c r="C7" s="101">
        <f>Total!C2055</f>
        <v>43712</v>
      </c>
      <c r="D7" s="112" t="s">
        <v>1092</v>
      </c>
      <c r="E7" s="101" t="str">
        <f>Total!E2055</f>
        <v>Obra Civil</v>
      </c>
      <c r="F7" s="96" t="str">
        <f>Total!F2055</f>
        <v>Control de Qualitat</v>
      </c>
      <c r="G7" s="112" t="str">
        <f>Total!G2055</f>
        <v>CQ. PC-MAB-17078</v>
      </c>
      <c r="H7" s="112" t="str">
        <f>Total!H2055</f>
        <v>Contracte de serveis per a l'assistència tècnica de control de qualitat de les obres del projecte constructiu de renovació de l'enclavament del Triangle Ferroviari de les Línies 2, 4 i 9 d'FMB. Barcelona.</v>
      </c>
      <c r="I7" s="157">
        <f>Total!I2055</f>
        <v>26074.41</v>
      </c>
    </row>
    <row r="8" spans="1:9" x14ac:dyDescent="0.2">
      <c r="A8" s="8">
        <v>7</v>
      </c>
      <c r="B8" s="101">
        <f>Total!B2056</f>
        <v>43662</v>
      </c>
      <c r="C8" s="101">
        <f>Total!C2056</f>
        <v>43710</v>
      </c>
      <c r="D8" s="112" t="s">
        <v>1092</v>
      </c>
      <c r="E8" s="101" t="str">
        <f>Total!E2056</f>
        <v>Obra Civil</v>
      </c>
      <c r="F8" s="96" t="str">
        <f>Total!F2056</f>
        <v>Projectes</v>
      </c>
      <c r="G8" s="112" t="str">
        <f>Total!G2056</f>
        <v>PC-CMB-17106</v>
      </c>
      <c r="H8" s="112" t="str">
        <f>Total!H2056</f>
        <v>Assistència tècnica per a la redacció del projecte constructiu Millora local. Ponts i estructures. Millora de la capacitat hidràulica del pontó sobre la Riera de les cases Noves, al PK 8+620 de la carretera C-153. Tram: Les Masies de Roda.</v>
      </c>
      <c r="I8" s="157">
        <f>Total!I2056</f>
        <v>19000</v>
      </c>
    </row>
    <row r="9" spans="1:9" x14ac:dyDescent="0.2">
      <c r="A9" s="8">
        <v>8</v>
      </c>
      <c r="B9" s="101">
        <f>Total!B2057</f>
        <v>43662</v>
      </c>
      <c r="C9" s="101">
        <f>Total!C2057</f>
        <v>43710</v>
      </c>
      <c r="D9" s="112" t="s">
        <v>1092</v>
      </c>
      <c r="E9" s="101" t="str">
        <f>Total!E2057</f>
        <v>Edificació</v>
      </c>
      <c r="F9" s="96" t="str">
        <f>Total!F2057</f>
        <v>Projectes i Direccions Facultatives</v>
      </c>
      <c r="G9" s="112" t="str">
        <f>Total!G2057</f>
        <v>PE+DF. JJB-19258</v>
      </c>
      <c r="H9" s="112" t="str">
        <f>Total!H2057</f>
        <v>Contracte de serveis per a l'assistència tècnica per a la redacció del projecte bàsic i executiu i la posterior direcció facultativa de les obres per a la substitució dels ascensors de l'edifici judicial carrer Prim a Badalona.</v>
      </c>
      <c r="I9" s="157">
        <f>Total!I2057</f>
        <v>21212.12</v>
      </c>
    </row>
    <row r="10" spans="1:9" x14ac:dyDescent="0.2">
      <c r="A10" s="8">
        <v>9</v>
      </c>
      <c r="B10" s="101">
        <f>Total!B2058</f>
        <v>43663</v>
      </c>
      <c r="C10" s="101">
        <f>Total!C2058</f>
        <v>43717</v>
      </c>
      <c r="D10" s="112" t="s">
        <v>1092</v>
      </c>
      <c r="E10" s="101" t="str">
        <f>Total!E2058</f>
        <v>Edificació</v>
      </c>
      <c r="F10" s="96" t="str">
        <f>Total!F2058</f>
        <v>Control de Qualitat</v>
      </c>
      <c r="G10" s="112" t="str">
        <f>Total!G2058</f>
        <v>CQ. JNP-16250</v>
      </c>
      <c r="H10" s="112" t="str">
        <f>Total!H2058</f>
        <v>Contracte de serveis per a l'assistència tècnica de control de qualitat de les obres de nova construcció d'un Centre Penitenciari obert a Tarragona.</v>
      </c>
      <c r="I10" s="157">
        <f>Total!I2058</f>
        <v>87792.41</v>
      </c>
    </row>
    <row r="11" spans="1:9" x14ac:dyDescent="0.2">
      <c r="A11" s="8">
        <v>10</v>
      </c>
      <c r="B11" s="101">
        <f>Total!B2059</f>
        <v>43663</v>
      </c>
      <c r="C11" s="101">
        <f>Total!C2059</f>
        <v>43717</v>
      </c>
      <c r="D11" s="112" t="s">
        <v>1092</v>
      </c>
      <c r="E11" s="101" t="str">
        <f>Total!E2059</f>
        <v>Edificació</v>
      </c>
      <c r="F11" s="96" t="str">
        <f>Total!F2059</f>
        <v>Direccions d'Execució</v>
      </c>
      <c r="G11" s="112" t="str">
        <f>Total!G2059</f>
        <v>DE. JNP-16250</v>
      </c>
      <c r="H11" s="112" t="str">
        <f>Total!H2059</f>
        <v>Contracte de serveis per a la Direcció d'execució de les obres de nova construcció d'un Centre Penitenciari obert a Tarragona.</v>
      </c>
      <c r="I11" s="157">
        <f>Total!I2059</f>
        <v>186000</v>
      </c>
    </row>
    <row r="12" spans="1:9" x14ac:dyDescent="0.2">
      <c r="A12" s="8">
        <v>11</v>
      </c>
      <c r="B12" s="101">
        <f>Total!B2060</f>
        <v>43663</v>
      </c>
      <c r="C12" s="101">
        <f>Total!C2060</f>
        <v>43717</v>
      </c>
      <c r="D12" s="112" t="s">
        <v>1092</v>
      </c>
      <c r="E12" s="101" t="str">
        <f>Total!E2060</f>
        <v>Edificació</v>
      </c>
      <c r="F12" s="96" t="str">
        <f>Total!F2060</f>
        <v>Direccions d'Execució</v>
      </c>
      <c r="G12" s="112" t="str">
        <f>Total!G2060</f>
        <v>CSS. JNP-16250</v>
      </c>
      <c r="H12" s="112" t="str">
        <f>Total!H2060</f>
        <v>Contracte de serveis per a l'assistència tècnica de Coordinació de Seguretat i Salut de les obres de nova construcció d'un Centre Penitenciari obert a Tarragona.</v>
      </c>
      <c r="I12" s="157">
        <f>Total!I2060</f>
        <v>55800</v>
      </c>
    </row>
    <row r="13" spans="1:9" x14ac:dyDescent="0.2">
      <c r="A13" s="8">
        <v>12</v>
      </c>
      <c r="B13" s="101">
        <f>Total!B2061</f>
        <v>43664</v>
      </c>
      <c r="C13" s="101">
        <f>Total!C2061</f>
        <v>43710</v>
      </c>
      <c r="D13" s="112" t="s">
        <v>1092</v>
      </c>
      <c r="E13" s="101" t="str">
        <f>Total!E2061</f>
        <v>Obra Civil</v>
      </c>
      <c r="F13" s="96" t="str">
        <f>Total!F2061</f>
        <v>Projectes</v>
      </c>
      <c r="G13" s="112" t="str">
        <f>Total!G2061</f>
        <v>PC. R0-18308</v>
      </c>
      <c r="H13" s="112" t="str">
        <f>Total!H2061</f>
        <v>Contracte de serveis per a l'assistència tècnica per a la redacció del Projecte constructiu per a la renovació del carril de la Línia 9 sud de metro de Barcelona.</v>
      </c>
      <c r="I13" s="157">
        <f>Total!I2061</f>
        <v>25000</v>
      </c>
    </row>
    <row r="14" spans="1:9" x14ac:dyDescent="0.2">
      <c r="A14" s="8">
        <v>13</v>
      </c>
      <c r="B14" s="101">
        <f>Total!B2062</f>
        <v>43664</v>
      </c>
      <c r="C14" s="101">
        <f>Total!C2062</f>
        <v>43712</v>
      </c>
      <c r="D14" s="112" t="s">
        <v>1092</v>
      </c>
      <c r="E14" s="101" t="str">
        <f>Total!E2062</f>
        <v>Obra Civil</v>
      </c>
      <c r="F14" s="96" t="str">
        <f>Total!F2062</f>
        <v>Projectes</v>
      </c>
      <c r="G14" s="112" t="str">
        <f>Total!G2062</f>
        <v>PC. MB-12048-A1</v>
      </c>
      <c r="H14" s="112" t="str">
        <f>Total!H2062</f>
        <v>Contracte de serveis per a l'assistència tècnica per a la redacció del projecte constructiu: Millora local. Seguretat viària. Reordenació d'accessos a la carretera C-35, PK 55+450 a 57+600. Tram: Sant Celoni.</v>
      </c>
      <c r="I14" s="157">
        <f>Total!I2062</f>
        <v>55000</v>
      </c>
    </row>
    <row r="15" spans="1:9" x14ac:dyDescent="0.2">
      <c r="A15" s="8">
        <v>14</v>
      </c>
      <c r="B15" s="101">
        <f>Total!B2063</f>
        <v>43664</v>
      </c>
      <c r="C15" s="101">
        <f>Total!C2063</f>
        <v>43717</v>
      </c>
      <c r="D15" s="112" t="s">
        <v>1092</v>
      </c>
      <c r="E15" s="101" t="str">
        <f>Total!E2063</f>
        <v>Edificació / Obra Civil</v>
      </c>
      <c r="F15" s="96" t="str">
        <f>Total!F2063</f>
        <v>Projectes</v>
      </c>
      <c r="G15" s="112" t="str">
        <f>Total!G2063</f>
        <v>AT. INF-19265 Assesorament BIM</v>
      </c>
      <c r="H15" s="112" t="str">
        <f>Total!H2063</f>
        <v>Assistència tècnica d'assessorament en l'ús i gestió de models relacionats amb la metodologia Building Information Modeling (en endavant, BIM) en fase de projecte, d'obra i de manteniment, en actuacions d'edificació i obra civil.</v>
      </c>
      <c r="I15" s="157">
        <f>Total!I2063</f>
        <v>206200</v>
      </c>
    </row>
    <row r="16" spans="1:9" x14ac:dyDescent="0.2">
      <c r="A16" s="8">
        <v>15</v>
      </c>
      <c r="B16" s="101">
        <f>Total!B2064</f>
        <v>43665</v>
      </c>
      <c r="C16" s="101">
        <f>Total!C2064</f>
        <v>43733</v>
      </c>
      <c r="D16" s="112" t="s">
        <v>1092</v>
      </c>
      <c r="E16" s="101" t="str">
        <f>Total!E2064</f>
        <v>Edificació</v>
      </c>
      <c r="F16" s="96" t="str">
        <f>Total!F2064</f>
        <v>Projectes i Direccions d'Obra</v>
      </c>
      <c r="G16" s="112" t="str">
        <f>Total!G2064</f>
        <v>PE+DO. GPV-17229</v>
      </c>
      <c r="H16" s="112" t="str">
        <f>Total!H2064</f>
        <v>Concurs de Projectes per a la redacció del projecte bàsic, el projecte executiu i la posterior direcció d'obra de la nova seu de la Delegació del Govern de la Generalitat de Catalunya a la Catalunya Central. Manresa.</v>
      </c>
      <c r="I16" s="157">
        <f>Total!I2064</f>
        <v>1170701</v>
      </c>
    </row>
    <row r="17" spans="1:9" x14ac:dyDescent="0.2">
      <c r="A17" s="8">
        <v>16</v>
      </c>
      <c r="B17" s="101">
        <f>Total!B2066</f>
        <v>43668</v>
      </c>
      <c r="C17" s="101">
        <f>Total!C2066</f>
        <v>43717</v>
      </c>
      <c r="D17" s="112" t="s">
        <v>1092</v>
      </c>
      <c r="E17" s="101" t="str">
        <f>Total!E2066</f>
        <v>Obra Civil</v>
      </c>
      <c r="F17" s="96" t="str">
        <f>Total!F2066</f>
        <v>Direccions d'Obra</v>
      </c>
      <c r="G17" s="112" t="str">
        <f>Total!G2066</f>
        <v>DO. RL-08009-A1</v>
      </c>
      <c r="H17" s="112" t="str">
        <f>Total!H2066</f>
        <v>direcció de les obres del projecte constructiu de ferm. Reforçament del ferm i millora del drenatge longitudinal. Carretera C-462 del PK 67+474 al 81+969. Tram: Adraén (la Vansa i Fórnols) - cruïlla d'Ortedó, amb l'LV-4008 (Alàs i Cerc).</v>
      </c>
      <c r="I17" s="157">
        <f>Total!I2066</f>
        <v>110466.67</v>
      </c>
    </row>
    <row r="18" spans="1:9" x14ac:dyDescent="0.2">
      <c r="A18" s="8">
        <v>17</v>
      </c>
      <c r="B18" s="101">
        <f>Total!B2067</f>
        <v>43668</v>
      </c>
      <c r="C18" s="101">
        <f>Total!C2067</f>
        <v>43724</v>
      </c>
      <c r="D18" s="112" t="s">
        <v>1092</v>
      </c>
      <c r="E18" s="101" t="str">
        <f>Total!E2067</f>
        <v>Obra Civil</v>
      </c>
      <c r="F18" s="96" t="str">
        <f>Total!F2067</f>
        <v>Direccions d'Obra</v>
      </c>
      <c r="G18" s="112" t="str">
        <f>Total!G2067</f>
        <v>CSS. RL-08009-A1</v>
      </c>
      <c r="H18" s="112" t="str">
        <f>Total!H2067</f>
        <v>Coord. S.S de l'execució de les obres del projecte constructiu de Reforçament del ferm i millora del drenatge longitudinal. Carretera C-462 del PK 67+474 al 81+969. Tram: Adraén (la Vansa i Fórnols) - cruïlla d'Ortedó, amb l'LV-4008 (Alàs i Cerc).</v>
      </c>
      <c r="I18" s="157">
        <f>Total!I2067</f>
        <v>27000</v>
      </c>
    </row>
    <row r="19" spans="1:9" x14ac:dyDescent="0.2">
      <c r="A19" s="8">
        <v>18</v>
      </c>
      <c r="B19" s="101">
        <f>Total!B2068</f>
        <v>43668</v>
      </c>
      <c r="C19" s="101">
        <f>Total!C2068</f>
        <v>43717</v>
      </c>
      <c r="D19" s="112" t="s">
        <v>1092</v>
      </c>
      <c r="E19" s="101" t="str">
        <f>Total!E2068</f>
        <v>Obra Civil</v>
      </c>
      <c r="F19" s="96" t="str">
        <f>Total!F2068</f>
        <v>Control de Qualitat</v>
      </c>
      <c r="G19" s="112" t="str">
        <f>Total!G2068</f>
        <v>CQ. RL-08009-A1</v>
      </c>
      <c r="H19" s="112" t="str">
        <f>Total!H2068</f>
        <v>Control de qualitat de les obres del projecte constructiu de ferm. Reforçament del ferm i millora del drenatge longitudinal. Carretera C-462 del PK 67+474 al 81+969. Tram: Adraén (la Vansa i Fórnols) - cruïlla d'Ortedó, amb la LV-4008 (Alàs i Cerc).</v>
      </c>
      <c r="I19" s="157">
        <f>Total!I2068</f>
        <v>69341.679999999993</v>
      </c>
    </row>
    <row r="20" spans="1:9" x14ac:dyDescent="0.2">
      <c r="A20" s="8">
        <v>19</v>
      </c>
      <c r="B20" s="101">
        <f>Total!B2069</f>
        <v>43669</v>
      </c>
      <c r="C20" s="101">
        <f>Total!C2069</f>
        <v>43712</v>
      </c>
      <c r="D20" s="112" t="s">
        <v>1092</v>
      </c>
      <c r="E20" s="101" t="str">
        <f>Total!E2069</f>
        <v>Obra Civil</v>
      </c>
      <c r="F20" s="96" t="str">
        <f>Total!F2069</f>
        <v>Projectes</v>
      </c>
      <c r="G20" s="112" t="str">
        <f>Total!G2069</f>
        <v>PC.DT-98211.2-C5</v>
      </c>
      <c r="H20" s="112" t="str">
        <f>Total!H2069</f>
        <v>Contracte de serveis per a l'assistència tècnica per a la redacció del projecte constructiu: Desdoblament de la C-42 (antiga C-237)del PK 1+615 al 5+530.Tortosa - Aldea.</v>
      </c>
      <c r="I20" s="157">
        <f>Total!I2069</f>
        <v>22000</v>
      </c>
    </row>
    <row r="21" spans="1:9" x14ac:dyDescent="0.2">
      <c r="A21" s="8">
        <v>20</v>
      </c>
      <c r="B21" s="101">
        <f>Total!B2071</f>
        <v>43671</v>
      </c>
      <c r="C21" s="101">
        <f>Total!C2071</f>
        <v>43724</v>
      </c>
      <c r="D21" s="112" t="s">
        <v>1092</v>
      </c>
      <c r="E21" s="101" t="str">
        <f>Total!E2071</f>
        <v>Edificació</v>
      </c>
      <c r="F21" s="96" t="str">
        <f>Total!F2071</f>
        <v>Projectes i Direccions d'Obra</v>
      </c>
      <c r="G21" s="112" t="str">
        <f>Total!G2071</f>
        <v>PE+DO. JVX-18318</v>
      </c>
      <c r="H21" s="112" t="str">
        <f>Total!H2071</f>
        <v>Redacció del projecte bàsic, el projecte executiu i la posterior direcció d'obra de la Modernització d'ascensors, resolució de barreres arquitectòniques en els accessos i per a la descàrrega de mercaderies al Palau de Justícia de Barcelona.</v>
      </c>
      <c r="I21" s="157">
        <f>Total!I2071</f>
        <v>85300.6</v>
      </c>
    </row>
    <row r="22" spans="1:9" x14ac:dyDescent="0.2">
      <c r="A22" s="8">
        <v>21</v>
      </c>
      <c r="B22" s="101">
        <f>Total!B2072</f>
        <v>43671</v>
      </c>
      <c r="C22" s="101">
        <f>Total!C2072</f>
        <v>43745</v>
      </c>
      <c r="D22" s="112" t="s">
        <v>1092</v>
      </c>
      <c r="E22" s="101" t="str">
        <f>Total!E2072</f>
        <v>Obra Civil</v>
      </c>
      <c r="F22" s="96" t="str">
        <f>Total!F2072</f>
        <v>Projectes</v>
      </c>
      <c r="G22" s="112" t="str">
        <f>Total!G2072</f>
        <v>PC.TF-11225.F1</v>
      </c>
      <c r="H22" s="112" t="str">
        <f>Total!H2072</f>
        <v>Contracte de serveis per a l'Assistència Tècnica per a la redacció del Projecte Constructiu: Perllongament de la línia Llobregat - Anoia d'FGC a Barcelona. Plaça Espanya Gràcia. Infraestructura.</v>
      </c>
      <c r="I22" s="157">
        <f>Total!I2072</f>
        <v>3554397</v>
      </c>
    </row>
    <row r="23" spans="1:9" x14ac:dyDescent="0.2">
      <c r="A23" s="8">
        <v>22</v>
      </c>
      <c r="B23" s="101">
        <f>Total!B2073</f>
        <v>43671</v>
      </c>
      <c r="C23" s="101">
        <f>Total!C2073</f>
        <v>43712</v>
      </c>
      <c r="D23" s="112" t="s">
        <v>1092</v>
      </c>
      <c r="E23" s="101" t="str">
        <f>Total!E2073</f>
        <v>Obra Civil</v>
      </c>
      <c r="F23" s="96" t="str">
        <f>Total!F2073</f>
        <v>Projectes</v>
      </c>
      <c r="G23" s="112" t="str">
        <f>Total!G2073</f>
        <v>PC. MC-13016.1-C1</v>
      </c>
      <c r="H23" s="112" t="str">
        <f>Total!H2073</f>
        <v>Contracte de serveis per a l'assistència tècnica per a la redacció del projecte constructiu de millora de la senyalització d'orientació i renovació de pòrtics. Entorn de Manresa.</v>
      </c>
      <c r="I23" s="157">
        <f>Total!I2073</f>
        <v>25500</v>
      </c>
    </row>
    <row r="24" spans="1:9" x14ac:dyDescent="0.2">
      <c r="A24" s="8">
        <v>23</v>
      </c>
      <c r="B24" s="101">
        <f>Total!B2074</f>
        <v>43671</v>
      </c>
      <c r="C24" s="101">
        <f>Total!C2074</f>
        <v>43712</v>
      </c>
      <c r="D24" s="112" t="s">
        <v>1092</v>
      </c>
      <c r="E24" s="101" t="str">
        <f>Total!E2074</f>
        <v>Obra Civil</v>
      </c>
      <c r="F24" s="96" t="str">
        <f>Total!F2074</f>
        <v>Projectes</v>
      </c>
      <c r="G24" s="112" t="str">
        <f>Total!G2074</f>
        <v>PC. PC-XMB-18018</v>
      </c>
      <c r="H24" s="112" t="str">
        <f>Total!H2074</f>
        <v>Contracte de serveis per a l'assistència tècnica per a la redacció del projecte constructiu del vial de connexió entre l'enllaç dels Moletons (PK 66+300 de la C-37) i l'enllaç del P.I. Pla de Rigat (PK 67+300 de la C-37). Vilanova del Camí.</v>
      </c>
      <c r="I24" s="157">
        <f>Total!I2074</f>
        <v>82800</v>
      </c>
    </row>
    <row r="25" spans="1:9" x14ac:dyDescent="0.2">
      <c r="A25" s="8">
        <v>24</v>
      </c>
      <c r="B25" s="101">
        <f>Total!B2075</f>
        <v>43671</v>
      </c>
      <c r="C25" s="101">
        <f>Total!C2075</f>
        <v>43712</v>
      </c>
      <c r="D25" s="112" t="s">
        <v>1092</v>
      </c>
      <c r="E25" s="101" t="str">
        <f>Total!E2075</f>
        <v>Obra Civil</v>
      </c>
      <c r="F25" s="96" t="str">
        <f>Total!F2075</f>
        <v>Projectes</v>
      </c>
      <c r="G25" s="112" t="str">
        <f>Total!G2075</f>
        <v>EV. EP-CDB-17105 + PC. PC</v>
      </c>
      <c r="H25" s="112" t="str">
        <f>Total!H2075</f>
        <v>Red. estudi previ millora com a via cívica de la N-150 (PK 13+683 a 16+250), entre la rotonda existent sobre la C-58c i l'enllaç amb la Ctra de Montcada, i via ciclista paral·lela a la N-150(PK 13+415 a 16+720). i el proj. constructiu  via ciclista....</v>
      </c>
      <c r="I25" s="157">
        <f>Total!I2075</f>
        <v>71500</v>
      </c>
    </row>
    <row r="26" spans="1:9" x14ac:dyDescent="0.2">
      <c r="A26" s="8">
        <v>25</v>
      </c>
      <c r="B26" s="101">
        <f>Total!B2076</f>
        <v>43671</v>
      </c>
      <c r="C26" s="101">
        <f>Total!C2076</f>
        <v>43712</v>
      </c>
      <c r="D26" s="112" t="s">
        <v>1092</v>
      </c>
      <c r="E26" s="101" t="str">
        <f>Total!E2076</f>
        <v>Obra Civil</v>
      </c>
      <c r="F26" s="96" t="str">
        <f>Total!F2076</f>
        <v>Projectes</v>
      </c>
      <c r="G26" s="112" t="str">
        <f>Total!G2076</f>
        <v>EV. EP-ANT-18026</v>
      </c>
      <c r="H26" s="112" t="str">
        <f>Total!H2076</f>
        <v>Contracte de serveis per a l'assistència tècnica per a la redacció de l'estudi previ del corredor BRCat Tarragona - Reus.</v>
      </c>
      <c r="I26" s="157">
        <f>Total!I2076</f>
        <v>63920</v>
      </c>
    </row>
    <row r="27" spans="1:9" x14ac:dyDescent="0.2">
      <c r="A27" s="8">
        <v>26</v>
      </c>
      <c r="B27" s="101">
        <f>Total!B2077</f>
        <v>43672</v>
      </c>
      <c r="C27" s="101">
        <f>Total!C2077</f>
        <v>43717</v>
      </c>
      <c r="D27" s="112" t="s">
        <v>1092</v>
      </c>
      <c r="E27" s="101" t="str">
        <f>Total!E2077</f>
        <v>Edificació</v>
      </c>
      <c r="F27" s="96" t="str">
        <f>Total!F2077</f>
        <v>Direccions d'Execució</v>
      </c>
      <c r="G27" s="112" t="str">
        <f>Total!G2077</f>
        <v>CSS. PNC-16281</v>
      </c>
      <c r="H27" s="112" t="str">
        <f>Total!H2077</f>
        <v>Contracte de serveis per a l'Assistència tècnica per la Coordinació de seguretat i salut de l'execució de les obres de nova construcció Escola 1 línia + 4 aules Escola Ernest Lluch de l'Hospitalet de Llobregat.</v>
      </c>
      <c r="I27" s="157">
        <f>Total!I2077</f>
        <v>28200</v>
      </c>
    </row>
    <row r="28" spans="1:9" x14ac:dyDescent="0.2">
      <c r="A28" s="8">
        <v>27</v>
      </c>
      <c r="B28" s="101">
        <f>Total!B2079</f>
        <v>43672</v>
      </c>
      <c r="C28" s="101">
        <f>Total!C2079</f>
        <v>43724</v>
      </c>
      <c r="D28" s="112" t="s">
        <v>1092</v>
      </c>
      <c r="E28" s="101" t="str">
        <f>Total!E2079</f>
        <v>Obra Civil</v>
      </c>
      <c r="F28" s="96" t="str">
        <f>Total!F2079</f>
        <v>Control de Qualitat</v>
      </c>
      <c r="G28" s="112" t="str">
        <f>Total!G2079</f>
        <v>CQ.TM-02609.20.2.2 Fases 4 i 5</v>
      </c>
      <c r="H28" s="112" t="str">
        <f>Total!H2079</f>
        <v>Control qualitat obres del proj. constructiu de canvi de senyalèctica i de plafons de senyalització per adaptar la xarxa a la posada en servei de la Línia 10 Sud del metro de Barcelona. Estacions Ildefons Cerdà, Provençana i estacions Viaducte. Fases 4 5.</v>
      </c>
      <c r="I28" s="157">
        <f>Total!I2079</f>
        <v>1151.7</v>
      </c>
    </row>
    <row r="29" spans="1:9" x14ac:dyDescent="0.2">
      <c r="A29" s="8">
        <v>28</v>
      </c>
      <c r="B29" s="101">
        <f>Total!B2081</f>
        <v>43672</v>
      </c>
      <c r="C29" s="101">
        <f>Total!C2081</f>
        <v>43717</v>
      </c>
      <c r="D29" s="112" t="s">
        <v>1092</v>
      </c>
      <c r="E29" s="101" t="str">
        <f>Total!E2081</f>
        <v>Edificació</v>
      </c>
      <c r="F29" s="96" t="str">
        <f>Total!F2081</f>
        <v>Direccions d'execució</v>
      </c>
      <c r="G29" s="112" t="str">
        <f>Total!G2081</f>
        <v>DE. PNC-16281</v>
      </c>
      <c r="H29" s="112" t="str">
        <f>Total!H2081</f>
        <v>Contracte de serveis per a l'assistència tècnica de direcció d'execució de les obres de nova construcció Escola 1 línia + 4 aules Escola Ernest Lluch de l'Hospitalet de Llobregat.</v>
      </c>
      <c r="I29" s="157">
        <f>Total!I2081</f>
        <v>94000</v>
      </c>
    </row>
    <row r="30" spans="1:9" x14ac:dyDescent="0.2">
      <c r="A30" s="8">
        <v>29</v>
      </c>
      <c r="B30" s="101">
        <f>Total!B2082</f>
        <v>43677</v>
      </c>
      <c r="C30" s="101">
        <f>Total!C2082</f>
        <v>43724</v>
      </c>
      <c r="D30" s="112" t="s">
        <v>1092</v>
      </c>
      <c r="E30" s="101" t="str">
        <f>Total!E2082</f>
        <v>Edificació</v>
      </c>
      <c r="F30" s="96" t="str">
        <f>Total!F2082</f>
        <v>Projectes i Direccions d'Obra</v>
      </c>
      <c r="G30" s="112" t="str">
        <f>Total!G2082</f>
        <v>PE+DO. HTT-18287</v>
      </c>
      <c r="H30" s="112" t="str">
        <f>Total!H2082</f>
        <v>Concurs de Projectes per a la redacció del projecte bàsic, el projecte executiu i la posterior direcció de les obres d'instal·lacions de l'edifici fase 1 de la transformació global de l'Hospital Joan XXIII, de Tarragona.</v>
      </c>
      <c r="I30" s="157">
        <f>Total!I2082</f>
        <v>1700484.26</v>
      </c>
    </row>
    <row r="31" spans="1:9" x14ac:dyDescent="0.2">
      <c r="I31" s="126">
        <f>SUM(I2:I30)</f>
        <v>8132931.9900000002</v>
      </c>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32"/>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Total!B2020</f>
        <v>43620</v>
      </c>
      <c r="C2" s="101">
        <f>Total!C2020</f>
        <v>43635</v>
      </c>
      <c r="D2" s="112" t="s">
        <v>1092</v>
      </c>
      <c r="E2" s="101" t="str">
        <f>Total!E2020</f>
        <v>Obra Civil</v>
      </c>
      <c r="F2" s="96" t="str">
        <f>Total!F2020</f>
        <v>Direccions d'Obra</v>
      </c>
      <c r="G2" s="112" t="str">
        <f>Total!G2020</f>
        <v>CSS. ML-16048</v>
      </c>
      <c r="H2" s="112" t="str">
        <f>Total!H2020</f>
        <v>Coordinació de seguretat i salut de l'execució de les obres del projecte constructiu de millora local. Millora de nus. Ordenació cruïlla entre les carreteres C-26 i L-903. PK 2+490 de la C-26 i PK 0+000 de la L-903. Tram: Ivars de Noguera.</v>
      </c>
      <c r="I2" s="157">
        <f>Total!I2020</f>
        <v>3720</v>
      </c>
    </row>
    <row r="3" spans="1:9" x14ac:dyDescent="0.2">
      <c r="A3" s="8">
        <v>2</v>
      </c>
      <c r="B3" s="101">
        <f>Total!B2021</f>
        <v>43620</v>
      </c>
      <c r="C3" s="101">
        <f>Total!C2021</f>
        <v>43635</v>
      </c>
      <c r="D3" s="112" t="s">
        <v>1092</v>
      </c>
      <c r="E3" s="101" t="str">
        <f>Total!E2021</f>
        <v>Obra Civil</v>
      </c>
      <c r="F3" s="96" t="str">
        <f>Total!F2021</f>
        <v>Direccions d'Obra</v>
      </c>
      <c r="G3" s="112" t="str">
        <f>Total!G2021</f>
        <v>DO. ML-16048</v>
      </c>
      <c r="H3" s="112" t="str">
        <f>Total!H2021</f>
        <v>Contracte de serveis per a la direcció de les obres del projecte constructiu de millora local. Millora de nus. Ordenació cruïlla entre les carreteres C-26 i L-903. PK 2+490 de la C-26 i PK 0+000 de l'L-903. Tram: Ivars de Noguera.</v>
      </c>
      <c r="I3" s="157">
        <f>Total!I2021</f>
        <v>13413.34</v>
      </c>
    </row>
    <row r="4" spans="1:9" x14ac:dyDescent="0.2">
      <c r="A4" s="8">
        <v>3</v>
      </c>
      <c r="B4" s="101">
        <f>Total!B2022</f>
        <v>43620</v>
      </c>
      <c r="C4" s="101">
        <f>Total!C2022</f>
        <v>43635</v>
      </c>
      <c r="D4" s="112" t="s">
        <v>1092</v>
      </c>
      <c r="E4" s="101" t="str">
        <f>Total!E2022</f>
        <v>Obra Civil</v>
      </c>
      <c r="F4" s="96" t="str">
        <f>Total!F2022</f>
        <v>Control de Qualitat</v>
      </c>
      <c r="G4" s="112" t="str">
        <f>Total!G2022</f>
        <v>CQ. ML-16048</v>
      </c>
      <c r="H4" s="112" t="str">
        <f>Total!H2022</f>
        <v>Control de qualitat de les obres del projecte constructiu de millora local. Millora de nus. Ordenació cruïlla entre les carreteres C-26 i L-903. PK 2+490 de la C-26 i PK 0+000 de l'L-903. Tram: Ivars de Noguera.</v>
      </c>
      <c r="I4" s="157">
        <f>Total!I2022</f>
        <v>3531.4</v>
      </c>
    </row>
    <row r="5" spans="1:9" x14ac:dyDescent="0.2">
      <c r="A5" s="8">
        <v>4</v>
      </c>
      <c r="B5" s="101">
        <f>Total!B2023</f>
        <v>43621</v>
      </c>
      <c r="C5" s="101">
        <f>Total!C2023</f>
        <v>43642</v>
      </c>
      <c r="D5" s="112" t="s">
        <v>1092</v>
      </c>
      <c r="E5" s="101" t="str">
        <f>Total!E2023</f>
        <v>Edificació</v>
      </c>
      <c r="F5" s="96" t="str">
        <f>Total!F2023</f>
        <v>Control de Qualitat</v>
      </c>
      <c r="G5" s="112" t="str">
        <f>Total!G2023</f>
        <v>CQ. JVX-16244</v>
      </c>
      <c r="H5" s="112" t="str">
        <f>Total!H2023</f>
        <v>Control de qualitat de les obres RAM de reorganització funcional, actualitzar climatització i arranjament de les façanes i coberta de l'Edifici Judicial de Sant Feliu de Llobregat ubicat al carrer Dalt, 10-12.</v>
      </c>
      <c r="I5" s="157">
        <f>Total!I2023</f>
        <v>9391.0400000000009</v>
      </c>
    </row>
    <row r="6" spans="1:9" x14ac:dyDescent="0.2">
      <c r="A6" s="8">
        <v>5</v>
      </c>
      <c r="B6" s="101">
        <f>Total!B2024</f>
        <v>43621</v>
      </c>
      <c r="C6" s="101">
        <f>Total!C2024</f>
        <v>43642</v>
      </c>
      <c r="D6" s="112" t="s">
        <v>1092</v>
      </c>
      <c r="E6" s="101" t="str">
        <f>Total!E2024</f>
        <v>Edificació</v>
      </c>
      <c r="F6" s="96" t="str">
        <f>Total!F2024</f>
        <v>Direccions d'execució</v>
      </c>
      <c r="G6" s="112" t="str">
        <f>Total!G2024</f>
        <v>DE. JVX-16244</v>
      </c>
      <c r="H6" s="112" t="str">
        <f>Total!H2024</f>
        <v>Direcció d'execució de les obres RAM de reorganització funcional, actualitzar climatització i arranjament de les façanes i coberta de l'Edifici Judicial de Sant Feliu de Llobregat ubicat al carrer Dalt, 10-12.</v>
      </c>
      <c r="I6" s="157">
        <f>Total!I2024</f>
        <v>24400</v>
      </c>
    </row>
    <row r="7" spans="1:9" x14ac:dyDescent="0.2">
      <c r="A7" s="8">
        <v>6</v>
      </c>
      <c r="B7" s="101">
        <f>Total!B2025</f>
        <v>43621</v>
      </c>
      <c r="C7" s="101">
        <f>Total!C2025</f>
        <v>43642</v>
      </c>
      <c r="D7" s="112" t="s">
        <v>1092</v>
      </c>
      <c r="E7" s="101" t="str">
        <f>Total!E2025</f>
        <v>Edificació</v>
      </c>
      <c r="F7" s="96" t="str">
        <f>Total!F2025</f>
        <v>Direccions d'execució</v>
      </c>
      <c r="G7" s="112" t="str">
        <f>Total!G2025</f>
        <v>DE. ATC-18301</v>
      </c>
      <c r="H7" s="112" t="str">
        <f>Total!H2025</f>
        <v>Contracte de serveis per a la direcció d'execució de les obres d'adequació de la segona planta de l'edifici T, situat al passeig de la Zona Franca, 46 de Barcelona.</v>
      </c>
      <c r="I7" s="157">
        <f>Total!I2025</f>
        <v>17600</v>
      </c>
    </row>
    <row r="8" spans="1:9" x14ac:dyDescent="0.2">
      <c r="A8" s="8">
        <v>7</v>
      </c>
      <c r="B8" s="101">
        <f>Total!B2026</f>
        <v>43621</v>
      </c>
      <c r="C8" s="101">
        <f>Total!C2026</f>
        <v>43642</v>
      </c>
      <c r="D8" s="112" t="s">
        <v>1092</v>
      </c>
      <c r="E8" s="101" t="str">
        <f>Total!E2026</f>
        <v>Edificació</v>
      </c>
      <c r="F8" s="96" t="str">
        <f>Total!F2026</f>
        <v>Direccions d'Obra</v>
      </c>
      <c r="G8" s="112" t="str">
        <f>Total!G2026</f>
        <v>DO. ATC-18301</v>
      </c>
      <c r="H8" s="112" t="str">
        <f>Total!H2026</f>
        <v>Contracte de serveis per a la direcció de les obres d'adequació de la segona planta de l'edifici T, situat al passeig de la Zona Franca, 46 de Barcelona.</v>
      </c>
      <c r="I8" s="157">
        <f>Total!I2026</f>
        <v>11776.86</v>
      </c>
    </row>
    <row r="9" spans="1:9" x14ac:dyDescent="0.2">
      <c r="A9" s="8">
        <v>8</v>
      </c>
      <c r="B9" s="101">
        <f>Total!B2027</f>
        <v>43621</v>
      </c>
      <c r="C9" s="101">
        <f>Total!C2027</f>
        <v>43642</v>
      </c>
      <c r="D9" s="112" t="s">
        <v>1092</v>
      </c>
      <c r="E9" s="101" t="str">
        <f>Total!E2027</f>
        <v>Edificació</v>
      </c>
      <c r="F9" s="96" t="str">
        <f>Total!F2027</f>
        <v>Control de Qualitat</v>
      </c>
      <c r="G9" s="112" t="str">
        <f>Total!G2027</f>
        <v>CQ. ATC-18301</v>
      </c>
      <c r="H9" s="112" t="str">
        <f>Total!H2027</f>
        <v>Contracte de serveis per l'assistència tècnica de control de qualitat de les obres d'adequació de la segona planta de l'edifici T, situat al passeig de la Zona Franca, 46 de Barcelona.</v>
      </c>
      <c r="I9" s="157">
        <f>Total!I2027</f>
        <v>6289.62</v>
      </c>
    </row>
    <row r="10" spans="1:9" x14ac:dyDescent="0.2">
      <c r="A10" s="8">
        <v>9</v>
      </c>
      <c r="B10" s="101">
        <f>Total!B2028</f>
        <v>43621</v>
      </c>
      <c r="C10" s="101">
        <f>Total!C2028</f>
        <v>43642</v>
      </c>
      <c r="D10" s="112" t="s">
        <v>1092</v>
      </c>
      <c r="E10" s="101" t="str">
        <f>Total!E2028</f>
        <v>Edificació</v>
      </c>
      <c r="F10" s="96" t="str">
        <f>Total!F2028</f>
        <v>Direccions d'execució</v>
      </c>
      <c r="G10" s="112" t="str">
        <f>Total!G2028</f>
        <v>CSS. JVX-16244</v>
      </c>
      <c r="H10" s="112" t="str">
        <f>Total!H2028</f>
        <v>Coordinació de seguretat i salut de l'execució de les obres RAM de reorganització funcional, actualitzar climatització i arrajament de les façanes i coberta de l'edifici judicial de Sant Feliu de Llobregat ubicat al Carrer Dalt, 10-12.</v>
      </c>
      <c r="I10" s="157">
        <f>Total!I2028</f>
        <v>7320</v>
      </c>
    </row>
    <row r="11" spans="1:9" x14ac:dyDescent="0.2">
      <c r="A11" s="8">
        <v>10</v>
      </c>
      <c r="B11" s="101">
        <f>Total!B2029</f>
        <v>43621</v>
      </c>
      <c r="C11" s="101">
        <f>Total!C2029</f>
        <v>43642</v>
      </c>
      <c r="D11" s="112" t="s">
        <v>1092</v>
      </c>
      <c r="E11" s="101" t="str">
        <f>Total!E2029</f>
        <v>Edificació</v>
      </c>
      <c r="F11" s="96" t="str">
        <f>Total!F2029</f>
        <v>Direccions d'execució</v>
      </c>
      <c r="G11" s="112" t="str">
        <f>Total!G2029</f>
        <v>CSS. ATC-18301</v>
      </c>
      <c r="H11" s="112" t="str">
        <f>Total!H2029</f>
        <v>Contracte de serveis per a l'assistència tècnica de coordinació de seguretat i salut de les obres d'adequació de la segona planta de l'edifici T, situat al passeig de la Zona Franca, 46 de Barcelona.</v>
      </c>
      <c r="I11" s="157">
        <f>Total!I2029</f>
        <v>5280</v>
      </c>
    </row>
    <row r="12" spans="1:9" x14ac:dyDescent="0.2">
      <c r="A12" s="8">
        <v>11</v>
      </c>
      <c r="B12" s="101">
        <f>Total!B2030</f>
        <v>43622</v>
      </c>
      <c r="C12" s="101">
        <f>Total!C2030</f>
        <v>43649</v>
      </c>
      <c r="D12" s="112" t="s">
        <v>1092</v>
      </c>
      <c r="E12" s="101" t="str">
        <f>Total!E2030</f>
        <v>Obra Civil</v>
      </c>
      <c r="F12" s="96" t="str">
        <f>Total!F2030</f>
        <v>Control de Qualitat</v>
      </c>
      <c r="G12" s="112" t="str">
        <f>Total!G2030</f>
        <v>CQ. AB-14009.F3.2</v>
      </c>
      <c r="H12" s="112" t="str">
        <f>Total!H2030</f>
        <v>Contracte de serveis per a l'assistència tècnica per al control de qualitat de les obres del projecte constructiu de millora general. Rehabilitació dels viaductes de la C-58 sobre BP-1503 i la riera de Palau. Segona actuació. Terrassa.</v>
      </c>
      <c r="I12" s="157">
        <f>Total!I2030</f>
        <v>2800</v>
      </c>
    </row>
    <row r="13" spans="1:9" x14ac:dyDescent="0.2">
      <c r="A13" s="8">
        <v>12</v>
      </c>
      <c r="B13" s="101">
        <f>Total!B2031</f>
        <v>43622</v>
      </c>
      <c r="C13" s="101">
        <f>Total!C2031</f>
        <v>43647</v>
      </c>
      <c r="D13" s="112" t="s">
        <v>1092</v>
      </c>
      <c r="E13" s="101" t="str">
        <f>Total!E2031</f>
        <v>Obra Civil</v>
      </c>
      <c r="F13" s="96" t="str">
        <f>Total!F2031</f>
        <v>Direccions d'Obra</v>
      </c>
      <c r="G13" s="112" t="str">
        <f>Total!G2031</f>
        <v>DO. AB-14009.F3.2</v>
      </c>
      <c r="H13" s="112" t="str">
        <f>Total!H2031</f>
        <v>Contracte de serveis per a la direcció de les obres del projecte constructiu de millora general. Rehabilitació dels viaductes de la C-58 sobre BP-1503 i la riera de Palau. Segona actuació. Terrassa.</v>
      </c>
      <c r="I13" s="157">
        <f>Total!I2031</f>
        <v>38984</v>
      </c>
    </row>
    <row r="14" spans="1:9" x14ac:dyDescent="0.2">
      <c r="A14" s="8">
        <v>13</v>
      </c>
      <c r="B14" s="101">
        <f>Total!B2032</f>
        <v>43622</v>
      </c>
      <c r="C14" s="101">
        <f>Total!C2032</f>
        <v>43649</v>
      </c>
      <c r="D14" s="112" t="s">
        <v>1092</v>
      </c>
      <c r="E14" s="101" t="str">
        <f>Total!E2032</f>
        <v>Obra Civil</v>
      </c>
      <c r="F14" s="96" t="str">
        <f>Total!F2032</f>
        <v>Direccions d'Obra</v>
      </c>
      <c r="G14" s="112" t="str">
        <f>Total!G2032</f>
        <v>CSS. AB-14009.F3.2</v>
      </c>
      <c r="H14" s="112" t="str">
        <f>Total!H2032</f>
        <v>Coordinació de seguretat i salut de l'execució de les obres del projecte constructiu Millora general. Rehabilitació dels viaductes de la C-58 sobre BP-1503 i la riera de Palau. Segona actuació. Terrassa.</v>
      </c>
      <c r="I14" s="157">
        <f>Total!I2032</f>
        <v>10920</v>
      </c>
    </row>
    <row r="15" spans="1:9" x14ac:dyDescent="0.2">
      <c r="A15" s="8">
        <v>14</v>
      </c>
      <c r="B15" s="101">
        <f>Total!B2033</f>
        <v>43627</v>
      </c>
      <c r="C15" s="101">
        <f>Total!C2033</f>
        <v>43642</v>
      </c>
      <c r="D15" s="112" t="s">
        <v>1092</v>
      </c>
      <c r="E15" s="101" t="str">
        <f>Total!E2033</f>
        <v>Obra Civil</v>
      </c>
      <c r="F15" s="96" t="str">
        <f>Total!F2033</f>
        <v>Direccions d'Obra</v>
      </c>
      <c r="G15" s="112" t="str">
        <f>Total!G2033</f>
        <v>DO. PC-MAB-17077</v>
      </c>
      <c r="H15" s="112" t="str">
        <f>Total!H2033</f>
        <v>Contracte de serveis per a la direcció de les obres del projecte constructiu de renovació dels enclavaments de relés de les estacions de Sagrada Família, Passeig de Gràcia i Paral·lel a la línia 2 d'FMB. Barcelona.</v>
      </c>
      <c r="I15" s="157">
        <f>Total!I2033</f>
        <v>154800</v>
      </c>
    </row>
    <row r="16" spans="1:9" x14ac:dyDescent="0.2">
      <c r="A16" s="8">
        <v>15</v>
      </c>
      <c r="B16" s="101">
        <f>Total!B2034</f>
        <v>43627</v>
      </c>
      <c r="C16" s="101">
        <f>Total!C2034</f>
        <v>43642</v>
      </c>
      <c r="D16" s="112" t="s">
        <v>1092</v>
      </c>
      <c r="E16" s="101" t="str">
        <f>Total!E2034</f>
        <v>Obra Civil</v>
      </c>
      <c r="F16" s="96" t="str">
        <f>Total!F2034</f>
        <v>Direccions d'Obra</v>
      </c>
      <c r="G16" s="112" t="str">
        <f>Total!G2034</f>
        <v>CSS. MAB-17077</v>
      </c>
      <c r="H16" s="112" t="str">
        <f>Total!H2034</f>
        <v>Coordinació de seguretat i salut de l'execució de les obres del projecte constructiu de la renovació dels enclavaments de relés a les estacions de Sagrada Família, Passeig de Gràcia i Paral·lel a la línia 2 de FMB. Barcelona.</v>
      </c>
      <c r="I16" s="157">
        <f>Total!I2034</f>
        <v>30960</v>
      </c>
    </row>
    <row r="17" spans="1:9" x14ac:dyDescent="0.2">
      <c r="A17" s="8">
        <v>16</v>
      </c>
      <c r="B17" s="101">
        <f>Total!B2035</f>
        <v>43627</v>
      </c>
      <c r="C17" s="101">
        <f>Total!C2035</f>
        <v>43642</v>
      </c>
      <c r="D17" s="112" t="s">
        <v>1092</v>
      </c>
      <c r="E17" s="101" t="str">
        <f>Total!E2035</f>
        <v>Obra Civil</v>
      </c>
      <c r="F17" s="96" t="str">
        <f>Total!F2035</f>
        <v>Control de Qualitat</v>
      </c>
      <c r="G17" s="112" t="str">
        <f>Total!G2035</f>
        <v>CQ. PC-MAB-17077</v>
      </c>
      <c r="H17" s="112" t="str">
        <f>Total!H2035</f>
        <v>Contracte de serveis per a l'assistència tècnica de control de qualitat de les obres del projecte constructiu de renovació dels enclavaments de relés de les estacions de Sagrada Família, Passeig de Gràcia i Paral·lel a la línia 2 d'FMB. Barcelona.</v>
      </c>
      <c r="I17" s="157">
        <f>Total!I2035</f>
        <v>28451.79</v>
      </c>
    </row>
    <row r="18" spans="1:9" x14ac:dyDescent="0.2">
      <c r="A18" s="8">
        <v>17</v>
      </c>
      <c r="B18" s="101">
        <f>Total!B2036</f>
        <v>43628</v>
      </c>
      <c r="C18" s="101">
        <f>Total!C2036</f>
        <v>43647</v>
      </c>
      <c r="D18" s="112" t="s">
        <v>1092</v>
      </c>
      <c r="E18" s="101" t="str">
        <f>Total!E2036</f>
        <v>Obra Civil</v>
      </c>
      <c r="F18" s="96" t="str">
        <f>Total!F2036</f>
        <v>Direccions d'Obra</v>
      </c>
      <c r="G18" s="112" t="str">
        <f>Total!G2036</f>
        <v>DO. TM-00509.57.1</v>
      </c>
      <c r="H18" s="112" t="str">
        <f>Total!H2036</f>
        <v>Contracte de serveis per a la direcció de les obres del projecte constructiu del parament per minimitzar l'efecte del vent en estacions exteriors de la Zona Franca de L9 de Barcelona. Estació Zona Franca.</v>
      </c>
      <c r="I18" s="157">
        <f>Total!I2036</f>
        <v>11880</v>
      </c>
    </row>
    <row r="19" spans="1:9" x14ac:dyDescent="0.2">
      <c r="A19" s="8">
        <v>18</v>
      </c>
      <c r="B19" s="101">
        <f>Total!B2037</f>
        <v>43628</v>
      </c>
      <c r="C19" s="101">
        <f>Total!C2037</f>
        <v>43647</v>
      </c>
      <c r="D19" s="112" t="s">
        <v>1092</v>
      </c>
      <c r="E19" s="101" t="str">
        <f>Total!E2037</f>
        <v>Obra Civil</v>
      </c>
      <c r="F19" s="96" t="str">
        <f>Total!F2037</f>
        <v>Control de Qualitat</v>
      </c>
      <c r="G19" s="112" t="str">
        <f>Total!G2037</f>
        <v>CQ. TM-00509.57.1</v>
      </c>
      <c r="H19" s="112" t="str">
        <f>Total!H2037</f>
        <v>Contracte de serveis per a l'assistència tècnica de control de qualitat de les obres del projecte constructiu del parament per minimitzar l'efecte del vent en estacions exteriors de la Zona Franca de L9 de Barcelona. Estació Zona Franca.</v>
      </c>
      <c r="I19" s="157">
        <f>Total!I2037</f>
        <v>4249.3900000000003</v>
      </c>
    </row>
    <row r="20" spans="1:9" x14ac:dyDescent="0.2">
      <c r="A20" s="8">
        <v>19</v>
      </c>
      <c r="B20" s="101">
        <f>Total!B2038</f>
        <v>43628</v>
      </c>
      <c r="C20" s="101">
        <f>Total!C2038</f>
        <v>43647</v>
      </c>
      <c r="D20" s="112" t="s">
        <v>1092</v>
      </c>
      <c r="E20" s="101" t="str">
        <f>Total!E2038</f>
        <v>Obra Civil</v>
      </c>
      <c r="F20" s="96" t="str">
        <f>Total!F2038</f>
        <v>Direccions d'Obra</v>
      </c>
      <c r="G20" s="112" t="str">
        <f>Total!G2038</f>
        <v>DO.MA-17905</v>
      </c>
      <c r="H20" s="112" t="str">
        <f>Total!H2038</f>
        <v>Direcció de les obres del projecte de naturalització i recuperació dels sistemes naturals a l'Embassament de l'Albagés. Mesures correctores i compensatòries del Regadiu del Sistema Segarra-Garrigues. Declaració d'Impacte Ambiental 2010.</v>
      </c>
      <c r="I20" s="157">
        <f>Total!I2038</f>
        <v>24358.400000000001</v>
      </c>
    </row>
    <row r="21" spans="1:9" x14ac:dyDescent="0.2">
      <c r="A21" s="8">
        <v>20</v>
      </c>
      <c r="B21" s="101">
        <f>Total!B2039</f>
        <v>43628</v>
      </c>
      <c r="C21" s="101">
        <f>Total!C2039</f>
        <v>43647</v>
      </c>
      <c r="D21" s="112" t="s">
        <v>1092</v>
      </c>
      <c r="E21" s="101" t="str">
        <f>Total!E2039</f>
        <v>Obra Civil</v>
      </c>
      <c r="F21" s="96" t="str">
        <f>Total!F2039</f>
        <v>Direccions d'Obra</v>
      </c>
      <c r="G21" s="112" t="str">
        <f>Total!G2039</f>
        <v>CSS. TM-00509.57.1</v>
      </c>
      <c r="H21" s="112" t="str">
        <f>Total!H2039</f>
        <v>Contracte de serveis per a l'assistència tècnica de coordinació de seguretat i salut de les obres del projecte constructiu del parament per minimitzar l'efecte del vent en estacions exteriors de la Zona Franca de L9 de Barcelona. Estació Zona Franca.</v>
      </c>
      <c r="I21" s="157">
        <f>Total!I2039</f>
        <v>3240</v>
      </c>
    </row>
    <row r="22" spans="1:9" x14ac:dyDescent="0.2">
      <c r="A22" s="8">
        <v>21</v>
      </c>
      <c r="B22" s="101">
        <f>Total!B2040</f>
        <v>43628</v>
      </c>
      <c r="C22" s="101">
        <f>Total!C2040</f>
        <v>43647</v>
      </c>
      <c r="D22" s="112" t="s">
        <v>1092</v>
      </c>
      <c r="E22" s="101" t="str">
        <f>Total!E2040</f>
        <v>Obra Civil</v>
      </c>
      <c r="F22" s="96" t="str">
        <f>Total!F2040</f>
        <v>Control de Qualitat</v>
      </c>
      <c r="G22" s="112" t="str">
        <f>Total!G2040</f>
        <v>CQ.MA-17905</v>
      </c>
      <c r="H22" s="112" t="str">
        <f>Total!H2040</f>
        <v>Contracte de serveis per a l'assistència tècnica de control de qualitat de les obres projecte de naturalització i recuperació dels sistemes naturals a l'embassament de l'Albagés. TM El Cogul i l'Albagés.</v>
      </c>
      <c r="I22" s="157">
        <f>Total!I2040</f>
        <v>4467.6099999999997</v>
      </c>
    </row>
    <row r="23" spans="1:9" x14ac:dyDescent="0.2">
      <c r="A23" s="8">
        <v>22</v>
      </c>
      <c r="B23" s="101">
        <f>Total!B2041</f>
        <v>43629</v>
      </c>
      <c r="C23" s="101">
        <f>Total!C2041</f>
        <v>43647</v>
      </c>
      <c r="D23" s="112" t="s">
        <v>1092</v>
      </c>
      <c r="E23" s="101" t="str">
        <f>Total!E2041</f>
        <v>Edificació</v>
      </c>
      <c r="F23" s="96" t="str">
        <f>Total!F2041</f>
        <v>Projectes i Direccions d'Obra</v>
      </c>
      <c r="G23" s="112" t="str">
        <f>Total!G2041</f>
        <v>PE+DO.JVX-17272</v>
      </c>
      <c r="H23" s="112" t="str">
        <f>Total!H2041</f>
        <v>Redacció del projecte bàsic, el projecte executiu i la posterior direcció d'obra de les obres RAM de reforma de la instal·lació de climatització de l'edifici judicial de Sabadell.</v>
      </c>
      <c r="I23" s="157">
        <f>Total!I2041</f>
        <v>202788.09</v>
      </c>
    </row>
    <row r="24" spans="1:9" x14ac:dyDescent="0.2">
      <c r="A24" s="8">
        <v>23</v>
      </c>
      <c r="B24" s="101">
        <f>Total!B2042</f>
        <v>43629</v>
      </c>
      <c r="C24" s="101">
        <f>Total!C2042</f>
        <v>43647</v>
      </c>
      <c r="D24" s="112" t="s">
        <v>1092</v>
      </c>
      <c r="E24" s="101" t="str">
        <f>Total!E2042</f>
        <v>Obra Civil</v>
      </c>
      <c r="F24" s="96" t="str">
        <f>Total!F2042</f>
        <v>Direccions d'Obra</v>
      </c>
      <c r="G24" s="112" t="str">
        <f>Total!G2042</f>
        <v>CSS.MA-17905</v>
      </c>
      <c r="H24" s="112" t="str">
        <f>Total!H2042</f>
        <v>Contracte de Serveis per a l'assistència Tècnica per la Coordinació de Seguretat i Salut de les obres del projecte de naturalització i recuperaciódels sistemes naturals a l'embassament de l'Albagés. TM El Cogul i l'Albagés.</v>
      </c>
      <c r="I24" s="157">
        <f>Total!I2042</f>
        <v>4800</v>
      </c>
    </row>
    <row r="25" spans="1:9" x14ac:dyDescent="0.2">
      <c r="A25" s="8">
        <v>24</v>
      </c>
      <c r="B25" s="101">
        <f>Total!B2043</f>
        <v>43630</v>
      </c>
      <c r="C25" s="101">
        <f>Total!C2043</f>
        <v>43647</v>
      </c>
      <c r="D25" s="112" t="s">
        <v>1092</v>
      </c>
      <c r="E25" s="101" t="str">
        <f>Total!E2043</f>
        <v>Edificació</v>
      </c>
      <c r="F25" s="96" t="str">
        <f>Total!F2043</f>
        <v>Control de Qualitat</v>
      </c>
      <c r="G25" s="112" t="str">
        <f>Total!G2043</f>
        <v>MSA. CQ. S10-PNA-06362</v>
      </c>
      <c r="H25" s="112" t="str">
        <f>Total!H2043</f>
        <v>Contracte de serveis per a l'assistència tècnica de control de qualitat de les obres de rehabilitació dels vestidors, el gimnàs i pistes del CEIP Els Pins de Castelldefels.</v>
      </c>
      <c r="I25" s="157">
        <f>Total!I2043</f>
        <v>9588.2999999999993</v>
      </c>
    </row>
    <row r="26" spans="1:9" x14ac:dyDescent="0.2">
      <c r="A26" s="8">
        <v>25</v>
      </c>
      <c r="B26" s="101">
        <f>Total!B2044</f>
        <v>43633</v>
      </c>
      <c r="C26" s="101">
        <f>Total!C2044</f>
        <v>43712</v>
      </c>
      <c r="D26" s="112" t="s">
        <v>1092</v>
      </c>
      <c r="E26" s="101" t="str">
        <f>Total!E2044</f>
        <v>Edificació</v>
      </c>
      <c r="F26" s="96" t="str">
        <f>Total!F2044</f>
        <v>Projectes i Direccions d'Obra</v>
      </c>
      <c r="G26" s="112" t="str">
        <f>Total!G2044</f>
        <v>PE+DO JJV-18286</v>
      </c>
      <c r="H26" s="112" t="str">
        <f>Total!H2044</f>
        <v>Redacció del projecte bàsic, el projecte executiu i la posterior direcció d'obra adequació i reforma d'ascensors d'edificis judicials.</v>
      </c>
      <c r="I26" s="157">
        <f>Total!I2044</f>
        <v>464696</v>
      </c>
    </row>
    <row r="27" spans="1:9" x14ac:dyDescent="0.2">
      <c r="A27" s="8">
        <v>26</v>
      </c>
      <c r="B27" s="101">
        <f>Total!B2045</f>
        <v>43635</v>
      </c>
      <c r="C27" s="101">
        <f>Total!C2045</f>
        <v>43651</v>
      </c>
      <c r="D27" s="112" t="s">
        <v>1092</v>
      </c>
      <c r="E27" s="101" t="str">
        <f>Total!E2045</f>
        <v>Obra Civil</v>
      </c>
      <c r="F27" s="96" t="str">
        <f>Total!F2045</f>
        <v>Direccions d'Obra</v>
      </c>
      <c r="G27" s="112" t="str">
        <f>Total!G2045</f>
        <v>EV-E9-MA-19900</v>
      </c>
      <c r="H27" s="112" t="str">
        <f>Total!H2045</f>
        <v>Contracte de serveis per a l'assitència tècnica pel seguiment de les xarxes de control d'aigües subterrànies, superficials i drenatge del Reg Segarra-Garrigues. Campanya 2019.</v>
      </c>
      <c r="I27" s="157">
        <f>Total!I2045</f>
        <v>127982.2</v>
      </c>
    </row>
    <row r="28" spans="1:9" x14ac:dyDescent="0.2">
      <c r="A28" s="8">
        <v>27</v>
      </c>
      <c r="B28" s="101">
        <f>Total!B2046</f>
        <v>43635</v>
      </c>
      <c r="C28" s="101">
        <f>Total!C2046</f>
        <v>43654</v>
      </c>
      <c r="D28" s="112" t="s">
        <v>1092</v>
      </c>
      <c r="E28" s="101" t="str">
        <f>Total!E2046</f>
        <v>Obra Civil</v>
      </c>
      <c r="F28" s="96" t="str">
        <f>Total!F2046</f>
        <v>Direccions d'Obra</v>
      </c>
      <c r="G28" s="112" t="str">
        <f>Total!G2046</f>
        <v>PC. VB-12062.1</v>
      </c>
      <c r="H28" s="112" t="str">
        <f>Total!H2046</f>
        <v>Contracte de serveis per a l'assistència tècnica per a la redacció del projecte constructiu Variant de Sant Miquel de Balenyà, tram nord-est. Del PK 4+600 de la BV-5305 al PK 6+900 de la BV-5303. Seva.</v>
      </c>
      <c r="I28" s="157">
        <f>Total!I2046</f>
        <v>63000</v>
      </c>
    </row>
    <row r="29" spans="1:9" x14ac:dyDescent="0.2">
      <c r="A29" s="8">
        <v>28</v>
      </c>
      <c r="B29" s="101">
        <f>Total!B2047</f>
        <v>43636</v>
      </c>
      <c r="C29" s="101">
        <f>Total!C2047</f>
        <v>43654</v>
      </c>
      <c r="D29" s="112" t="s">
        <v>1092</v>
      </c>
      <c r="E29" s="101" t="str">
        <f>Total!E2047</f>
        <v>Obra Civil</v>
      </c>
      <c r="F29" s="96" t="str">
        <f>Total!F2047</f>
        <v>Projectes</v>
      </c>
      <c r="G29" s="112" t="str">
        <f>Total!G2047</f>
        <v>PC.TF-12001</v>
      </c>
      <c r="H29" s="112" t="str">
        <f>Total!H2047</f>
        <v>Contracte de de serveis per a l'assistència tècnica per a la redacció del projecte constructiu desplegament de la xarxa rescat a les línies Barcelona - Vallès i Llobregat - Anoia d'FGC.</v>
      </c>
      <c r="I29" s="157">
        <f>Total!I2047</f>
        <v>110800</v>
      </c>
    </row>
    <row r="30" spans="1:9" x14ac:dyDescent="0.2">
      <c r="A30" s="8">
        <v>29</v>
      </c>
      <c r="B30" s="101">
        <f>Total!B2048</f>
        <v>43637</v>
      </c>
      <c r="C30" s="101">
        <f>Total!C2048</f>
        <v>43654</v>
      </c>
      <c r="D30" s="112" t="s">
        <v>1092</v>
      </c>
      <c r="E30" s="101" t="str">
        <f>Total!E2048</f>
        <v>Edificació</v>
      </c>
      <c r="F30" s="96" t="str">
        <f>Total!F2048</f>
        <v>Control de Qualitat</v>
      </c>
      <c r="G30" s="112" t="str">
        <f>Total!G2048</f>
        <v>CQ. JVX-17205</v>
      </c>
      <c r="H30" s="112" t="str">
        <f>Total!H2048</f>
        <v>Control de qualitat de les obres RAM a la seu principal de l'EJ de Rubí en planta baixa i soterrani i condicionament previ a dues dependències judicials per alliberar espai a la seu principal i per el seu ús com arxiu.</v>
      </c>
      <c r="I30" s="157">
        <f>Total!I2048</f>
        <v>5819.86</v>
      </c>
    </row>
    <row r="31" spans="1:9" x14ac:dyDescent="0.2">
      <c r="A31" s="8">
        <v>30</v>
      </c>
      <c r="B31" s="101">
        <f>Total!B2049</f>
        <v>43637</v>
      </c>
      <c r="C31" s="101">
        <f>Total!C2049</f>
        <v>43663</v>
      </c>
      <c r="D31" s="112" t="s">
        <v>1092</v>
      </c>
      <c r="E31" s="101" t="str">
        <f>Total!E2049</f>
        <v>Obra Civil</v>
      </c>
      <c r="F31" s="96" t="str">
        <f>Total!F2049</f>
        <v>Projectes</v>
      </c>
      <c r="G31" s="112" t="str">
        <f>Total!G2049</f>
        <v>PC. XL-15022</v>
      </c>
      <c r="H31" s="112" t="str">
        <f>Total!H2049</f>
        <v>Redacció del projecte constructiu Via ciclista a l'entorn de la C-13 del pk 128,700 al 131,550. Sort-Rialp.</v>
      </c>
      <c r="I31" s="157">
        <f>Total!I2049</f>
        <v>76800</v>
      </c>
    </row>
    <row r="32" spans="1:9" x14ac:dyDescent="0.2">
      <c r="I32" s="126">
        <f>SUM(I2:I31)</f>
        <v>1484107.9000000001</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31"/>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Total!B1991</f>
        <v>43587</v>
      </c>
      <c r="C2" s="101">
        <f>Total!C1991</f>
        <v>43612</v>
      </c>
      <c r="D2" s="112" t="s">
        <v>1092</v>
      </c>
      <c r="E2" s="101" t="str">
        <f>Total!E1991</f>
        <v>Obra Civil</v>
      </c>
      <c r="F2" s="96" t="str">
        <f>Total!F1991</f>
        <v>Projectes</v>
      </c>
      <c r="G2" s="112" t="str">
        <f>Total!G1991</f>
        <v>PC.MR-05919.8</v>
      </c>
      <c r="H2" s="112" t="str">
        <f>Total!H1991</f>
        <v>Contracte de serveis per a l'assistència tècnica per al projecte constructiu del regadiu Xerta-Sénia. Adequació de les obres singulars dels trams 2 i 3 del canal i xarxa de reg de les Zones 2 i 3.</v>
      </c>
      <c r="I2" s="157">
        <f>Total!I1991</f>
        <v>209490.48</v>
      </c>
    </row>
    <row r="3" spans="1:9" x14ac:dyDescent="0.2">
      <c r="A3" s="8">
        <v>2</v>
      </c>
      <c r="B3" s="101">
        <f>Total!B1992</f>
        <v>43591</v>
      </c>
      <c r="C3" s="101">
        <f>Total!C1992</f>
        <v>43607</v>
      </c>
      <c r="D3" s="112" t="s">
        <v>1092</v>
      </c>
      <c r="E3" s="101" t="str">
        <f>Total!E1992</f>
        <v>Edificació</v>
      </c>
      <c r="F3" s="96" t="str">
        <f>Total!F1992</f>
        <v>Direccions d'execució</v>
      </c>
      <c r="G3" s="112" t="str">
        <f>Total!G1992</f>
        <v>MSA. DE. S6-PNG-07960</v>
      </c>
      <c r="H3" s="112" t="str">
        <f>Total!H1992</f>
        <v>Contracte de serveis per a la Direcció d'Execució de les obres d'adequació de la instal·lació de calefacció del CEIP l'Ardenya de Sant Feliu de Guíxols.</v>
      </c>
      <c r="I3" s="157">
        <f>Total!I1992</f>
        <v>3470</v>
      </c>
    </row>
    <row r="4" spans="1:9" x14ac:dyDescent="0.2">
      <c r="A4" s="8">
        <v>3</v>
      </c>
      <c r="B4" s="101">
        <f>Total!B1993</f>
        <v>43591</v>
      </c>
      <c r="C4" s="101">
        <f>Total!C1993</f>
        <v>43607</v>
      </c>
      <c r="D4" s="112" t="s">
        <v>1092</v>
      </c>
      <c r="E4" s="101" t="str">
        <f>Total!E1993</f>
        <v>Edificació</v>
      </c>
      <c r="F4" s="96" t="str">
        <f>Total!F1993</f>
        <v>Direccions d'execució</v>
      </c>
      <c r="G4" s="112" t="str">
        <f>Total!G1993</f>
        <v>CSS. S6-PNG-07960</v>
      </c>
      <c r="H4" s="112" t="str">
        <f>Total!H1993</f>
        <v>Contracte de serveis per a l'Assistència tècnica per la Coordinació de seguretat i salut de l'execució de les obres d'adequació de la instal·lació de calefacció del CEIP l'Ardenya.</v>
      </c>
      <c r="I4" s="157">
        <f>Total!I1993</f>
        <v>2160</v>
      </c>
    </row>
    <row r="5" spans="1:9" x14ac:dyDescent="0.2">
      <c r="A5" s="8">
        <v>4</v>
      </c>
      <c r="B5" s="101">
        <f>Total!B1994</f>
        <v>43591</v>
      </c>
      <c r="C5" s="101">
        <f>Total!C1994</f>
        <v>43607</v>
      </c>
      <c r="D5" s="112" t="s">
        <v>1092</v>
      </c>
      <c r="E5" s="101" t="str">
        <f>Total!E1994</f>
        <v>Edificació</v>
      </c>
      <c r="F5" s="96" t="str">
        <f>Total!F1994</f>
        <v>Control de Qualitat</v>
      </c>
      <c r="G5" s="112" t="str">
        <f>Total!G1994</f>
        <v>MSA. CQ. S6-PNG-07960</v>
      </c>
      <c r="H5" s="112" t="str">
        <f>Total!H1994</f>
        <v>Contracte de serveis per a l'assistència tècnica de control de qualitat de les obres d'adequació de la instal·lació de calefacció del CEIP l'Ardenya de Sant Feliu de Guíxols.</v>
      </c>
      <c r="I5" s="157">
        <f>Total!I1994</f>
        <v>1965.84</v>
      </c>
    </row>
    <row r="6" spans="1:9" x14ac:dyDescent="0.2">
      <c r="A6" s="8">
        <v>5</v>
      </c>
      <c r="B6" s="101">
        <f>Total!B1995</f>
        <v>43592</v>
      </c>
      <c r="C6" s="101">
        <f>Total!C1995</f>
        <v>43621</v>
      </c>
      <c r="D6" s="112" t="s">
        <v>1092</v>
      </c>
      <c r="E6" s="101" t="str">
        <f>Total!E1995</f>
        <v>Obra Civil</v>
      </c>
      <c r="F6" s="96" t="str">
        <f>Total!F1995</f>
        <v>Control de Qualitat</v>
      </c>
      <c r="G6" s="112" t="str">
        <f>Total!G1995</f>
        <v>CQ. MA-17910</v>
      </c>
      <c r="H6" s="112" t="str">
        <f>Total!H1995</f>
        <v>Control qualitat serv. conserv. i mant. ambiental corresponents al Plec de Conserv. de Plant. Conserv. de platacions i mesures compensatòries i correctors proj. recup. sist. natural àmbit fluvial dels rius i altres del sistema Segarra-Garrigues. DIA 2010.</v>
      </c>
      <c r="I6" s="157">
        <f>Total!I1995</f>
        <v>4245.41</v>
      </c>
    </row>
    <row r="7" spans="1:9" x14ac:dyDescent="0.2">
      <c r="A7" s="8">
        <v>6</v>
      </c>
      <c r="B7" s="101">
        <f>Total!B1996</f>
        <v>43598</v>
      </c>
      <c r="C7" s="101">
        <f>Total!C1996</f>
        <v>43614</v>
      </c>
      <c r="D7" s="112" t="s">
        <v>1092</v>
      </c>
      <c r="E7" s="101" t="str">
        <f>Total!E1996</f>
        <v>Obra Civil</v>
      </c>
      <c r="F7" s="96" t="str">
        <f>Total!F1996</f>
        <v>Projectes</v>
      </c>
      <c r="G7" s="112" t="str">
        <f>Total!G1996</f>
        <v>PC. MCG-18315</v>
      </c>
      <c r="H7" s="112" t="str">
        <f>Total!H1996</f>
        <v>Contracte de serveis per a l'assistència tècnica per a la redacció del projecte constructiu. Millora Connectivitat Fluvial. Eliminació de la resclosa de la central hidroelèctrica Salt Garida (Molí de les Puces).</v>
      </c>
      <c r="I7" s="157">
        <f>Total!I1996</f>
        <v>27000</v>
      </c>
    </row>
    <row r="8" spans="1:9" x14ac:dyDescent="0.2">
      <c r="A8" s="8">
        <v>7</v>
      </c>
      <c r="B8" s="101">
        <f>Total!B1997</f>
        <v>43602</v>
      </c>
      <c r="C8" s="101">
        <f>Total!C1997</f>
        <v>43619</v>
      </c>
      <c r="D8" s="112" t="s">
        <v>1092</v>
      </c>
      <c r="E8" s="101" t="str">
        <f>Total!E1997</f>
        <v>Edificació</v>
      </c>
      <c r="F8" s="96" t="str">
        <f>Total!F1997</f>
        <v>Direccions d'execució</v>
      </c>
      <c r="G8" s="112" t="str">
        <f>Total!G1997</f>
        <v>DE. XMV-17573</v>
      </c>
      <c r="H8" s="112" t="str">
        <f>Total!H1997</f>
        <v>Contracte de serveis per a la direcció d'execució de les obres RAM 2017, als Serveis Territorials al Vallès Occidental XII, per l'adequació d'espais ESO, conversió d'una part de l'escola en institut 2/0 línies a l'Institut Bitàcola de Barberà del Vallès.</v>
      </c>
      <c r="I8" s="157">
        <f>Total!I1997</f>
        <v>37556.559999999998</v>
      </c>
    </row>
    <row r="9" spans="1:9" x14ac:dyDescent="0.2">
      <c r="A9" s="8">
        <v>8</v>
      </c>
      <c r="B9" s="101">
        <f>Total!B1998</f>
        <v>43602</v>
      </c>
      <c r="C9" s="101">
        <f>Total!C1998</f>
        <v>43621</v>
      </c>
      <c r="D9" s="112" t="s">
        <v>1092</v>
      </c>
      <c r="E9" s="101" t="str">
        <f>Total!E1998</f>
        <v>Edificació</v>
      </c>
      <c r="F9" s="96" t="str">
        <f>Total!F1998</f>
        <v>Control de Qualitat</v>
      </c>
      <c r="G9" s="112" t="str">
        <f>Total!G1998</f>
        <v>CQ. JVX-19220</v>
      </c>
      <c r="H9" s="112" t="str">
        <f>Total!H1998</f>
        <v>Contracte de serveis per a l'assistència tècnica per al control de qualitat de les obres de reforma del Centre de Transformació de l'Edifici Judicial "El Canyeret" ubicat al carrer Canyaret 1-5.</v>
      </c>
      <c r="I9" s="157">
        <f>Total!I1998</f>
        <v>1760</v>
      </c>
    </row>
    <row r="10" spans="1:9" x14ac:dyDescent="0.2">
      <c r="A10" s="8">
        <v>9</v>
      </c>
      <c r="B10" s="101">
        <f>Total!B1999</f>
        <v>43602</v>
      </c>
      <c r="C10" s="101">
        <f>Total!C1999</f>
        <v>43619</v>
      </c>
      <c r="D10" s="112" t="s">
        <v>1092</v>
      </c>
      <c r="E10" s="101" t="str">
        <f>Total!E1999</f>
        <v>Edificació</v>
      </c>
      <c r="F10" s="96" t="str">
        <f>Total!F1999</f>
        <v>Control de Qualitat</v>
      </c>
      <c r="G10" s="112" t="str">
        <f>Total!G1999</f>
        <v>CQ. XMV-17573</v>
      </c>
      <c r="H10" s="112" t="str">
        <f>Total!H1999</f>
        <v>Control de qualitat de les obres RAM 2017, als Serveis Territorials al Vallès Occidental XII, per l'adequació d'espais ESO, conversió d'una part de l'escola en institut 2/0 línies a l'Institut Bitàcola de Barberà del Vallès.</v>
      </c>
      <c r="I10" s="157">
        <f>Total!I1999</f>
        <v>12594.55</v>
      </c>
    </row>
    <row r="11" spans="1:9" x14ac:dyDescent="0.2">
      <c r="A11" s="8">
        <v>10</v>
      </c>
      <c r="B11" s="101">
        <f>Total!B2000</f>
        <v>43602</v>
      </c>
      <c r="C11" s="101">
        <f>Total!C2000</f>
        <v>43619</v>
      </c>
      <c r="D11" s="112" t="s">
        <v>1092</v>
      </c>
      <c r="E11" s="101" t="str">
        <f>Total!E2000</f>
        <v>Edificació</v>
      </c>
      <c r="F11" s="96" t="str">
        <f>Total!F2000</f>
        <v>Direccions d'execució</v>
      </c>
      <c r="G11" s="112" t="str">
        <f>Total!G2000</f>
        <v>CSS. XMV-17573</v>
      </c>
      <c r="H11" s="112" t="str">
        <f>Total!H2000</f>
        <v>Coordinació de seguretat i salut de les obres RAM 2017, als Serveis Territorials al Vallès Occidental XII, per l'adequació d'espais ESO, conversió d'una part de l'escola en institut 2/0 línies a l'Institut Bitàco</v>
      </c>
      <c r="I11" s="157">
        <f>Total!I2000</f>
        <v>11266.97</v>
      </c>
    </row>
    <row r="12" spans="1:9" x14ac:dyDescent="0.2">
      <c r="A12" s="8">
        <v>11</v>
      </c>
      <c r="B12" s="101">
        <f>Total!B2001</f>
        <v>43602</v>
      </c>
      <c r="C12" s="101">
        <f>Total!C2001</f>
        <v>43619</v>
      </c>
      <c r="D12" s="112" t="s">
        <v>1092</v>
      </c>
      <c r="E12" s="101" t="str">
        <f>Total!E2001</f>
        <v>Obra Civil</v>
      </c>
      <c r="F12" s="96" t="str">
        <f>Total!F2001</f>
        <v>Projectes</v>
      </c>
      <c r="G12" s="112" t="str">
        <f>Total!G2001</f>
        <v>EV-E11-MA-19900</v>
      </c>
      <c r="H12" s="112" t="str">
        <f>Total!H2001</f>
        <v>Contracte de serveis per a l'assistència per a la redacció del Protocol de control de la modernització dels regs històrics de 1800 ha en els espais de XN2000 de Belianes Preixana i Plans de Sió als TTMM de Tàrrega, Vilagrassa i Preixana. DIA 2010.</v>
      </c>
      <c r="I12" s="157">
        <f>Total!I2001</f>
        <v>37996.800000000003</v>
      </c>
    </row>
    <row r="13" spans="1:9" x14ac:dyDescent="0.2">
      <c r="A13" s="8">
        <v>12</v>
      </c>
      <c r="B13" s="101">
        <f>Total!B2002</f>
        <v>43606</v>
      </c>
      <c r="C13" s="101">
        <f>Total!C2002</f>
        <v>43621</v>
      </c>
      <c r="D13" s="112" t="s">
        <v>1092</v>
      </c>
      <c r="E13" s="101" t="str">
        <f>Total!E2002</f>
        <v>Obra Civil</v>
      </c>
      <c r="F13" s="96" t="str">
        <f>Total!F2002</f>
        <v>Direccions d'Obra</v>
      </c>
      <c r="G13" s="112" t="str">
        <f>Total!G2002</f>
        <v>DO. ML-15043</v>
      </c>
      <c r="H13" s="112" t="str">
        <f>Total!H2002</f>
        <v>Contracte de serveis per a la direcció de les obres del projecte constructiu de millora local. Millora de nus. Ordenació de cruïlla a la carretera C-12, PK 147+710. Tram: Corbins.</v>
      </c>
      <c r="I13" s="157">
        <f>Total!I2002</f>
        <v>20560</v>
      </c>
    </row>
    <row r="14" spans="1:9" x14ac:dyDescent="0.2">
      <c r="A14" s="8">
        <v>13</v>
      </c>
      <c r="B14" s="101">
        <f>Total!B2003</f>
        <v>43606</v>
      </c>
      <c r="C14" s="101">
        <f>Total!C2003</f>
        <v>43621</v>
      </c>
      <c r="D14" s="112" t="s">
        <v>1092</v>
      </c>
      <c r="E14" s="101" t="str">
        <f>Total!E2003</f>
        <v>Obra Civil</v>
      </c>
      <c r="F14" s="96" t="str">
        <f>Total!F2003</f>
        <v>Direccions d'Obra</v>
      </c>
      <c r="G14" s="112" t="str">
        <f>Total!G2003</f>
        <v>CSS. ML-15043</v>
      </c>
      <c r="H14" s="112" t="str">
        <f>Total!H2003</f>
        <v>Contracte de serveis per a l'assistència tècnica de Coordinació de seguretat i salut de les obres de Millora local. Millora de nus. Ordenació de cruïlla a la carretera C-12, PK 147+710. Tram: Corbins.</v>
      </c>
      <c r="I14" s="157">
        <f>Total!I2003</f>
        <v>5760</v>
      </c>
    </row>
    <row r="15" spans="1:9" x14ac:dyDescent="0.2">
      <c r="A15" s="8">
        <v>14</v>
      </c>
      <c r="B15" s="101">
        <f>Total!B2004</f>
        <v>43606</v>
      </c>
      <c r="C15" s="101">
        <f>Total!C2004</f>
        <v>43621</v>
      </c>
      <c r="D15" s="112" t="s">
        <v>1092</v>
      </c>
      <c r="E15" s="101" t="str">
        <f>Total!E2004</f>
        <v>Obra Civil</v>
      </c>
      <c r="F15" s="96" t="str">
        <f>Total!F2004</f>
        <v>Control de Qualitat</v>
      </c>
      <c r="G15" s="112" t="str">
        <f>Total!G2004</f>
        <v>CQ. ML-15043</v>
      </c>
      <c r="H15" s="112" t="str">
        <f>Total!H2004</f>
        <v>Contracte de serveis per a l'assistència tècnica de control de qualitat de les obres del projecte constructiu de millora local. Millora de nus. Ordenació de cruïlla a la carretera C-12, PK 147+710. Tram: Corbins.</v>
      </c>
      <c r="I15" s="157">
        <f>Total!I2004</f>
        <v>6493.2</v>
      </c>
    </row>
    <row r="16" spans="1:9" x14ac:dyDescent="0.2">
      <c r="A16" s="8">
        <v>15</v>
      </c>
      <c r="B16" s="101">
        <f>Total!B2005</f>
        <v>43607</v>
      </c>
      <c r="C16" s="101">
        <f>Total!C2005</f>
        <v>43628</v>
      </c>
      <c r="D16" s="112" t="s">
        <v>1092</v>
      </c>
      <c r="E16" s="101" t="str">
        <f>Total!E2005</f>
        <v>Obra Civil</v>
      </c>
      <c r="F16" s="96" t="str">
        <f>Total!F2005</f>
        <v>Direccions d'Obra</v>
      </c>
      <c r="G16" s="112" t="str">
        <f>Total!G2005</f>
        <v>CSS. MB-16040</v>
      </c>
      <c r="H16" s="112" t="str">
        <f>Total!H2005</f>
        <v>Coordinació de seguretat i salut de les obres del projecte constructiu de millora local. Millora de nus. Millora de la capacitat a la rotonda de la carretera C-59, PK 10+240. Tram: Palau-solità i Plegamans. (Actuació 1).</v>
      </c>
      <c r="I16" s="157">
        <f>Total!I2005</f>
        <v>5400</v>
      </c>
    </row>
    <row r="17" spans="1:9" x14ac:dyDescent="0.2">
      <c r="A17" s="8">
        <v>16</v>
      </c>
      <c r="B17" s="101">
        <f>Total!B2006</f>
        <v>43607</v>
      </c>
      <c r="C17" s="101">
        <f>Total!C2006</f>
        <v>43628</v>
      </c>
      <c r="D17" s="112" t="s">
        <v>1092</v>
      </c>
      <c r="E17" s="101" t="str">
        <f>Total!E2006</f>
        <v>Obra Civil</v>
      </c>
      <c r="F17" s="96" t="str">
        <f>Total!F2006</f>
        <v>Control de Qualitat</v>
      </c>
      <c r="G17" s="112" t="str">
        <f>Total!G2006</f>
        <v>CQ. MB-16040</v>
      </c>
      <c r="H17" s="112" t="str">
        <f>Total!H2006</f>
        <v>Control de qualitat de les obres del projecte constructiu de millora local. Millora de nus. Millora de la capacitat a la rotonda de la carretera C-59, PK 10+240. Tram: Palau-solità i Plegamans. (Actuació 1).</v>
      </c>
      <c r="I17" s="157">
        <f>Total!I2006</f>
        <v>6282.68</v>
      </c>
    </row>
    <row r="18" spans="1:9" x14ac:dyDescent="0.2">
      <c r="A18" s="8">
        <v>17</v>
      </c>
      <c r="B18" s="101">
        <f>Total!B2007</f>
        <v>43607</v>
      </c>
      <c r="C18" s="101">
        <f>Total!C2007</f>
        <v>43628</v>
      </c>
      <c r="D18" s="112" t="s">
        <v>1092</v>
      </c>
      <c r="E18" s="101" t="str">
        <f>Total!E2007</f>
        <v>Obra Civil</v>
      </c>
      <c r="F18" s="96" t="str">
        <f>Total!F2007</f>
        <v>Direccions d'Obra</v>
      </c>
      <c r="G18" s="112" t="str">
        <f>Total!G2007</f>
        <v>DO. MB-16040</v>
      </c>
      <c r="H18" s="112" t="str">
        <f>Total!H2007</f>
        <v>Contracte de serveis per a la direcció de les obres del projecte constructiu de millora local. Millora de nus. Millora de la capacitat a la rotonda de la carretera C-59, PK 10+240. Tram: Palau-solità i Plegamans. (Actuació 1).</v>
      </c>
      <c r="I18" s="157">
        <f>Total!I2007</f>
        <v>21160</v>
      </c>
    </row>
    <row r="19" spans="1:9" x14ac:dyDescent="0.2">
      <c r="A19" s="8">
        <v>18</v>
      </c>
      <c r="B19" s="101">
        <f>Total!B2008</f>
        <v>43607</v>
      </c>
      <c r="C19" s="101">
        <f>Total!C2008</f>
        <v>43628</v>
      </c>
      <c r="D19" s="112" t="s">
        <v>1092</v>
      </c>
      <c r="E19" s="101" t="str">
        <f>Total!E2008</f>
        <v>Obra Civil</v>
      </c>
      <c r="F19" s="96" t="str">
        <f>Total!F2008</f>
        <v>Direccions d'Obra</v>
      </c>
      <c r="G19" s="112" t="str">
        <f>Total!G2008</f>
        <v>ATAM. MG-15015.1</v>
      </c>
      <c r="H19" s="112" t="str">
        <f>Total!H2008</f>
        <v>Contracte de serveis per a la Assistència Tècnica ambiental. Millora local. Seguretat viària. Millores de seguretat i reestudi de la secció transversal. Carretera C-66, del PK 41+900 al 50+450. Tram: Cornellà del Terri - Serinyà.</v>
      </c>
      <c r="I19" s="157">
        <f>Total!I2008</f>
        <v>66528</v>
      </c>
    </row>
    <row r="20" spans="1:9" x14ac:dyDescent="0.2">
      <c r="A20" s="8">
        <v>19</v>
      </c>
      <c r="B20" s="101">
        <f>Total!B2009</f>
        <v>43607</v>
      </c>
      <c r="C20" s="101">
        <f>Total!C2009</f>
        <v>43628</v>
      </c>
      <c r="D20" s="112" t="s">
        <v>1092</v>
      </c>
      <c r="E20" s="101" t="str">
        <f>Total!E2009</f>
        <v>Obra Civil</v>
      </c>
      <c r="F20" s="96" t="str">
        <f>Total!F2009</f>
        <v>Direccions d'Obra</v>
      </c>
      <c r="G20" s="112" t="str">
        <f>Total!G2009</f>
        <v>CSS. MG-15015.1</v>
      </c>
      <c r="H20" s="112" t="str">
        <f>Total!H2009</f>
        <v>Assistència tècnica per la coordinació de seguretat i salut de l'execució de les obres. Millora local. Seguretat viària. Millores de seguretat i reestudi de la secció transversal. Carretera C-66, PK 41+900 al 50+450. Tram: Cornellà deTerri¿Serinyà.</v>
      </c>
      <c r="I20" s="157">
        <f>Total!I2009</f>
        <v>89547.6</v>
      </c>
    </row>
    <row r="21" spans="1:9" x14ac:dyDescent="0.2">
      <c r="A21" s="8">
        <v>20</v>
      </c>
      <c r="B21" s="101">
        <f>Total!B2010</f>
        <v>43607</v>
      </c>
      <c r="C21" s="101">
        <f>Total!C2010</f>
        <v>43642</v>
      </c>
      <c r="D21" s="112" t="s">
        <v>1092</v>
      </c>
      <c r="E21" s="101" t="str">
        <f>Total!E2010</f>
        <v>Obra Civil</v>
      </c>
      <c r="F21" s="96" t="str">
        <f>Total!F2010</f>
        <v>Direccions d'Obra</v>
      </c>
      <c r="G21" s="112" t="str">
        <f>Total!G2010</f>
        <v>DO. MG-15015.1</v>
      </c>
      <c r="H21" s="112" t="str">
        <f>Total!H2010</f>
        <v>Contracte de serveis per a la direcció de les obres del projecte constructiu de millora local. Seguretat viària. Millores de seguretat i reestudi de la secció transversal. Carretera C-66, PK 41+900 al 50+450. Tram: Cornellà de Terri ¿ Serinyà.</v>
      </c>
      <c r="I21" s="157">
        <f>Total!I2010</f>
        <v>354000</v>
      </c>
    </row>
    <row r="22" spans="1:9" x14ac:dyDescent="0.2">
      <c r="A22" s="8">
        <v>21</v>
      </c>
      <c r="B22" s="101">
        <f>Total!B2011</f>
        <v>43607</v>
      </c>
      <c r="C22" s="101">
        <f>Total!C2011</f>
        <v>43628</v>
      </c>
      <c r="D22" s="112" t="s">
        <v>1092</v>
      </c>
      <c r="E22" s="101" t="str">
        <f>Total!E2011</f>
        <v>Obra Civil</v>
      </c>
      <c r="F22" s="96" t="str">
        <f>Total!F2011</f>
        <v>Control de Qualitat</v>
      </c>
      <c r="G22" s="112" t="str">
        <f>Total!G2011</f>
        <v>CQ. MG-15015.1</v>
      </c>
      <c r="H22" s="112" t="str">
        <f>Total!H2011</f>
        <v>Control de qualitat de les obres del projecte constructiu de millora local. Seguretat viària. Millores de seguretat i reestudi de la secció transversal. Carretera C-66, PK 41+900 al 50+450. Tram: Cornellà de Terri ¿ Serinyà.</v>
      </c>
      <c r="I22" s="157">
        <f>Total!I2011</f>
        <v>149296.20000000001</v>
      </c>
    </row>
    <row r="23" spans="1:9" x14ac:dyDescent="0.2">
      <c r="A23" s="8">
        <v>22</v>
      </c>
      <c r="B23" s="101">
        <f>Total!B2012</f>
        <v>43607</v>
      </c>
      <c r="C23" s="101">
        <f>Total!C2012</f>
        <v>43642</v>
      </c>
      <c r="D23" s="112" t="s">
        <v>1092</v>
      </c>
      <c r="E23" s="101" t="str">
        <f>Total!E2012</f>
        <v>Obra Civil</v>
      </c>
      <c r="F23" s="96" t="str">
        <f>Total!F2012</f>
        <v>Projectes</v>
      </c>
      <c r="G23" s="112" t="str">
        <f>Total!G2012</f>
        <v>PC. VB-98171-A2.2</v>
      </c>
      <c r="H23" s="112" t="str">
        <f>Total!H2012</f>
        <v>Contracte de serveis per a l'assistència tècnica per a la redacció del projecte constructiu. Millora general. Variant de la carretera B-224 del PK 36+000 de la C-15 al PK 14+000 de la B-224. Tram: Vallbona d'Anoia - Piera - Masquefa.</v>
      </c>
      <c r="I23" s="157">
        <f>Total!I2012</f>
        <v>274000</v>
      </c>
    </row>
    <row r="24" spans="1:9" x14ac:dyDescent="0.2">
      <c r="A24" s="8">
        <v>23</v>
      </c>
      <c r="B24" s="101">
        <f>Total!B2013</f>
        <v>43608</v>
      </c>
      <c r="C24" s="101">
        <f>Total!C2013</f>
        <v>43628</v>
      </c>
      <c r="D24" s="112" t="s">
        <v>1092</v>
      </c>
      <c r="E24" s="101" t="str">
        <f>Total!E2013</f>
        <v>Obra Civil</v>
      </c>
      <c r="F24" s="96" t="str">
        <f>Total!F2013</f>
        <v>Direccions d'Obra</v>
      </c>
      <c r="G24" s="112" t="str">
        <f>Total!G2013</f>
        <v>DO. RE-16041.1</v>
      </c>
      <c r="H24" s="112" t="str">
        <f>Total!H2013</f>
        <v>Contracte de serveis per a la direcció de les obres del projecte constructiu de reforçament del ferm a la TV-3454 del PK 7+500 al 15+700. Deltebre. Rotonda PK 9+900.</v>
      </c>
      <c r="I24" s="157">
        <f>Total!I2013</f>
        <v>10360</v>
      </c>
    </row>
    <row r="25" spans="1:9" x14ac:dyDescent="0.2">
      <c r="A25" s="8">
        <v>24</v>
      </c>
      <c r="B25" s="101">
        <f>Total!B2014</f>
        <v>43608</v>
      </c>
      <c r="C25" s="101">
        <f>Total!C2014</f>
        <v>43628</v>
      </c>
      <c r="D25" s="112" t="s">
        <v>1092</v>
      </c>
      <c r="E25" s="101" t="str">
        <f>Total!E2014</f>
        <v>Obra Civil</v>
      </c>
      <c r="F25" s="96" t="str">
        <f>Total!F2014</f>
        <v>Control de Qualitat</v>
      </c>
      <c r="G25" s="112" t="str">
        <f>Total!G2014</f>
        <v>CQ. RE-16041.1</v>
      </c>
      <c r="H25" s="112" t="str">
        <f>Total!H2014</f>
        <v>Contracte de serveis per a l'assistència tècnica per al control de qualitat de les obres del projecte constructiu de reforçament del ferm a la TV-3454 del PK 7+500 al 15+700. Deltebre. Rotonda PK 9+900.</v>
      </c>
      <c r="I25" s="157">
        <f>Total!I2014</f>
        <v>4123.95</v>
      </c>
    </row>
    <row r="26" spans="1:9" x14ac:dyDescent="0.2">
      <c r="A26" s="8">
        <v>25</v>
      </c>
      <c r="B26" s="101">
        <f>Total!B2015</f>
        <v>43608</v>
      </c>
      <c r="C26" s="101">
        <f>Total!C2015</f>
        <v>43628</v>
      </c>
      <c r="D26" s="112" t="s">
        <v>1092</v>
      </c>
      <c r="E26" s="101" t="str">
        <f>Total!E2015</f>
        <v>Obra Civil</v>
      </c>
      <c r="F26" s="96" t="str">
        <f>Total!F2015</f>
        <v>Direccions d'Obra</v>
      </c>
      <c r="G26" s="112" t="str">
        <f>Total!G2015</f>
        <v>CSS. RE-16041.1</v>
      </c>
      <c r="H26" s="112" t="str">
        <f>Total!H2015</f>
        <v>Contracte de serveis per a l'assistència tècnica per la coordinació de seguretat i salut de l'execució de les obres del projecte constructiu de reforçament del ferm a la TV-3454 del PK 7+500 al 15+700. Deltebre. Rotonda PK 9+900.</v>
      </c>
      <c r="I26" s="157">
        <f>Total!I2015</f>
        <v>2880</v>
      </c>
    </row>
    <row r="27" spans="1:9" x14ac:dyDescent="0.2">
      <c r="A27" s="8">
        <v>26</v>
      </c>
      <c r="B27" s="101">
        <f>Total!B2016</f>
        <v>43613</v>
      </c>
      <c r="C27" s="101">
        <f>Total!C2016</f>
        <v>43647</v>
      </c>
      <c r="D27" s="112" t="s">
        <v>1092</v>
      </c>
      <c r="E27" s="101" t="str">
        <f>Total!E2016</f>
        <v>Obra Civil</v>
      </c>
      <c r="F27" s="96" t="str">
        <f>Total!F2016</f>
        <v xml:space="preserve">Projectes </v>
      </c>
      <c r="G27" s="112" t="str">
        <f>Total!G2016</f>
        <v>PC. DB-05111.2</v>
      </c>
      <c r="H27" s="112" t="str">
        <f>Total!H2016</f>
        <v>Contracte de serveis per a l'assistència tècnica per a la redacció del projecte constructiu: Millora general. Desdoblament de la carretera B-224, del PK 24+000 al 26+000. Tram: Sant Esteve Sesrovires - Martorell.</v>
      </c>
      <c r="I27" s="157">
        <f>Total!I2016</f>
        <v>349000</v>
      </c>
    </row>
    <row r="28" spans="1:9" x14ac:dyDescent="0.2">
      <c r="A28" s="8">
        <v>27</v>
      </c>
      <c r="B28" s="101">
        <f>Total!B2017</f>
        <v>43616</v>
      </c>
      <c r="C28" s="101">
        <f>Total!C2017</f>
        <v>43647</v>
      </c>
      <c r="D28" s="112" t="s">
        <v>1092</v>
      </c>
      <c r="E28" s="101" t="str">
        <f>Total!E2017</f>
        <v>Obra Civil</v>
      </c>
      <c r="F28" s="96" t="str">
        <f>Total!F2017</f>
        <v>Direccions d'Obra</v>
      </c>
      <c r="G28" s="112" t="str">
        <f>Total!G2017</f>
        <v>DO. UPA-17288</v>
      </c>
      <c r="H28" s="112" t="str">
        <f>Total!H2017</f>
        <v>Direcció de les obres del projecte constructiu de millora ambiental. Recuperació ambiental i posada en valor dels camins ramaders del Perelló.</v>
      </c>
      <c r="I28" s="157">
        <f>Total!I2017</f>
        <v>15312</v>
      </c>
    </row>
    <row r="29" spans="1:9" x14ac:dyDescent="0.2">
      <c r="A29" s="8">
        <v>28</v>
      </c>
      <c r="B29" s="101">
        <f>Total!B2018</f>
        <v>43616</v>
      </c>
      <c r="C29" s="101">
        <f>Total!C2018</f>
        <v>43633</v>
      </c>
      <c r="D29" s="112" t="s">
        <v>1092</v>
      </c>
      <c r="E29" s="101" t="str">
        <f>Total!E2018</f>
        <v>Obra Civil</v>
      </c>
      <c r="F29" s="96" t="str">
        <f>Total!F2018</f>
        <v>Control de Qualitat</v>
      </c>
      <c r="G29" s="112" t="str">
        <f>Total!G2018</f>
        <v>CQ. UPA-17288</v>
      </c>
      <c r="H29" s="112" t="str">
        <f>Total!H2018</f>
        <v>Control de qualitat d'execució de les obres del projecte constructiu de millora ambiental. Recuperació ambiental i posada en valor dels camins ramaders del Perelló.</v>
      </c>
      <c r="I29" s="157">
        <f>Total!I2018</f>
        <v>3111.22</v>
      </c>
    </row>
    <row r="30" spans="1:9" x14ac:dyDescent="0.2">
      <c r="A30" s="8">
        <v>29</v>
      </c>
      <c r="B30" s="101">
        <f>Total!B2019</f>
        <v>43616</v>
      </c>
      <c r="C30" s="101">
        <f>Total!C2019</f>
        <v>43633</v>
      </c>
      <c r="D30" s="112" t="s">
        <v>1092</v>
      </c>
      <c r="E30" s="101" t="str">
        <f>Total!E2019</f>
        <v>Obra Civil</v>
      </c>
      <c r="F30" s="96" t="str">
        <f>Total!F2019</f>
        <v>Direccions d'Obra</v>
      </c>
      <c r="G30" s="112" t="str">
        <f>Total!G2019</f>
        <v>CSS. UPA-17288</v>
      </c>
      <c r="H30" s="112" t="str">
        <f>Total!H2019</f>
        <v>Coordinació de seguretat i salut de l'execució de les obres del projecte constructiu de millora ambiental. Recuperació ambiental i posada en valor dels camins ramaders del Perelló.</v>
      </c>
      <c r="I30" s="157">
        <f>Total!I2019</f>
        <v>3780</v>
      </c>
    </row>
    <row r="31" spans="1:9" x14ac:dyDescent="0.2">
      <c r="I31" s="126">
        <f>SUM(I2:I30)</f>
        <v>1737101.46</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52"/>
  <sheetViews>
    <sheetView topLeftCell="A19" workbookViewId="0">
      <selection activeCell="A19"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Total!B1941</f>
        <v>43556</v>
      </c>
      <c r="C2" s="101">
        <f>Total!C1941</f>
        <v>43584</v>
      </c>
      <c r="D2" s="112" t="s">
        <v>1092</v>
      </c>
      <c r="E2" s="101" t="str">
        <f>Total!E1941</f>
        <v>Edificació</v>
      </c>
      <c r="F2" s="96" t="str">
        <f>Total!F1941</f>
        <v>Direccions d'Execució</v>
      </c>
      <c r="G2" s="112" t="str">
        <f>Total!G1941</f>
        <v>CSS. HHB-16282</v>
      </c>
      <c r="H2" s="112" t="str">
        <f>Total!H1941</f>
        <v>Coordinació de Seguretat i Salut de les obres d'implantació de l'heliport a la coberta de l'Àrea de Traumatologia de l'Hospital Vall d'Hebron, de Barcelona.</v>
      </c>
      <c r="I2" s="157">
        <f>Total!I1941</f>
        <v>21660</v>
      </c>
    </row>
    <row r="3" spans="1:9" x14ac:dyDescent="0.2">
      <c r="A3" s="8">
        <v>2</v>
      </c>
      <c r="B3" s="101">
        <f>Total!B1942</f>
        <v>43556</v>
      </c>
      <c r="C3" s="101">
        <f>Total!C1942</f>
        <v>43584</v>
      </c>
      <c r="D3" s="112" t="s">
        <v>1092</v>
      </c>
      <c r="E3" s="101" t="str">
        <f>Total!E1942</f>
        <v>Edificació</v>
      </c>
      <c r="F3" s="96" t="str">
        <f>Total!F1942</f>
        <v>Control de Qualitat</v>
      </c>
      <c r="G3" s="112" t="str">
        <f>Total!G1942</f>
        <v>CQ. HHB-16282</v>
      </c>
      <c r="H3" s="112" t="str">
        <f>Total!H1942</f>
        <v>Control de qualitat de les obres d'implantació de l'heliport a la coberta de l'Àrea de Traumatologia de l'Hospital Vall d'Hebron, de Barcelona.</v>
      </c>
      <c r="I3" s="157">
        <f>Total!I1942</f>
        <v>33698.1</v>
      </c>
    </row>
    <row r="4" spans="1:9" x14ac:dyDescent="0.2">
      <c r="A4" s="8">
        <v>3</v>
      </c>
      <c r="B4" s="101">
        <f>Total!B1943</f>
        <v>43557</v>
      </c>
      <c r="C4" s="101">
        <f>Total!C1943</f>
        <v>43572</v>
      </c>
      <c r="D4" s="112" t="s">
        <v>1092</v>
      </c>
      <c r="E4" s="101" t="str">
        <f>Total!E1943</f>
        <v>Edificació</v>
      </c>
      <c r="F4" s="96" t="str">
        <f>Total!F1943</f>
        <v>Control de Qualitat</v>
      </c>
      <c r="G4" s="112" t="str">
        <f>Total!G1943</f>
        <v>CQ. PAT-17108</v>
      </c>
      <c r="H4" s="112" t="str">
        <f>Total!H1943</f>
        <v>Contracte de serveis per a l'assistència tècnica de control de qualitat de les obres del projecte constructiu de rehabilitació de l'àrea d'estacionament de vehicles pesants de mercaderies perilloses del polígon industrial Riuclar. Tarragona.</v>
      </c>
      <c r="I4" s="157">
        <f>Total!I1943</f>
        <v>9854.23</v>
      </c>
    </row>
    <row r="5" spans="1:9" x14ac:dyDescent="0.2">
      <c r="A5" s="8">
        <v>4</v>
      </c>
      <c r="B5" s="101">
        <f>Total!B1944</f>
        <v>43557</v>
      </c>
      <c r="C5" s="101">
        <f>Total!C1944</f>
        <v>43584</v>
      </c>
      <c r="D5" s="112" t="s">
        <v>1092</v>
      </c>
      <c r="E5" s="101" t="str">
        <f>Total!E1944</f>
        <v>Edificació</v>
      </c>
      <c r="F5" s="96" t="str">
        <f>Total!F1944</f>
        <v>Direccions d'Execució</v>
      </c>
      <c r="G5" s="112" t="str">
        <f>Total!G1944</f>
        <v>DE. HHB-16282</v>
      </c>
      <c r="H5" s="112" t="str">
        <f>Total!H1944</f>
        <v>Contracte de serveis per a la Direcció d'execució de les obres d'implantació de l'heliport a la coberta de l'Àrea de Traumatologia de l'Hospital Vall d'Hebron, de Barcelona.</v>
      </c>
      <c r="I5" s="157">
        <f>Total!I1944</f>
        <v>72200</v>
      </c>
    </row>
    <row r="6" spans="1:9" x14ac:dyDescent="0.2">
      <c r="A6" s="8">
        <v>5</v>
      </c>
      <c r="B6" s="101">
        <f>Total!B1945</f>
        <v>43557</v>
      </c>
      <c r="C6" s="101">
        <f>Total!C1945</f>
        <v>43572</v>
      </c>
      <c r="D6" s="112" t="s">
        <v>1092</v>
      </c>
      <c r="E6" s="101" t="str">
        <f>Total!E1945</f>
        <v>Edificació</v>
      </c>
      <c r="F6" s="96" t="str">
        <f>Total!F1945</f>
        <v>Direccions d'Obra</v>
      </c>
      <c r="G6" s="112" t="str">
        <f>Total!G1945</f>
        <v>DO. PAT-17108</v>
      </c>
      <c r="H6" s="112" t="str">
        <f>Total!H1945</f>
        <v>Contracte de serveis per a la direcció de les obres de rehabilitació de l'àrea d'estacionament de vehicles pesants de mercaderies perilloses del polígon industrial Riuclar. Tarragona.</v>
      </c>
      <c r="I6" s="157">
        <f>Total!I1945</f>
        <v>57013.33</v>
      </c>
    </row>
    <row r="7" spans="1:9" x14ac:dyDescent="0.2">
      <c r="A7" s="8">
        <v>6</v>
      </c>
      <c r="B7" s="101">
        <f>Total!B1946</f>
        <v>43557</v>
      </c>
      <c r="C7" s="101">
        <f>Total!C1946</f>
        <v>43572</v>
      </c>
      <c r="D7" s="112" t="s">
        <v>1092</v>
      </c>
      <c r="E7" s="101" t="str">
        <f>Total!E1946</f>
        <v>Edificació</v>
      </c>
      <c r="F7" s="96" t="str">
        <f>Total!F1946</f>
        <v>Direccions d'Execució</v>
      </c>
      <c r="G7" s="112" t="str">
        <f>Total!G1946</f>
        <v>CSS. PAT-17108</v>
      </c>
      <c r="H7" s="112" t="str">
        <f>Total!H1946</f>
        <v>Coordinació de seguretat i salut de l'execució de les obres del projecte de rehabilitació de l'àrea d'estacionament de vehicles pesants de mercaderies perilloses del polígon industrial Riuclar. Tarragona.</v>
      </c>
      <c r="I7" s="157">
        <f>Total!I1946</f>
        <v>11400</v>
      </c>
    </row>
    <row r="8" spans="1:9" x14ac:dyDescent="0.2">
      <c r="A8" s="8">
        <v>7</v>
      </c>
      <c r="B8" s="101">
        <f>Total!B1947</f>
        <v>43559</v>
      </c>
      <c r="C8" s="101">
        <f>Total!C1947</f>
        <v>43584</v>
      </c>
      <c r="D8" s="112" t="s">
        <v>1092</v>
      </c>
      <c r="E8" s="101" t="str">
        <f>Total!E1947</f>
        <v>Edificació</v>
      </c>
      <c r="F8" s="96" t="str">
        <f>Total!F1947</f>
        <v>Projectes i Direccions d'Obra</v>
      </c>
      <c r="G8" s="112" t="str">
        <f>Total!G1947</f>
        <v>PE+DO JVX-18300</v>
      </c>
      <c r="H8" s="112" t="str">
        <f>Total!H1947</f>
        <v>Redacció del projecte bàsic, el projecte executiu i la posterior direcció d'obra RAM per al condicionaments d'espais per a la ubicació d'un nou òrgan judicial (1ª Instància 7 Família) i altres espais a l'edifici judicial del Canyeret de Lleida.</v>
      </c>
      <c r="I8" s="157">
        <f>Total!I1947</f>
        <v>160860.51</v>
      </c>
    </row>
    <row r="9" spans="1:9" x14ac:dyDescent="0.2">
      <c r="A9" s="8">
        <v>8</v>
      </c>
      <c r="B9" s="101">
        <f>Total!B1948</f>
        <v>43559</v>
      </c>
      <c r="C9" s="101">
        <f>Total!C1948</f>
        <v>43584</v>
      </c>
      <c r="D9" s="112" t="s">
        <v>1092</v>
      </c>
      <c r="E9" s="101" t="str">
        <f>Total!E1948</f>
        <v>Edificació</v>
      </c>
      <c r="F9" s="96" t="str">
        <f>Total!F1948</f>
        <v>Projectes i Direccions d'Obra</v>
      </c>
      <c r="G9" s="112" t="str">
        <f>Total!G1948</f>
        <v>PE+DO. JVX-17271</v>
      </c>
      <c r="H9" s="112" t="str">
        <f>Total!H1948</f>
        <v>Redacció del projecte bàsic, el projecte executiu i la posterior direcció d'obra del condicionament d'instal·lacions, redistribució d'espais i treballs necessaris per l'obtenció de la llicència d'activitats de l'edifici del Palau de Justícia de Barcelona.</v>
      </c>
      <c r="I9" s="157">
        <f>Total!I1948</f>
        <v>175178.91</v>
      </c>
    </row>
    <row r="10" spans="1:9" x14ac:dyDescent="0.2">
      <c r="A10" s="8">
        <v>9</v>
      </c>
      <c r="B10" s="101">
        <f>Total!B1949</f>
        <v>43560</v>
      </c>
      <c r="C10" s="101">
        <f>Total!C1949</f>
        <v>43579</v>
      </c>
      <c r="D10" s="112" t="s">
        <v>1092</v>
      </c>
      <c r="E10" s="101" t="str">
        <f>Total!E1949</f>
        <v>Obra Civil</v>
      </c>
      <c r="F10" s="96" t="str">
        <f>Total!F1949</f>
        <v>Projectes</v>
      </c>
      <c r="G10" s="112" t="str">
        <f>Total!G1949</f>
        <v>PC. AB-14009-C1</v>
      </c>
      <c r="H10" s="112" t="str">
        <f>Total!H1949</f>
        <v>Redacció del projecte constructiu. Millora local. Mesures correctores d'impacte ambiental de l'ampliació de la C-58 del pk 12,600 al 18,800. Badia del Vallès-Terrassa.</v>
      </c>
      <c r="I10" s="157">
        <f>Total!I1949</f>
        <v>34500</v>
      </c>
    </row>
    <row r="11" spans="1:9" x14ac:dyDescent="0.2">
      <c r="A11" s="8">
        <v>10</v>
      </c>
      <c r="B11" s="101">
        <f>Total!B1950</f>
        <v>43564</v>
      </c>
      <c r="C11" s="101">
        <f>Total!C1950</f>
        <v>43584</v>
      </c>
      <c r="D11" s="112" t="s">
        <v>1092</v>
      </c>
      <c r="E11" s="101" t="str">
        <f>Total!E1950</f>
        <v>Obra Civil</v>
      </c>
      <c r="F11" s="96" t="str">
        <f>Total!F1950</f>
        <v>Direccions d'Obra</v>
      </c>
      <c r="G11" s="112" t="str">
        <f>Total!G1950</f>
        <v>CSS. TF-02676.4-C1+TF-08272-C1</v>
      </c>
      <c r="H11" s="112" t="str">
        <f>Total!H1950</f>
        <v>Coord. S.S. obres: "Exec. obres del proj. compl. núm. 1 pas inferior de la ctra. GIV-5217 sota les vies del tren cremallera FGC a Queralbs, i exec. obres proj. comp. 1 actuacions millores inspecció i mant. de cel rasoselevats s/ vies Est. Sabadell.</v>
      </c>
      <c r="I11" s="157">
        <f>Total!I1950</f>
        <v>4200</v>
      </c>
    </row>
    <row r="12" spans="1:9" x14ac:dyDescent="0.2">
      <c r="A12" s="8">
        <v>11</v>
      </c>
      <c r="B12" s="101">
        <f>Total!B1951</f>
        <v>43564</v>
      </c>
      <c r="C12" s="101">
        <f>Total!C1951</f>
        <v>43579</v>
      </c>
      <c r="D12" s="112" t="s">
        <v>1092</v>
      </c>
      <c r="E12" s="101" t="str">
        <f>Total!E1951</f>
        <v>Obra Civil</v>
      </c>
      <c r="F12" s="96" t="str">
        <f>Total!F1951</f>
        <v>Projectes</v>
      </c>
      <c r="G12" s="112" t="str">
        <f>Total!G1951</f>
        <v>EV. EX-XXC-18017</v>
      </c>
      <c r="H12" s="112" t="str">
        <f>Total!H1951</f>
        <v>Contracte de serveis per a l'assistència tècnica per a la redacció dels annexos d'actualització d'estudis i projectes de Transports de la DGIM.</v>
      </c>
      <c r="I12" s="157">
        <f>Total!I1951</f>
        <v>80000</v>
      </c>
    </row>
    <row r="13" spans="1:9" x14ac:dyDescent="0.2">
      <c r="A13" s="8">
        <v>12</v>
      </c>
      <c r="B13" s="101">
        <f>Total!B1952</f>
        <v>43564</v>
      </c>
      <c r="C13" s="101">
        <f>Total!C1952</f>
        <v>43584</v>
      </c>
      <c r="D13" s="112" t="s">
        <v>1092</v>
      </c>
      <c r="E13" s="101" t="str">
        <f>Total!E1952</f>
        <v>Obra Civil</v>
      </c>
      <c r="F13" s="96" t="str">
        <f>Total!F1952</f>
        <v>Control de Qualitat</v>
      </c>
      <c r="G13" s="112" t="str">
        <f>Total!G1952</f>
        <v>CQ.TF-08272-C1</v>
      </c>
      <c r="H13" s="112" t="str">
        <f>Total!H1952</f>
        <v>Control de qualitat de les obres del projecte complementari núm. 1 del pas inferior de la carretera GIV-5217 sota les vies del tren cremallera d'FGC a Queralbs. Mesures d'estabilització del desguàs del drenatge del pas inferior. Tram: Queralbs.</v>
      </c>
      <c r="I13" s="157">
        <f>Total!I1952</f>
        <v>1740.07</v>
      </c>
    </row>
    <row r="14" spans="1:9" x14ac:dyDescent="0.2">
      <c r="A14" s="8">
        <v>13</v>
      </c>
      <c r="B14" s="101">
        <f>Total!B1953</f>
        <v>43564</v>
      </c>
      <c r="C14" s="101">
        <f>Total!C1953</f>
        <v>43584</v>
      </c>
      <c r="D14" s="112" t="s">
        <v>1092</v>
      </c>
      <c r="E14" s="101" t="str">
        <f>Total!E1953</f>
        <v>Obra Civil</v>
      </c>
      <c r="F14" s="96" t="str">
        <f>Total!F1953</f>
        <v>Direccions d'Obra</v>
      </c>
      <c r="G14" s="112" t="str">
        <f>Total!G1953</f>
        <v>DO.TF-08272-C1</v>
      </c>
      <c r="H14" s="112" t="str">
        <f>Total!H1953</f>
        <v>Direcció de les obres del projecte complementari núm. 1 del pas inferior de la carretera GIV-5217 sota les vies del tren cremallera d'FGC a Queralbs. Mesures d'estabilització del desguàs del drenatge del pas inferior. Tram: Queralbs.</v>
      </c>
      <c r="I14" s="157">
        <f>Total!I1953</f>
        <v>6693.34</v>
      </c>
    </row>
    <row r="15" spans="1:9" x14ac:dyDescent="0.2">
      <c r="A15" s="8">
        <v>14</v>
      </c>
      <c r="B15" s="101">
        <f>Total!B1954</f>
        <v>43565</v>
      </c>
      <c r="C15" s="101">
        <f>Total!C1954</f>
        <v>43584</v>
      </c>
      <c r="D15" s="112" t="s">
        <v>1092</v>
      </c>
      <c r="E15" s="101" t="str">
        <f>Total!E1954</f>
        <v>Edificació</v>
      </c>
      <c r="F15" s="96" t="str">
        <f>Total!F1954</f>
        <v>Direccions d'Execució</v>
      </c>
      <c r="G15" s="112" t="str">
        <f>Total!G1954</f>
        <v>DE. CCG-16273</v>
      </c>
      <c r="H15" s="112" t="str">
        <f>Total!H1954</f>
        <v>Contracte de serveis per a la direcció d'execució de les obres de Remodelació de la Comissaria de la Policia de la Generalitat-Mossos d'Esquadra a Banyoles.</v>
      </c>
      <c r="I15" s="157">
        <f>Total!I1954</f>
        <v>18000</v>
      </c>
    </row>
    <row r="16" spans="1:9" x14ac:dyDescent="0.2">
      <c r="A16" s="8">
        <v>15</v>
      </c>
      <c r="B16" s="101">
        <f>Total!B1955</f>
        <v>43566</v>
      </c>
      <c r="C16" s="101">
        <f>Total!C1955</f>
        <v>43591</v>
      </c>
      <c r="D16" s="112" t="s">
        <v>1092</v>
      </c>
      <c r="E16" s="101" t="str">
        <f>Total!E1955</f>
        <v>Edificació</v>
      </c>
      <c r="F16" s="96" t="str">
        <f>Total!F1955</f>
        <v>Control de Qualitat</v>
      </c>
      <c r="G16" s="112" t="str">
        <f>Total!G1955</f>
        <v>MSA. CQ.S6-PNG-03495</v>
      </c>
      <c r="H16" s="112" t="str">
        <f>Total!H1955</f>
        <v>Control de qualitat de les obres de condicionament de la coberta, de les façanes, dels tancaments i d'alguns espais del CEIP Marta Mata de Girona.</v>
      </c>
      <c r="I16" s="157">
        <f>Total!I1955</f>
        <v>2892.11</v>
      </c>
    </row>
    <row r="17" spans="1:9" x14ac:dyDescent="0.2">
      <c r="A17" s="8">
        <v>16</v>
      </c>
      <c r="B17" s="101">
        <f>Total!B1956</f>
        <v>43567</v>
      </c>
      <c r="C17" s="101">
        <f>Total!C1956</f>
        <v>43584</v>
      </c>
      <c r="D17" s="112" t="s">
        <v>1092</v>
      </c>
      <c r="E17" s="101" t="str">
        <f>Total!E1956</f>
        <v>Edificació</v>
      </c>
      <c r="F17" s="96" t="str">
        <f>Total!F1956</f>
        <v>Direccions d'Execució</v>
      </c>
      <c r="G17" s="112" t="str">
        <f>Total!G1956</f>
        <v>DE. IAT-16254</v>
      </c>
      <c r="H17" s="112" t="str">
        <f>Total!H1956</f>
        <v>Contracte de serveis per a l'assistència tècnica per a la direcció d'execució de les obres d'ampliació Institut a 4/2 L de l'Institut Els Pallaresos.</v>
      </c>
      <c r="I17" s="157">
        <f>Total!I1956</f>
        <v>52000</v>
      </c>
    </row>
    <row r="18" spans="1:9" x14ac:dyDescent="0.2">
      <c r="A18" s="8">
        <v>17</v>
      </c>
      <c r="B18" s="101">
        <f>Total!B1957</f>
        <v>43567</v>
      </c>
      <c r="C18" s="101">
        <f>Total!C1957</f>
        <v>43584</v>
      </c>
      <c r="D18" s="112" t="s">
        <v>1092</v>
      </c>
      <c r="E18" s="101" t="str">
        <f>Total!E1957</f>
        <v>Edificació</v>
      </c>
      <c r="F18" s="96" t="str">
        <f>Total!F1957</f>
        <v>Direccions d'Execució</v>
      </c>
      <c r="G18" s="112" t="str">
        <f>Total!G1957</f>
        <v>CSS. JVX-14209.A+JVX-14208+BSV-15316</v>
      </c>
      <c r="H18" s="112" t="str">
        <f>Total!H1957</f>
        <v>Coord. S.S. exec. obres RAM de substitució de les cobertes del Centre Penitenciari de Quatre Camins, incloent els mitjans de Seguretat de les mateixes, obres RAM de reparació i millora instal. de sanejament Centre Penitenciari Quatre Camins, i obres inst.</v>
      </c>
      <c r="I18" s="157">
        <f>Total!I1957</f>
        <v>50654.400000000001</v>
      </c>
    </row>
    <row r="19" spans="1:9" x14ac:dyDescent="0.2">
      <c r="A19" s="8">
        <v>18</v>
      </c>
      <c r="B19" s="101">
        <f>Total!B1958</f>
        <v>43567</v>
      </c>
      <c r="C19" s="101">
        <f>Total!C1958</f>
        <v>43584</v>
      </c>
      <c r="D19" s="112" t="s">
        <v>1092</v>
      </c>
      <c r="E19" s="101" t="str">
        <f>Total!E1958</f>
        <v>Edificació</v>
      </c>
      <c r="F19" s="96" t="str">
        <f>Total!F1958</f>
        <v>Control de Qualitat</v>
      </c>
      <c r="G19" s="112" t="str">
        <f>Total!G1958</f>
        <v>CQ. JVX-14208</v>
      </c>
      <c r="H19" s="112" t="str">
        <f>Total!H1958</f>
        <v>Contracte de serveis per a l'assistència tècnica per al control de qualitat de les obres RAM a Centres Penitenciaris, reparació i millora de la instal·lació de sanejament del Centre Penitenciari de Quatre Camins, a la Roca del Vallès.</v>
      </c>
      <c r="I19" s="157">
        <f>Total!I1958</f>
        <v>10026.719999999999</v>
      </c>
    </row>
    <row r="20" spans="1:9" x14ac:dyDescent="0.2">
      <c r="A20" s="8">
        <v>19</v>
      </c>
      <c r="B20" s="101">
        <f>Total!B1959</f>
        <v>43567</v>
      </c>
      <c r="C20" s="101">
        <f>Total!C1959</f>
        <v>43598</v>
      </c>
      <c r="D20" s="112" t="s">
        <v>1092</v>
      </c>
      <c r="E20" s="101" t="str">
        <f>Total!E1959</f>
        <v>Edificació</v>
      </c>
      <c r="F20" s="96" t="str">
        <f>Total!F1959</f>
        <v>Projectes</v>
      </c>
      <c r="G20" s="112" t="str">
        <f>Total!G1959</f>
        <v>PC. JNP-02722.3-F2.A</v>
      </c>
      <c r="H20" s="112" t="str">
        <f>Total!H1959</f>
        <v>Contracte de serveis per a l'assistència tècnica per a la redacció del projecte de reforç del ferm del nou accés al centre penitenciari de Quatre Camins.</v>
      </c>
      <c r="I20" s="157">
        <f>Total!I1959</f>
        <v>10971</v>
      </c>
    </row>
    <row r="21" spans="1:9" x14ac:dyDescent="0.2">
      <c r="A21" s="8">
        <v>20</v>
      </c>
      <c r="B21" s="101">
        <f>Total!B1960</f>
        <v>43567</v>
      </c>
      <c r="C21" s="101">
        <f>Total!C1960</f>
        <v>43584</v>
      </c>
      <c r="D21" s="112" t="s">
        <v>1092</v>
      </c>
      <c r="E21" s="101" t="str">
        <f>Total!E1960</f>
        <v>Edificació</v>
      </c>
      <c r="F21" s="96" t="str">
        <f>Total!F1960</f>
        <v>Control de Qualitat</v>
      </c>
      <c r="G21" s="112" t="str">
        <f>Total!G1960</f>
        <v>CQ. JVX-14209.A</v>
      </c>
      <c r="H21" s="112" t="str">
        <f>Total!H1960</f>
        <v>Contracte de serveis per a l'assistència tècnica per al control de qualitat de les obres RAM per a la substitució de les cobertes al Centre Penitenciari de Quatre Camins, incloent els mitjans de seguretat de les mateixes.</v>
      </c>
      <c r="I21" s="157">
        <f>Total!I1960</f>
        <v>70513.61</v>
      </c>
    </row>
    <row r="22" spans="1:9" x14ac:dyDescent="0.2">
      <c r="A22" s="8">
        <v>21</v>
      </c>
      <c r="B22" s="101">
        <f>Total!B1961</f>
        <v>43567</v>
      </c>
      <c r="C22" s="101">
        <f>Total!C1961</f>
        <v>43584</v>
      </c>
      <c r="D22" s="112" t="s">
        <v>1092</v>
      </c>
      <c r="E22" s="101" t="str">
        <f>Total!E1961</f>
        <v>Edificació</v>
      </c>
      <c r="F22" s="96" t="str">
        <f>Total!F1961</f>
        <v>Control de Qualitat</v>
      </c>
      <c r="G22" s="112" t="str">
        <f>Total!G1961</f>
        <v>CQ. IAT-16254</v>
      </c>
      <c r="H22" s="112" t="str">
        <f>Total!H1961</f>
        <v>Contracte de serveis per a l'assistència tècnica de control de qualitat de les obres d'ampliació Institut a 4/2 L de l'Institut Els Pallaresos.</v>
      </c>
      <c r="I22" s="157">
        <f>Total!I1961</f>
        <v>20298.240000000002</v>
      </c>
    </row>
    <row r="23" spans="1:9" x14ac:dyDescent="0.2">
      <c r="A23" s="8">
        <v>22</v>
      </c>
      <c r="B23" s="101">
        <f>Total!B1962</f>
        <v>43567</v>
      </c>
      <c r="C23" s="101">
        <f>Total!C1962</f>
        <v>43584</v>
      </c>
      <c r="D23" s="112" t="s">
        <v>1092</v>
      </c>
      <c r="E23" s="101" t="str">
        <f>Total!E1962</f>
        <v>Edificació</v>
      </c>
      <c r="F23" s="96" t="str">
        <f>Total!F1962</f>
        <v>Direccions d'Execució</v>
      </c>
      <c r="G23" s="112" t="str">
        <f>Total!G1962</f>
        <v>CSS. IAT-16254</v>
      </c>
      <c r="H23" s="112" t="str">
        <f>Total!H1962</f>
        <v>Contracte de serveis per a l'Assistència tècnica per la Coordinació de seguretat i salut de l'execució de les obres d'ampliació Institut a 4/2 L de l'Institut Els Pallaresos.</v>
      </c>
      <c r="I23" s="157">
        <f>Total!I1962</f>
        <v>15600</v>
      </c>
    </row>
    <row r="24" spans="1:9" x14ac:dyDescent="0.2">
      <c r="A24" s="8">
        <v>23</v>
      </c>
      <c r="B24" s="101">
        <f>Total!B1963</f>
        <v>43567</v>
      </c>
      <c r="C24" s="101">
        <f>Total!C1963</f>
        <v>43591</v>
      </c>
      <c r="D24" s="112" t="s">
        <v>1092</v>
      </c>
      <c r="E24" s="101" t="str">
        <f>Total!E1963</f>
        <v>Obra Civil</v>
      </c>
      <c r="F24" s="96" t="str">
        <f>Total!F1963</f>
        <v>Direccions d'Obra</v>
      </c>
      <c r="G24" s="112" t="str">
        <f>Total!G1963</f>
        <v>DO.TF-02676.4-C1</v>
      </c>
      <c r="H24" s="112" t="str">
        <f>Total!H1963</f>
        <v>Contracte de serveis per a la direcció de les obres del projecte complementari núm.1 per a la millora de la inspecció i el manteniment de cel rasos elevats sobre les vies a l'estació de Sabadell Plaça Major.</v>
      </c>
      <c r="I24" s="157">
        <f>Total!I1963</f>
        <v>13557.34</v>
      </c>
    </row>
    <row r="25" spans="1:9" x14ac:dyDescent="0.2">
      <c r="A25" s="8">
        <v>24</v>
      </c>
      <c r="B25" s="101">
        <f>Total!B1964</f>
        <v>43570</v>
      </c>
      <c r="C25" s="101">
        <f>Total!C1964</f>
        <v>43591</v>
      </c>
      <c r="D25" s="112" t="s">
        <v>1092</v>
      </c>
      <c r="E25" s="101" t="str">
        <f>Total!E1964</f>
        <v>Obra Civil</v>
      </c>
      <c r="F25" s="96" t="str">
        <f>Total!F1964</f>
        <v>Control de Qualitat</v>
      </c>
      <c r="G25" s="112" t="str">
        <f>Total!G1964</f>
        <v>CQ.TF-02676.4-C1</v>
      </c>
      <c r="H25" s="112" t="str">
        <f>Total!H1964</f>
        <v>Contractació de la assistència tècnica pel control de qualitat de les obres del projecte complementari núm.1 per a la millora de la inspecció i el manteniment de cel rasos elevats sobre les vies a l'estació de Sabadell Plaça Major.</v>
      </c>
      <c r="I25" s="157">
        <f>Total!I1964</f>
        <v>2412.56</v>
      </c>
    </row>
    <row r="26" spans="1:9" x14ac:dyDescent="0.2">
      <c r="A26" s="8">
        <v>25</v>
      </c>
      <c r="B26" s="101">
        <f>Total!B1965</f>
        <v>43570</v>
      </c>
      <c r="C26" s="101">
        <f>Total!C1965</f>
        <v>43591</v>
      </c>
      <c r="D26" s="112" t="s">
        <v>1092</v>
      </c>
      <c r="E26" s="101" t="str">
        <f>Total!E1965</f>
        <v>Edificació</v>
      </c>
      <c r="F26" s="96" t="str">
        <f>Total!F1965</f>
        <v>Direccions d'execució</v>
      </c>
      <c r="G26" s="112" t="str">
        <f>Total!G1965</f>
        <v>CSS. XME-17572</v>
      </c>
      <c r="H26" s="112" t="str">
        <f>Total!H1965</f>
        <v>Contracte de serveis per a l'Assistència tècnica per la Coordinació de seguretat i salut de l'execució de les obres RAM 2017, als Serveis Territorials a les Terres de l'Ebre i a l'Escola Teresa Subirats i Mestre de Mas de Barberans.</v>
      </c>
      <c r="I26" s="157">
        <f>Total!I1965</f>
        <v>2790</v>
      </c>
    </row>
    <row r="27" spans="1:9" x14ac:dyDescent="0.2">
      <c r="A27" s="8">
        <v>26</v>
      </c>
      <c r="B27" s="101">
        <f>Total!B1966</f>
        <v>43570</v>
      </c>
      <c r="C27" s="101">
        <f>Total!C1966</f>
        <v>43591</v>
      </c>
      <c r="D27" s="112" t="s">
        <v>1092</v>
      </c>
      <c r="E27" s="101" t="str">
        <f>Total!E1966</f>
        <v>Obra Civil</v>
      </c>
      <c r="F27" s="96" t="str">
        <f>Total!F1966</f>
        <v>Control de Qualitat</v>
      </c>
      <c r="G27" s="112" t="str">
        <f>Total!G1966</f>
        <v>CQ.TM-04311.1</v>
      </c>
      <c r="H27" s="112" t="str">
        <f>Total!H1966</f>
        <v>Contracte de serveis per a l'assistència tècnica del control de qualitat de les obres de la millora de l'accessibilitat i adaptació a la normativa de l'intercanviador de l'estació de Maragall (L4 i L5 d'FMB). Fase 1.</v>
      </c>
      <c r="I27" s="157">
        <f>Total!I1966</f>
        <v>67632.81</v>
      </c>
    </row>
    <row r="28" spans="1:9" x14ac:dyDescent="0.2">
      <c r="A28" s="8">
        <v>27</v>
      </c>
      <c r="B28" s="101">
        <f>Total!B1967</f>
        <v>43570</v>
      </c>
      <c r="C28" s="101">
        <f>Total!C1967</f>
        <v>43591</v>
      </c>
      <c r="D28" s="112" t="s">
        <v>1092</v>
      </c>
      <c r="E28" s="101" t="str">
        <f>Total!E1967</f>
        <v>Obra Civil</v>
      </c>
      <c r="F28" s="96" t="str">
        <f>Total!F1967</f>
        <v>Direccions d'Obra</v>
      </c>
      <c r="G28" s="112" t="str">
        <f>Total!G1967</f>
        <v>ATAM. TM-04311.1</v>
      </c>
      <c r="H28" s="112" t="str">
        <f>Total!H1967</f>
        <v>Contracte de serveis per a la Assistència Tècnica Ambiental. Millora de l¿accessibilitat i adaptació a la normativa de l¿intercanviador de l¿estació de Maragall (L4 i L5 d¿FMB). Fase 1.</v>
      </c>
      <c r="I28" s="157">
        <f>Total!I1967</f>
        <v>48562.8</v>
      </c>
    </row>
    <row r="29" spans="1:9" x14ac:dyDescent="0.2">
      <c r="A29" s="8">
        <v>28</v>
      </c>
      <c r="B29" s="101">
        <f>Total!B1968</f>
        <v>43570</v>
      </c>
      <c r="C29" s="101">
        <f>Total!C1968</f>
        <v>43605</v>
      </c>
      <c r="D29" s="112" t="s">
        <v>1092</v>
      </c>
      <c r="E29" s="101" t="str">
        <f>Total!E1968</f>
        <v>Obra Civil</v>
      </c>
      <c r="F29" s="96" t="str">
        <f>Total!F1968</f>
        <v>Direccions d'Obra</v>
      </c>
      <c r="G29" s="112" t="str">
        <f>Total!G1968</f>
        <v>DO.TM-04311.1</v>
      </c>
      <c r="H29" s="112" t="str">
        <f>Total!H1968</f>
        <v>Contracte de serveis per a la direcció de les obres de la millora de l'accessibilitat i adaptació a la normativa de l'intercanviador de l'estació de Maragall (L4 i L5 d'FMB). Fase 1.</v>
      </c>
      <c r="I29" s="157">
        <f>Total!I1968</f>
        <v>487833.34</v>
      </c>
    </row>
    <row r="30" spans="1:9" x14ac:dyDescent="0.2">
      <c r="A30" s="8">
        <v>29</v>
      </c>
      <c r="B30" s="101">
        <f>Total!B1969</f>
        <v>43570</v>
      </c>
      <c r="C30" s="101">
        <f>Total!C1969</f>
        <v>43591</v>
      </c>
      <c r="D30" s="112" t="s">
        <v>1092</v>
      </c>
      <c r="E30" s="101" t="str">
        <f>Total!E1969</f>
        <v>Edificació</v>
      </c>
      <c r="F30" s="96" t="str">
        <f>Total!F1969</f>
        <v>Control de Qualitat</v>
      </c>
      <c r="G30" s="112" t="str">
        <f>Total!G1969</f>
        <v>CQ. XME-17572</v>
      </c>
      <c r="H30" s="112" t="str">
        <f>Total!H1969</f>
        <v>Contracte de serveis per a l'assistència tècnica de control de qualitat de les obres RAM 2017, als Serveis Territorials a les Terres de l'Ebre I, a l'Escola Teresa Subirats i Mestre de Mas de Barberans.</v>
      </c>
      <c r="I30" s="157">
        <f>Total!I1969</f>
        <v>3070.56</v>
      </c>
    </row>
    <row r="31" spans="1:9" x14ac:dyDescent="0.2">
      <c r="A31" s="8">
        <v>30</v>
      </c>
      <c r="B31" s="101">
        <f>Total!B1970</f>
        <v>43570</v>
      </c>
      <c r="C31" s="101">
        <f>Total!C1970</f>
        <v>43591</v>
      </c>
      <c r="D31" s="112" t="s">
        <v>1092</v>
      </c>
      <c r="E31" s="101" t="str">
        <f>Total!E1970</f>
        <v>Edificació</v>
      </c>
      <c r="F31" s="96" t="str">
        <f>Total!F1970</f>
        <v>Direccions d'execució</v>
      </c>
      <c r="G31" s="112" t="str">
        <f>Total!G1970</f>
        <v>DE. XME-17572</v>
      </c>
      <c r="H31" s="112" t="str">
        <f>Total!H1970</f>
        <v>Contracte de serveis per a l'assistència tècnica per a la direcció d'execució de les obres RAM 2017, als Serveis Territorials a les Terres de l'Ebre I, a l'Escola Teresa Subirats i Mestre de Mas de Barberans.</v>
      </c>
      <c r="I31" s="157">
        <f>Total!I1970</f>
        <v>9300</v>
      </c>
    </row>
    <row r="32" spans="1:9" x14ac:dyDescent="0.2">
      <c r="A32" s="8">
        <v>31</v>
      </c>
      <c r="B32" s="101">
        <f>Total!B1971</f>
        <v>43570</v>
      </c>
      <c r="C32" s="101">
        <f>Total!C1971</f>
        <v>43591</v>
      </c>
      <c r="D32" s="112" t="s">
        <v>1092</v>
      </c>
      <c r="E32" s="101" t="str">
        <f>Total!E1971</f>
        <v>Obra Civil</v>
      </c>
      <c r="F32" s="96" t="str">
        <f>Total!F1971</f>
        <v>Direccions d'Obra</v>
      </c>
      <c r="G32" s="112" t="str">
        <f>Total!G1971</f>
        <v>CSS. TM-04311.1</v>
      </c>
      <c r="H32" s="112" t="str">
        <f>Total!H1971</f>
        <v>Contracte de serveis per a l'Assistència tècnica per la Coordinació de seguretat i salut de l'execució de les obres de la millora de l'accessibilitat i adaptació a la normativa de l'intercanviador de l'estació de Maragall (L4 i L5 d'FMB). Fase 1.</v>
      </c>
      <c r="I32" s="157">
        <f>Total!I1971</f>
        <v>93600</v>
      </c>
    </row>
    <row r="33" spans="1:9" x14ac:dyDescent="0.2">
      <c r="A33" s="8">
        <v>32</v>
      </c>
      <c r="B33" s="101">
        <f>Total!B1972</f>
        <v>43571</v>
      </c>
      <c r="C33" s="101">
        <f>Total!C1972</f>
        <v>43593</v>
      </c>
      <c r="D33" s="112" t="s">
        <v>1092</v>
      </c>
      <c r="E33" s="101" t="str">
        <f>Total!E1972</f>
        <v>Edificació</v>
      </c>
      <c r="F33" s="96" t="str">
        <f>Total!F1972</f>
        <v>Control de Qualitat</v>
      </c>
      <c r="G33" s="112" t="str">
        <f>Total!G1972</f>
        <v>MSA. CQ. S3-ING-05570</v>
      </c>
      <c r="H33" s="112" t="str">
        <f>Total!H1972</f>
        <v>Contracte de serveis per a l'assistència tècnica de control de qualitat de les obres de condicionament dels paraments exteriors i reparació de paviments de l'IES Vallvera de Salt.</v>
      </c>
      <c r="I33" s="157">
        <f>Total!I1972</f>
        <v>3792.57</v>
      </c>
    </row>
    <row r="34" spans="1:9" x14ac:dyDescent="0.2">
      <c r="A34" s="8">
        <v>33</v>
      </c>
      <c r="B34" s="101">
        <f>Total!B1973</f>
        <v>43571</v>
      </c>
      <c r="C34" s="101">
        <f>Total!C1973</f>
        <v>43593</v>
      </c>
      <c r="D34" s="112" t="s">
        <v>1092</v>
      </c>
      <c r="E34" s="101" t="str">
        <f>Total!E1973</f>
        <v>Edificació</v>
      </c>
      <c r="F34" s="96" t="str">
        <f>Total!F1973</f>
        <v>Direccions d'execució</v>
      </c>
      <c r="G34" s="112" t="str">
        <f>Total!G1973</f>
        <v>DE. CGM-17250 (2a. licitació)</v>
      </c>
      <c r="H34" s="112" t="str">
        <f>Total!H1973</f>
        <v>Direcció d'Execució de les obres RAM d'estalvi energètic 3. Millores i adequació d'equips de clima, tancaments exteriors, protecció solar i aillaments de diverses comissaries de Mossos d'Esquadra de Granollers, Lleida i La Seu d'Urgell.</v>
      </c>
      <c r="I34" s="157">
        <f>Total!I1973</f>
        <v>14000</v>
      </c>
    </row>
    <row r="35" spans="1:9" x14ac:dyDescent="0.2">
      <c r="A35" s="8">
        <v>34</v>
      </c>
      <c r="B35" s="101">
        <f>Total!B1974</f>
        <v>43571</v>
      </c>
      <c r="C35" s="101">
        <f>Total!C1974</f>
        <v>43591</v>
      </c>
      <c r="D35" s="112" t="s">
        <v>1092</v>
      </c>
      <c r="E35" s="101" t="str">
        <f>Total!E1974</f>
        <v>Edificació</v>
      </c>
      <c r="F35" s="96" t="str">
        <f>Total!F1974</f>
        <v>Control de Qualitat</v>
      </c>
      <c r="G35" s="112" t="str">
        <f>Total!G1974</f>
        <v>CQ.S1-PNA-07373</v>
      </c>
      <c r="H35" s="112" t="str">
        <f>Total!H1974</f>
        <v>Control de qualitat de les obres de rehabilitació de la coberta del CEIP Campderrós de Vallirana.</v>
      </c>
      <c r="I35" s="157">
        <f>Total!I1974</f>
        <v>1999.19</v>
      </c>
    </row>
    <row r="36" spans="1:9" x14ac:dyDescent="0.2">
      <c r="A36" s="8">
        <v>35</v>
      </c>
      <c r="B36" s="101">
        <f>Total!B1975</f>
        <v>43572</v>
      </c>
      <c r="C36" s="101">
        <f>Total!C1975</f>
        <v>43591</v>
      </c>
      <c r="D36" s="112" t="s">
        <v>1092</v>
      </c>
      <c r="E36" s="101" t="str">
        <f>Total!E1975</f>
        <v>Obra Civil</v>
      </c>
      <c r="F36" s="96" t="str">
        <f>Total!F1975</f>
        <v>Control de Qualitat</v>
      </c>
      <c r="G36" s="112" t="str">
        <f>Total!G1975</f>
        <v>CQ. UPA-17286</v>
      </c>
      <c r="H36" s="112" t="str">
        <f>Total!H1975</f>
        <v>Control de qualitat dels serveis de conservació i manteniment ambiental corresponents al Plec de Conservació Ambiental. Conservació i manteniment del programa d'Infraestructura verda de Catalunya. 2019-2020.</v>
      </c>
      <c r="I36" s="157">
        <f>Total!I1975</f>
        <v>2753.18</v>
      </c>
    </row>
    <row r="37" spans="1:9" x14ac:dyDescent="0.2">
      <c r="A37" s="8">
        <v>36</v>
      </c>
      <c r="B37" s="101">
        <f>Total!B1976</f>
        <v>43573</v>
      </c>
      <c r="C37" s="101">
        <f>Total!C1976</f>
        <v>43591</v>
      </c>
      <c r="D37" s="112" t="s">
        <v>1092</v>
      </c>
      <c r="E37" s="101" t="str">
        <f>Total!E1976</f>
        <v>Edificació</v>
      </c>
      <c r="F37" s="96" t="str">
        <f>Total!F1976</f>
        <v>Projectes i Direccions d'Obra</v>
      </c>
      <c r="G37" s="112" t="str">
        <f>Total!G1976</f>
        <v>PE+DO. JVX-18298</v>
      </c>
      <c r="H37" s="112" t="str">
        <f>Total!H1976</f>
        <v>Redacció del projecte bàsic, el projecte executiu i la posterior direcció d'obra RAM. Modernització de climatització, PDCI, CCTV i intrusió a l'edifici judical d'Arenys de Mar.</v>
      </c>
      <c r="I37" s="157">
        <f>Total!I1976</f>
        <v>101228.74</v>
      </c>
    </row>
    <row r="38" spans="1:9" x14ac:dyDescent="0.2">
      <c r="A38" s="8">
        <v>37</v>
      </c>
      <c r="B38" s="101">
        <f>Total!B1977</f>
        <v>43579</v>
      </c>
      <c r="C38" s="101">
        <f>Total!C1977</f>
        <v>43619</v>
      </c>
      <c r="D38" s="112" t="s">
        <v>1092</v>
      </c>
      <c r="E38" s="101" t="str">
        <f>Total!E1977</f>
        <v>Obra Civil</v>
      </c>
      <c r="F38" s="96" t="str">
        <f>Total!F1977</f>
        <v>Projectes</v>
      </c>
      <c r="G38" s="112" t="str">
        <f>Total!G1977</f>
        <v>PC.TM-04426.1A</v>
      </c>
      <c r="H38" s="112" t="str">
        <f>Total!H1977</f>
        <v>Redacció del projecte constructiu de cobertura del Macropou i superfície, actuacions a la infraestructura per nova configuració de vies a la Línia 9 de Metro de Barcelona i nous forjats per l'aprofitament de l'espai interior del macropou.</v>
      </c>
      <c r="I38" s="157">
        <f>Total!I1977</f>
        <v>370000</v>
      </c>
    </row>
    <row r="39" spans="1:9" x14ac:dyDescent="0.2">
      <c r="A39" s="8">
        <v>38</v>
      </c>
      <c r="B39" s="101">
        <f>Total!B1978</f>
        <v>43579</v>
      </c>
      <c r="C39" s="101">
        <f>Total!C1978</f>
        <v>43598</v>
      </c>
      <c r="D39" s="112" t="s">
        <v>1092</v>
      </c>
      <c r="E39" s="101" t="str">
        <f>Total!E1978</f>
        <v>Edificació</v>
      </c>
      <c r="F39" s="96" t="str">
        <f>Total!F1978</f>
        <v>Direccions d'Execució</v>
      </c>
      <c r="G39" s="112" t="str">
        <f>Total!G1978</f>
        <v>DE. IAG-07283.A</v>
      </c>
      <c r="H39" s="112" t="str">
        <f>Total!H1978</f>
        <v>Contracte de serveis per a la Direcció d'execució de les obres corresponents al Projecte: d'ampliació i adequació a Institut 4/3 línies + cicles formatius a l'Institut Josep Brugulat de Banyoles.</v>
      </c>
      <c r="I39" s="157">
        <f>Total!I1978</f>
        <v>169604</v>
      </c>
    </row>
    <row r="40" spans="1:9" x14ac:dyDescent="0.2">
      <c r="A40" s="8">
        <v>39</v>
      </c>
      <c r="B40" s="101">
        <f>Total!B1979</f>
        <v>43579</v>
      </c>
      <c r="C40" s="101">
        <f>Total!C1979</f>
        <v>43598</v>
      </c>
      <c r="D40" s="112" t="s">
        <v>1092</v>
      </c>
      <c r="E40" s="101" t="str">
        <f>Total!E1979</f>
        <v>Edificació</v>
      </c>
      <c r="F40" s="96" t="str">
        <f>Total!F1979</f>
        <v>Control de Qualitat</v>
      </c>
      <c r="G40" s="112" t="str">
        <f>Total!G1979</f>
        <v>CQ. IAG-07283.A</v>
      </c>
      <c r="H40" s="112" t="str">
        <f>Total!H1979</f>
        <v>Contracte de serveis per a l'assistència tècnica de control de qualitat de les obres d'ampliació i adequació a Institut 4/3 línies + cicles formatius a l'Institut Josep Brugulat de Banyoles.</v>
      </c>
      <c r="I40" s="157">
        <f>Total!I1979</f>
        <v>52499.5</v>
      </c>
    </row>
    <row r="41" spans="1:9" x14ac:dyDescent="0.2">
      <c r="A41" s="8">
        <v>40</v>
      </c>
      <c r="B41" s="101">
        <f>Total!B1980</f>
        <v>43579</v>
      </c>
      <c r="C41" s="101">
        <f>Total!C1980</f>
        <v>43598</v>
      </c>
      <c r="D41" s="112" t="s">
        <v>1092</v>
      </c>
      <c r="E41" s="101" t="str">
        <f>Total!E1980</f>
        <v>Edificació</v>
      </c>
      <c r="F41" s="96" t="str">
        <f>Total!F1980</f>
        <v>Direccions d'Execució</v>
      </c>
      <c r="G41" s="112" t="str">
        <f>Total!G1980</f>
        <v>CSS. IAG-07283.A</v>
      </c>
      <c r="H41" s="112" t="str">
        <f>Total!H1980</f>
        <v>Contracte de serveis per a l'Assistència Tècnica de Coordinació de Seguretat i Salut de les obres d'ampliació i adequació a Institut 4/3 línies + cicles formatius a l'Institut Josep Brugulat de Banyoles.</v>
      </c>
      <c r="I41" s="157">
        <f>Total!I1980</f>
        <v>50881.2</v>
      </c>
    </row>
    <row r="42" spans="1:9" x14ac:dyDescent="0.2">
      <c r="A42" s="8">
        <v>41</v>
      </c>
      <c r="B42" s="101">
        <f>Total!B1981</f>
        <v>43581</v>
      </c>
      <c r="C42" s="101">
        <f>Total!C1981</f>
        <v>43598</v>
      </c>
      <c r="D42" s="112" t="s">
        <v>1092</v>
      </c>
      <c r="E42" s="101" t="str">
        <f>Total!E1981</f>
        <v>Obra Civil</v>
      </c>
      <c r="F42" s="96" t="str">
        <f>Total!F1981</f>
        <v xml:space="preserve">Projectes </v>
      </c>
      <c r="G42" s="112" t="str">
        <f>Total!G1981</f>
        <v>PC.MCG-18320.A1</v>
      </c>
      <c r="H42" s="112" t="str">
        <f>Total!H1981</f>
        <v>Contracte de serveis per a l'assistència tècnica per a la redacció del Projecte actualitzat sobre millora connectivitat fluvial. Restitució del medi a l'entorn fluvial de l'aprofitament hidroelèctric ubicat als rius Ritort i Fabert al TM de Molló.</v>
      </c>
      <c r="I42" s="157">
        <f>Total!I1981</f>
        <v>23500</v>
      </c>
    </row>
    <row r="43" spans="1:9" x14ac:dyDescent="0.2">
      <c r="A43" s="8">
        <v>42</v>
      </c>
      <c r="B43" s="101">
        <f>Total!B1982</f>
        <v>43581</v>
      </c>
      <c r="C43" s="101">
        <f>Total!C1982</f>
        <v>43598</v>
      </c>
      <c r="D43" s="112" t="s">
        <v>1092</v>
      </c>
      <c r="E43" s="101" t="str">
        <f>Total!E1982</f>
        <v>Obra Civil</v>
      </c>
      <c r="F43" s="96" t="str">
        <f>Total!F1982</f>
        <v xml:space="preserve">Projectes </v>
      </c>
      <c r="G43" s="112" t="str">
        <f>Total!G1982</f>
        <v>EV. E1-XA-19201</v>
      </c>
      <c r="H43" s="112" t="str">
        <f>Total!H1982</f>
        <v>Redacció de la Memòria Ambiental del Projecte constructiu de l'arranjament de la carretera d'accés a Les Llagunes i estabilització de talús en el seu creuament amb el barranc de Coma Sarrera. TM de Soriguera (Pallars Sobirà).</v>
      </c>
      <c r="I43" s="157">
        <f>Total!I1982</f>
        <v>8350</v>
      </c>
    </row>
    <row r="44" spans="1:9" x14ac:dyDescent="0.2">
      <c r="A44" s="8">
        <v>43</v>
      </c>
      <c r="B44" s="101">
        <f>Total!B1983</f>
        <v>43581</v>
      </c>
      <c r="C44" s="101">
        <f>Total!C1983</f>
        <v>43598</v>
      </c>
      <c r="D44" s="112" t="s">
        <v>1092</v>
      </c>
      <c r="E44" s="101" t="str">
        <f>Total!E1983</f>
        <v>Obra Civil</v>
      </c>
      <c r="F44" s="96" t="str">
        <f>Total!F1983</f>
        <v xml:space="preserve">Projectes </v>
      </c>
      <c r="G44" s="112" t="str">
        <f>Total!G1983</f>
        <v>PC. XA-19201</v>
      </c>
      <c r="H44" s="112" t="str">
        <f>Total!H1983</f>
        <v>Redacció del projecte constructiu de l'arranjament de la carretera d'accés a Les Llagunes i estabilització de talús en el seu creuament amb el barranc de Coma Sarrera. TM de Soriguera (Pallars Sobirà).</v>
      </c>
      <c r="I44" s="157">
        <f>Total!I1983</f>
        <v>37750</v>
      </c>
    </row>
    <row r="45" spans="1:9" x14ac:dyDescent="0.2">
      <c r="A45" s="8">
        <v>44</v>
      </c>
      <c r="B45" s="101">
        <f>Total!B1984</f>
        <v>43581</v>
      </c>
      <c r="C45" s="101">
        <f>Total!C1984</f>
        <v>43598</v>
      </c>
      <c r="D45" s="112" t="s">
        <v>1092</v>
      </c>
      <c r="E45" s="101" t="str">
        <f>Total!E1984</f>
        <v>Edificació</v>
      </c>
      <c r="F45" s="96" t="str">
        <f>Total!F1984</f>
        <v>Projectes i Direccions d'Obra</v>
      </c>
      <c r="G45" s="112" t="str">
        <f>Total!G1984</f>
        <v>PE+DO. JVX-15287</v>
      </c>
      <c r="H45" s="112" t="str">
        <f>Total!H1984</f>
        <v>Contracte de serveis per a l'assistència tècnica per la redacció del projecte bàsic, el projecte executiu i la posterior direcció d'obra RAM de consolidació estructural del Palau de justícia de Tarragona.</v>
      </c>
      <c r="I45" s="157">
        <f>Total!I1984</f>
        <v>147659.29999999999</v>
      </c>
    </row>
    <row r="46" spans="1:9" x14ac:dyDescent="0.2">
      <c r="A46" s="8">
        <v>45</v>
      </c>
      <c r="B46" s="101">
        <f>Total!B1985</f>
        <v>43585</v>
      </c>
      <c r="C46" s="101">
        <f>Total!C1985</f>
        <v>43605</v>
      </c>
      <c r="D46" s="112" t="s">
        <v>1092</v>
      </c>
      <c r="E46" s="101" t="str">
        <f>Total!E1985</f>
        <v>Edificació</v>
      </c>
      <c r="F46" s="96" t="str">
        <f>Total!F1985</f>
        <v>Projectes i Direccions d'Obra</v>
      </c>
      <c r="G46" s="112" t="str">
        <f>Total!G1985</f>
        <v>PE+DO. JVX-18296</v>
      </c>
      <c r="H46" s="112" t="str">
        <f>Total!H1985</f>
        <v>Contracte de serveis per a l'assistència tècnica per la redacció del projecte bàsic, el projecte executiu i la posterior direcció d'obra de les obres RAM per a l'adequació a ús judicial de l'immoble municipal Casa Serra i Moret de Vic.</v>
      </c>
      <c r="I46" s="157">
        <f>Total!I1985</f>
        <v>56159.72</v>
      </c>
    </row>
    <row r="47" spans="1:9" x14ac:dyDescent="0.2">
      <c r="A47" s="8">
        <v>46</v>
      </c>
      <c r="B47" s="101">
        <f>Total!B1986</f>
        <v>43585</v>
      </c>
      <c r="C47" s="101">
        <f>Total!C1986</f>
        <v>43605</v>
      </c>
      <c r="D47" s="112" t="s">
        <v>1092</v>
      </c>
      <c r="E47" s="101" t="str">
        <f>Total!E1986</f>
        <v>Edificació</v>
      </c>
      <c r="F47" s="96" t="str">
        <f>Total!F1986</f>
        <v>Direccions d'execució</v>
      </c>
      <c r="G47" s="112" t="str">
        <f>Total!G1986</f>
        <v>DE. JVX-17231 (nou)</v>
      </c>
      <c r="H47" s="112" t="str">
        <f>Total!H1986</f>
        <v>Contracte de serveis per a la direcció d'execució de les obres RAM a l'edifici dels serveis territorials de Lleida del Departament de Justícia.</v>
      </c>
      <c r="I47" s="157">
        <f>Total!I1986</f>
        <v>12000</v>
      </c>
    </row>
    <row r="48" spans="1:9" x14ac:dyDescent="0.2">
      <c r="A48" s="8">
        <v>47</v>
      </c>
      <c r="B48" s="101">
        <f>Total!B1987</f>
        <v>43585</v>
      </c>
      <c r="C48" s="101">
        <f>Total!C1987</f>
        <v>43600</v>
      </c>
      <c r="D48" s="112" t="s">
        <v>1092</v>
      </c>
      <c r="E48" s="101" t="str">
        <f>Total!E1987</f>
        <v>Edificació</v>
      </c>
      <c r="F48" s="96" t="str">
        <f>Total!F1987</f>
        <v>Projectes</v>
      </c>
      <c r="G48" s="112" t="str">
        <f>Total!G1987</f>
        <v>EV. E1-DJUS-13001</v>
      </c>
      <c r="H48" s="112" t="str">
        <f>Total!H1987</f>
        <v>Contracte de serveis per a l'assistència tècnica per a la redacció d'auditoria energènica dels Centres Penitenciaris de la Generalitat de Catalunya.</v>
      </c>
      <c r="I48" s="157">
        <f>Total!I1987</f>
        <v>96000</v>
      </c>
    </row>
    <row r="49" spans="1:9" x14ac:dyDescent="0.2">
      <c r="A49" s="8">
        <v>48</v>
      </c>
      <c r="B49" s="101">
        <f>Total!B1988</f>
        <v>43585</v>
      </c>
      <c r="C49" s="101">
        <f>Total!C1988</f>
        <v>43605</v>
      </c>
      <c r="D49" s="112" t="s">
        <v>1092</v>
      </c>
      <c r="E49" s="101" t="str">
        <f>Total!E1988</f>
        <v>Obra Civil</v>
      </c>
      <c r="F49" s="96" t="str">
        <f>Total!F1988</f>
        <v>Projectes</v>
      </c>
      <c r="G49" s="112" t="str">
        <f>Total!G1988</f>
        <v>EV.- EP51</v>
      </c>
      <c r="H49" s="112" t="str">
        <f>Total!H1988</f>
        <v>Contracte de serveis per a l'assistència tècnica per a la realització de topografia i de replanteig de projectes corresponents als estudis i projectes d'obra civil i d'edificació.</v>
      </c>
      <c r="I49" s="157">
        <f>Total!I1988</f>
        <v>179917.37</v>
      </c>
    </row>
    <row r="50" spans="1:9" x14ac:dyDescent="0.2">
      <c r="A50" s="8">
        <v>49</v>
      </c>
      <c r="B50" s="101">
        <f>Total!B1989</f>
        <v>43585</v>
      </c>
      <c r="C50" s="101">
        <f>Total!C1989</f>
        <v>43605</v>
      </c>
      <c r="D50" s="112" t="s">
        <v>1092</v>
      </c>
      <c r="E50" s="101" t="str">
        <f>Total!E1989</f>
        <v>Obra Civil</v>
      </c>
      <c r="F50" s="96" t="str">
        <f>Total!F1989</f>
        <v>Projectes</v>
      </c>
      <c r="G50" s="112" t="str">
        <f>Total!G1989</f>
        <v>EV.- EC21</v>
      </c>
      <c r="H50" s="112" t="str">
        <f>Total!H1989</f>
        <v>Contracte de serveis per a l'assistència tècnica per a la realització dels treballs de cartografia corresponents als estudis i projectes d'obra civil que són encarregats pels Departaments de la Generalitat de Catalunya.</v>
      </c>
      <c r="I50" s="157">
        <f>Total!I1989</f>
        <v>99951</v>
      </c>
    </row>
    <row r="51" spans="1:9" x14ac:dyDescent="0.2">
      <c r="A51" s="8">
        <v>50</v>
      </c>
      <c r="B51" s="101">
        <f>Total!B1990</f>
        <v>43585</v>
      </c>
      <c r="C51" s="101">
        <f>Total!C1990</f>
        <v>43600</v>
      </c>
      <c r="D51" s="112" t="s">
        <v>1092</v>
      </c>
      <c r="E51" s="101" t="str">
        <f>Total!E1990</f>
        <v>Obra Civil</v>
      </c>
      <c r="F51" s="96" t="str">
        <f>Total!F1990</f>
        <v>Projectes</v>
      </c>
      <c r="G51" s="112" t="str">
        <f>Total!G1990</f>
        <v>PC.MG-15015-C1</v>
      </c>
      <c r="H51" s="112" t="str">
        <f>Total!H1990</f>
        <v>Contracte de serveis per a l'assistència tècnica per a la redacció del projecte constructiu. Mesures correctores d'impacte ambiental a la millora de seguretat viària de la C-66 del PK 41+900 al 55+800. Cornellà del Terri - Sant Ferriol.</v>
      </c>
      <c r="I51" s="157">
        <f>Total!I1990</f>
        <v>55500</v>
      </c>
    </row>
    <row r="52" spans="1:9" x14ac:dyDescent="0.2">
      <c r="I52" s="126">
        <f>SUM(I2:I51)</f>
        <v>3132259.7500000005</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32"/>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Total!B1911</f>
        <v>43530</v>
      </c>
      <c r="C2" s="101">
        <f>Total!C1911</f>
        <v>43549</v>
      </c>
      <c r="D2" s="112" t="s">
        <v>1092</v>
      </c>
      <c r="E2" s="101" t="str">
        <f>Total!E1911</f>
        <v>Edificació</v>
      </c>
      <c r="F2" s="96" t="str">
        <f>Total!F1911</f>
        <v>Direccions d'execució</v>
      </c>
      <c r="G2" s="112" t="str">
        <f>Total!G1911</f>
        <v>DE. ING-17214</v>
      </c>
      <c r="H2" s="112" t="str">
        <f>Total!H1911</f>
        <v>Contracte de serveis per a la direcció d'execució de les obres de nova construcció 4/3 L de l'Institut Vilablareix.</v>
      </c>
      <c r="I2" s="157">
        <f>Total!I1911</f>
        <v>141700</v>
      </c>
    </row>
    <row r="3" spans="1:9" x14ac:dyDescent="0.2">
      <c r="A3" s="8">
        <v>2</v>
      </c>
      <c r="B3" s="101">
        <f>Total!B1912</f>
        <v>43530</v>
      </c>
      <c r="C3" s="101">
        <f>Total!C1912</f>
        <v>43549</v>
      </c>
      <c r="D3" s="112" t="s">
        <v>1092</v>
      </c>
      <c r="E3" s="101" t="str">
        <f>Total!E1912</f>
        <v>Edificació</v>
      </c>
      <c r="F3" s="96" t="str">
        <f>Total!F1912</f>
        <v>Direccions d'execució</v>
      </c>
      <c r="G3" s="112" t="str">
        <f>Total!G1912</f>
        <v>CSS. ING-17214</v>
      </c>
      <c r="H3" s="112" t="str">
        <f>Total!H1912</f>
        <v>Contracte de serveis per a l'assistència tècnica per a la coordinació de seguretat i salut de les obres de nova construcció 4/3 L de l'Institut Vilablareix.</v>
      </c>
      <c r="I3" s="157">
        <f>Total!I1912</f>
        <v>42504</v>
      </c>
    </row>
    <row r="4" spans="1:9" x14ac:dyDescent="0.2">
      <c r="A4" s="8">
        <v>3</v>
      </c>
      <c r="B4" s="101">
        <f>Total!B1913</f>
        <v>43530</v>
      </c>
      <c r="C4" s="101">
        <f>Total!C1913</f>
        <v>43556</v>
      </c>
      <c r="D4" s="112" t="s">
        <v>1092</v>
      </c>
      <c r="E4" s="101" t="str">
        <f>Total!E1913</f>
        <v>Edificació</v>
      </c>
      <c r="F4" s="96" t="str">
        <f>Total!F1913</f>
        <v>Control de Qualitat</v>
      </c>
      <c r="G4" s="112" t="str">
        <f>Total!G1913</f>
        <v>CQ. ING-17214</v>
      </c>
      <c r="H4" s="112" t="str">
        <f>Total!H1913</f>
        <v>Contracte de serveis per a l'assistència tècnica de control de qualitat de les obres de nova construcció 4/3 L de l'Institut Vilablareix.</v>
      </c>
      <c r="I4" s="157">
        <f>Total!I1913</f>
        <v>65011.16</v>
      </c>
    </row>
    <row r="5" spans="1:9" x14ac:dyDescent="0.2">
      <c r="A5" s="8">
        <v>4</v>
      </c>
      <c r="B5" s="101">
        <f>Total!B1914</f>
        <v>43531</v>
      </c>
      <c r="C5" s="101">
        <f>Total!C1914</f>
        <v>43563</v>
      </c>
      <c r="D5" s="112" t="s">
        <v>1092</v>
      </c>
      <c r="E5" s="101" t="str">
        <f>Total!E1914</f>
        <v>Obra Civil</v>
      </c>
      <c r="F5" s="96" t="str">
        <f>Total!F1914</f>
        <v>Direcció d'obra</v>
      </c>
      <c r="G5" s="112" t="str">
        <f>Total!G1914</f>
        <v>DO. PR- 17290</v>
      </c>
      <c r="H5" s="112" t="str">
        <f>Total!H1914</f>
        <v>Contracte de serveis per a la direcció de les obres de modernització del reg de la demarcació de Lleida de la Junta de Sequiatge del Canal de Pinyana TM de Lleida - Sector A.</v>
      </c>
      <c r="I5" s="157">
        <f>Total!I1914</f>
        <v>266040</v>
      </c>
    </row>
    <row r="6" spans="1:9" x14ac:dyDescent="0.2">
      <c r="A6" s="8">
        <v>5</v>
      </c>
      <c r="B6" s="101">
        <f>Total!B1915</f>
        <v>43531</v>
      </c>
      <c r="C6" s="101">
        <f>Total!C1915</f>
        <v>43549</v>
      </c>
      <c r="D6" s="112" t="s">
        <v>1092</v>
      </c>
      <c r="E6" s="101" t="str">
        <f>Total!E1915</f>
        <v>Obra Civil</v>
      </c>
      <c r="F6" s="96" t="str">
        <f>Total!F1915</f>
        <v>Control de Qualitat</v>
      </c>
      <c r="G6" s="112" t="str">
        <f>Total!G1915</f>
        <v>CQ. PR-17290</v>
      </c>
      <c r="H6" s="112" t="str">
        <f>Total!H1915</f>
        <v>Contracte de serveis per a l'assistència tècnica de control de qualitat de les obres de modernització del reg de la demarcació de Lleida de la Junta de Sequiatge del Canal de Pinyana TM de Lleida - Sector A.</v>
      </c>
      <c r="I6" s="157">
        <f>Total!I1915</f>
        <v>66786.61</v>
      </c>
    </row>
    <row r="7" spans="1:9" x14ac:dyDescent="0.2">
      <c r="A7" s="8">
        <v>6</v>
      </c>
      <c r="B7" s="101">
        <f>Total!B1916</f>
        <v>43531</v>
      </c>
      <c r="C7" s="101">
        <f>Total!C1916</f>
        <v>43549</v>
      </c>
      <c r="D7" s="112" t="s">
        <v>1092</v>
      </c>
      <c r="E7" s="101" t="str">
        <f>Total!E1916</f>
        <v>Obra Civil</v>
      </c>
      <c r="F7" s="96" t="str">
        <f>Total!F1916</f>
        <v>Direccions d'Obra</v>
      </c>
      <c r="G7" s="112" t="str">
        <f>Total!G1916</f>
        <v>CSS. PR-17290</v>
      </c>
      <c r="H7" s="112" t="str">
        <f>Total!H1916</f>
        <v>Coord. S.S. exec. obres proj. modernització reg del Canal de Pinyana. Proj. constructiu actualitzat de la modernització del reg de la demarcació de Lleida de la Junta de Sequiatge del Canal de Pinyana. TM de Lleida, Sector A.</v>
      </c>
      <c r="I7" s="157">
        <f>Total!I1916</f>
        <v>48858</v>
      </c>
    </row>
    <row r="8" spans="1:9" x14ac:dyDescent="0.2">
      <c r="A8" s="8">
        <v>7</v>
      </c>
      <c r="B8" s="101">
        <f>Total!B1917</f>
        <v>43532</v>
      </c>
      <c r="C8" s="101">
        <f>Total!C1917</f>
        <v>43549</v>
      </c>
      <c r="D8" s="112" t="s">
        <v>1092</v>
      </c>
      <c r="E8" s="101" t="str">
        <f>Total!E1917</f>
        <v>Obra Civil</v>
      </c>
      <c r="F8" s="96" t="str">
        <f>Total!F1917</f>
        <v>Projectes</v>
      </c>
      <c r="G8" s="112" t="str">
        <f>Total!G1917</f>
        <v>EV. EX-MC-14006</v>
      </c>
      <c r="H8" s="112" t="str">
        <f>Total!H1917</f>
        <v>Contracte de serveis per a l'assistència tècnica per a la redacció de l'estudi sobre l'auditoria de seguretat viària per a motoristes a la xarxa de carreteres de la Generalitat. Any 2014.</v>
      </c>
      <c r="I8" s="157">
        <f>Total!I1917</f>
        <v>14390</v>
      </c>
    </row>
    <row r="9" spans="1:9" x14ac:dyDescent="0.2">
      <c r="A9" s="8">
        <v>8</v>
      </c>
      <c r="B9" s="101">
        <f>Total!B1918</f>
        <v>43536</v>
      </c>
      <c r="C9" s="101">
        <f>Total!C1918</f>
        <v>43556</v>
      </c>
      <c r="D9" s="112" t="s">
        <v>1092</v>
      </c>
      <c r="E9" s="101" t="str">
        <f>Total!E1918</f>
        <v>Edificació</v>
      </c>
      <c r="F9" s="96" t="str">
        <f>Total!F1918</f>
        <v>Control de Qualitat</v>
      </c>
      <c r="G9" s="112" t="str">
        <f>Total!G1918</f>
        <v>MSA. CQ. S20-PNC-04317</v>
      </c>
      <c r="H9" s="112" t="str">
        <f>Total!H1918</f>
        <v>Contracte de serveis per al Control de Qualitat de les Obres de Rehabilitació de la façana històrica del CEIP el Progrés a Badalona.</v>
      </c>
      <c r="I9" s="157">
        <f>Total!I1918</f>
        <v>1548.52</v>
      </c>
    </row>
    <row r="10" spans="1:9" x14ac:dyDescent="0.2">
      <c r="A10" s="8">
        <v>9</v>
      </c>
      <c r="B10" s="101">
        <f>Total!B1919</f>
        <v>43536</v>
      </c>
      <c r="C10" s="101">
        <f>Total!C1919</f>
        <v>43556</v>
      </c>
      <c r="D10" s="112" t="s">
        <v>1092</v>
      </c>
      <c r="E10" s="101" t="str">
        <f>Total!E1919</f>
        <v>Obra Civil</v>
      </c>
      <c r="F10" s="96" t="str">
        <f>Total!F1919</f>
        <v>Direccions d'Obra</v>
      </c>
      <c r="G10" s="112" t="str">
        <f>Total!G1919</f>
        <v>DO. XC-10020.2.2</v>
      </c>
      <c r="H10" s="112" t="str">
        <f>Total!H1919</f>
        <v>Contracte de serveis per a la direcció de les obres del projecte constructiu de Via ciclista del Ter. Del camí el Pont del Reixac a Llanars. Subtram: Pont de Perella - Sant Pau de Segúries.</v>
      </c>
      <c r="I10" s="157">
        <f>Total!I1919</f>
        <v>46933.33</v>
      </c>
    </row>
    <row r="11" spans="1:9" x14ac:dyDescent="0.2">
      <c r="A11" s="8">
        <v>10</v>
      </c>
      <c r="B11" s="101">
        <f>Total!B1920</f>
        <v>43536</v>
      </c>
      <c r="C11" s="101">
        <f>Total!C1920</f>
        <v>43556</v>
      </c>
      <c r="D11" s="112" t="s">
        <v>1092</v>
      </c>
      <c r="E11" s="101" t="str">
        <f>Total!E1920</f>
        <v>Edificació</v>
      </c>
      <c r="F11" s="96" t="str">
        <f>Total!F1920</f>
        <v>Projectes i Direccions Facultatives</v>
      </c>
      <c r="G11" s="112" t="str">
        <f>Total!G1920</f>
        <v>PE+DF. XMV-19541</v>
      </c>
      <c r="H11" s="112" t="str">
        <f>Total!H1920</f>
        <v>Red. proj. i est. S.S. i posterior dir. facul. obres RAM 2019 als Serv. Territ. Vallès Occidental (XII): Escola Enxaneta (Terrassa), i Escola Josep Maria Folch i Torres, actualització proj. (Palau Solità i Plegamans).</v>
      </c>
      <c r="I11" s="157">
        <f>Total!I1920</f>
        <v>22894.04</v>
      </c>
    </row>
    <row r="12" spans="1:9" x14ac:dyDescent="0.2">
      <c r="A12" s="8">
        <v>11</v>
      </c>
      <c r="B12" s="101">
        <f>Total!B1921</f>
        <v>43536</v>
      </c>
      <c r="C12" s="101">
        <f>Total!C1921</f>
        <v>43556</v>
      </c>
      <c r="D12" s="112" t="s">
        <v>1092</v>
      </c>
      <c r="E12" s="101" t="str">
        <f>Total!E1921</f>
        <v>Obra Civil</v>
      </c>
      <c r="F12" s="96" t="str">
        <f>Total!F1921</f>
        <v>Projectes</v>
      </c>
      <c r="G12" s="112" t="str">
        <f>Total!G1921</f>
        <v>PC.CB-16064</v>
      </c>
      <c r="H12" s="112" t="str">
        <f>Total!H1921</f>
        <v>Contracte de serveis per a l'assistència tècnica per a la redacció del projecte constructiu de conservació extraordinària. Ponts i estructures. Rehabilitació d'obres de fàbrica a la carretera N-II, PK 622+995 i 623+495. Tram: Sant Adrià del Besòs.</v>
      </c>
      <c r="I12" s="157">
        <f>Total!I1921</f>
        <v>39700</v>
      </c>
    </row>
    <row r="13" spans="1:9" x14ac:dyDescent="0.2">
      <c r="A13" s="8">
        <v>12</v>
      </c>
      <c r="B13" s="101">
        <f>Total!B1922</f>
        <v>43536</v>
      </c>
      <c r="C13" s="101">
        <f>Total!C1922</f>
        <v>43556</v>
      </c>
      <c r="D13" s="112" t="s">
        <v>1092</v>
      </c>
      <c r="E13" s="101" t="str">
        <f>Total!E1922</f>
        <v>Obra Civil</v>
      </c>
      <c r="F13" s="96" t="str">
        <f>Total!F1922</f>
        <v>Control de Qualitat</v>
      </c>
      <c r="G13" s="112" t="str">
        <f>Total!G1922</f>
        <v>CQ. XC-10020.2.2</v>
      </c>
      <c r="H13" s="112" t="str">
        <f>Total!H1922</f>
        <v>Contracte de serveis per a l'assistència tècnica de control de qualitat de les obres del projecte constructiu de Via ciclista del Ter. Del camí el Pont del Reixac a Llanars. Subtram: Pont de Perella - Sant Pau de Segúries.</v>
      </c>
      <c r="I13" s="157">
        <f>Total!I1922</f>
        <v>18527.95</v>
      </c>
    </row>
    <row r="14" spans="1:9" x14ac:dyDescent="0.2">
      <c r="A14" s="8">
        <v>13</v>
      </c>
      <c r="B14" s="101">
        <f>Total!B1923</f>
        <v>43536</v>
      </c>
      <c r="C14" s="101">
        <f>Total!C1923</f>
        <v>43556</v>
      </c>
      <c r="D14" s="112" t="s">
        <v>1092</v>
      </c>
      <c r="E14" s="101" t="str">
        <f>Total!E1923</f>
        <v>Edificació</v>
      </c>
      <c r="F14" s="96" t="str">
        <f>Total!F1923</f>
        <v>Control de Qualitat</v>
      </c>
      <c r="G14" s="112" t="str">
        <f>Total!G1923</f>
        <v>CQ. XMV-19541</v>
      </c>
      <c r="H14" s="112" t="str">
        <f>Total!H1923</f>
        <v>Control de qualitat de les obres RAM 2019 als Serveis Territorials al Vallès Occidental (XII), Escola Enxaneta (Terrassa), i Escola Josep Maria Folch i Torres, actualització projecte, (Palau-solità i Plegamans).</v>
      </c>
      <c r="I14" s="157">
        <f>Total!I1923</f>
        <v>1874.12</v>
      </c>
    </row>
    <row r="15" spans="1:9" x14ac:dyDescent="0.2">
      <c r="A15" s="8">
        <v>14</v>
      </c>
      <c r="B15" s="101">
        <f>Total!B1924</f>
        <v>43536</v>
      </c>
      <c r="C15" s="101">
        <f>Total!C1924</f>
        <v>43556</v>
      </c>
      <c r="D15" s="112" t="s">
        <v>1092</v>
      </c>
      <c r="E15" s="101" t="str">
        <f>Total!E1924</f>
        <v>Obra Civil</v>
      </c>
      <c r="F15" s="96" t="str">
        <f>Total!F1924</f>
        <v>Direccions d'Obra</v>
      </c>
      <c r="G15" s="112" t="str">
        <f>Total!G1924</f>
        <v>ATAM. XC-10020.2.2</v>
      </c>
      <c r="H15" s="112" t="str">
        <f>Total!H1924</f>
        <v>Contracte de serveis per a l'Assistència tècnica ambiental de les obres del projecte constructiu de Via ciclista del Ter. Del camí el Pont del Reixac a Llanars. Subtram: Pont de Perella - Sant Pau de Segúries.</v>
      </c>
      <c r="I15" s="157">
        <f>Total!I1924</f>
        <v>8635</v>
      </c>
    </row>
    <row r="16" spans="1:9" x14ac:dyDescent="0.2">
      <c r="A16" s="8">
        <v>15</v>
      </c>
      <c r="B16" s="101">
        <f>Total!B1925</f>
        <v>43536</v>
      </c>
      <c r="C16" s="101">
        <f>Total!C1925</f>
        <v>43556</v>
      </c>
      <c r="D16" s="112" t="s">
        <v>1092</v>
      </c>
      <c r="E16" s="101" t="str">
        <f>Total!E1925</f>
        <v>Obra Civil</v>
      </c>
      <c r="F16" s="96" t="str">
        <f>Total!F1925</f>
        <v>Direccions d'Obra</v>
      </c>
      <c r="G16" s="112" t="str">
        <f>Total!G1925</f>
        <v>CSS. XC-10020.2.2</v>
      </c>
      <c r="H16" s="112" t="str">
        <f>Total!H1925</f>
        <v>Contracte de serveis per a l'Assistència Tècnica de Coordinació de Seguretat i Salut de les obres del projecte constructiu de Via ciclista del Ter. Del camí el Pont del Reixac a Llanars. Subtram: Pont de Perella - Sant Pau de Segúries.</v>
      </c>
      <c r="I16" s="157">
        <f>Total!I1925</f>
        <v>12600</v>
      </c>
    </row>
    <row r="17" spans="1:9" x14ac:dyDescent="0.2">
      <c r="A17" s="8">
        <v>16</v>
      </c>
      <c r="B17" s="101">
        <f>Total!B1926</f>
        <v>43537</v>
      </c>
      <c r="C17" s="101">
        <f>Total!C1926</f>
        <v>43556</v>
      </c>
      <c r="D17" s="112" t="s">
        <v>1092</v>
      </c>
      <c r="E17" s="101" t="str">
        <f>Total!E1926</f>
        <v>Obra Civil</v>
      </c>
      <c r="F17" s="96" t="str">
        <f>Total!F1926</f>
        <v>Projectes</v>
      </c>
      <c r="G17" s="112" t="str">
        <f>Total!G1926</f>
        <v>PC-BMT-18013</v>
      </c>
      <c r="H17" s="112" t="str">
        <f>Total!H1926</f>
        <v>Redacció del projecte constructiu Passarel·la per a vianants i ciclistes per sobre de la T-315 (Avinguda de Bellissens) al pk 5,654. Reus.</v>
      </c>
      <c r="I17" s="157">
        <f>Total!I1926</f>
        <v>58500</v>
      </c>
    </row>
    <row r="18" spans="1:9" x14ac:dyDescent="0.2">
      <c r="A18" s="8">
        <v>17</v>
      </c>
      <c r="B18" s="101">
        <f>Total!B1927</f>
        <v>43539</v>
      </c>
      <c r="C18" s="101">
        <f>Total!C1927</f>
        <v>43556</v>
      </c>
      <c r="D18" s="112" t="s">
        <v>1092</v>
      </c>
      <c r="E18" s="101" t="str">
        <f>Total!E1927</f>
        <v>Obra Civil</v>
      </c>
      <c r="F18" s="96" t="str">
        <f>Total!F1927</f>
        <v>Projectes</v>
      </c>
      <c r="G18" s="112" t="str">
        <f>Total!G1927</f>
        <v>PC.PC-CAL-18031</v>
      </c>
      <c r="H18" s="112" t="str">
        <f>Total!H1927</f>
        <v>Contracte de serveis per a la redacció del projecte constructiu Millora integral. Eixamplament i afermat. Camí de Térmens a Bellvís. PK 1+590 al 6+480. Térmens - Bellvís.</v>
      </c>
      <c r="I18" s="157">
        <f>Total!I1927</f>
        <v>115200</v>
      </c>
    </row>
    <row r="19" spans="1:9" x14ac:dyDescent="0.2">
      <c r="A19" s="8">
        <v>18</v>
      </c>
      <c r="B19" s="101">
        <f>Total!B1928</f>
        <v>43539</v>
      </c>
      <c r="C19" s="101">
        <f>Total!C1928</f>
        <v>43558</v>
      </c>
      <c r="D19" s="112" t="s">
        <v>1092</v>
      </c>
      <c r="E19" s="101" t="str">
        <f>Total!E1928</f>
        <v>Obra Civil</v>
      </c>
      <c r="F19" s="96" t="str">
        <f>Total!F1928</f>
        <v>Projectes</v>
      </c>
      <c r="G19" s="112" t="str">
        <f>Total!G1928</f>
        <v>PC.R0-18355</v>
      </c>
      <c r="H19" s="112" t="str">
        <f>Total!H1928</f>
        <v>Contracte de serveis per a l'assistència tècnica per a la redacció del projecte constructiu per a la instal·lació d'elements de seguretat per accedir a la coberta del taller de la Zona Franca de la Línia 9 de metro de Barcelona.</v>
      </c>
      <c r="I19" s="157">
        <f>Total!I1928</f>
        <v>34000</v>
      </c>
    </row>
    <row r="20" spans="1:9" x14ac:dyDescent="0.2">
      <c r="A20" s="8">
        <v>19</v>
      </c>
      <c r="B20" s="101">
        <f>Total!B1929</f>
        <v>43546</v>
      </c>
      <c r="C20" s="101">
        <f>Total!C1929</f>
        <v>43563</v>
      </c>
      <c r="D20" s="112" t="s">
        <v>1092</v>
      </c>
      <c r="E20" s="101" t="str">
        <f>Total!E1929</f>
        <v>Edificació</v>
      </c>
      <c r="F20" s="96" t="str">
        <f>Total!F1929</f>
        <v>Direccions d'execució</v>
      </c>
      <c r="G20" s="112" t="str">
        <f>Total!G1929</f>
        <v>CSS. IAC-16256</v>
      </c>
      <c r="H20" s="112" t="str">
        <f>Total!H1929</f>
        <v>Contracte de serveis per a l'Assistència tècnica per la Coordinació de seguretat i salut de l'execució de les obres d'ampliació per a institut 2/0 línies a l'Institut Vall de Mediona de Sant Quintí de Mediona.</v>
      </c>
      <c r="I20" s="157">
        <f>Total!I1929</f>
        <v>11490</v>
      </c>
    </row>
    <row r="21" spans="1:9" x14ac:dyDescent="0.2">
      <c r="A21" s="8">
        <v>20</v>
      </c>
      <c r="B21" s="101">
        <f>Total!B1930</f>
        <v>43546</v>
      </c>
      <c r="C21" s="101">
        <f>Total!C1930</f>
        <v>43563</v>
      </c>
      <c r="D21" s="112" t="s">
        <v>1092</v>
      </c>
      <c r="E21" s="101" t="str">
        <f>Total!E1930</f>
        <v>Edificació</v>
      </c>
      <c r="F21" s="96" t="str">
        <f>Total!F1930</f>
        <v>Direccions d'execució</v>
      </c>
      <c r="G21" s="112" t="str">
        <f>Total!G1930</f>
        <v>DE. IAC-16256</v>
      </c>
      <c r="H21" s="112" t="str">
        <f>Total!H1930</f>
        <v>Contracte de serveis per a l'assistència tècnica de direcció d'execució de les obres d'ampliació per a Institut 2/0 línies a l'Institut Vall del Mediona de Sant Quintí de Mediona.</v>
      </c>
      <c r="I21" s="157">
        <f>Total!I1930</f>
        <v>38300</v>
      </c>
    </row>
    <row r="22" spans="1:9" x14ac:dyDescent="0.2">
      <c r="A22" s="8">
        <v>21</v>
      </c>
      <c r="B22" s="101">
        <f>Total!B1931</f>
        <v>43546</v>
      </c>
      <c r="C22" s="101">
        <f>Total!C1931</f>
        <v>43565</v>
      </c>
      <c r="D22" s="112" t="s">
        <v>1092</v>
      </c>
      <c r="E22" s="101" t="str">
        <f>Total!E1931</f>
        <v>Edificació</v>
      </c>
      <c r="F22" s="96" t="str">
        <f>Total!F1931</f>
        <v>Control de Qualitat</v>
      </c>
      <c r="G22" s="112" t="str">
        <f>Total!G1931</f>
        <v>CQ. IAC-16256</v>
      </c>
      <c r="H22" s="112" t="str">
        <f>Total!H1931</f>
        <v>Contracte de serveis per a l'assistència tècnica de control de qualitat de les obres d'ampliació per a Institut 2/0 línies a l'Institut Vall del Mediona de Sant Quintí de Mediona.</v>
      </c>
      <c r="I22" s="157">
        <f>Total!I1931</f>
        <v>19769.060000000001</v>
      </c>
    </row>
    <row r="23" spans="1:9" x14ac:dyDescent="0.2">
      <c r="A23" s="8">
        <v>22</v>
      </c>
      <c r="B23" s="101">
        <f>Total!B1932</f>
        <v>43551</v>
      </c>
      <c r="C23" s="101">
        <f>Total!C1932</f>
        <v>43570</v>
      </c>
      <c r="D23" s="112" t="s">
        <v>1092</v>
      </c>
      <c r="E23" s="101" t="str">
        <f>Total!E1932</f>
        <v>Obra Civil</v>
      </c>
      <c r="F23" s="96" t="str">
        <f>Total!F1932</f>
        <v xml:space="preserve">Projectes </v>
      </c>
      <c r="G23" s="112" t="str">
        <f>Total!G1932</f>
        <v>PC. CXT-18010</v>
      </c>
      <c r="H23" s="112" t="str">
        <f>Total!H1932</f>
        <v>Contracte de serveis per a l'assistència tècnica per a la redacció del projecte constructiu: Nou vial amb estructura damunt de la C-14 per donar continuïtat alcamí de Mas Calvó. Reus-Vila-Seca.</v>
      </c>
      <c r="I23" s="157">
        <f>Total!I1932</f>
        <v>48000</v>
      </c>
    </row>
    <row r="24" spans="1:9" x14ac:dyDescent="0.2">
      <c r="A24" s="8">
        <v>23</v>
      </c>
      <c r="B24" s="101">
        <f>Total!B1933</f>
        <v>43551</v>
      </c>
      <c r="C24" s="101">
        <f>Total!C1933</f>
        <v>43570</v>
      </c>
      <c r="D24" s="112" t="s">
        <v>1092</v>
      </c>
      <c r="E24" s="101" t="str">
        <f>Total!E1933</f>
        <v>Edificació</v>
      </c>
      <c r="F24" s="96" t="str">
        <f>Total!F1933</f>
        <v>Direccions d'Execució</v>
      </c>
      <c r="G24" s="112" t="str">
        <f>Total!G1933</f>
        <v>DE. CAP-16239</v>
      </c>
      <c r="H24" s="112" t="str">
        <f>Total!H1933</f>
        <v>Contracte de serveis per a la Direcció d'Execució de les obres corresponent al projecte d'ampliació i reforma del Centre d'Atenció Primària de Castellbisbal.</v>
      </c>
      <c r="I24" s="157">
        <f>Total!I1933</f>
        <v>37400</v>
      </c>
    </row>
    <row r="25" spans="1:9" x14ac:dyDescent="0.2">
      <c r="A25" s="8">
        <v>24</v>
      </c>
      <c r="B25" s="101">
        <f>Total!B1934</f>
        <v>43551</v>
      </c>
      <c r="C25" s="101">
        <f>Total!C1934</f>
        <v>43570</v>
      </c>
      <c r="D25" s="112" t="s">
        <v>1092</v>
      </c>
      <c r="E25" s="101" t="str">
        <f>Total!E1934</f>
        <v>Edificació</v>
      </c>
      <c r="F25" s="96" t="str">
        <f>Total!F1934</f>
        <v>Control de Qualitat</v>
      </c>
      <c r="G25" s="112" t="str">
        <f>Total!G1934</f>
        <v>CQ. CAP-16239</v>
      </c>
      <c r="H25" s="112" t="str">
        <f>Total!H1934</f>
        <v>Contracte de serveis per a l'assistència tècnica de Control de Qualitat de les obres del projecte d'ampliació i reforma del Centre d'Atenció Primària de Castellbisbal.</v>
      </c>
      <c r="I25" s="157">
        <f>Total!I1934</f>
        <v>20564.990000000002</v>
      </c>
    </row>
    <row r="26" spans="1:9" x14ac:dyDescent="0.2">
      <c r="A26" s="8">
        <v>25</v>
      </c>
      <c r="B26" s="101">
        <f>Total!B1935</f>
        <v>43551</v>
      </c>
      <c r="C26" s="101">
        <f>Total!C1935</f>
        <v>43572</v>
      </c>
      <c r="D26" s="112" t="s">
        <v>1092</v>
      </c>
      <c r="E26" s="101" t="str">
        <f>Total!E1935</f>
        <v>Obra Civil</v>
      </c>
      <c r="F26" s="96" t="str">
        <f>Total!F1935</f>
        <v>Projectes</v>
      </c>
      <c r="G26" s="112" t="str">
        <f>Total!G1935</f>
        <v>EV. EP-ANB-18024/ANB-18025</v>
      </c>
      <c r="H26" s="112" t="str">
        <f>Total!H1935</f>
        <v>Contracte de serveis per a l'assistència tècnica per a la redacció de l'estudi previ del corredor BRCat Terrassa - Sabadell - Granollers , clau: EP-ANB-18024 i de l'estudi previ del corredor BRCat Manresa - Sant Joan de Vilatorrada.</v>
      </c>
      <c r="I26" s="157">
        <f>Total!I1935</f>
        <v>140720</v>
      </c>
    </row>
    <row r="27" spans="1:9" x14ac:dyDescent="0.2">
      <c r="A27" s="8">
        <v>26</v>
      </c>
      <c r="B27" s="101">
        <f>Total!B1936</f>
        <v>43551</v>
      </c>
      <c r="C27" s="101">
        <f>Total!C1936</f>
        <v>43570</v>
      </c>
      <c r="D27" s="112" t="s">
        <v>1092</v>
      </c>
      <c r="E27" s="101" t="str">
        <f>Total!E1936</f>
        <v>Edificació</v>
      </c>
      <c r="F27" s="96" t="str">
        <f>Total!F1936</f>
        <v>Direccions d'Execució</v>
      </c>
      <c r="G27" s="112" t="str">
        <f>Total!G1936</f>
        <v>DE.HHB-15356-C1</v>
      </c>
      <c r="H27" s="112" t="str">
        <f>Total!H1936</f>
        <v>Direcció d'execució de les obres complementàries núm. 1 de l'obra del nou accés ambulatori i reforma de la planta soterrani per a Consultes Externes de l'Àrea Materno-Infantil de l'Hospital Vall d'Hebron de Barcelona.</v>
      </c>
      <c r="I27" s="157">
        <f>Total!I1936</f>
        <v>31050</v>
      </c>
    </row>
    <row r="28" spans="1:9" x14ac:dyDescent="0.2">
      <c r="A28" s="8">
        <v>27</v>
      </c>
      <c r="B28" s="101">
        <f>Total!B1937</f>
        <v>43551</v>
      </c>
      <c r="C28" s="101">
        <f>Total!C1937</f>
        <v>43572</v>
      </c>
      <c r="D28" s="112" t="s">
        <v>1092</v>
      </c>
      <c r="E28" s="101" t="str">
        <f>Total!E1937</f>
        <v>Obra Civil</v>
      </c>
      <c r="F28" s="96" t="str">
        <f>Total!F1937</f>
        <v>Projectes</v>
      </c>
      <c r="G28" s="112" t="str">
        <f>Total!G1937</f>
        <v>EV. EX-CXC-18016</v>
      </c>
      <c r="H28" s="112" t="str">
        <f>Total!H1937</f>
        <v>Contracte de serveis per a l'assistència tècnica per a la redacció dels treballs de Redacció dels annexos d'actualització d'estudis i projectes de Carreteres de la DGIM.</v>
      </c>
      <c r="I28" s="157">
        <f>Total!I1937</f>
        <v>160000</v>
      </c>
    </row>
    <row r="29" spans="1:9" x14ac:dyDescent="0.2">
      <c r="A29" s="8">
        <v>28</v>
      </c>
      <c r="B29" s="101">
        <f>Total!B1938</f>
        <v>43551</v>
      </c>
      <c r="C29" s="101">
        <f>Total!C1938</f>
        <v>43570</v>
      </c>
      <c r="D29" s="112" t="s">
        <v>1092</v>
      </c>
      <c r="E29" s="101" t="str">
        <f>Total!E1938</f>
        <v>Edificació</v>
      </c>
      <c r="F29" s="96" t="str">
        <f>Total!F1938</f>
        <v>Projectes</v>
      </c>
      <c r="G29" s="112" t="str">
        <f>Total!G1938</f>
        <v>EV. EG22</v>
      </c>
      <c r="H29" s="112" t="str">
        <f>Total!H1938</f>
        <v>Contracte de serveis per a l'assistència tècnica per a la realització dels dels informes preliminars dels emplaçaments dels projectes d'edificació.</v>
      </c>
      <c r="I29" s="157">
        <f>Total!I1938</f>
        <v>99937.52</v>
      </c>
    </row>
    <row r="30" spans="1:9" x14ac:dyDescent="0.2">
      <c r="A30" s="8">
        <v>29</v>
      </c>
      <c r="B30" s="101">
        <f>Total!B1939</f>
        <v>43551</v>
      </c>
      <c r="C30" s="101">
        <f>Total!C1939</f>
        <v>43570</v>
      </c>
      <c r="D30" s="112" t="s">
        <v>1092</v>
      </c>
      <c r="E30" s="101" t="str">
        <f>Total!E1939</f>
        <v>Edificació</v>
      </c>
      <c r="F30" s="96" t="str">
        <f>Total!F1939</f>
        <v>Control de Qualitat</v>
      </c>
      <c r="G30" s="112" t="str">
        <f>Total!G1939</f>
        <v>CQ.HHB-15356-C1</v>
      </c>
      <c r="H30" s="112" t="str">
        <f>Total!H1939</f>
        <v>Control de qualitat de les obres complementàries núm. 1 de l'obra del nou accés ambulatori i reforma de la planta soterrani per a Consultes Externes de l'Àrea Materno-Infantil de l'Hospital Vall d'Hebron de Barcelona.</v>
      </c>
      <c r="I30" s="157">
        <f>Total!I1939</f>
        <v>13815.4</v>
      </c>
    </row>
    <row r="31" spans="1:9" x14ac:dyDescent="0.2">
      <c r="A31" s="8">
        <v>30</v>
      </c>
      <c r="B31" s="101">
        <f>Total!B1940</f>
        <v>43551</v>
      </c>
      <c r="C31" s="101">
        <f>Total!C1940</f>
        <v>43570</v>
      </c>
      <c r="D31" s="112" t="s">
        <v>1092</v>
      </c>
      <c r="E31" s="101" t="str">
        <f>Total!E1940</f>
        <v>Edificació</v>
      </c>
      <c r="F31" s="96" t="str">
        <f>Total!F1940</f>
        <v>Direccions d'Execució</v>
      </c>
      <c r="G31" s="112" t="str">
        <f>Total!G1940</f>
        <v>CSS. CAP-16239+HHB-15336-C1</v>
      </c>
      <c r="H31" s="112" t="str">
        <f>Total!H1940</f>
        <v>Coord. Seguretat i Salut de les obres corresponents als projectes: Ampliació i reforma del CAP de Castellbisbal i Nou accés ambulatori i reforma del soterrani per a consultes externes de l'Àrea Maternoinfantil de l'Hospital Vall d'Hebron de Barcelona.</v>
      </c>
      <c r="I31" s="157">
        <f>Total!I1940</f>
        <v>20535</v>
      </c>
    </row>
    <row r="32" spans="1:9" x14ac:dyDescent="0.2">
      <c r="I32" s="126">
        <f>SUM(I2:I31)</f>
        <v>1647284.7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52"/>
  <sheetViews>
    <sheetView topLeftCell="A12" workbookViewId="0">
      <selection activeCell="D52" sqref="D52"/>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Total!B1860</f>
        <v>43497</v>
      </c>
      <c r="C2" s="101">
        <f>Total!C1860</f>
        <v>43514</v>
      </c>
      <c r="D2" s="112" t="s">
        <v>1092</v>
      </c>
      <c r="E2" s="101" t="str">
        <f>Total!E1860</f>
        <v>Obra Civil</v>
      </c>
      <c r="F2" s="96" t="str">
        <f>Total!F1860</f>
        <v>Control de Qualitat</v>
      </c>
      <c r="G2" s="112" t="str">
        <f>Total!G1860</f>
        <v>CQ.MS-S1. TM-00509.8-C2</v>
      </c>
      <c r="H2" s="112" t="str">
        <f>Total!H1860</f>
        <v>Control de qualitat de les obres del projecte constructiu de rehabilitació i reparació del Pou d'Havaneres.</v>
      </c>
      <c r="I2" s="157">
        <f>Total!I1860</f>
        <v>5617.7</v>
      </c>
    </row>
    <row r="3" spans="1:9" x14ac:dyDescent="0.2">
      <c r="A3" s="8">
        <v>2</v>
      </c>
      <c r="B3" s="101">
        <f>Total!B1861</f>
        <v>43501</v>
      </c>
      <c r="C3" s="101">
        <f>Total!C1861</f>
        <v>43535</v>
      </c>
      <c r="D3" s="112" t="s">
        <v>1092</v>
      </c>
      <c r="E3" s="101" t="str">
        <f>Total!E1861</f>
        <v>Obra Civil</v>
      </c>
      <c r="F3" s="96" t="str">
        <f>Total!F1861</f>
        <v>Projectes</v>
      </c>
      <c r="G3" s="112" t="str">
        <f>Total!G1861</f>
        <v>EI. EI-NG-02083.3</v>
      </c>
      <c r="H3" s="112" t="str">
        <f>Total!H1861</f>
        <v>Redacció de l'estudi informatiu Millora General. Nova carretera C-37 de Vic a Olot. Variant d'Olot. De l'enllaç Olot oest (connexió amb l'Av. Països Catalans) a la connexió amb l'autovia A-26. Tram: Olot.</v>
      </c>
      <c r="I3" s="157">
        <f>Total!I1861</f>
        <v>225075</v>
      </c>
    </row>
    <row r="4" spans="1:9" x14ac:dyDescent="0.2">
      <c r="A4" s="8">
        <v>3</v>
      </c>
      <c r="B4" s="101">
        <f>Total!B1862</f>
        <v>43502</v>
      </c>
      <c r="C4" s="101">
        <f>Total!C1862</f>
        <v>43521</v>
      </c>
      <c r="D4" s="112" t="s">
        <v>1092</v>
      </c>
      <c r="E4" s="101" t="str">
        <f>Total!E1862</f>
        <v>Obra Civil</v>
      </c>
      <c r="F4" s="96" t="str">
        <f>Total!F1862</f>
        <v>Direccions d'Obra</v>
      </c>
      <c r="G4" s="112" t="str">
        <f>Total!G1862</f>
        <v>DO. MB-16026</v>
      </c>
      <c r="H4" s="112" t="str">
        <f>Total!H1862</f>
        <v>Contracte de serveis per a la direcció de les obres del projecte constructiu de Millora local. Ponts i estructures. Passarel·la per a vianants sobre la carretera C-35. PK 57+000 al 58+000. Tram: Sant Celoni.</v>
      </c>
      <c r="I4" s="157">
        <f>Total!I1862</f>
        <v>49766.66</v>
      </c>
    </row>
    <row r="5" spans="1:9" x14ac:dyDescent="0.2">
      <c r="A5" s="8">
        <v>4</v>
      </c>
      <c r="B5" s="101">
        <f>Total!B1863</f>
        <v>43503</v>
      </c>
      <c r="C5" s="101">
        <f>Total!C1863</f>
        <v>43521</v>
      </c>
      <c r="D5" s="112" t="s">
        <v>1092</v>
      </c>
      <c r="E5" s="101" t="str">
        <f>Total!E1863</f>
        <v>Edificació</v>
      </c>
      <c r="F5" s="96" t="str">
        <f>Total!F1863</f>
        <v>Direccions d'Execució</v>
      </c>
      <c r="G5" s="112" t="str">
        <f>Total!G1863</f>
        <v>CSS. JVX-17206</v>
      </c>
      <c r="H5" s="112" t="str">
        <f>Total!H1863</f>
        <v>Contracte de serveis per a l'Assistència tècnica de Coordinació de Seguretat i Salut de les obres RAM Jutjats de Sabadell. Condicionament de la planta 16 per a la ubicació de 2 Jutjats de 1ª Instància.</v>
      </c>
      <c r="I5" s="157">
        <f>Total!I1863</f>
        <v>3750</v>
      </c>
    </row>
    <row r="6" spans="1:9" x14ac:dyDescent="0.2">
      <c r="A6" s="8">
        <v>5</v>
      </c>
      <c r="B6" s="101">
        <f>Total!B1864</f>
        <v>43504</v>
      </c>
      <c r="C6" s="101">
        <f>Total!C1864</f>
        <v>43522</v>
      </c>
      <c r="D6" s="112" t="s">
        <v>1092</v>
      </c>
      <c r="E6" s="101" t="str">
        <f>Total!E1864</f>
        <v>Obra Civil</v>
      </c>
      <c r="F6" s="96" t="str">
        <f>Total!F1864</f>
        <v>Direccions d'Obra</v>
      </c>
      <c r="G6" s="112" t="str">
        <f>Total!G1864</f>
        <v>DO. MA-16901</v>
      </c>
      <c r="H6" s="112" t="str">
        <f>Total!H1864</f>
        <v>Dir. obres recuperació sist. naturals àmbit fluvial riu Corb i del Reguer. Mesures correctores i compensatòries del regadiu del sist. Segarra-Garrigues. Declaració Impacte Ambiental 2010. TM Vilagrassa, Bellpuig, Preixana, S. Martí Riucorb, Maldà i Nalec.</v>
      </c>
      <c r="I6" s="157">
        <f>Total!I1864</f>
        <v>33586.660000000003</v>
      </c>
    </row>
    <row r="7" spans="1:9" x14ac:dyDescent="0.2">
      <c r="A7" s="8">
        <v>6</v>
      </c>
      <c r="B7" s="101">
        <f>Total!B1865</f>
        <v>43504</v>
      </c>
      <c r="C7" s="101">
        <f>Total!C1865</f>
        <v>43521</v>
      </c>
      <c r="D7" s="112" t="s">
        <v>1092</v>
      </c>
      <c r="E7" s="101" t="str">
        <f>Total!E1865</f>
        <v>Obra Civil</v>
      </c>
      <c r="F7" s="96" t="str">
        <f>Total!F1865</f>
        <v>Direccions d'Obra</v>
      </c>
      <c r="G7" s="112" t="str">
        <f>Total!G1865</f>
        <v>DO. MC-13016.2</v>
      </c>
      <c r="H7" s="112" t="str">
        <f>Total!H1865</f>
        <v>Contracte de serveis per a la Direcció de les obres del projecte de millora de la senyalització d'orientació a Catalunya. Xarxa gestionada per la Generalitat de Catalunya. Resta de territori.</v>
      </c>
      <c r="I7" s="157">
        <f>Total!I1865</f>
        <v>56733.34</v>
      </c>
    </row>
    <row r="8" spans="1:9" x14ac:dyDescent="0.2">
      <c r="A8" s="8">
        <v>7</v>
      </c>
      <c r="B8" s="101">
        <f>Total!B1866</f>
        <v>43504</v>
      </c>
      <c r="C8" s="101">
        <f>Total!C1866</f>
        <v>43521</v>
      </c>
      <c r="D8" s="112" t="s">
        <v>1092</v>
      </c>
      <c r="E8" s="101" t="str">
        <f>Total!E1866</f>
        <v>Obra Civil</v>
      </c>
      <c r="F8" s="96" t="str">
        <f>Total!F1866</f>
        <v>Direccions d'Obra</v>
      </c>
      <c r="G8" s="112" t="str">
        <f>Total!G1866</f>
        <v>CSS. MC-13016.2</v>
      </c>
      <c r="H8" s="112" t="str">
        <f>Total!H1866</f>
        <v>Contracte de serveis per a la Coordinació de seguretat i salut de l'execució de les obres del projecte de millora de la senyalització d'orientació a Catalunya. Xarxa gestionada per la Generalitat de Catalunya. Resta de territori.</v>
      </c>
      <c r="I8" s="157">
        <f>Total!I1866</f>
        <v>17019.599999999999</v>
      </c>
    </row>
    <row r="9" spans="1:9" x14ac:dyDescent="0.2">
      <c r="A9" s="8">
        <v>8</v>
      </c>
      <c r="B9" s="101">
        <f>Total!B1867</f>
        <v>43504</v>
      </c>
      <c r="C9" s="101">
        <f>Total!C1867</f>
        <v>43521</v>
      </c>
      <c r="D9" s="112" t="s">
        <v>1092</v>
      </c>
      <c r="E9" s="101" t="str">
        <f>Total!E1867</f>
        <v>Obra Civil</v>
      </c>
      <c r="F9" s="96" t="str">
        <f>Total!F1867</f>
        <v>Projectes</v>
      </c>
      <c r="G9" s="112" t="str">
        <f>Total!G1867</f>
        <v>IA. IA-NG-02083.3</v>
      </c>
      <c r="H9" s="112" t="str">
        <f>Total!H1867</f>
        <v>Redacció de l'estudi d'impacte ambiental Millora General. Nova carretera C-37 de Vic a Olot. Variant d'Olot. De l'enllaç Olot oest (connexió amb l'Av. Països Catalans) a la connexió amb l'autovia A-26. Tram: Olot.</v>
      </c>
      <c r="I9" s="157">
        <f>Total!I1867</f>
        <v>74050</v>
      </c>
    </row>
    <row r="10" spans="1:9" x14ac:dyDescent="0.2">
      <c r="A10" s="8">
        <v>9</v>
      </c>
      <c r="B10" s="101">
        <f>Total!B1868</f>
        <v>43504</v>
      </c>
      <c r="C10" s="101">
        <f>Total!C1868</f>
        <v>43521</v>
      </c>
      <c r="D10" s="112" t="s">
        <v>1092</v>
      </c>
      <c r="E10" s="101" t="str">
        <f>Total!E1868</f>
        <v>Obra Civil</v>
      </c>
      <c r="F10" s="96" t="str">
        <f>Total!F1868</f>
        <v>Control de Qualitat</v>
      </c>
      <c r="G10" s="112" t="str">
        <f>Total!G1868</f>
        <v>CQ. MC-13016.2</v>
      </c>
      <c r="H10" s="112" t="str">
        <f>Total!H1868</f>
        <v>Control de qualitat de les obres del projecte de millora de la senyalització d'orientació a Catalunya. Xarxa gestionada per la Generalitat de Catalunya. Resta de territori.</v>
      </c>
      <c r="I10" s="157">
        <f>Total!I1868</f>
        <v>8590.26</v>
      </c>
    </row>
    <row r="11" spans="1:9" x14ac:dyDescent="0.2">
      <c r="A11" s="8">
        <v>10</v>
      </c>
      <c r="B11" s="101">
        <f>Total!B1869</f>
        <v>43504</v>
      </c>
      <c r="C11" s="101">
        <f>Total!C1869</f>
        <v>43523</v>
      </c>
      <c r="D11" s="112" t="s">
        <v>1092</v>
      </c>
      <c r="E11" s="101" t="str">
        <f>Total!E1869</f>
        <v>Obra Civil</v>
      </c>
      <c r="F11" s="96" t="str">
        <f>Total!F1869</f>
        <v>Direccions d'Obra</v>
      </c>
      <c r="G11" s="112" t="str">
        <f>Total!G1869</f>
        <v>CSS. MS. S1-TM-00509.8-C2</v>
      </c>
      <c r="H11" s="112" t="str">
        <f>Total!H1869</f>
        <v>Contracte de serveis per a l'Assistència tècnica per la Coordinació de seguretat i salut de l'execució de les obres del Projecte constructiu de rehabilitació i reparació del Pou d'Havaneres.</v>
      </c>
      <c r="I11" s="157">
        <f>Total!I1869</f>
        <v>4356</v>
      </c>
    </row>
    <row r="12" spans="1:9" x14ac:dyDescent="0.2">
      <c r="A12" s="8">
        <v>11</v>
      </c>
      <c r="B12" s="101">
        <f>Total!B1870</f>
        <v>43507</v>
      </c>
      <c r="C12" s="101">
        <f>Total!C1870</f>
        <v>43528</v>
      </c>
      <c r="D12" s="112" t="s">
        <v>1092</v>
      </c>
      <c r="E12" s="101" t="str">
        <f>Total!E1870</f>
        <v>Obra Civil</v>
      </c>
      <c r="F12" s="96" t="str">
        <f>Total!F1870</f>
        <v>Projectes</v>
      </c>
      <c r="G12" s="112" t="str">
        <f>Total!G1870</f>
        <v>PC-CAB-17064</v>
      </c>
      <c r="H12" s="112" t="str">
        <f>Total!H1870</f>
        <v>Contracte de serveis per a l'assistència tècnica per a la redacció del projecte constructiu. Millora general. Condicionament del vial entre la carretera B-300 al PK 16+210 i la carretera BV-3002 al PK 10+342, al límit comarcal. Tram: Pinós.</v>
      </c>
      <c r="I12" s="157">
        <f>Total!I1870</f>
        <v>75500</v>
      </c>
    </row>
    <row r="13" spans="1:9" x14ac:dyDescent="0.2">
      <c r="A13" s="8">
        <v>12</v>
      </c>
      <c r="B13" s="101">
        <f>Total!B1871</f>
        <v>43507</v>
      </c>
      <c r="C13" s="101">
        <f>Total!C1871</f>
        <v>43523</v>
      </c>
      <c r="D13" s="112" t="s">
        <v>1092</v>
      </c>
      <c r="E13" s="101" t="str">
        <f>Total!E1871</f>
        <v>Edificació</v>
      </c>
      <c r="F13" s="96" t="str">
        <f>Total!F1871</f>
        <v>Direccions d'execució</v>
      </c>
      <c r="G13" s="112" t="str">
        <f>Total!G1871</f>
        <v>CSS. CAP-16204+CAP-16219 (nou)</v>
      </c>
      <c r="H13" s="112" t="str">
        <f>Total!H1871</f>
        <v>Assistència tècnica conjunta de Coordinació de Seguretat i Salut de les obres de construcció del nou Centre d'Atenció Primària de la Seu d'Urgell. Clau: CAP-16204 i de les obres RAM del Centre d'Atenció Primària Cappont, de Lleida.</v>
      </c>
      <c r="I13" s="157">
        <f>Total!I1871</f>
        <v>21810</v>
      </c>
    </row>
    <row r="14" spans="1:9" x14ac:dyDescent="0.2">
      <c r="A14" s="8">
        <v>13</v>
      </c>
      <c r="B14" s="101">
        <f>Total!B1872</f>
        <v>43507</v>
      </c>
      <c r="C14" s="101">
        <f>Total!C1872</f>
        <v>43535</v>
      </c>
      <c r="D14" s="112" t="s">
        <v>1092</v>
      </c>
      <c r="E14" s="101" t="str">
        <f>Total!E1872</f>
        <v>Edificació</v>
      </c>
      <c r="F14" s="96" t="str">
        <f>Total!F1872</f>
        <v>Direccions d'execució</v>
      </c>
      <c r="G14" s="112" t="str">
        <f>Total!G1872</f>
        <v>CSS. CGM-17250+JVX-17231</v>
      </c>
      <c r="H14" s="112" t="str">
        <f>Total!H1872</f>
        <v>Coord. S.S. obres: RAM d'estalvi energètic 3. Millores i adequació equips clima, tancaments ext., protec. solar i aillaments diverses comissaries Mossos Esquadra Granollers, Lleida i La Seu d'Urgell i obres RAM ed. Serv. Territ. Lleida Dep. Justícia.</v>
      </c>
      <c r="I14" s="157">
        <f>Total!I1872</f>
        <v>7800</v>
      </c>
    </row>
    <row r="15" spans="1:9" x14ac:dyDescent="0.2">
      <c r="A15" s="8">
        <v>14</v>
      </c>
      <c r="B15" s="101">
        <f>Total!B1873</f>
        <v>43507</v>
      </c>
      <c r="C15" s="101">
        <f>Total!C1873</f>
        <v>43523</v>
      </c>
      <c r="D15" s="112" t="s">
        <v>1092</v>
      </c>
      <c r="E15" s="101" t="str">
        <f>Total!E1873</f>
        <v>Obra Civil</v>
      </c>
      <c r="F15" s="96" t="str">
        <f>Total!F1873</f>
        <v>Control de Qualitat</v>
      </c>
      <c r="G15" s="112" t="str">
        <f>Total!G1873</f>
        <v>CQ.MB-10067.F1</v>
      </c>
      <c r="H15" s="112" t="str">
        <f>Total!H1873</f>
        <v>Control de qualitat de les obres del projecte constructiu de millora local. Seguretat viària. Reordenació dels accessos a la C-243c, PK 8+660 (accés a Ca n'Amat), i millora de senyalització i ferm del PK 0 al 12+800. Tram: Martorell - Terrassa.</v>
      </c>
      <c r="I15" s="157">
        <f>Total!I1873</f>
        <v>7906.89</v>
      </c>
    </row>
    <row r="16" spans="1:9" x14ac:dyDescent="0.2">
      <c r="A16" s="8">
        <v>15</v>
      </c>
      <c r="B16" s="101">
        <f>Total!B1874</f>
        <v>43508</v>
      </c>
      <c r="C16" s="101">
        <f>Total!C1874</f>
        <v>43524</v>
      </c>
      <c r="D16" s="112" t="s">
        <v>1092</v>
      </c>
      <c r="E16" s="101" t="str">
        <f>Total!E1874</f>
        <v>Edificació</v>
      </c>
      <c r="F16" s="96" t="str">
        <f>Total!F1874</f>
        <v>Projectes i Direccions Facultatives</v>
      </c>
      <c r="G16" s="112" t="str">
        <f>Total!G1874</f>
        <v>PE+DF. JVX-18293</v>
      </c>
      <c r="H16" s="112" t="str">
        <f>Total!H1874</f>
        <v>Redacció del projecte bàsic, el projecte executiu i la posterior direcció facultativa d'adequació del projecte d'obra RAM de reparació de façanes i voladius de l'edifici judicial de Girona.</v>
      </c>
      <c r="I16" s="157">
        <f>Total!I1874</f>
        <v>26883.11</v>
      </c>
    </row>
    <row r="17" spans="1:9" x14ac:dyDescent="0.2">
      <c r="A17" s="8">
        <v>16</v>
      </c>
      <c r="B17" s="101">
        <f>Total!B1875</f>
        <v>43508</v>
      </c>
      <c r="C17" s="101">
        <f>Total!C1875</f>
        <v>43528</v>
      </c>
      <c r="D17" s="112" t="s">
        <v>1092</v>
      </c>
      <c r="E17" s="101" t="str">
        <f>Total!E1875</f>
        <v>Edificació</v>
      </c>
      <c r="F17" s="96" t="str">
        <f>Total!F1875</f>
        <v>Projectes i Direccions Facultatives</v>
      </c>
      <c r="G17" s="112" t="str">
        <f>Total!G1875</f>
        <v>PE+DF. JVX-18292</v>
      </c>
      <c r="H17" s="112" t="str">
        <f>Total!H1875</f>
        <v>Redacció del projecte bàsic, el projecte executiu i la posterior direcció facultativa d'adequació del projecte d'obra RAM de reparació de façanes i voladius de l'edifici Judicial de Puigcerdà.</v>
      </c>
      <c r="I17" s="157">
        <f>Total!I1875</f>
        <v>10846.74</v>
      </c>
    </row>
    <row r="18" spans="1:9" x14ac:dyDescent="0.2">
      <c r="A18" s="8">
        <v>17</v>
      </c>
      <c r="B18" s="101">
        <f>Total!B1876</f>
        <v>43508</v>
      </c>
      <c r="C18" s="101">
        <f>Total!C1876</f>
        <v>43528</v>
      </c>
      <c r="D18" s="112" t="s">
        <v>1092</v>
      </c>
      <c r="E18" s="101" t="str">
        <f>Total!E1876</f>
        <v>Obra Civil</v>
      </c>
      <c r="F18" s="96" t="str">
        <f>Total!F1876</f>
        <v>Projectes</v>
      </c>
      <c r="G18" s="112" t="str">
        <f>Total!G1876</f>
        <v>PC-BNG-18005</v>
      </c>
      <c r="H18" s="112" t="str">
        <f>Total!H1876</f>
        <v>Contracte de serveis per a l'assistència tècnica per a la redacció del projecte constructiu Via ciclista a la GI-524 del PK 0+600 al 3+400. Olot - Can Blanc (Santa Pau).</v>
      </c>
      <c r="I18" s="157">
        <f>Total!I1876</f>
        <v>33300</v>
      </c>
    </row>
    <row r="19" spans="1:9" x14ac:dyDescent="0.2">
      <c r="A19" s="8">
        <v>18</v>
      </c>
      <c r="B19" s="101">
        <f>Total!B1877</f>
        <v>43508</v>
      </c>
      <c r="C19" s="101">
        <f>Total!C1877</f>
        <v>43528</v>
      </c>
      <c r="D19" s="112" t="s">
        <v>1092</v>
      </c>
      <c r="E19" s="101" t="str">
        <f>Total!E1877</f>
        <v>Edificació</v>
      </c>
      <c r="F19" s="96" t="str">
        <f>Total!F1877</f>
        <v>Control de Qualitat</v>
      </c>
      <c r="G19" s="112" t="str">
        <f>Total!G1877</f>
        <v>CQ. CAP-17238</v>
      </c>
      <c r="H19" s="112" t="str">
        <f>Total!H1877</f>
        <v>Contracte de serveis per a l'assistència tècnica de control de qualitat de les obres de construcció del nou Centre d'Atenció Primària de Sant Feliu de Codines.</v>
      </c>
      <c r="I19" s="157">
        <f>Total!I1877</f>
        <v>15758.59</v>
      </c>
    </row>
    <row r="20" spans="1:9" x14ac:dyDescent="0.2">
      <c r="A20" s="8">
        <v>19</v>
      </c>
      <c r="B20" s="101">
        <f>Total!B1878</f>
        <v>43508</v>
      </c>
      <c r="C20" s="101">
        <f>Total!C1878</f>
        <v>43528</v>
      </c>
      <c r="D20" s="112" t="s">
        <v>1092</v>
      </c>
      <c r="E20" s="101" t="str">
        <f>Total!E1878</f>
        <v>Edificació</v>
      </c>
      <c r="F20" s="96" t="str">
        <f>Total!F1878</f>
        <v>Direccions d'execució</v>
      </c>
      <c r="G20" s="112" t="str">
        <f>Total!G1878</f>
        <v>DE. CAP-17238</v>
      </c>
      <c r="H20" s="112" t="str">
        <f>Total!H1878</f>
        <v>Contracte de serveis per a l'assistència tècnica de Direcció d'execució de les obres de construcció del nou Centre d'Atenció Primària de Sant Feliu de Codines.</v>
      </c>
      <c r="I20" s="157">
        <f>Total!I1878</f>
        <v>27050</v>
      </c>
    </row>
    <row r="21" spans="1:9" x14ac:dyDescent="0.2">
      <c r="A21" s="8">
        <v>20</v>
      </c>
      <c r="B21" s="101">
        <f>Total!B1879</f>
        <v>43508</v>
      </c>
      <c r="C21" s="101">
        <f>Total!C1879</f>
        <v>43528</v>
      </c>
      <c r="D21" s="112" t="s">
        <v>1092</v>
      </c>
      <c r="E21" s="101" t="str">
        <f>Total!E1879</f>
        <v>Obra Civil</v>
      </c>
      <c r="F21" s="96" t="str">
        <f>Total!F1879</f>
        <v>Direccions d'Obra</v>
      </c>
      <c r="G21" s="112" t="str">
        <f>Total!G1879</f>
        <v>CSS. MB-16026</v>
      </c>
      <c r="H21" s="112" t="str">
        <f>Total!H1879</f>
        <v>Coordinació de Seguretat i Salut de les obres del projecte constructiu de Millora local. Ponts i estructures. Passarel¿la per a vianants sobre la carretera C-35 entre el PK 57+000 i el 58+000. Tram Sant Celoni.</v>
      </c>
      <c r="I21" s="157">
        <f>Total!I1879</f>
        <v>14928</v>
      </c>
    </row>
    <row r="22" spans="1:9" x14ac:dyDescent="0.2">
      <c r="A22" s="8">
        <v>21</v>
      </c>
      <c r="B22" s="101">
        <f>Total!B1880</f>
        <v>43508</v>
      </c>
      <c r="C22" s="101">
        <f>Total!C1880</f>
        <v>43528</v>
      </c>
      <c r="D22" s="112" t="s">
        <v>1092</v>
      </c>
      <c r="E22" s="101" t="str">
        <f>Total!E1880</f>
        <v>Edificació</v>
      </c>
      <c r="F22" s="96" t="str">
        <f>Total!F1880</f>
        <v>Direccions d'Execució</v>
      </c>
      <c r="G22" s="112" t="str">
        <f>Total!G1880</f>
        <v>CSS. CAP-16285+CAP-17237+CAP-17238</v>
      </c>
      <c r="H22" s="112" t="str">
        <f>Total!H1880</f>
        <v>Coordinació de Seguretat i Salut de l'execució de les obres dels projectes: "Construcció del nou CAP de Sant Esteve Sesrovires.Construcció del nou CAP de Riells i Viabrea. i "Construcció del nou CAP de Sant Feliu de Codines.</v>
      </c>
      <c r="I22" s="157">
        <f>Total!I1880</f>
        <v>28644</v>
      </c>
    </row>
    <row r="23" spans="1:9" x14ac:dyDescent="0.2">
      <c r="A23" s="8">
        <v>22</v>
      </c>
      <c r="B23" s="101">
        <f>Total!B1881</f>
        <v>43508</v>
      </c>
      <c r="C23" s="101">
        <f>Total!C1881</f>
        <v>43528</v>
      </c>
      <c r="D23" s="112" t="s">
        <v>1092</v>
      </c>
      <c r="E23" s="101" t="str">
        <f>Total!E1881</f>
        <v>Obra Civil</v>
      </c>
      <c r="F23" s="96" t="str">
        <f>Total!F1881</f>
        <v>Projectes</v>
      </c>
      <c r="G23" s="112" t="str">
        <f>Total!G1881</f>
        <v>PC. MB-06045-C1</v>
      </c>
      <c r="H23" s="112" t="str">
        <f>Total!H1881</f>
        <v>Assistència tècnica per a la redacció del Projecte Constructiu. Millora local. Mesures correctores ambientals a la carretera B-402, PK 15+500 al 16+000. Tram: La Pobla de Lillet.</v>
      </c>
      <c r="I23" s="157">
        <f>Total!I1881</f>
        <v>14620</v>
      </c>
    </row>
    <row r="24" spans="1:9" x14ac:dyDescent="0.2">
      <c r="A24" s="8">
        <v>23</v>
      </c>
      <c r="B24" s="101">
        <f>Total!B1882</f>
        <v>43509</v>
      </c>
      <c r="C24" s="101">
        <f>Total!C1882</f>
        <v>43528</v>
      </c>
      <c r="D24" s="112" t="s">
        <v>1092</v>
      </c>
      <c r="E24" s="101" t="str">
        <f>Total!E1882</f>
        <v>Edificació</v>
      </c>
      <c r="F24" s="96" t="str">
        <f>Total!F1882</f>
        <v>Control de Qualitat</v>
      </c>
      <c r="G24" s="112" t="str">
        <f>Total!G1882</f>
        <v>CQ. RAM-19900</v>
      </c>
      <c r="H24" s="112" t="str">
        <f>Total!H1882</f>
        <v>Contracte de serveis per a l'assistència tècnica de control de qualitat de les obres RAM-2019 del Departament d'Ensenyament. 4 lots.</v>
      </c>
      <c r="I24" s="157">
        <f>Total!I1882</f>
        <v>86934.18</v>
      </c>
    </row>
    <row r="25" spans="1:9" x14ac:dyDescent="0.2">
      <c r="A25" s="8">
        <v>24</v>
      </c>
      <c r="B25" s="101">
        <f>Total!B1883</f>
        <v>43509</v>
      </c>
      <c r="C25" s="101">
        <f>Total!C1883</f>
        <v>43528</v>
      </c>
      <c r="D25" s="112" t="s">
        <v>1092</v>
      </c>
      <c r="E25" s="101" t="str">
        <f>Total!E1883</f>
        <v>Edificació</v>
      </c>
      <c r="F25" s="96" t="str">
        <f>Total!F1883</f>
        <v>Projectes i Direccions Facultatives</v>
      </c>
      <c r="G25" s="112" t="str">
        <f>Total!G1883</f>
        <v>PE+DF. JVX-18294</v>
      </c>
      <c r="H25" s="112" t="str">
        <f>Total!H1883</f>
        <v>Contracte de serveis per a l'assistència tècnica per la redacció del projecte bàsic, el projecte executiu i la posterior direcció facultativa d'adequació del projecte d'obra RAM de reparació de les cobertes de l'edifici judicial de Girona.</v>
      </c>
      <c r="I25" s="157">
        <f>Total!I1883</f>
        <v>33603.89</v>
      </c>
    </row>
    <row r="26" spans="1:9" x14ac:dyDescent="0.2">
      <c r="A26" s="8">
        <v>25</v>
      </c>
      <c r="B26" s="101">
        <f>Total!B1884</f>
        <v>43509</v>
      </c>
      <c r="C26" s="101">
        <f>Total!C1884</f>
        <v>43524</v>
      </c>
      <c r="D26" s="112" t="s">
        <v>1092</v>
      </c>
      <c r="E26" s="101" t="str">
        <f>Total!E1884</f>
        <v>Obra Civil</v>
      </c>
      <c r="F26" s="96" t="str">
        <f>Total!F1884</f>
        <v>Projectes</v>
      </c>
      <c r="G26" s="112" t="str">
        <f>Total!G1884</f>
        <v>PC. R0-18346</v>
      </c>
      <c r="H26" s="112" t="str">
        <f>Total!H1884</f>
        <v>Contracte de serveis per a l'assistència tècnica per a la redacció del projecte de renovació dels aparells de climatització de les oficines i vestuaris del Taller de la Zona Franca de la línia 9 de metro de Barcelona.</v>
      </c>
      <c r="I26" s="157">
        <f>Total!I1884</f>
        <v>35000</v>
      </c>
    </row>
    <row r="27" spans="1:9" x14ac:dyDescent="0.2">
      <c r="A27" s="8">
        <v>26</v>
      </c>
      <c r="B27" s="101">
        <f>Total!B1885</f>
        <v>43509</v>
      </c>
      <c r="C27" s="101">
        <f>Total!C1885</f>
        <v>43542</v>
      </c>
      <c r="D27" s="112" t="s">
        <v>1092</v>
      </c>
      <c r="E27" s="101" t="str">
        <f>Total!E1885</f>
        <v>Obra Civil</v>
      </c>
      <c r="F27" s="96" t="str">
        <f>Total!F1885</f>
        <v>Projectes</v>
      </c>
      <c r="G27" s="112" t="str">
        <f>Total!G1885</f>
        <v>EV. GE-CMB-18014.F1</v>
      </c>
      <c r="H27" s="112" t="str">
        <f>Total!H1885</f>
        <v>Contracte de serveis per a l'assistència tècnica per a la redacció de l'Estudi geològic: Estudi geotècnic. Pla d'auscultació per al seguiment i control de vessant de la C-17 entre el PK 43+050 i el 43+550. Centelles - Seva.</v>
      </c>
      <c r="I27" s="157">
        <f>Total!I1885</f>
        <v>409100</v>
      </c>
    </row>
    <row r="28" spans="1:9" x14ac:dyDescent="0.2">
      <c r="A28" s="8">
        <v>27</v>
      </c>
      <c r="B28" s="101">
        <f>Total!B1886</f>
        <v>43509</v>
      </c>
      <c r="C28" s="101">
        <f>Total!C1886</f>
        <v>43528</v>
      </c>
      <c r="D28" s="112" t="s">
        <v>1092</v>
      </c>
      <c r="E28" s="101" t="str">
        <f>Total!E1886</f>
        <v>Obra Civil</v>
      </c>
      <c r="F28" s="96" t="str">
        <f>Total!F1886</f>
        <v>Projectes</v>
      </c>
      <c r="G28" s="112" t="str">
        <f>Total!G1886</f>
        <v>EV. EV-FNB-18111</v>
      </c>
      <c r="H28" s="112" t="str">
        <f>Total!H1886</f>
        <v>Contracte de serveis per a l'assistència tècnica per a la redacció de l'estudi funcional i de viabilitat de possibles alternatives de millora de la capacitat i connectivitat dels FGC al Vallès.</v>
      </c>
      <c r="I28" s="157">
        <f>Total!I1886</f>
        <v>113600</v>
      </c>
    </row>
    <row r="29" spans="1:9" x14ac:dyDescent="0.2">
      <c r="A29" s="8">
        <v>28</v>
      </c>
      <c r="B29" s="101">
        <f>Total!B1887</f>
        <v>43509</v>
      </c>
      <c r="C29" s="101">
        <f>Total!C1887</f>
        <v>43528</v>
      </c>
      <c r="D29" s="112" t="s">
        <v>1092</v>
      </c>
      <c r="E29" s="101" t="str">
        <f>Total!E1887</f>
        <v>Obra Civil</v>
      </c>
      <c r="F29" s="96" t="str">
        <f>Total!F1887</f>
        <v>Projectes</v>
      </c>
      <c r="G29" s="112" t="str">
        <f>Total!G1887</f>
        <v>TA. TA-CNL-18032</v>
      </c>
      <c r="H29" s="112" t="str">
        <f>Total!H1887</f>
        <v>Contracte de serveis per a l'assistència tècnica per a la redacció del projecte de traçat: Nova variant. Ronda oest de Tàrrega. Carretera C-14, del PK 70+900 al 74+100. Tàrrega.</v>
      </c>
      <c r="I29" s="157">
        <f>Total!I1887</f>
        <v>156000</v>
      </c>
    </row>
    <row r="30" spans="1:9" x14ac:dyDescent="0.2">
      <c r="A30" s="8">
        <v>29</v>
      </c>
      <c r="B30" s="101">
        <f>Total!B1888</f>
        <v>43509</v>
      </c>
      <c r="C30" s="101">
        <f>Total!C1888</f>
        <v>43524</v>
      </c>
      <c r="D30" s="112" t="s">
        <v>1092</v>
      </c>
      <c r="E30" s="101" t="str">
        <f>Total!E1888</f>
        <v>Edificació</v>
      </c>
      <c r="F30" s="96" t="str">
        <f>Total!F1888</f>
        <v>Direccions d'execució</v>
      </c>
      <c r="G30" s="112" t="str">
        <f>Total!G1888</f>
        <v>DE. CAP-16285</v>
      </c>
      <c r="H30" s="112" t="str">
        <f>Total!H1888</f>
        <v>Contracte de serveis per a la direcció d'execució de les obres de construcció del nou Centre d'Atenció Primària de Sant Esteve Sesrovires.</v>
      </c>
      <c r="I30" s="157">
        <f>Total!I1888</f>
        <v>45400</v>
      </c>
    </row>
    <row r="31" spans="1:9" x14ac:dyDescent="0.2">
      <c r="A31" s="8">
        <v>30</v>
      </c>
      <c r="B31" s="101">
        <f>Total!B1889</f>
        <v>43509</v>
      </c>
      <c r="C31" s="101">
        <f>Total!C1889</f>
        <v>43528</v>
      </c>
      <c r="D31" s="112" t="s">
        <v>1092</v>
      </c>
      <c r="E31" s="101" t="str">
        <f>Total!E1889</f>
        <v>Edificació</v>
      </c>
      <c r="F31" s="96" t="str">
        <f>Total!F1889</f>
        <v>Projectes i Direccions Facultatives</v>
      </c>
      <c r="G31" s="112" t="str">
        <f>Total!G1889</f>
        <v>PE+DF. JVX-18290</v>
      </c>
      <c r="H31" s="112" t="str">
        <f>Total!H1889</f>
        <v>Redacció del projecte bàsic, el projecte executiu i la posterior direcció facultativa d'adequació del projecte d'obra RAM de construcció d'un sistema de protecció solar en l'edifici judicial de Sant Feliu de Guíxols.</v>
      </c>
      <c r="I31" s="157">
        <f>Total!I1889</f>
        <v>9151.94</v>
      </c>
    </row>
    <row r="32" spans="1:9" x14ac:dyDescent="0.2">
      <c r="A32" s="8">
        <v>31</v>
      </c>
      <c r="B32" s="101">
        <f>Total!B1890</f>
        <v>43509</v>
      </c>
      <c r="C32" s="101">
        <f>Total!C1890</f>
        <v>43524</v>
      </c>
      <c r="D32" s="112" t="s">
        <v>1092</v>
      </c>
      <c r="E32" s="101" t="str">
        <f>Total!E1890</f>
        <v>Edificació</v>
      </c>
      <c r="F32" s="96" t="str">
        <f>Total!F1890</f>
        <v>Control de Qualitat</v>
      </c>
      <c r="G32" s="112" t="str">
        <f>Total!G1890</f>
        <v>CQ. CAP-16285</v>
      </c>
      <c r="H32" s="112" t="str">
        <f>Total!H1890</f>
        <v>Contracte de serveis per a l'assistència tècnica de control de qualitat de les obres de construcció del nou Centre d'Atenció Primària de Sant Esteve Sesrovires.</v>
      </c>
      <c r="I32" s="157">
        <f>Total!I1890</f>
        <v>23767.96</v>
      </c>
    </row>
    <row r="33" spans="1:9" x14ac:dyDescent="0.2">
      <c r="A33" s="8">
        <v>32</v>
      </c>
      <c r="B33" s="101">
        <f>Total!B1892</f>
        <v>43510</v>
      </c>
      <c r="C33" s="101">
        <f>Total!C1892</f>
        <v>43528</v>
      </c>
      <c r="D33" s="112" t="s">
        <v>1092</v>
      </c>
      <c r="E33" s="101" t="str">
        <f>Total!E1892</f>
        <v>Obra Civil</v>
      </c>
      <c r="F33" s="96" t="str">
        <f>Total!F1892</f>
        <v>Direccions d'Obra</v>
      </c>
      <c r="G33" s="112" t="str">
        <f>Total!G1892</f>
        <v>CSS.MB-10067.F1</v>
      </c>
      <c r="H33" s="112" t="str">
        <f>Total!H1892</f>
        <v>Coordinació de seguretat i salut de l'execució de les obres de millora local. Seguretat viària. Reordenació dels accessos a la C-243c, PK 8+660 (accés a Ca n'Amat), i millora de senyalització i ferm del PK 0 al 12+800.Tram: Martorell-Terrassa.</v>
      </c>
      <c r="I33" s="157">
        <f>Total!I1892</f>
        <v>10896</v>
      </c>
    </row>
    <row r="34" spans="1:9" x14ac:dyDescent="0.2">
      <c r="A34" s="8">
        <v>33</v>
      </c>
      <c r="B34" s="101">
        <f>Total!B1893</f>
        <v>43510</v>
      </c>
      <c r="C34" s="101">
        <f>Total!C1893</f>
        <v>43530</v>
      </c>
      <c r="D34" s="112" t="s">
        <v>1092</v>
      </c>
      <c r="E34" s="101" t="str">
        <f>Total!E1893</f>
        <v>Obra Civil</v>
      </c>
      <c r="F34" s="96" t="str">
        <f>Total!F1893</f>
        <v>Projectes</v>
      </c>
      <c r="G34" s="112" t="str">
        <f>Total!G1893</f>
        <v>PC. PC-CMB-17073</v>
      </c>
      <c r="H34" s="112" t="str">
        <f>Total!H1893</f>
        <v>Redacció del projecte constructiu de millora local. Talussos. Estabilització del terraplè, reparació del ferm i obres complementàries a la carretera C-55, del PK 45+629 al 45+970. Tram: Súria.</v>
      </c>
      <c r="I34" s="157">
        <f>Total!I1893</f>
        <v>56000</v>
      </c>
    </row>
    <row r="35" spans="1:9" x14ac:dyDescent="0.2">
      <c r="A35" s="8">
        <v>34</v>
      </c>
      <c r="B35" s="101">
        <f>Total!B1894</f>
        <v>43510</v>
      </c>
      <c r="C35" s="101">
        <f>Total!C1894</f>
        <v>43528</v>
      </c>
      <c r="D35" s="112" t="s">
        <v>1092</v>
      </c>
      <c r="E35" s="101" t="str">
        <f>Total!E1894</f>
        <v>Edificació</v>
      </c>
      <c r="F35" s="96" t="str">
        <f>Total!F1894</f>
        <v>Projectes i Direccions Facultatives</v>
      </c>
      <c r="G35" s="112" t="str">
        <f>Total!G1894</f>
        <v>PE+DF. JVX-18295</v>
      </c>
      <c r="H35" s="112" t="str">
        <f>Total!H1894</f>
        <v>Redacció del projecte bàsic, el projecte executiu i la posterior direcció facultativa d'adequació del projecte d'obra RAM del canvi i adequació de la instal·lació de climatització i ventilació de l'edifici judicial a Gavà.</v>
      </c>
      <c r="I35" s="157">
        <f>Total!I1894</f>
        <v>32142.86</v>
      </c>
    </row>
    <row r="36" spans="1:9" x14ac:dyDescent="0.2">
      <c r="A36" s="8">
        <v>35</v>
      </c>
      <c r="B36" s="101">
        <f>Total!B1895</f>
        <v>43510</v>
      </c>
      <c r="C36" s="101">
        <f>Total!C1895</f>
        <v>43528</v>
      </c>
      <c r="D36" s="112" t="s">
        <v>1092</v>
      </c>
      <c r="E36" s="101" t="str">
        <f>Total!E1895</f>
        <v>Obra Civil</v>
      </c>
      <c r="F36" s="96" t="str">
        <f>Total!F1895</f>
        <v>Projectes</v>
      </c>
      <c r="G36" s="112" t="str">
        <f>Total!G1895</f>
        <v>PC. CB-16059</v>
      </c>
      <c r="H36" s="112" t="str">
        <f>Total!H1895</f>
        <v>Redacció del projecte constructiu de conservació extraordinària. Ponts i estructures. Rehabilitació d'obra de fàbrica a la C-31, PK 209+310, marge dret. Tram: Sant Adrià del Besòs.</v>
      </c>
      <c r="I36" s="157">
        <f>Total!I1895</f>
        <v>61900</v>
      </c>
    </row>
    <row r="37" spans="1:9" x14ac:dyDescent="0.2">
      <c r="A37" s="8">
        <v>36</v>
      </c>
      <c r="B37" s="101">
        <f>Total!B1896</f>
        <v>43510</v>
      </c>
      <c r="C37" s="101">
        <f>Total!C1896</f>
        <v>43528</v>
      </c>
      <c r="D37" s="112" t="s">
        <v>1092</v>
      </c>
      <c r="E37" s="101" t="str">
        <f>Total!E1896</f>
        <v>Obra Civil</v>
      </c>
      <c r="F37" s="96" t="str">
        <f>Total!F1896</f>
        <v>Projectes</v>
      </c>
      <c r="G37" s="112" t="str">
        <f>Total!G1896</f>
        <v>PC. PC-CAG-17075</v>
      </c>
      <c r="H37" s="112" t="str">
        <f>Total!H1896</f>
        <v>Contracte de serveis per a l'assistència tècnica per a la redacció del projecte constructiu de millora general. Condicionament i reforç de ferm de la carretera GI-520 del PK 0+000 al 4+300. Tram: Viladrau.</v>
      </c>
      <c r="I37" s="157">
        <f>Total!I1896</f>
        <v>156300</v>
      </c>
    </row>
    <row r="38" spans="1:9" x14ac:dyDescent="0.2">
      <c r="A38" s="8">
        <v>37</v>
      </c>
      <c r="B38" s="101">
        <f>Total!B1897</f>
        <v>43510</v>
      </c>
      <c r="C38" s="101">
        <f>Total!C1897</f>
        <v>43530</v>
      </c>
      <c r="D38" s="112" t="s">
        <v>1092</v>
      </c>
      <c r="E38" s="101" t="str">
        <f>Total!E1897</f>
        <v>Obra Civil</v>
      </c>
      <c r="F38" s="96" t="str">
        <f>Total!F1897</f>
        <v>Projectes</v>
      </c>
      <c r="G38" s="112" t="str">
        <f>Total!G1897</f>
        <v>PC. PC-CMB-17049</v>
      </c>
      <c r="H38" s="112" t="str">
        <f>Total!H1897</f>
        <v>Contracte de serveis per a l'assistència tècnica per a la redacció del projecte constructiu de millora local. Drenatges. Condicionament de l'obra de drenatge transversal al PK 1+850 de les carreteres C-1413a i C-1413z. Tram: El Papiol.</v>
      </c>
      <c r="I38" s="157">
        <f>Total!I1897</f>
        <v>25500</v>
      </c>
    </row>
    <row r="39" spans="1:9" x14ac:dyDescent="0.2">
      <c r="A39" s="8">
        <v>38</v>
      </c>
      <c r="B39" s="101">
        <f>Total!B1898</f>
        <v>43510</v>
      </c>
      <c r="C39" s="101">
        <f>Total!C1898</f>
        <v>43528</v>
      </c>
      <c r="D39" s="112" t="s">
        <v>1092</v>
      </c>
      <c r="E39" s="101" t="str">
        <f>Total!E1898</f>
        <v>Edificació</v>
      </c>
      <c r="F39" s="96" t="str">
        <f>Total!F1898</f>
        <v>Projectes i Direccions Facultatives</v>
      </c>
      <c r="G39" s="112" t="str">
        <f>Total!G1898</f>
        <v>PE+DF. JVX-18288</v>
      </c>
      <c r="H39" s="112" t="str">
        <f>Total!H1898</f>
        <v>Redacció del projecte bàsic, el projecte executiu i la posterior direcció facultativa d'adequació del projecte d'obra RAM per al condicionament d'espais per a la ubicació d'un Nou Òrgan Judicial (1ª Instància 7 família). Palau de Justícia de Girona.</v>
      </c>
      <c r="I39" s="157">
        <f>Total!I1898</f>
        <v>18597.05</v>
      </c>
    </row>
    <row r="40" spans="1:9" x14ac:dyDescent="0.2">
      <c r="A40" s="8">
        <v>39</v>
      </c>
      <c r="B40" s="101">
        <f>Total!B1899</f>
        <v>43510</v>
      </c>
      <c r="C40" s="101">
        <f>Total!C1899</f>
        <v>43528</v>
      </c>
      <c r="D40" s="112" t="s">
        <v>1092</v>
      </c>
      <c r="E40" s="101" t="str">
        <f>Total!E1899</f>
        <v>Edificació</v>
      </c>
      <c r="F40" s="96" t="str">
        <f>Total!F1899</f>
        <v>Projectes i Direccions Facultatives</v>
      </c>
      <c r="G40" s="112" t="str">
        <f>Total!G1899</f>
        <v>PE+DF. JVX-18299</v>
      </c>
      <c r="H40" s="112" t="str">
        <f>Total!H1899</f>
        <v>Red. proj. bàsic, el proj. exec. i  posterior dir. facult. de substitució canonades distribució aigua del sist. de climatització i modernització de les instal·lacions PDCI, CCTV, intrusió i megafonia. Edifici Judicial La seu d'Urgell.</v>
      </c>
      <c r="I40" s="157">
        <f>Total!I1899</f>
        <v>29958.68</v>
      </c>
    </row>
    <row r="41" spans="1:9" x14ac:dyDescent="0.2">
      <c r="A41" s="8">
        <v>40</v>
      </c>
      <c r="B41" s="101">
        <f>Total!B1900</f>
        <v>43510</v>
      </c>
      <c r="C41" s="101">
        <f>Total!C1900</f>
        <v>43528</v>
      </c>
      <c r="D41" s="112" t="s">
        <v>1092</v>
      </c>
      <c r="E41" s="101" t="str">
        <f>Total!E1900</f>
        <v>Edificació</v>
      </c>
      <c r="F41" s="96" t="str">
        <f>Total!F1900</f>
        <v>Direcció d'Execució</v>
      </c>
      <c r="G41" s="112" t="str">
        <f>Total!G1900</f>
        <v>DE. CAP-17237</v>
      </c>
      <c r="H41" s="112" t="str">
        <f>Total!H1900</f>
        <v>Contracte de serveis per a l'Assistència Tècnica per a la Direcció d'Execució de les obres de la construcció del nou CAP de Riells i Viabrea.</v>
      </c>
      <c r="I41" s="157">
        <f>Total!I1900</f>
        <v>23030</v>
      </c>
    </row>
    <row r="42" spans="1:9" x14ac:dyDescent="0.2">
      <c r="A42" s="8">
        <v>41</v>
      </c>
      <c r="B42" s="101">
        <f>Total!B1901</f>
        <v>43510</v>
      </c>
      <c r="C42" s="101">
        <f>Total!C1901</f>
        <v>43528</v>
      </c>
      <c r="D42" s="112" t="s">
        <v>1092</v>
      </c>
      <c r="E42" s="101" t="str">
        <f>Total!E1901</f>
        <v>Edificació</v>
      </c>
      <c r="F42" s="96" t="str">
        <f>Total!F1901</f>
        <v>Control de Qualitat</v>
      </c>
      <c r="G42" s="112" t="str">
        <f>Total!G1901</f>
        <v>CQ. CAP-17237</v>
      </c>
      <c r="H42" s="112" t="str">
        <f>Total!H1901</f>
        <v>Contracte de serveis per a l'Assistència Tècnica de Control de Qualitat de les obres de la construcció del Nou CAP a Riells i Viabrea.</v>
      </c>
      <c r="I42" s="157">
        <f>Total!I1901</f>
        <v>11519.76</v>
      </c>
    </row>
    <row r="43" spans="1:9" x14ac:dyDescent="0.2">
      <c r="A43" s="8">
        <v>42</v>
      </c>
      <c r="B43" s="101">
        <f>Total!B1902</f>
        <v>43510</v>
      </c>
      <c r="C43" s="101">
        <f>Total!C1902</f>
        <v>43528</v>
      </c>
      <c r="D43" s="112" t="s">
        <v>1092</v>
      </c>
      <c r="E43" s="101" t="str">
        <f>Total!E1902</f>
        <v>Edificació</v>
      </c>
      <c r="F43" s="96" t="str">
        <f>Total!F1902</f>
        <v>Projectes i Direccions Facultatives</v>
      </c>
      <c r="G43" s="112" t="str">
        <f>Total!G1902</f>
        <v>PE+DF. JVX-18291</v>
      </c>
      <c r="H43" s="112" t="str">
        <f>Total!H1902</f>
        <v>Redacció del projecte bàsic, el projecte executiu i la posterior direcció facultativa d'adequació del projecte d'obra RAM per al condicionament d'espais per a la Secció d'Apel·lacions i altres espais del Palau de Justícia de Barcelona.</v>
      </c>
      <c r="I43" s="157">
        <f>Total!I1902</f>
        <v>16031.95</v>
      </c>
    </row>
    <row r="44" spans="1:9" x14ac:dyDescent="0.2">
      <c r="A44" s="8">
        <v>43</v>
      </c>
      <c r="B44" s="101">
        <f>Total!B1903</f>
        <v>43511</v>
      </c>
      <c r="C44" s="101">
        <f>Total!C1903</f>
        <v>43528</v>
      </c>
      <c r="D44" s="112" t="s">
        <v>1092</v>
      </c>
      <c r="E44" s="101" t="str">
        <f>Total!E1903</f>
        <v>Edificació</v>
      </c>
      <c r="F44" s="96" t="str">
        <f>Total!F1903</f>
        <v>Direcció d'Execució</v>
      </c>
      <c r="G44" s="112" t="str">
        <f>Total!G1903</f>
        <v>DE. CGM-17224 (nova licitació)</v>
      </c>
      <c r="H44" s="112" t="str">
        <f>Total!H1903</f>
        <v>Contracte de serveis per a la Direcció d'execució de les Obres RAM de renovació d'equips de clima i implantació de mesures per a la millora de l'eficiència energètica de diverses comissaries de Mossos d'Esquadra.</v>
      </c>
      <c r="I44" s="157">
        <f>Total!I1903</f>
        <v>8000</v>
      </c>
    </row>
    <row r="45" spans="1:9" x14ac:dyDescent="0.2">
      <c r="A45" s="8">
        <v>44</v>
      </c>
      <c r="B45" s="101">
        <f>Total!B1904</f>
        <v>43511</v>
      </c>
      <c r="C45" s="101">
        <f>Total!C1904</f>
        <v>43530</v>
      </c>
      <c r="D45" s="112" t="s">
        <v>1092</v>
      </c>
      <c r="E45" s="101" t="str">
        <f>Total!E1904</f>
        <v>Edificació</v>
      </c>
      <c r="F45" s="96" t="str">
        <f>Total!F1904</f>
        <v>Projectes i Direccions Facultatives</v>
      </c>
      <c r="G45" s="112" t="str">
        <f>Total!G1904</f>
        <v>PE+DF.JVX-18289</v>
      </c>
      <c r="H45" s="112" t="str">
        <f>Total!H1904</f>
        <v>Redacció del projecte bàsic, el projecte executiu i la posterior direcció facultativa d'adequació del projecte d'obra RAM de substitució d'una planta refredadora en la instal·lació de climatització de l'edifici judicial de Figueres.</v>
      </c>
      <c r="I45" s="157">
        <f>Total!I1904</f>
        <v>6779.23</v>
      </c>
    </row>
    <row r="46" spans="1:9" x14ac:dyDescent="0.2">
      <c r="A46" s="8">
        <v>45</v>
      </c>
      <c r="B46" s="101">
        <f>Total!B1905</f>
        <v>43511</v>
      </c>
      <c r="C46" s="101">
        <f>Total!C1905</f>
        <v>43528</v>
      </c>
      <c r="D46" s="112" t="s">
        <v>1092</v>
      </c>
      <c r="E46" s="101" t="str">
        <f>Total!E1905</f>
        <v>Obra Civil</v>
      </c>
      <c r="F46" s="96" t="str">
        <f>Total!F1905</f>
        <v>Projectes</v>
      </c>
      <c r="G46" s="112" t="str">
        <f>Total!G1905</f>
        <v>EV. EP-CMB-18002</v>
      </c>
      <c r="H46" s="112" t="str">
        <f>Total!H1905</f>
        <v>Contracte de serveis per a l'Assistència tècnica per a la redacció de l'estudi previ: Millora de la seguretat viària a la C-243c un cop entri en servei el Quart Cinturó. C-243c del PK 0+000 al 12+900. Martorell - Terrassa.</v>
      </c>
      <c r="I46" s="157">
        <f>Total!I1905</f>
        <v>33780</v>
      </c>
    </row>
    <row r="47" spans="1:9" x14ac:dyDescent="0.2">
      <c r="A47" s="8">
        <v>46</v>
      </c>
      <c r="B47" s="101">
        <f>Total!B1906</f>
        <v>43511</v>
      </c>
      <c r="C47" s="101">
        <f>Total!C1906</f>
        <v>43528</v>
      </c>
      <c r="D47" s="112" t="s">
        <v>1092</v>
      </c>
      <c r="E47" s="101" t="str">
        <f>Total!E1906</f>
        <v>Obra Civil</v>
      </c>
      <c r="F47" s="96" t="str">
        <f>Total!F1906</f>
        <v>Projectes</v>
      </c>
      <c r="G47" s="112" t="str">
        <f>Total!G1906</f>
        <v>PC. MB-06089-A1</v>
      </c>
      <c r="H47" s="112" t="str">
        <f>Total!H1906</f>
        <v>Contracte de serveis per a l'assistència tècnica per a la redacció del projecte constructiu. Millora local. Seguretat Viària. Ordenació del tram urbà i millora de la travessera a la carretera B-142z, del PK 2+340 al PK 2+790. Tram: Polinyà.</v>
      </c>
      <c r="I47" s="157">
        <f>Total!I1906</f>
        <v>33000</v>
      </c>
    </row>
    <row r="48" spans="1:9" x14ac:dyDescent="0.2">
      <c r="A48" s="8">
        <v>47</v>
      </c>
      <c r="B48" s="101">
        <f>Total!B1907</f>
        <v>43514</v>
      </c>
      <c r="C48" s="101">
        <f>Total!C1907</f>
        <v>43542</v>
      </c>
      <c r="D48" s="112" t="s">
        <v>1092</v>
      </c>
      <c r="E48" s="101" t="str">
        <f>Total!E1907</f>
        <v>Obra Civil</v>
      </c>
      <c r="F48" s="96" t="str">
        <f>Total!F1907</f>
        <v>Projectes</v>
      </c>
      <c r="G48" s="112" t="str">
        <f>Total!G1907</f>
        <v>EA-CAB-18011 PC-CAB-18011</v>
      </c>
      <c r="H48" s="112" t="str">
        <f>Total!H1907</f>
        <v>Servicios para la asistencia técnica para la redacción del estudio de alternativas y del proyecto constructivo Condiconamiento de la C-17 entre el pk 43,050 y el 43,550. Centelles-Seva.</v>
      </c>
      <c r="I48" s="157">
        <f>Total!I1907</f>
        <v>644780</v>
      </c>
    </row>
    <row r="49" spans="1:9" x14ac:dyDescent="0.2">
      <c r="A49" s="8">
        <v>48</v>
      </c>
      <c r="B49" s="101">
        <f>Total!B1908</f>
        <v>43521</v>
      </c>
      <c r="C49" s="101">
        <f>Total!C1908</f>
        <v>43537</v>
      </c>
      <c r="D49" s="112" t="s">
        <v>1092</v>
      </c>
      <c r="E49" s="101" t="str">
        <f>Total!E1908</f>
        <v>Obra Civil</v>
      </c>
      <c r="F49" s="96" t="str">
        <f>Total!F1908</f>
        <v>Direccions d'Obra</v>
      </c>
      <c r="G49" s="112" t="str">
        <f>Total!G1908</f>
        <v>DO.MB-10067.F1</v>
      </c>
      <c r="H49" s="112" t="str">
        <f>Total!H1908</f>
        <v>Direcció de les obres del projecte constructiu de millora local. Seguretat viària. Reordenació dels accessos a la C-243c, PK 8+660 (accés a Ca n'Amat), i millora de senyalització i ferm del PK 0 al 12+800. Tram: Martorell ¿ Terrassa.</v>
      </c>
      <c r="I49" s="157">
        <f>Total!I1908</f>
        <v>36320</v>
      </c>
    </row>
    <row r="50" spans="1:9" x14ac:dyDescent="0.2">
      <c r="A50" s="8">
        <v>49</v>
      </c>
      <c r="B50" s="101">
        <f>Total!B1909</f>
        <v>43521</v>
      </c>
      <c r="C50" s="101">
        <f>Total!C1909</f>
        <v>43537</v>
      </c>
      <c r="D50" s="112" t="s">
        <v>1092</v>
      </c>
      <c r="E50" s="101" t="str">
        <f>Total!E1909</f>
        <v>Obra Civil</v>
      </c>
      <c r="F50" s="96" t="str">
        <f>Total!F1909</f>
        <v xml:space="preserve">Projectes </v>
      </c>
      <c r="G50" s="112" t="str">
        <f>Total!G1909</f>
        <v>EV.EP-ANG-18027/EP-ANG-18023</v>
      </c>
      <c r="H50" s="112" t="str">
        <f>Total!H1909</f>
        <v>Contracte de serveis per a l'assistència tècnica per a la redacció de l'estudi previ del corredor BRCat Girona AV - Salt. Clau: EP-ANG-18027 i de l'estudi previ del corredor BRCat Blanes - Lloret de Mar. Clau: EP-ANG-18023.</v>
      </c>
      <c r="I50" s="157">
        <f>Total!I1909</f>
        <v>106400</v>
      </c>
    </row>
    <row r="51" spans="1:9" x14ac:dyDescent="0.2">
      <c r="A51" s="8">
        <v>50</v>
      </c>
      <c r="B51" s="101">
        <f>Total!B1910</f>
        <v>43523</v>
      </c>
      <c r="C51" s="101">
        <f>Total!C1910</f>
        <v>43542</v>
      </c>
      <c r="D51" s="112" t="s">
        <v>1092</v>
      </c>
      <c r="E51" s="101" t="str">
        <f>Total!E1910</f>
        <v>Edificació</v>
      </c>
      <c r="F51" s="96" t="str">
        <f>Total!F1910</f>
        <v>Projectes i Direccions Facultatives</v>
      </c>
      <c r="G51" s="112" t="str">
        <f>Total!G1910</f>
        <v>PE+DF. XMT-19542</v>
      </c>
      <c r="H51" s="112" t="str">
        <f>Total!H1910</f>
        <v>Redacció del projecte i l'estudi de seguretat i salut i la posterior direcció facultativa de les obres RAM 2019 als Serveis Territorials a Tarragona (III): Escola Cal·lípolis (Vila-seca) i Escola Antoni Torroja i Miret (Vila-seca).</v>
      </c>
      <c r="I51" s="157">
        <f>Total!I1910</f>
        <v>14380.17</v>
      </c>
    </row>
    <row r="52" spans="1:9" x14ac:dyDescent="0.2">
      <c r="I52" s="126">
        <f>SUM(I2:I51)</f>
        <v>3001466.22</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35"/>
  <sheetViews>
    <sheetView workbookViewId="0">
      <selection activeCell="A18" sqref="A18:XFD18"/>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Total!B1826</f>
        <v>43467</v>
      </c>
      <c r="C2" s="101">
        <f>Total!C1826</f>
        <v>43483</v>
      </c>
      <c r="D2" s="112" t="s">
        <v>1092</v>
      </c>
      <c r="E2" s="101" t="str">
        <f>Total!E1826</f>
        <v>Obra Civil</v>
      </c>
      <c r="F2" s="96" t="str">
        <f>Total!F1826</f>
        <v>Direcció d'obra</v>
      </c>
      <c r="G2" s="112" t="str">
        <f>Total!G1826</f>
        <v>CSS. TM-09294.A2</v>
      </c>
      <c r="H2" s="112" t="str">
        <f>Total!H1826</f>
        <v>Coordinació de Seguretat i Salut conjunta de les obres del Projecte constructiu de la nova estació entre Collblanc i Pubilla Cases de la Línia 5 de l'FMB. Arquitectura i instal·lacions. Projecte actualitzat. Fase 1(Lot1 i Lot2) i Fase 2.</v>
      </c>
      <c r="I2" s="157">
        <f>Total!I1826</f>
        <v>144000</v>
      </c>
    </row>
    <row r="3" spans="1:9" x14ac:dyDescent="0.2">
      <c r="A3" s="8">
        <v>2</v>
      </c>
      <c r="B3" s="101">
        <f>Total!B1827</f>
        <v>43472</v>
      </c>
      <c r="C3" s="101">
        <f>Total!C1827</f>
        <v>43488</v>
      </c>
      <c r="D3" s="112" t="s">
        <v>1092</v>
      </c>
      <c r="E3" s="101" t="str">
        <f>Total!E1827</f>
        <v>Obra Civil</v>
      </c>
      <c r="F3" s="96" t="str">
        <f>Total!F1827</f>
        <v>Direcció d'obra</v>
      </c>
      <c r="G3" s="112" t="str">
        <f>Total!G1827</f>
        <v>CSS. TA-16248 L2</v>
      </c>
      <c r="H3" s="112" t="str">
        <f>Total!H1827</f>
        <v>Contracte de serveis per a l'Assistència Tècnica de Coordinació de seguretat i salut de les obres de millora puntual. Arranjament de diverses estacions i parades d'autobusos. (Amposta, Tortosa, Quatre Camins, Reus, Tarragona, Igualada i Valls).</v>
      </c>
      <c r="I3" s="157">
        <f>Total!I1827</f>
        <v>12840</v>
      </c>
    </row>
    <row r="4" spans="1:9" x14ac:dyDescent="0.2">
      <c r="A4" s="8">
        <v>3</v>
      </c>
      <c r="B4" s="101">
        <f>Total!B1828</f>
        <v>43472</v>
      </c>
      <c r="C4" s="101">
        <f>Total!C1828</f>
        <v>43488</v>
      </c>
      <c r="D4" s="112" t="s">
        <v>1092</v>
      </c>
      <c r="E4" s="101" t="str">
        <f>Total!E1828</f>
        <v>Obra Civil</v>
      </c>
      <c r="F4" s="96" t="str">
        <f>Total!F1828</f>
        <v>Direcció d'obra</v>
      </c>
      <c r="G4" s="112" t="str">
        <f>Total!G1828</f>
        <v>CSS. TA-16248+TA-08259.A1</v>
      </c>
      <c r="H4" s="112" t="str">
        <f>Total!H1828</f>
        <v>Coord. de S.S. obres: Millora puntual. Arranjament diverses estacions i parades autobusos. (La Seu d'Urgell, Olot, Torroella de Montgrí, Sabadell, Blanes, Vic, Sant Feliu de Pallerols i Tossa de Mar) i proj. actualitzat. Nova estació autobusos a la Bisbal</v>
      </c>
      <c r="I4" s="157">
        <f>Total!I1828</f>
        <v>17160</v>
      </c>
    </row>
    <row r="5" spans="1:9" x14ac:dyDescent="0.2">
      <c r="A5" s="8">
        <v>4</v>
      </c>
      <c r="B5" s="101">
        <f>Total!B1829</f>
        <v>43474</v>
      </c>
      <c r="C5" s="101">
        <f>Total!C1829</f>
        <v>43489</v>
      </c>
      <c r="D5" s="112" t="s">
        <v>1092</v>
      </c>
      <c r="E5" s="101" t="str">
        <f>Total!E1829</f>
        <v>Edificació</v>
      </c>
      <c r="F5" s="96" t="str">
        <f>Total!F1829</f>
        <v>Direccions d'Execució</v>
      </c>
      <c r="G5" s="112" t="str">
        <f>Total!G1829</f>
        <v>CSS. BSV-15316</v>
      </c>
      <c r="H5" s="112" t="str">
        <f>Total!H1829</f>
        <v>Coordinació de seguretat i salut de les obres d'instal·lació de dues escales d'emergència, una bugaderia i dues habitacions en la Residència per a gent gran del Mil·lenari, en el carrer Nou de la Rambla, 47-49, de Barcelona.</v>
      </c>
      <c r="I5" s="157">
        <f>Total!I1829</f>
        <v>2910</v>
      </c>
    </row>
    <row r="6" spans="1:9" x14ac:dyDescent="0.2">
      <c r="A6" s="8">
        <v>5</v>
      </c>
      <c r="B6" s="101">
        <f>Total!B1830</f>
        <v>43474</v>
      </c>
      <c r="C6" s="101">
        <f>Total!C1830</f>
        <v>43489</v>
      </c>
      <c r="D6" s="112" t="s">
        <v>1092</v>
      </c>
      <c r="E6" s="101" t="str">
        <f>Total!E1830</f>
        <v>Edificació</v>
      </c>
      <c r="F6" s="96" t="str">
        <f>Total!F1830</f>
        <v>Direccions d'Obra</v>
      </c>
      <c r="G6" s="112" t="str">
        <f>Total!G1830</f>
        <v>DE. BSV-15316</v>
      </c>
      <c r="H6" s="112" t="str">
        <f>Total!H1830</f>
        <v>Direcció d'execució de les obres d'instal·lació de dues escales d'emergència, una bugaderia i dues habitacions en la Residència per a gent gran del Mil·lenari, en el carrer Nou de la Rambla, 47-49, de Barcelona.</v>
      </c>
      <c r="I6" s="157">
        <f>Total!I1830</f>
        <v>9700</v>
      </c>
    </row>
    <row r="7" spans="1:9" x14ac:dyDescent="0.2">
      <c r="A7" s="8">
        <v>6</v>
      </c>
      <c r="B7" s="101">
        <f>Total!B1831</f>
        <v>43474</v>
      </c>
      <c r="C7" s="101">
        <f>Total!C1831</f>
        <v>43493</v>
      </c>
      <c r="D7" s="112" t="s">
        <v>1092</v>
      </c>
      <c r="E7" s="101" t="str">
        <f>Total!E1831</f>
        <v>Edificació</v>
      </c>
      <c r="F7" s="96" t="str">
        <f>Total!F1831</f>
        <v>Control de Qualitat</v>
      </c>
      <c r="G7" s="112" t="str">
        <f>Total!G1831</f>
        <v>CQ. CAP-16207</v>
      </c>
      <c r="H7" s="112" t="str">
        <f>Total!H1831</f>
        <v>Control qualitat obres RAM del CAP de l'Ametlla de Mar, del CAP d'Alcanar, del Consultori Local de Pinell de Brai, del Consultori Local de Paüls, del Consultori Local de les Cases d'Alcanar i del Consultori Local d'Alfara de Carles.</v>
      </c>
      <c r="I7" s="157">
        <f>Total!I1831</f>
        <v>473.91</v>
      </c>
    </row>
    <row r="8" spans="1:9" x14ac:dyDescent="0.2">
      <c r="A8" s="8">
        <v>7</v>
      </c>
      <c r="B8" s="101">
        <f>Total!B1832</f>
        <v>43475</v>
      </c>
      <c r="C8" s="101">
        <f>Total!C1832</f>
        <v>43523</v>
      </c>
      <c r="D8" s="112" t="s">
        <v>1092</v>
      </c>
      <c r="E8" s="101" t="str">
        <f>Total!E1832</f>
        <v>Edificació</v>
      </c>
      <c r="F8" s="96" t="str">
        <f>Total!F1832</f>
        <v>Projectes i Direccions d'Obra</v>
      </c>
      <c r="G8" s="112" t="str">
        <f>Total!G1832</f>
        <v>PE+DO. CAP-18202</v>
      </c>
      <c r="H8" s="112" t="str">
        <f>Total!H1832</f>
        <v>Concurs de projectes per a la de redacció del projecte bàsic, el projecte executiu i la posterior Direcció d'obra del projecte de construcció del nou Centre d'Atenció Primària de Pineda de Mar.</v>
      </c>
      <c r="I8" s="157">
        <f>Total!I1832</f>
        <v>275573.95</v>
      </c>
    </row>
    <row r="9" spans="1:9" x14ac:dyDescent="0.2">
      <c r="A9" s="8">
        <v>8</v>
      </c>
      <c r="B9" s="101">
        <f>Total!B1833</f>
        <v>43476</v>
      </c>
      <c r="C9" s="101">
        <f>Total!C1833</f>
        <v>43495</v>
      </c>
      <c r="D9" s="112" t="s">
        <v>1092</v>
      </c>
      <c r="E9" s="101" t="str">
        <f>Total!E1833</f>
        <v>Edificació</v>
      </c>
      <c r="F9" s="96" t="str">
        <f>Total!F1833</f>
        <v>Projectes i Direccions d'Obra</v>
      </c>
      <c r="G9" s="112" t="str">
        <f>Total!G1833</f>
        <v>PE+DO CAP-17281</v>
      </c>
      <c r="H9" s="112" t="str">
        <f>Total!H1833</f>
        <v>Contracte de serveis per a l'assistència tècnica per a la redacció del projecte bàsic i executiu i la posterior direcció d'obra de les obres d'ampliació i reforma del Centre d'Atènció Primària a Tona.</v>
      </c>
      <c r="I9" s="157">
        <f>Total!I1833</f>
        <v>112607</v>
      </c>
    </row>
    <row r="10" spans="1:9" x14ac:dyDescent="0.2">
      <c r="A10" s="8">
        <v>9</v>
      </c>
      <c r="B10" s="101">
        <f>Total!B1834</f>
        <v>43476</v>
      </c>
      <c r="C10" s="101">
        <f>Total!C1834</f>
        <v>43493</v>
      </c>
      <c r="D10" s="112" t="s">
        <v>1092</v>
      </c>
      <c r="E10" s="101" t="str">
        <f>Total!E1834</f>
        <v>Edificació</v>
      </c>
      <c r="F10" s="96" t="str">
        <f>Total!F1834</f>
        <v>Direccions d'Execució</v>
      </c>
      <c r="G10" s="112" t="str">
        <f>Total!G1834</f>
        <v>DE.CCG-16273</v>
      </c>
      <c r="H10" s="112" t="str">
        <f>Total!H1834</f>
        <v>Contracte de serveis per a la direcció d'execució de les obres de Remodelació de la Comissaria de la Policia de la Generalitat - Mossos d'Esquadra a Banyoles.</v>
      </c>
      <c r="I10" s="157">
        <f>Total!I1834</f>
        <v>16000</v>
      </c>
    </row>
    <row r="11" spans="1:9" x14ac:dyDescent="0.2">
      <c r="A11" s="8">
        <v>10</v>
      </c>
      <c r="B11" s="101">
        <f>Total!B1835</f>
        <v>43479</v>
      </c>
      <c r="C11" s="101">
        <f>Total!C1835</f>
        <v>43495</v>
      </c>
      <c r="D11" s="112" t="s">
        <v>1092</v>
      </c>
      <c r="E11" s="101" t="str">
        <f>Total!E1835</f>
        <v>Obra Civil</v>
      </c>
      <c r="F11" s="96" t="str">
        <f>Total!F1835</f>
        <v>Projectes</v>
      </c>
      <c r="G11" s="112" t="str">
        <f>Total!G1835</f>
        <v>EV. EM-XXE-18113</v>
      </c>
      <c r="H11" s="112" t="str">
        <f>Total!H1835</f>
        <v>Contracte de serveis per a l'assistència tècnica per a la redació de l¿estudi: Enquesta de mobilitat quotidiana 2018 a l'àmbit territorial de les Terres de l'Ebre.</v>
      </c>
      <c r="I11" s="157">
        <f>Total!I1835</f>
        <v>114000</v>
      </c>
    </row>
    <row r="12" spans="1:9" x14ac:dyDescent="0.2">
      <c r="A12" s="8">
        <v>11</v>
      </c>
      <c r="B12" s="101">
        <f>Total!B1836</f>
        <v>43481</v>
      </c>
      <c r="C12" s="101">
        <f>Total!C1836</f>
        <v>43495</v>
      </c>
      <c r="D12" s="112" t="s">
        <v>1092</v>
      </c>
      <c r="E12" s="101" t="str">
        <f>Total!E1836</f>
        <v>Edificació</v>
      </c>
      <c r="F12" s="96" t="str">
        <f>Total!F1836</f>
        <v>Control de Qualitat</v>
      </c>
      <c r="G12" s="112" t="str">
        <f>Total!G1836</f>
        <v>CQ. JVX-17206</v>
      </c>
      <c r="H12" s="112" t="str">
        <f>Total!H1836</f>
        <v>Contracte de serveis per a l'A.T. de Control de qualitat de les obres RAM Jutjats de Sabadell. Condicionamnet de la planta 16 per a la ubicació de 2 Jutjats de 1a Instància.</v>
      </c>
      <c r="I12" s="157">
        <f>Total!I1836</f>
        <v>6007</v>
      </c>
    </row>
    <row r="13" spans="1:9" x14ac:dyDescent="0.2">
      <c r="A13" s="8">
        <v>12</v>
      </c>
      <c r="B13" s="101">
        <f>Total!B1837</f>
        <v>43481</v>
      </c>
      <c r="C13" s="101">
        <f>Total!C1837</f>
        <v>43495</v>
      </c>
      <c r="D13" s="112" t="s">
        <v>1092</v>
      </c>
      <c r="E13" s="101" t="str">
        <f>Total!E1837</f>
        <v>Edificació</v>
      </c>
      <c r="F13" s="96" t="str">
        <f>Total!F1837</f>
        <v>Direccions d'Execució</v>
      </c>
      <c r="G13" s="112" t="str">
        <f>Total!G1837</f>
        <v>DE. JVX-17206</v>
      </c>
      <c r="H13" s="112" t="str">
        <f>Total!H1837</f>
        <v>Contracte de serveis per la direcció d'execució de les obres corresponents al projecte: RAM Jutjats de Sabadell. Condicionament de la planta 16 per la ubicació de 2 jutjats de 1a. Instància.</v>
      </c>
      <c r="I13" s="157">
        <f>Total!I1837</f>
        <v>12500</v>
      </c>
    </row>
    <row r="14" spans="1:9" x14ac:dyDescent="0.2">
      <c r="A14" s="8">
        <v>13</v>
      </c>
      <c r="B14" s="101">
        <f>Total!B1838</f>
        <v>43481</v>
      </c>
      <c r="C14" s="101">
        <f>Total!C1838</f>
        <v>43495</v>
      </c>
      <c r="D14" s="112" t="s">
        <v>1092</v>
      </c>
      <c r="E14" s="101" t="str">
        <f>Total!E1838</f>
        <v>Edificació</v>
      </c>
      <c r="F14" s="96" t="str">
        <f>Total!F1838</f>
        <v>Direccions d'obra</v>
      </c>
      <c r="G14" s="112" t="str">
        <f>Total!G1838</f>
        <v>DO. BSV-15316</v>
      </c>
      <c r="H14" s="112" t="str">
        <f>Total!H1838</f>
        <v>Contracte de serveis per a la direcció de les obres d'instal·lació de dues escales d'emergència, un bugaderia i dues habitacions en la Residència per a gent gran del Mil·lenari, en el carrer Nou de la Rambla, 47-49 d eBarcelona.</v>
      </c>
      <c r="I14" s="157">
        <f>Total!I1838</f>
        <v>11640</v>
      </c>
    </row>
    <row r="15" spans="1:9" x14ac:dyDescent="0.2">
      <c r="A15" s="8">
        <v>14</v>
      </c>
      <c r="B15" s="101">
        <f>Total!B1839</f>
        <v>43481</v>
      </c>
      <c r="C15" s="101">
        <f>Total!C1839</f>
        <v>43500</v>
      </c>
      <c r="D15" s="112" t="s">
        <v>1092</v>
      </c>
      <c r="E15" s="101" t="str">
        <f>Total!E1839</f>
        <v>Edificació</v>
      </c>
      <c r="F15" s="96" t="str">
        <f>Total!F1839</f>
        <v>Direccions d'obra</v>
      </c>
      <c r="G15" s="112" t="str">
        <f>Total!G1839</f>
        <v>DO. PNL-16216</v>
      </c>
      <c r="H15" s="112" t="str">
        <f>Total!H1839</f>
        <v>Contracte de serveis per a l'assistència tècnica de Direcció de l'obra de la Nova construcció de l'Escola El Vinyet de Solsona.</v>
      </c>
      <c r="I15" s="157">
        <f>Total!I1839</f>
        <v>97200</v>
      </c>
    </row>
    <row r="16" spans="1:9" x14ac:dyDescent="0.2">
      <c r="A16" s="8">
        <v>15</v>
      </c>
      <c r="B16" s="101">
        <f>Total!B1840</f>
        <v>43481</v>
      </c>
      <c r="C16" s="101">
        <f>Total!C1840</f>
        <v>43500</v>
      </c>
      <c r="D16" s="112" t="s">
        <v>1092</v>
      </c>
      <c r="E16" s="101" t="str">
        <f>Total!E1840</f>
        <v>Edificació</v>
      </c>
      <c r="F16" s="96" t="str">
        <f>Total!F1840</f>
        <v>Direccions d'obra</v>
      </c>
      <c r="G16" s="112" t="str">
        <f>Total!G1840</f>
        <v>DO. PGM-15307</v>
      </c>
      <c r="H16" s="112" t="str">
        <f>Total!H1840</f>
        <v>Contracte de serveis per a la direcció de les obres RAM Reforma i ampliació d'espais tècnics i millora del Parc de Bombers existent a Granollers.</v>
      </c>
      <c r="I16" s="157">
        <f>Total!I1840</f>
        <v>25200</v>
      </c>
    </row>
    <row r="17" spans="1:9" x14ac:dyDescent="0.2">
      <c r="A17" s="8">
        <v>16</v>
      </c>
      <c r="B17" s="101">
        <f>Total!B1841</f>
        <v>43480</v>
      </c>
      <c r="C17" s="101">
        <f>Total!C1841</f>
        <v>43500</v>
      </c>
      <c r="D17" s="112" t="s">
        <v>1092</v>
      </c>
      <c r="E17" s="101" t="str">
        <f>Total!E1841</f>
        <v>Edificació</v>
      </c>
      <c r="F17" s="96" t="str">
        <f>Total!F1841</f>
        <v>Direccions d'Execució</v>
      </c>
      <c r="G17" s="112" t="str">
        <f>Total!G1841</f>
        <v>DE. BSV-15315.A</v>
      </c>
      <c r="H17" s="112" t="str">
        <f>Total!H1841</f>
        <v>Contracte de serveis per a l'assistència tècnica per a la direcció d'execució de les obres de reforma de la cuina i el magatzem a la residència Els Arcs a Figueres.</v>
      </c>
      <c r="I17" s="157">
        <f>Total!I1841</f>
        <v>5100</v>
      </c>
    </row>
    <row r="18" spans="1:9" x14ac:dyDescent="0.2">
      <c r="A18" s="8">
        <v>18</v>
      </c>
      <c r="B18" s="101">
        <f>Total!B1843</f>
        <v>43483</v>
      </c>
      <c r="C18" s="101">
        <f>Total!C1843</f>
        <v>43500</v>
      </c>
      <c r="D18" s="112" t="s">
        <v>1092</v>
      </c>
      <c r="E18" s="101" t="str">
        <f>Total!E1843</f>
        <v>Obra Civil</v>
      </c>
      <c r="F18" s="96" t="str">
        <f>Total!F1843</f>
        <v>Direccions d'Obra</v>
      </c>
      <c r="G18" s="112" t="str">
        <f>Total!G1843</f>
        <v>DO. MG-07061.1 (2a. Licitació)</v>
      </c>
      <c r="H18" s="112" t="str">
        <f>Total!H1843</f>
        <v>Contracte de serveis per a la direcció de les obres del projecte constructiu de millora local. Millora de nus. Rotonda a la carretera GI-632, PK 2+500. Tram: Bellcaire d'Empordà.</v>
      </c>
      <c r="I18" s="157">
        <f>Total!I1843</f>
        <v>23880</v>
      </c>
    </row>
    <row r="19" spans="1:9" x14ac:dyDescent="0.2">
      <c r="A19" s="8">
        <v>19</v>
      </c>
      <c r="B19" s="101">
        <f>Total!B1844</f>
        <v>43487</v>
      </c>
      <c r="C19" s="101">
        <f>Total!C1844</f>
        <v>43502</v>
      </c>
      <c r="D19" s="112" t="s">
        <v>1092</v>
      </c>
      <c r="E19" s="101" t="str">
        <f>Total!E1844</f>
        <v>Obra Civil</v>
      </c>
      <c r="F19" s="96" t="str">
        <f>Total!F1844</f>
        <v>Control de Qualitat</v>
      </c>
      <c r="G19" s="112" t="str">
        <f>Total!G1844</f>
        <v>CQ.TM-09294.A2</v>
      </c>
      <c r="H19" s="112" t="str">
        <f>Total!H1844</f>
        <v>Contracte de serveis per al control de qualitat de les obres del de la nova estació entre Collblanc i Pubilla Cases de la Línia 5 de l'FMB. Arquitectura i instal·lacions. Projecte actualitzat. Fase 1 (Lot 1 i Lot 2) i Fase 2".</v>
      </c>
      <c r="I19" s="157">
        <f>Total!I1844</f>
        <v>144420.17000000001</v>
      </c>
    </row>
    <row r="20" spans="1:9" x14ac:dyDescent="0.2">
      <c r="A20" s="8">
        <v>20</v>
      </c>
      <c r="B20" s="101">
        <f>Total!B1845</f>
        <v>43487</v>
      </c>
      <c r="C20" s="101">
        <f>Total!C1845</f>
        <v>43507</v>
      </c>
      <c r="D20" s="112" t="s">
        <v>1092</v>
      </c>
      <c r="E20" s="101" t="str">
        <f>Total!E1845</f>
        <v>Edificació</v>
      </c>
      <c r="F20" s="96" t="str">
        <f>Total!F1845</f>
        <v>Control de Qualitat</v>
      </c>
      <c r="G20" s="112" t="str">
        <f>Total!G1845</f>
        <v>CQ. CGM-17250</v>
      </c>
      <c r="H20" s="112" t="str">
        <f>Total!H1845</f>
        <v>Control de qualitat de les obres RAM d'estalvi energètic 3. Millores i adequació d'equips de clima, tancaments exteriors, protecció solar i aillaments de diverses comissaries de Mossos d'Esquadra de Granollers, Lleida i La Seu d'Urgell.</v>
      </c>
      <c r="I20" s="157">
        <f>Total!I1845</f>
        <v>6462.61</v>
      </c>
    </row>
    <row r="21" spans="1:9" x14ac:dyDescent="0.2">
      <c r="A21" s="8">
        <v>21</v>
      </c>
      <c r="B21" s="101">
        <f>Total!B1846</f>
        <v>43487</v>
      </c>
      <c r="C21" s="101">
        <f>Total!C1846</f>
        <v>43507</v>
      </c>
      <c r="D21" s="112" t="s">
        <v>1092</v>
      </c>
      <c r="E21" s="101" t="str">
        <f>Total!E1846</f>
        <v>Obra Civil</v>
      </c>
      <c r="F21" s="96" t="str">
        <f>Total!F1846</f>
        <v>Projectes</v>
      </c>
      <c r="G21" s="112" t="str">
        <f>Total!G1846</f>
        <v>EV. ET-TA-07997.A1</v>
      </c>
      <c r="H21" s="112" t="str">
        <f>Total!H1846</f>
        <v>Contracte de serveis per a l'assistència tècnica per a la redacció de l'Estudi de trànsit. Nou carril bus i via ciclista a la carretera C-245 entre Castelldefels i Cornellà de Llobregat.</v>
      </c>
      <c r="I21" s="157">
        <f>Total!I1846</f>
        <v>40000</v>
      </c>
    </row>
    <row r="22" spans="1:9" x14ac:dyDescent="0.2">
      <c r="A22" s="8">
        <v>22</v>
      </c>
      <c r="B22" s="101">
        <f>Total!B1847</f>
        <v>43487</v>
      </c>
      <c r="C22" s="101">
        <f>Total!C1847</f>
        <v>43502</v>
      </c>
      <c r="D22" s="112" t="s">
        <v>1092</v>
      </c>
      <c r="E22" s="101" t="str">
        <f>Total!E1847</f>
        <v>Obra Civil</v>
      </c>
      <c r="F22" s="96" t="str">
        <f>Total!F1847</f>
        <v>Direccions d'Obra</v>
      </c>
      <c r="G22" s="112" t="str">
        <f>Total!G1847</f>
        <v>ATAM. TM-09294.A2</v>
      </c>
      <c r="H22" s="112" t="str">
        <f>Total!H1847</f>
        <v>Contracte de Serveis per l'Assistència Tècnica Ambiental de l'execució de les obres nova estació entre Collblanc i Pubilla Cases de la Línia 5 de l'FMB. Arquitectura i instal lacions. Projecte actualitzat. Fase 1 (Lot 1 i Lot 2) i Fase 2.</v>
      </c>
      <c r="I22" s="157">
        <f>Total!I1847</f>
        <v>56496</v>
      </c>
    </row>
    <row r="23" spans="1:9" x14ac:dyDescent="0.2">
      <c r="A23" s="8">
        <v>23</v>
      </c>
      <c r="B23" s="101">
        <f>Total!B1848</f>
        <v>43488</v>
      </c>
      <c r="C23" s="101">
        <f>Total!C1848</f>
        <v>43507</v>
      </c>
      <c r="D23" s="112" t="s">
        <v>1092</v>
      </c>
      <c r="E23" s="101" t="str">
        <f>Total!E1848</f>
        <v>Obra Civil</v>
      </c>
      <c r="F23" s="96" t="str">
        <f>Total!F1848</f>
        <v>Control de Qualitat</v>
      </c>
      <c r="G23" s="112" t="str">
        <f>Total!G1848</f>
        <v>CQ. MA-16901</v>
      </c>
      <c r="H23" s="112" t="str">
        <f>Total!H1848</f>
        <v>Control de qualitat de les obres de recuperació dels sistemes naturals de l'àmbit fluvial del riu Corb i del Reguer. Mesures correctores i compensatòries del regadiu del Sistemea Segarra-Garrigues. Declaració impacte ambiental 2010….</v>
      </c>
      <c r="I23" s="157">
        <f>Total!I1848</f>
        <v>8329.24</v>
      </c>
    </row>
    <row r="24" spans="1:9" x14ac:dyDescent="0.2">
      <c r="A24" s="8">
        <v>24</v>
      </c>
      <c r="B24" s="101">
        <f>Total!B1849</f>
        <v>43488</v>
      </c>
      <c r="C24" s="101">
        <f>Total!C1849</f>
        <v>43507</v>
      </c>
      <c r="D24" s="112" t="s">
        <v>1092</v>
      </c>
      <c r="E24" s="101" t="str">
        <f>Total!E1849</f>
        <v>Obra Civil</v>
      </c>
      <c r="F24" s="96" t="str">
        <f>Total!F1849</f>
        <v>Projectes</v>
      </c>
      <c r="G24" s="112" t="str">
        <f>Total!G1849</f>
        <v>PC.R0-18308</v>
      </c>
      <c r="H24" s="112" t="str">
        <f>Total!H1849</f>
        <v>Contracte de serveis per a l'assistència tècnica per a la redacció del Projecte constructiu per a la renovació del carril de la Línia 9 sud de metro de Barcelona.</v>
      </c>
      <c r="I24" s="157">
        <f>Total!I1849</f>
        <v>25000</v>
      </c>
    </row>
    <row r="25" spans="1:9" x14ac:dyDescent="0.2">
      <c r="A25" s="8">
        <v>25</v>
      </c>
      <c r="B25" s="101">
        <f>Total!B1850</f>
        <v>43489</v>
      </c>
      <c r="C25" s="101">
        <f>Total!C1850</f>
        <v>43507</v>
      </c>
      <c r="D25" s="112" t="s">
        <v>1092</v>
      </c>
      <c r="E25" s="101" t="str">
        <f>Total!E1850</f>
        <v>Obra Civil</v>
      </c>
      <c r="F25" s="96" t="str">
        <f>Total!F1850</f>
        <v>Direccions d'Obra</v>
      </c>
      <c r="G25" s="112" t="str">
        <f>Total!G1850</f>
        <v>CSS. MA-16901</v>
      </c>
      <c r="H25" s="112" t="str">
        <f>Total!H1850</f>
        <v>Coordinació de seguretat i salut de les obres de recuperació dels sistemes naturals de l'àmbit fluvial del riu Corb i del Reguer. Mesures correctores i compensatòries del regadiu del sistema Segarra - Garrigues. Declaració d'Impacte Ambiental 2010.</v>
      </c>
      <c r="I25" s="157">
        <f>Total!I1850</f>
        <v>8396.4</v>
      </c>
    </row>
    <row r="26" spans="1:9" x14ac:dyDescent="0.2">
      <c r="A26" s="8">
        <v>26</v>
      </c>
      <c r="B26" s="101">
        <f>Total!B1851</f>
        <v>43489</v>
      </c>
      <c r="C26" s="101">
        <f>Total!C1851</f>
        <v>43507</v>
      </c>
      <c r="D26" s="112" t="s">
        <v>1092</v>
      </c>
      <c r="E26" s="101" t="str">
        <f>Total!E1851</f>
        <v>Edificació</v>
      </c>
      <c r="F26" s="96" t="str">
        <f>Total!F1851</f>
        <v>Direccions d'Execució</v>
      </c>
      <c r="G26" s="112" t="str">
        <f>Total!G1851</f>
        <v>DE. CLT-10089.1 + CLT-10089.2</v>
      </c>
      <c r="H26" s="112" t="str">
        <f>Total!H1851</f>
        <v>Contracte de serveis per a l'assistència tècnica conjunta de direcció d'execució de les obres del projecte d'arquitectura d'un nou Consultori Local a Verges. Clau: CLT-10089.1 i les obres del projecte d'instal·lacions d'un nou Consultori Local a Verges.</v>
      </c>
      <c r="I26" s="157">
        <f>Total!I1851</f>
        <v>19000</v>
      </c>
    </row>
    <row r="27" spans="1:9" x14ac:dyDescent="0.2">
      <c r="A27" s="8">
        <v>27</v>
      </c>
      <c r="B27" s="101">
        <f>Total!B1852</f>
        <v>43489</v>
      </c>
      <c r="C27" s="101">
        <f>Total!C1852</f>
        <v>43507</v>
      </c>
      <c r="D27" s="112" t="s">
        <v>1092</v>
      </c>
      <c r="E27" s="101" t="str">
        <f>Total!E1852</f>
        <v>Edificació</v>
      </c>
      <c r="F27" s="96" t="str">
        <f>Total!F1852</f>
        <v>Direccions d'Execució</v>
      </c>
      <c r="G27" s="112" t="str">
        <f>Total!G1852</f>
        <v>CSS. INB-07393.A</v>
      </c>
      <c r="H27" s="112" t="str">
        <f>Total!H1852</f>
        <v>Contracte de serveis per a l'Assistència tècnica per la Coordinació de seguretat i salut de l'execució de les obres de nova construcció de l'Institut Angeleta Ferrer 3/2 de Barcelona.</v>
      </c>
      <c r="I27" s="157">
        <f>Total!I1852</f>
        <v>36750</v>
      </c>
    </row>
    <row r="28" spans="1:9" x14ac:dyDescent="0.2">
      <c r="A28" s="8">
        <v>28</v>
      </c>
      <c r="B28" s="101">
        <f>Total!B1853</f>
        <v>43480</v>
      </c>
      <c r="C28" s="101">
        <f>Total!C1853</f>
        <v>43523</v>
      </c>
      <c r="D28" s="112" t="s">
        <v>1092</v>
      </c>
      <c r="E28" s="101" t="str">
        <f>Total!E1853</f>
        <v>Edificació</v>
      </c>
      <c r="F28" s="96" t="str">
        <f>Total!F1853</f>
        <v>Projectes i Direccions d'Obra</v>
      </c>
      <c r="G28" s="112" t="str">
        <f>Total!G1853</f>
        <v>PE+DO CCG-16232</v>
      </c>
      <c r="H28" s="112" t="str">
        <f>Total!H1853</f>
        <v>Redacció del projecte bàsic i executiu i la posterior direcció d'obra de les obres de la nova construcció de la Comissaria de Districte de la Polícia de la Generalitat-Mossos d'Esquadra a la Jonquera.</v>
      </c>
      <c r="I28" s="157">
        <f>Total!I1853</f>
        <v>285990.17</v>
      </c>
    </row>
    <row r="29" spans="1:9" x14ac:dyDescent="0.2">
      <c r="A29" s="8">
        <v>29</v>
      </c>
      <c r="B29" s="101">
        <f>Total!B1854</f>
        <v>43490</v>
      </c>
      <c r="C29" s="101">
        <f>Total!C1854</f>
        <v>43507</v>
      </c>
      <c r="D29" s="112" t="s">
        <v>1092</v>
      </c>
      <c r="E29" s="101" t="str">
        <f>Total!E1854</f>
        <v>Edificació</v>
      </c>
      <c r="F29" s="96" t="str">
        <f>Total!F1854</f>
        <v>Control de Qualitat</v>
      </c>
      <c r="G29" s="112" t="str">
        <f>Total!G1854</f>
        <v>CQ. JVX-17231</v>
      </c>
      <c r="H29" s="112" t="str">
        <f>Total!H1854</f>
        <v>Contracte de serveis per a l'assistència tècnica de control de qualitat de les obres de les obres RAM a l'edifici dels Serveis Territorials de Lleida del Departament de Justícia.</v>
      </c>
      <c r="I29" s="157">
        <f>Total!I1854</f>
        <v>5529.26</v>
      </c>
    </row>
    <row r="30" spans="1:9" x14ac:dyDescent="0.2">
      <c r="A30" s="8">
        <v>30</v>
      </c>
      <c r="B30" s="101">
        <f>Total!B1855</f>
        <v>43490</v>
      </c>
      <c r="C30" s="101">
        <f>Total!C1855</f>
        <v>43507</v>
      </c>
      <c r="D30" s="112" t="s">
        <v>1092</v>
      </c>
      <c r="E30" s="101" t="str">
        <f>Total!E1855</f>
        <v>Edificació</v>
      </c>
      <c r="F30" s="96" t="str">
        <f>Total!F1855</f>
        <v>Direcció d'Execució</v>
      </c>
      <c r="G30" s="112" t="str">
        <f>Total!G1855</f>
        <v>DE. JVX-17231</v>
      </c>
      <c r="H30" s="112" t="str">
        <f>Total!H1855</f>
        <v>Contracte de serveis per a la Direcció d'execució de les obres RAM a l'edifici dels Serveis Territorials de Lleida del Departament de Justícia.</v>
      </c>
      <c r="I30" s="157">
        <f>Total!I1855</f>
        <v>12000</v>
      </c>
    </row>
    <row r="31" spans="1:9" x14ac:dyDescent="0.2">
      <c r="A31" s="8">
        <v>31</v>
      </c>
      <c r="B31" s="101">
        <f>Total!B1856</f>
        <v>43494</v>
      </c>
      <c r="C31" s="101">
        <f>Total!C1856</f>
        <v>43509</v>
      </c>
      <c r="D31" s="112" t="s">
        <v>1092</v>
      </c>
      <c r="E31" s="101" t="str">
        <f>Total!E1856</f>
        <v>Obra Civil</v>
      </c>
      <c r="F31" s="96" t="str">
        <f>Total!F1856</f>
        <v>Direccions d'Obra</v>
      </c>
      <c r="G31" s="112" t="str">
        <f>Total!G1856</f>
        <v>DO.VE-06008.1</v>
      </c>
      <c r="H31" s="112" t="str">
        <f>Total!H1856</f>
        <v>Contracte de serveis per a la direcció de les obres del projecte constructiu de millora general. Variant de Gandesa. Actuacions d'enllaç a la variant. Carretera C-43, PK 11+700 al 13+600. Tram: Gandesa.</v>
      </c>
      <c r="I31" s="157">
        <f>Total!I1856</f>
        <v>81320</v>
      </c>
    </row>
    <row r="32" spans="1:9" x14ac:dyDescent="0.2">
      <c r="A32" s="8">
        <v>32</v>
      </c>
      <c r="B32" s="101">
        <f>Total!B1857</f>
        <v>43496</v>
      </c>
      <c r="C32" s="101">
        <f>Total!C1857</f>
        <v>43514</v>
      </c>
      <c r="D32" s="112" t="s">
        <v>1092</v>
      </c>
      <c r="E32" s="101" t="str">
        <f>Total!E1857</f>
        <v>Obra Civil</v>
      </c>
      <c r="F32" s="96" t="str">
        <f>Total!F1857</f>
        <v>Direccions d'Obra</v>
      </c>
      <c r="G32" s="112" t="str">
        <f>Total!G1857</f>
        <v>DO.MS.S1-TM-00509.8-C2</v>
      </c>
      <c r="H32" s="112" t="str">
        <f>Total!H1857</f>
        <v>Contracte de serveis per a la Direcció de les obres del Projecte constructiu de rehabilitació i reparació del Pou d'Havaneres.</v>
      </c>
      <c r="I32" s="157">
        <f>Total!I1857</f>
        <v>14520</v>
      </c>
    </row>
    <row r="33" spans="1:9" x14ac:dyDescent="0.2">
      <c r="A33" s="8">
        <v>33</v>
      </c>
      <c r="B33" s="101">
        <f>Total!B1858</f>
        <v>43496</v>
      </c>
      <c r="C33" s="101">
        <f>Total!C1858</f>
        <v>43514</v>
      </c>
      <c r="D33" s="112" t="s">
        <v>1092</v>
      </c>
      <c r="E33" s="101" t="str">
        <f>Total!E1858</f>
        <v>Obra Civil</v>
      </c>
      <c r="F33" s="96" t="str">
        <f>Total!F1858</f>
        <v>Control de Qualitat</v>
      </c>
      <c r="G33" s="112" t="str">
        <f>Total!G1858</f>
        <v>CQ. MB-16026</v>
      </c>
      <c r="H33" s="112" t="str">
        <f>Total!H1858</f>
        <v>Contracte de serveis per a l'assistència tècnica de control de qualitat de les obres de Millora local. Ponts i estructures. Passarel·la per a vianants sobre la carretera C-35. PK 57+000 al 58+000. Tram: Sant Celoni.</v>
      </c>
      <c r="I33" s="157">
        <f>Total!I1858</f>
        <v>13266.66</v>
      </c>
    </row>
    <row r="34" spans="1:9" x14ac:dyDescent="0.2">
      <c r="A34" s="8">
        <v>34</v>
      </c>
      <c r="B34" s="101">
        <f>Total!B1859</f>
        <v>43496</v>
      </c>
      <c r="C34" s="101">
        <f>Total!C1859</f>
        <v>43514</v>
      </c>
      <c r="D34" s="112" t="s">
        <v>1092</v>
      </c>
      <c r="E34" s="101" t="str">
        <f>Total!E1859</f>
        <v>Edificació</v>
      </c>
      <c r="F34" s="96" t="str">
        <f>Total!F1859</f>
        <v>Direccions d'Execució</v>
      </c>
      <c r="G34" s="112" t="str">
        <f>Total!G1859</f>
        <v>CSS.CGM-17248</v>
      </c>
      <c r="H34" s="112" t="str">
        <f>Total!H1859</f>
        <v>Contracte de serveis per a l'assistència tècnica per la coordinació de seguretat i salut de les obres RAM de millores de seguretat i videovigilància en diverses comissaries de Mossos d'Esquadra.</v>
      </c>
      <c r="I34" s="157">
        <f>Total!I1859</f>
        <v>6300</v>
      </c>
    </row>
    <row r="35" spans="1:9" x14ac:dyDescent="0.2">
      <c r="I35" s="126">
        <f>SUM(I2:I34)</f>
        <v>1650572.3699999999</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52"/>
  <sheetViews>
    <sheetView topLeftCell="A16" workbookViewId="0">
      <selection activeCell="A16"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Total!B1775</f>
        <v>43437</v>
      </c>
      <c r="C2" s="101">
        <f>Total!C1775</f>
        <v>43451.541666666664</v>
      </c>
      <c r="D2" s="112" t="s">
        <v>1092</v>
      </c>
      <c r="E2" s="101" t="str">
        <f>Total!E1775</f>
        <v>Edificació</v>
      </c>
      <c r="F2" s="96" t="str">
        <f>Total!F1775</f>
        <v>Direccions d'execució</v>
      </c>
      <c r="G2" s="112" t="str">
        <f>Total!G1775</f>
        <v>CSS.PAV-16212+IAV-16213</v>
      </c>
      <c r="H2" s="112" t="str">
        <f>Total!H1775</f>
        <v>Contracte de serv. Per A.T. per la Coordinació de seguretat i dalut de l'execució de les obres: Ampliació Escola Purificació Salas i Xandri , per a nova construc. D'edifici d'educació infantil, a Sant Quirze del Vallès. Ampliaicó a Institut 4/2Rovira-Forn</v>
      </c>
      <c r="I2" s="157">
        <f>Total!I1775</f>
        <v>11928.25</v>
      </c>
    </row>
    <row r="3" spans="1:9" x14ac:dyDescent="0.2">
      <c r="A3" s="8">
        <v>2</v>
      </c>
      <c r="B3" s="101">
        <f>Total!B1776</f>
        <v>43438</v>
      </c>
      <c r="C3" s="101">
        <f>Total!C1776</f>
        <v>43455.541666666664</v>
      </c>
      <c r="D3" s="112" t="s">
        <v>1092</v>
      </c>
      <c r="E3" s="101" t="str">
        <f>Total!E1776</f>
        <v>Edificació</v>
      </c>
      <c r="F3" s="96" t="str">
        <f>Total!F1776</f>
        <v>Projectes i Direccions Facultatives</v>
      </c>
      <c r="G3" s="112" t="str">
        <f>Total!G1776</f>
        <v>PE+DF.XMA-19505</v>
      </c>
      <c r="H3" s="112" t="str">
        <f>Total!H1776</f>
        <v>Contracte de serveis per l'A.T. per a la redacció del projecte i l'estudi de seguretat i salut i la posterior direcció facultativa de les obres RAM 2019 als Serveis Territorials del Baix Llobregat (II): Institut Cornellà (Cornellà del Ll.), CFA adults…</v>
      </c>
      <c r="I3" s="157">
        <f>Total!I1776</f>
        <v>49731.41</v>
      </c>
    </row>
    <row r="4" spans="1:9" x14ac:dyDescent="0.2">
      <c r="A4" s="8">
        <v>3</v>
      </c>
      <c r="B4" s="101">
        <f>Total!B1777</f>
        <v>43438</v>
      </c>
      <c r="C4" s="101">
        <f>Total!C1777</f>
        <v>43455.541666666664</v>
      </c>
      <c r="D4" s="112" t="s">
        <v>1092</v>
      </c>
      <c r="E4" s="101" t="str">
        <f>Total!E1777</f>
        <v>Edificació</v>
      </c>
      <c r="F4" s="96" t="str">
        <f>Total!F1777</f>
        <v>Projectes i Direccions Facultatives</v>
      </c>
      <c r="G4" s="112" t="str">
        <f>Total!G1777</f>
        <v>PE+DF.XMA-19507</v>
      </c>
      <c r="H4" s="112" t="str">
        <f>Total!H1777</f>
        <v>Contracte de serveis per l'A.T. per a la redacció del projecte i l'estudi de seguretat i salut i la posterior direcció facultativa de les obres RAM 2019 als Serveis Territorials del Baix Llobregat (IV): Institut Esteve Terrades i Illa (Cornellà de Ll.)…</v>
      </c>
      <c r="I4" s="157">
        <f>Total!I1777</f>
        <v>41024.79</v>
      </c>
    </row>
    <row r="5" spans="1:9" x14ac:dyDescent="0.2">
      <c r="A5" s="8">
        <v>4</v>
      </c>
      <c r="B5" s="101">
        <f>Total!B1778</f>
        <v>43438</v>
      </c>
      <c r="C5" s="101">
        <f>Total!C1778</f>
        <v>43455.541666666664</v>
      </c>
      <c r="D5" s="112" t="s">
        <v>1092</v>
      </c>
      <c r="E5" s="101" t="str">
        <f>Total!E1778</f>
        <v>Edificació</v>
      </c>
      <c r="F5" s="96" t="str">
        <f>Total!F1778</f>
        <v>Projectes i Direccions Facultatives</v>
      </c>
      <c r="G5" s="112" t="str">
        <f>Total!G1778</f>
        <v>PE+DF.XMA-19508</v>
      </c>
      <c r="H5" s="112" t="str">
        <f>Total!H1778</f>
        <v>Contracte de serveis per l'A.T. per a la redacció del projecte i l'estudi de seguretat i salut i la posterior direcció facultativa de les obres RAM 2019 als Serveis Territorials del Baix Llobregat (V): Escola Montserrat(St.Just Desvern) i Inst. Joanot …</v>
      </c>
      <c r="I5" s="157">
        <f>Total!I1778</f>
        <v>46735.53</v>
      </c>
    </row>
    <row r="6" spans="1:9" x14ac:dyDescent="0.2">
      <c r="A6" s="8">
        <v>5</v>
      </c>
      <c r="B6" s="101">
        <f>Total!B1779</f>
        <v>43438</v>
      </c>
      <c r="C6" s="101">
        <f>Total!C1779</f>
        <v>43455.541666666664</v>
      </c>
      <c r="D6" s="112" t="s">
        <v>1092</v>
      </c>
      <c r="E6" s="101" t="str">
        <f>Total!E1779</f>
        <v>Edificació</v>
      </c>
      <c r="F6" s="96" t="str">
        <f>Total!F1779</f>
        <v>Projectes i Direccions Facultatives</v>
      </c>
      <c r="G6" s="112" t="str">
        <f>Total!G1779</f>
        <v>PE+DF.XMC-19515</v>
      </c>
      <c r="H6" s="112" t="str">
        <f>Total!H1779</f>
        <v>Contracte de serveis per l'A.T. per a la redacció del projecte i l'estudi de seguretat i salut i la posterior direcció facultativa de les obres RAM 2019 als Serveis Territorials als Serv. Territorials a Barcelona Comarques (II):Institut Nou Hospital…</v>
      </c>
      <c r="I6" s="157">
        <f>Total!I1779</f>
        <v>45851.24</v>
      </c>
    </row>
    <row r="7" spans="1:9" x14ac:dyDescent="0.2">
      <c r="A7" s="8">
        <v>6</v>
      </c>
      <c r="B7" s="101">
        <f>Total!B1780</f>
        <v>43438</v>
      </c>
      <c r="C7" s="101">
        <f>Total!C1780</f>
        <v>43455.541666666664</v>
      </c>
      <c r="D7" s="112" t="s">
        <v>1092</v>
      </c>
      <c r="E7" s="101" t="str">
        <f>Total!E1780</f>
        <v>Edificació</v>
      </c>
      <c r="F7" s="96" t="str">
        <f>Total!F1780</f>
        <v>Projectes i Direccions Facultatives</v>
      </c>
      <c r="G7" s="112" t="str">
        <f>Total!G1780</f>
        <v>PE+DF.XMC-19516</v>
      </c>
      <c r="H7" s="112" t="str">
        <f>Total!H1780</f>
        <v>Contracte de serveis per l'A.T. per a la redacció del projecte i l'estudi de seguretat i salut i la posterior direcció facultativa de les obres RAM 2019 als Serveis Territorials als Serv. Territorials a Barcelona Comarques (III):Escola J.Baltà Elies…</v>
      </c>
      <c r="I7" s="157">
        <f>Total!I1780</f>
        <v>41586.769999999997</v>
      </c>
    </row>
    <row r="8" spans="1:9" x14ac:dyDescent="0.2">
      <c r="A8" s="8">
        <v>7</v>
      </c>
      <c r="B8" s="101">
        <f>Total!B1781</f>
        <v>43438</v>
      </c>
      <c r="C8" s="101">
        <f>Total!C1781</f>
        <v>43455.541666666664</v>
      </c>
      <c r="D8" s="112" t="s">
        <v>1092</v>
      </c>
      <c r="E8" s="101" t="str">
        <f>Total!E1781</f>
        <v>Edificació</v>
      </c>
      <c r="F8" s="96" t="str">
        <f>Total!F1781</f>
        <v>Projectes i Direccions Facultatives</v>
      </c>
      <c r="G8" s="112" t="str">
        <f>Total!G1781</f>
        <v>PE+DF.XMC-19517</v>
      </c>
      <c r="H8" s="112" t="str">
        <f>Total!H1781</f>
        <v>Contracte de serveis per l'A.T. per a la redacció del projecte i l'estudi de seguretat i salut i la posterior direcció facultativa de les obres RAM 2019 als Serveis Territorials als Serv. Territorials a Barcelona Comarques (IV):Institut Eugeni d'Ors…</v>
      </c>
      <c r="I8" s="157">
        <f>Total!I1781</f>
        <v>43140.5</v>
      </c>
    </row>
    <row r="9" spans="1:9" x14ac:dyDescent="0.2">
      <c r="A9" s="8">
        <v>8</v>
      </c>
      <c r="B9" s="101">
        <f>Total!B1782</f>
        <v>43438</v>
      </c>
      <c r="C9" s="101">
        <f>Total!C1782</f>
        <v>43455.541666666664</v>
      </c>
      <c r="D9" s="112" t="s">
        <v>1092</v>
      </c>
      <c r="E9" s="101" t="str">
        <f>Total!E1782</f>
        <v>Edificació</v>
      </c>
      <c r="F9" s="96" t="str">
        <f>Total!F1782</f>
        <v>Projectes i Direccions Facultatives</v>
      </c>
      <c r="G9" s="112" t="str">
        <f>Total!G1782</f>
        <v>PE+DF.XMC-19518</v>
      </c>
      <c r="H9" s="112" t="str">
        <f>Total!H1782</f>
        <v>Contracte de serveis per l'A.T. per a la redacció del projecte i l'estudi de seguretat i salut i la posterior direcció facultativa de les obres RAM 2019 als Serveis Territorials als Serv. Territorials a Barcelona Comarques (V): Escola A.March(Sta.Coloma G</v>
      </c>
      <c r="I9" s="157">
        <f>Total!I1782</f>
        <v>58719.02</v>
      </c>
    </row>
    <row r="10" spans="1:9" x14ac:dyDescent="0.2">
      <c r="A10" s="8">
        <v>9</v>
      </c>
      <c r="B10" s="101">
        <f>Total!B1783</f>
        <v>43438</v>
      </c>
      <c r="C10" s="101">
        <f>Total!C1783</f>
        <v>43455.541666666664</v>
      </c>
      <c r="D10" s="112" t="s">
        <v>1092</v>
      </c>
      <c r="E10" s="101" t="str">
        <f>Total!E1783</f>
        <v>Edificació</v>
      </c>
      <c r="F10" s="96" t="str">
        <f>Total!F1783</f>
        <v>Projectes i Direccions Facultatives</v>
      </c>
      <c r="G10" s="112" t="str">
        <f>Total!G1783</f>
        <v>PE+DF.XMH-19521</v>
      </c>
      <c r="H10" s="112" t="str">
        <f>Total!H1783</f>
        <v>Contracte de serveis per l'A.T. per a la redacció del projecte i l'estudi de seguretat i salut i la posterior direcció facultativa de les obres RAM 2019 als Serveis Territorials als Serv. Territorials a Catalunya Central (I):Institut d'Auró (Santpedor)…</v>
      </c>
      <c r="I10" s="157">
        <f>Total!I1783</f>
        <v>35950.410000000003</v>
      </c>
    </row>
    <row r="11" spans="1:9" x14ac:dyDescent="0.2">
      <c r="A11" s="8">
        <v>10</v>
      </c>
      <c r="B11" s="101">
        <f>Total!B1784</f>
        <v>43438</v>
      </c>
      <c r="C11" s="101">
        <f>Total!C1784</f>
        <v>43455.541666666664</v>
      </c>
      <c r="D11" s="112" t="s">
        <v>1092</v>
      </c>
      <c r="E11" s="101" t="str">
        <f>Total!E1784</f>
        <v>Edificació</v>
      </c>
      <c r="F11" s="96" t="str">
        <f>Total!F1784</f>
        <v>Projectes i Direccions Facultatives</v>
      </c>
      <c r="G11" s="112" t="str">
        <f>Total!G1784</f>
        <v>PE+DF.XMH-19522</v>
      </c>
      <c r="H11" s="112" t="str">
        <f>Total!H1784</f>
        <v>Contracte de serveis per l'A.T. per a la redacció del projecte i l'estudi de seguretat i salut i la posterior direcció facultativa de les obres RAM 2019 als Serveis Territorials als Serv. Territorials a Catalunya Central (II): Escola El Rocal (Montesquiu)</v>
      </c>
      <c r="I11" s="157">
        <f>Total!I1784</f>
        <v>30165.29</v>
      </c>
    </row>
    <row r="12" spans="1:9" x14ac:dyDescent="0.2">
      <c r="A12" s="8">
        <v>11</v>
      </c>
      <c r="B12" s="101">
        <f>Total!B1785</f>
        <v>43438</v>
      </c>
      <c r="C12" s="101">
        <f>Total!C1785</f>
        <v>43455.541666666664</v>
      </c>
      <c r="D12" s="112" t="s">
        <v>1092</v>
      </c>
      <c r="E12" s="101" t="str">
        <f>Total!E1785</f>
        <v>Edificació</v>
      </c>
      <c r="F12" s="96" t="str">
        <f>Total!F1785</f>
        <v>Projectes i Direccions Facultatives</v>
      </c>
      <c r="G12" s="112" t="str">
        <f>Total!G1785</f>
        <v>PE+DF.XMH-19523</v>
      </c>
      <c r="H12" s="112" t="str">
        <f>Total!H1785</f>
        <v>Contracte de serveis per l'A.T. per a la redacció del projecte i l'estudi de seguretat i salut i la posterior direcció facultativa de les obres RAM 2019 als Serveis Territorials als Serv. Territorials a Catalunya Central (III):Inst.Joan Mercader (Igual…</v>
      </c>
      <c r="I12" s="157">
        <f>Total!I1785</f>
        <v>47933.88</v>
      </c>
    </row>
    <row r="13" spans="1:9" x14ac:dyDescent="0.2">
      <c r="A13" s="8">
        <v>12</v>
      </c>
      <c r="B13" s="101">
        <f>Total!B1786</f>
        <v>43438</v>
      </c>
      <c r="C13" s="101">
        <f>Total!C1786</f>
        <v>43455.541666666664</v>
      </c>
      <c r="D13" s="112" t="s">
        <v>1092</v>
      </c>
      <c r="E13" s="101" t="str">
        <f>Total!E1786</f>
        <v>Edificació</v>
      </c>
      <c r="F13" s="96" t="str">
        <f>Total!F1786</f>
        <v>Projectes i Direccions Facultatives</v>
      </c>
      <c r="G13" s="112" t="str">
        <f>Total!G1786</f>
        <v>PE+DF.XMH-19524</v>
      </c>
      <c r="H13" s="112" t="str">
        <f>Total!H1786</f>
        <v>Contracte de serveis per l'A.T. per a la redacció del projecte i l'estudi de seguretat i salut i la posterior direcció facultativa de les obres RAM 2019 als Serveis Territorials als Serv. Territorials a Catalunya Central (IV): Escola Mare de Déu…</v>
      </c>
      <c r="I13" s="157">
        <f>Total!I1786</f>
        <v>48264.47</v>
      </c>
    </row>
    <row r="14" spans="1:9" x14ac:dyDescent="0.2">
      <c r="A14" s="8">
        <v>13</v>
      </c>
      <c r="B14" s="101">
        <f>Total!B1787</f>
        <v>43438</v>
      </c>
      <c r="C14" s="101">
        <f>Total!C1787</f>
        <v>43455.541666666664</v>
      </c>
      <c r="D14" s="112" t="s">
        <v>1092</v>
      </c>
      <c r="E14" s="101" t="str">
        <f>Total!E1787</f>
        <v>Edificació</v>
      </c>
      <c r="F14" s="96" t="str">
        <f>Total!F1787</f>
        <v>Projectes i Direccions Facultatives</v>
      </c>
      <c r="G14" s="112" t="str">
        <f>Total!G1787</f>
        <v>PE+DF.XMG-19538</v>
      </c>
      <c r="H14" s="112" t="str">
        <f>Total!H1787</f>
        <v>Contracte de serveis per l'A.T. per a la redacció del projecte i l'estudi de seguretat i salut i la posterior direcció facultativa de les obres RAM 2019 als Serveis Territorials als Serv. Territorials a Girona (IV): Escola Finestres, actualització proj…</v>
      </c>
      <c r="I14" s="157">
        <f>Total!I1787</f>
        <v>27112.6</v>
      </c>
    </row>
    <row r="15" spans="1:9" x14ac:dyDescent="0.2">
      <c r="A15" s="8">
        <v>14</v>
      </c>
      <c r="B15" s="101">
        <f>Total!B1788</f>
        <v>43438</v>
      </c>
      <c r="C15" s="101">
        <f>Total!C1788</f>
        <v>43455.541666666664</v>
      </c>
      <c r="D15" s="112" t="s">
        <v>1092</v>
      </c>
      <c r="E15" s="101" t="str">
        <f>Total!E1788</f>
        <v>Edificació</v>
      </c>
      <c r="F15" s="96" t="str">
        <f>Total!F1788</f>
        <v>Projectes i Direccions Facultatives</v>
      </c>
      <c r="G15" s="112" t="str">
        <f>Total!G1788</f>
        <v>PE+DF.XMG-19539</v>
      </c>
      <c r="H15" s="112" t="str">
        <f>Total!H1788</f>
        <v>Contracte de serveis per l'A.T. per a la redacció del projecte i l'estudi de seguretat i salut i la posterior direcció facultativa de les obres RAM 2019 als Serveis Territorials als Serv. Territorials a Girona (V): Escola St. Esteve de Guialbes, act.proje</v>
      </c>
      <c r="I15" s="157">
        <f>Total!I1788</f>
        <v>18760.13</v>
      </c>
    </row>
    <row r="16" spans="1:9" x14ac:dyDescent="0.2">
      <c r="A16" s="8">
        <v>15</v>
      </c>
      <c r="B16" s="101">
        <f>Total!B1789</f>
        <v>43438</v>
      </c>
      <c r="C16" s="101">
        <f>Total!C1789</f>
        <v>43455.541666666664</v>
      </c>
      <c r="D16" s="112" t="s">
        <v>1092</v>
      </c>
      <c r="E16" s="101" t="str">
        <f>Total!E1789</f>
        <v>Edificació</v>
      </c>
      <c r="F16" s="96" t="str">
        <f>Total!F1789</f>
        <v>Projectes i Direccions Facultatives</v>
      </c>
      <c r="G16" s="112" t="str">
        <f>Total!G1789</f>
        <v>PE+DF.XML-19525</v>
      </c>
      <c r="H16" s="112" t="str">
        <f>Total!H1789</f>
        <v>Contracte de serveis per l'A.T. per a la redacció del projecte i l'estudi de seguretat i salut i la posterior direcció facultativa de les obres RAM 2019 als Serveis Territorials als Serv. Territorials a Lleida (I):Inst.Ronda, actualit.proj.,Inst.Joan Oró.</v>
      </c>
      <c r="I16" s="157">
        <f>Total!I1789</f>
        <v>20153.2</v>
      </c>
    </row>
    <row r="17" spans="1:9" x14ac:dyDescent="0.2">
      <c r="A17" s="8">
        <v>16</v>
      </c>
      <c r="B17" s="101">
        <f>Total!B1790</f>
        <v>43438</v>
      </c>
      <c r="C17" s="101">
        <f>Total!C1790</f>
        <v>43455.541666666664</v>
      </c>
      <c r="D17" s="112" t="s">
        <v>1092</v>
      </c>
      <c r="E17" s="101" t="str">
        <f>Total!E1790</f>
        <v>Edificació</v>
      </c>
      <c r="F17" s="96" t="str">
        <f>Total!F1790</f>
        <v>Projectes i Direccions Facultatives</v>
      </c>
      <c r="G17" s="112" t="str">
        <f>Total!G1790</f>
        <v>PE+DF.XML-19526</v>
      </c>
      <c r="H17" s="112" t="str">
        <f>Total!H1790</f>
        <v>Contracte de serveis per l'A.T. per a la redacció del projecte i l'estudi de seguretat i salut i la posterior direcció facultativa de les obres RAM 2019 als Serveis Territorials als Serv. Territorials a Lleida (II):Escola Aeso-ZER Pallars Jussà…</v>
      </c>
      <c r="I17" s="157">
        <f>Total!I1790</f>
        <v>15681.82</v>
      </c>
    </row>
    <row r="18" spans="1:9" x14ac:dyDescent="0.2">
      <c r="A18" s="8">
        <v>17</v>
      </c>
      <c r="B18" s="101">
        <f>Total!B1791</f>
        <v>43438</v>
      </c>
      <c r="C18" s="101">
        <f>Total!C1791</f>
        <v>43455.541666666664</v>
      </c>
      <c r="D18" s="112" t="s">
        <v>1092</v>
      </c>
      <c r="E18" s="101" t="str">
        <f>Total!E1791</f>
        <v>Edificació</v>
      </c>
      <c r="F18" s="96" t="str">
        <f>Total!F1791</f>
        <v>Projectes i Direccions Facultatives</v>
      </c>
      <c r="G18" s="112" t="str">
        <f>Total!G1791</f>
        <v>PE+DF.XML-19512</v>
      </c>
      <c r="H18" s="112" t="str">
        <f>Total!H1791</f>
        <v>Contracte de serveis per l'A.T. per a la redacció del projecte i l'estudi de seguretat i salut i la posterior direcció facultativa de les obres RAM 2019 als Serveis Territorials als Serv. Territorials a Tarragona(I): Escola César August(Tarragona)…</v>
      </c>
      <c r="I18" s="157">
        <f>Total!I1791</f>
        <v>32355.38</v>
      </c>
    </row>
    <row r="19" spans="1:9" x14ac:dyDescent="0.2">
      <c r="A19" s="8">
        <v>18</v>
      </c>
      <c r="B19" s="101">
        <f>Total!B1792</f>
        <v>43438</v>
      </c>
      <c r="C19" s="101">
        <f>Total!C1792</f>
        <v>43455.541666666664</v>
      </c>
      <c r="D19" s="112" t="s">
        <v>1092</v>
      </c>
      <c r="E19" s="101" t="str">
        <f>Total!E1792</f>
        <v>Edificació</v>
      </c>
      <c r="F19" s="96" t="str">
        <f>Total!F1792</f>
        <v>Projectes i Direccions Facultatives</v>
      </c>
      <c r="G19" s="112" t="str">
        <f>Total!G1792</f>
        <v>PE+DF.XML-19513</v>
      </c>
      <c r="H19" s="112" t="str">
        <f>Total!H1792</f>
        <v>Contracte de serveis per l'A.T. per a la redacció del projecte i l'estudi de seguretat i salut i la posterior direcció facultativa de les obres RAM 2019 als Serveis Territorials als Serv. Territorials a Tarragona(II): Inst.Baix Camp, actualització Proj…</v>
      </c>
      <c r="I19" s="157">
        <f>Total!I1792</f>
        <v>37537.69</v>
      </c>
    </row>
    <row r="20" spans="1:9" x14ac:dyDescent="0.2">
      <c r="A20" s="8">
        <v>19</v>
      </c>
      <c r="B20" s="101">
        <f>Total!B1793</f>
        <v>43438</v>
      </c>
      <c r="C20" s="101">
        <f>Total!C1793</f>
        <v>43455.541666666664</v>
      </c>
      <c r="D20" s="112" t="s">
        <v>1092</v>
      </c>
      <c r="E20" s="101" t="str">
        <f>Total!E1793</f>
        <v>Edificació</v>
      </c>
      <c r="F20" s="96" t="str">
        <f>Total!F1793</f>
        <v>Projectes i Direccions Facultatives</v>
      </c>
      <c r="G20" s="112" t="str">
        <f>Total!G1793</f>
        <v>PE+DF.XML-19533</v>
      </c>
      <c r="H20" s="112" t="str">
        <f>Total!H1793</f>
        <v>Contracte de serveis per l'A.T. per a la redacció del projecte i l'estudi de seguretat i salut i la posterior direcció facultativa de les obres RAM 2019 als Serveis Territorials als Serv. Territorials al Vallès Occidental (IX):Inst.Joan Marquès i Casals.</v>
      </c>
      <c r="I20" s="157">
        <f>Total!I1793</f>
        <v>45537.19</v>
      </c>
    </row>
    <row r="21" spans="1:9" x14ac:dyDescent="0.2">
      <c r="A21" s="8">
        <v>20</v>
      </c>
      <c r="B21" s="101">
        <f>Total!B1794</f>
        <v>43438</v>
      </c>
      <c r="C21" s="101">
        <f>Total!C1794</f>
        <v>43455.541666666664</v>
      </c>
      <c r="D21" s="112" t="s">
        <v>1092</v>
      </c>
      <c r="E21" s="101" t="str">
        <f>Total!E1794</f>
        <v>Edificació</v>
      </c>
      <c r="F21" s="96" t="str">
        <f>Total!F1794</f>
        <v>Projectes i Direccions Facultatives</v>
      </c>
      <c r="G21" s="112" t="str">
        <f>Total!G1794</f>
        <v>PE+DF.XML-19531</v>
      </c>
      <c r="H21" s="112" t="str">
        <f>Total!H1794</f>
        <v>Contracte de serveis per l'A.T. per a la redacció del projecte i l'estudi de seguretat i salut i la posterior direcció facultativa de les obres RAM 2019 als Serveis Territorials als Serv. Territorials al Vallès Occidental (VII): Institut Polinyà …</v>
      </c>
      <c r="I21" s="157">
        <f>Total!I1794</f>
        <v>55123.97</v>
      </c>
    </row>
    <row r="22" spans="1:9" x14ac:dyDescent="0.2">
      <c r="A22" s="8">
        <v>21</v>
      </c>
      <c r="B22" s="101">
        <f>Total!B1795</f>
        <v>43438</v>
      </c>
      <c r="C22" s="101">
        <f>Total!C1795</f>
        <v>43455.541666666664</v>
      </c>
      <c r="D22" s="112" t="s">
        <v>1092</v>
      </c>
      <c r="E22" s="101" t="str">
        <f>Total!E1795</f>
        <v>Edificació</v>
      </c>
      <c r="F22" s="96" t="str">
        <f>Total!F1795</f>
        <v>Projectes i Direccions Facultatives</v>
      </c>
      <c r="G22" s="112" t="str">
        <f>Total!G1795</f>
        <v>PE+DF.XMV-19532</v>
      </c>
      <c r="H22" s="112" t="str">
        <f>Total!H1795</f>
        <v>Contracte de serveis per l'A.T. per a la redacció del projecte i l'estudi de seguretat i salut i la posterior direcció facultativa de les obres RAM 2019 als Serveis Territorials als Serv. Territorials al Vallès Occidental (VIII): Inst. La Ribera….</v>
      </c>
      <c r="I22" s="157">
        <f>Total!I1795</f>
        <v>31989.16</v>
      </c>
    </row>
    <row r="23" spans="1:9" x14ac:dyDescent="0.2">
      <c r="A23" s="8">
        <v>22</v>
      </c>
      <c r="B23" s="101">
        <f>Total!B1796</f>
        <v>43438</v>
      </c>
      <c r="C23" s="101">
        <f>Total!C1796</f>
        <v>43455.541666666664</v>
      </c>
      <c r="D23" s="112" t="s">
        <v>1092</v>
      </c>
      <c r="E23" s="101" t="str">
        <f>Total!E1796</f>
        <v>Edificació</v>
      </c>
      <c r="F23" s="96" t="str">
        <f>Total!F1796</f>
        <v>Projectes i Direccions Facultatives</v>
      </c>
      <c r="G23" s="112" t="str">
        <f>Total!G1796</f>
        <v>PE+DF.XMV-19534</v>
      </c>
      <c r="H23" s="112" t="str">
        <f>Total!H1796</f>
        <v>Contracte de serveis per l'A.T. per a la redacció del projecte i l'estudi de seguretat i salut i la posterior direcció facultativa de les obres RAM 2019 als Serveis Territorials als Serv. Territorials al Vallès Occidental (X): Inst. Ca N'Oriac (Sabadell..</v>
      </c>
      <c r="I23" s="157">
        <f>Total!I1796</f>
        <v>49132.23</v>
      </c>
    </row>
    <row r="24" spans="1:9" x14ac:dyDescent="0.2">
      <c r="A24" s="8">
        <v>23</v>
      </c>
      <c r="B24" s="101">
        <f>Total!B1797</f>
        <v>43438</v>
      </c>
      <c r="C24" s="101">
        <f>Total!C1797</f>
        <v>43455.510416666664</v>
      </c>
      <c r="D24" s="112" t="s">
        <v>1092</v>
      </c>
      <c r="E24" s="101" t="str">
        <f>Total!E1797</f>
        <v>Edificació</v>
      </c>
      <c r="F24" s="96" t="str">
        <f>Total!F1797</f>
        <v>Projectes i Direccions Facultatives</v>
      </c>
      <c r="G24" s="112" t="str">
        <f>Total!G1797</f>
        <v>PE+DF.XMV-19535</v>
      </c>
      <c r="H24" s="112" t="str">
        <f>Total!H1797</f>
        <v>Contracte de serveis per l'A.T. per a la redacció del projecte i l'estudi de seguretat i salut i la posterior direcció facultativa de les obres RAM 2019 als Serveis Territorials als Serv. Territorials al Vallès Occidental (XI):Inst. Can Jofresa...</v>
      </c>
      <c r="I24" s="157">
        <f>Total!I1797</f>
        <v>41305.79</v>
      </c>
    </row>
    <row r="25" spans="1:9" x14ac:dyDescent="0.2">
      <c r="A25" s="8">
        <v>24</v>
      </c>
      <c r="B25" s="101">
        <f>Total!B1798</f>
        <v>43438</v>
      </c>
      <c r="C25" s="101">
        <f>Total!C1798</f>
        <v>43455.461805555555</v>
      </c>
      <c r="D25" s="112" t="s">
        <v>1092</v>
      </c>
      <c r="E25" s="101" t="str">
        <f>Total!E1798</f>
        <v>Edificació</v>
      </c>
      <c r="F25" s="96" t="str">
        <f>Total!F1798</f>
        <v>Projectes i Direccions Facultatives</v>
      </c>
      <c r="G25" s="112" t="str">
        <f>Total!G1798</f>
        <v>PE+DF.XME-19519</v>
      </c>
      <c r="H25" s="112" t="str">
        <f>Total!H1798</f>
        <v>Contracte de serveis per l'A.T. per a la redacció del projecte i l'estudi de seguretat i salut i la posterior direcció facultativa de les obres RAM 2019 als Serveis Territorials als Serv. Territorials de les Terres de l'Ebre (I): Escola St. Llàtzer…</v>
      </c>
      <c r="I25" s="157">
        <f>Total!I1798</f>
        <v>53925.62</v>
      </c>
    </row>
    <row r="26" spans="1:9" x14ac:dyDescent="0.2">
      <c r="A26" s="8">
        <v>25</v>
      </c>
      <c r="B26" s="101">
        <f>Total!B1799</f>
        <v>43438</v>
      </c>
      <c r="C26" s="101">
        <f>Total!C1799</f>
        <v>43455.541666666664</v>
      </c>
      <c r="D26" s="112" t="s">
        <v>1092</v>
      </c>
      <c r="E26" s="101" t="str">
        <f>Total!E1799</f>
        <v>Edificació</v>
      </c>
      <c r="F26" s="96" t="str">
        <f>Total!F1799</f>
        <v>Projectes i Direccions Facultatives</v>
      </c>
      <c r="G26" s="112" t="str">
        <f>Total!G1799</f>
        <v>PE+DF.XME-19520</v>
      </c>
      <c r="H26" s="112" t="str">
        <f>Total!H1799</f>
        <v>Contracte de serveis per l'A.T. per a la redacció del projecte i l'estudi de seguretat i salut i la posterior direcció facultativa de les obres RAM 2019 als Serveis Territorials als Serv. Territorials de les Terres de l'Ebre (II):EscolaEl Verger (Garcia).</v>
      </c>
      <c r="I26" s="157">
        <f>Total!I1799</f>
        <v>27382.23</v>
      </c>
    </row>
    <row r="27" spans="1:9" x14ac:dyDescent="0.2">
      <c r="A27" s="8">
        <v>26</v>
      </c>
      <c r="B27" s="101">
        <f>Total!B1800</f>
        <v>43438</v>
      </c>
      <c r="C27" s="101">
        <f>Total!C1800</f>
        <v>43455.541666666664</v>
      </c>
      <c r="D27" s="112" t="s">
        <v>1092</v>
      </c>
      <c r="E27" s="101" t="str">
        <f>Total!E1800</f>
        <v>Edificació</v>
      </c>
      <c r="F27" s="96" t="str">
        <f>Total!F1800</f>
        <v>Projectes i Direccions Facultatives</v>
      </c>
      <c r="G27" s="112" t="str">
        <f>Total!G1800</f>
        <v>PE+DF.XMA-19504</v>
      </c>
      <c r="H27" s="112" t="str">
        <f>Total!H1800</f>
        <v>Contracte de serveis per l'A.T. per a la redacció del projecte i l'estudi de seguretat i salut i la posterior direcció facultativa de les obres RAM 2019 als Serveis Territorials als Serv. Territorials del Baix Llobregat (I)…</v>
      </c>
      <c r="I27" s="157">
        <f>Total!I1800</f>
        <v>55723.14</v>
      </c>
    </row>
    <row r="28" spans="1:9" x14ac:dyDescent="0.2">
      <c r="A28" s="8">
        <v>27</v>
      </c>
      <c r="B28" s="101">
        <f>Total!B1801</f>
        <v>43438</v>
      </c>
      <c r="C28" s="101">
        <f>Total!C1801</f>
        <v>43455.541666666664</v>
      </c>
      <c r="D28" s="112" t="s">
        <v>1092</v>
      </c>
      <c r="E28" s="101" t="str">
        <f>Total!E1801</f>
        <v>Edificació</v>
      </c>
      <c r="F28" s="96" t="str">
        <f>Total!F1801</f>
        <v>Projectes i Direccions Facultatives</v>
      </c>
      <c r="G28" s="112" t="str">
        <f>Total!G1801</f>
        <v>PE+DF.XMV-19528</v>
      </c>
      <c r="H28" s="112" t="str">
        <f>Total!H1801</f>
        <v>Contracte de serveis per l'A.T. per a la redacció del projecte i l'estudi de seguretat i salut i la posterior direcció facultativa de les obres RAM 2019 als Serveis Territorials als Serv. Territorials al V.Occidental (IV):Escola Bellaterra (Cerdanyola V..</v>
      </c>
      <c r="I28" s="157">
        <f>Total!I1801</f>
        <v>46480.89</v>
      </c>
    </row>
    <row r="29" spans="1:9" x14ac:dyDescent="0.2">
      <c r="A29" s="8">
        <v>28</v>
      </c>
      <c r="B29" s="101">
        <f>Total!B1802</f>
        <v>43438</v>
      </c>
      <c r="C29" s="101">
        <f>Total!C1802</f>
        <v>43455.541666666664</v>
      </c>
      <c r="D29" s="112" t="s">
        <v>1092</v>
      </c>
      <c r="E29" s="101" t="str">
        <f>Total!E1802</f>
        <v>Edificació</v>
      </c>
      <c r="F29" s="96" t="str">
        <f>Total!F1802</f>
        <v>Projectes i Direccions Facultatives</v>
      </c>
      <c r="G29" s="112" t="str">
        <f>Total!G1802</f>
        <v>PE+DF.XMC-19514</v>
      </c>
      <c r="H29" s="112" t="str">
        <f>Total!H1802</f>
        <v>Contracte de serveis per l'A.T. per a la redacció del projecte i l'estudi de seguretat i salut i la posterior direcció facultativa de les obres RAM 2019 als Serveis Territorials als Serv. Territorials a Barcelona Comarques (I):Institut La Riera (Badalona)</v>
      </c>
      <c r="I29" s="157">
        <f>Total!I1802</f>
        <v>49471.08</v>
      </c>
    </row>
    <row r="30" spans="1:9" x14ac:dyDescent="0.2">
      <c r="A30" s="8">
        <v>29</v>
      </c>
      <c r="B30" s="101">
        <f>Total!B1803</f>
        <v>43438</v>
      </c>
      <c r="C30" s="101">
        <f>Total!C1803</f>
        <v>43455.541666666664</v>
      </c>
      <c r="D30" s="112" t="s">
        <v>1092</v>
      </c>
      <c r="E30" s="101" t="str">
        <f>Total!E1803</f>
        <v>Edificació</v>
      </c>
      <c r="F30" s="96" t="str">
        <f>Total!F1803</f>
        <v>Projectes i Direccions Facultatives</v>
      </c>
      <c r="G30" s="112" t="str">
        <f>Total!G1803</f>
        <v>PE+DF.XMM-19509</v>
      </c>
      <c r="H30" s="112" t="str">
        <f>Total!H1803</f>
        <v>Contracte de serveis per l'A.T. per a la redacció del projecte i l'estudi de seguretat i salut i la posterior direcció facultativa de les obres RAM 2019 als Serveis Territorials del Maresme-Vallès (I): Inst.les Cinc Sènies (Mataró), Inst.de Tiana….</v>
      </c>
      <c r="I30" s="157">
        <f>Total!I1803</f>
        <v>55504.14</v>
      </c>
    </row>
    <row r="31" spans="1:9" x14ac:dyDescent="0.2">
      <c r="A31" s="8">
        <v>30</v>
      </c>
      <c r="B31" s="101">
        <f>Total!B1804</f>
        <v>43438</v>
      </c>
      <c r="C31" s="101">
        <f>Total!C1804</f>
        <v>43455.541666666664</v>
      </c>
      <c r="D31" s="112" t="s">
        <v>1092</v>
      </c>
      <c r="E31" s="101" t="str">
        <f>Total!E1804</f>
        <v>Edificació</v>
      </c>
      <c r="F31" s="96" t="str">
        <f>Total!F1804</f>
        <v>Projectes i Direccions Facultatives</v>
      </c>
      <c r="G31" s="112" t="str">
        <f>Total!G1804</f>
        <v>PE+DF.XMM-19510</v>
      </c>
      <c r="H31" s="112" t="str">
        <f>Total!H1804</f>
        <v>Contracte de serveis per l'A.T. per a la redacció del projecte i l'estudi de seguretat i salut i la posterior direcció facultativa de les obres RAM 2019 als Serveis Territorials del Maresme-Vallès (II): Inst.Marta Estrada (Granollers) i Inst. Escola Mar..</v>
      </c>
      <c r="I31" s="157">
        <f>Total!I1804</f>
        <v>51884.3</v>
      </c>
    </row>
    <row r="32" spans="1:9" x14ac:dyDescent="0.2">
      <c r="A32" s="8">
        <v>31</v>
      </c>
      <c r="B32" s="101">
        <f>Total!B1805</f>
        <v>43438</v>
      </c>
      <c r="C32" s="101">
        <f>Total!C1805</f>
        <v>43455.541666666664</v>
      </c>
      <c r="D32" s="112" t="s">
        <v>1092</v>
      </c>
      <c r="E32" s="101" t="str">
        <f>Total!E1805</f>
        <v>Edificació</v>
      </c>
      <c r="F32" s="96" t="str">
        <f>Total!F1805</f>
        <v>Projectes i Direccions Facultatives</v>
      </c>
      <c r="G32" s="112" t="str">
        <f>Total!G1805</f>
        <v>PE+DF.XMM-19511</v>
      </c>
      <c r="H32" s="112" t="str">
        <f>Total!H1805</f>
        <v>Contracte de serveis per l'A.T. per a la redacció del projecte i l'estudi de seguretat i salut i la posterior direcció facultativa de les obres RAM 2019 als Serveis Territorials del Maresme-Vallès (III): Inst.Escola Àngela Bransuela (Mataró)…</v>
      </c>
      <c r="I32" s="157">
        <f>Total!I1805</f>
        <v>51528.92</v>
      </c>
    </row>
    <row r="33" spans="1:9" x14ac:dyDescent="0.2">
      <c r="A33" s="8">
        <v>32</v>
      </c>
      <c r="B33" s="101">
        <f>Total!B1806</f>
        <v>43438</v>
      </c>
      <c r="C33" s="101">
        <f>Total!C1806</f>
        <v>43453.541666666664</v>
      </c>
      <c r="D33" s="112" t="s">
        <v>1092</v>
      </c>
      <c r="E33" s="101" t="str">
        <f>Total!E1806</f>
        <v>Obra Civil</v>
      </c>
      <c r="F33" s="96" t="str">
        <f>Total!F1806</f>
        <v>Direccions d'Obra</v>
      </c>
      <c r="G33" s="112" t="str">
        <f>Total!G1806</f>
        <v>EV-MA-19900</v>
      </c>
      <c r="H33" s="112" t="str">
        <f>Total!H1806</f>
        <v>Contracte de serveis per l'AT. Per l'execució de seguiments dels treballs de millora de l'hàbitat estepari. Mesures compensatòries del regadiu del sistema Segarra-Garrigues. Campanya 2019-2020.</v>
      </c>
      <c r="I33" s="157">
        <f>Total!I1806</f>
        <v>162895.56</v>
      </c>
    </row>
    <row r="34" spans="1:9" x14ac:dyDescent="0.2">
      <c r="A34" s="8">
        <v>33</v>
      </c>
      <c r="B34" s="101">
        <f>Total!B1807</f>
        <v>43439</v>
      </c>
      <c r="C34" s="101">
        <f>Total!C1807</f>
        <v>43455.541666666664</v>
      </c>
      <c r="D34" s="112" t="s">
        <v>1092</v>
      </c>
      <c r="E34" s="101" t="str">
        <f>Total!E1807</f>
        <v>Edificació</v>
      </c>
      <c r="F34" s="96" t="str">
        <f>Total!F1807</f>
        <v>Projectes i Direccions Facultatives</v>
      </c>
      <c r="G34" s="112" t="str">
        <f>Total!G1807</f>
        <v>PE+DF. XMA-19506</v>
      </c>
      <c r="H34" s="112" t="str">
        <f>Total!H1807</f>
        <v>Redacció del projecte i l'estudi de seguretat i salut i la posterior direcció facultativa de les obres RAM 2019 als Serveis Territorials del Baix Llobregat (III): Escola Àngel Guimerà (Pallejà) i Institut El Palau (Sant Andreu de la Barca).</v>
      </c>
      <c r="I34" s="157">
        <f>Total!I1807</f>
        <v>40743.800000000003</v>
      </c>
    </row>
    <row r="35" spans="1:9" x14ac:dyDescent="0.2">
      <c r="A35" s="8">
        <v>34</v>
      </c>
      <c r="B35" s="101">
        <f>Total!B1808</f>
        <v>43439</v>
      </c>
      <c r="C35" s="101">
        <f>Total!C1808</f>
        <v>43455.541666666664</v>
      </c>
      <c r="D35" s="112" t="s">
        <v>1092</v>
      </c>
      <c r="E35" s="101" t="str">
        <f>Total!E1808</f>
        <v>Edificació</v>
      </c>
      <c r="F35" s="96" t="str">
        <f>Total!F1808</f>
        <v>Projectes i Direccions Facultatives</v>
      </c>
      <c r="G35" s="112" t="str">
        <f>Total!G1808</f>
        <v>PE+DF.XMV-19530</v>
      </c>
      <c r="H35" s="112" t="str">
        <f>Total!H1808</f>
        <v>Red. proj. i est. S.S. i posterior dir. facult. obres RAM 2019 als Serv. Territ. al Vallès Occidental (VI):Institut J.V. Foix (Rubí), Institut La Serreta (Rubí), Institut Montserrat Roig (Terrassa) i Escola Espronceda (Sabadell).</v>
      </c>
      <c r="I35" s="157">
        <f>Total!I1808</f>
        <v>29958.68</v>
      </c>
    </row>
    <row r="36" spans="1:9" x14ac:dyDescent="0.2">
      <c r="A36" s="8">
        <v>35</v>
      </c>
      <c r="B36" s="101">
        <f>Total!B1809</f>
        <v>43439</v>
      </c>
      <c r="C36" s="101">
        <f>Total!C1809</f>
        <v>43455.541666666664</v>
      </c>
      <c r="D36" s="112" t="s">
        <v>1092</v>
      </c>
      <c r="E36" s="101" t="str">
        <f>Total!E1809</f>
        <v>Edificació</v>
      </c>
      <c r="F36" s="96" t="str">
        <f>Total!F1809</f>
        <v>Projectes i Direccions Facultatives</v>
      </c>
      <c r="G36" s="112" t="str">
        <f>Total!G1809</f>
        <v>PE+DF.XMV-19529</v>
      </c>
      <c r="H36" s="112" t="str">
        <f>Total!H1809</f>
        <v>Red. proj. i est. S.S. i posterior dir. facult. obres RAM 2019 als Serv. Territ. al Vallès Occidental (V): Institut Ribot i Serra (Sabadell), Escola La Mirada (Sant Cugat del Vallès), Institut Arraona (Sabadell) i Institut Can Planas (Barberà del Vallès).</v>
      </c>
      <c r="I36" s="157">
        <f>Total!I1809</f>
        <v>48595.040000000001</v>
      </c>
    </row>
    <row r="37" spans="1:9" x14ac:dyDescent="0.2">
      <c r="A37" s="8">
        <v>36</v>
      </c>
      <c r="B37" s="101">
        <f>Total!B1810</f>
        <v>43439</v>
      </c>
      <c r="C37" s="101">
        <f>Total!C1810</f>
        <v>43455.541666666664</v>
      </c>
      <c r="D37" s="112" t="s">
        <v>1092</v>
      </c>
      <c r="E37" s="101" t="str">
        <f>Total!E1810</f>
        <v>Edificació</v>
      </c>
      <c r="F37" s="96" t="str">
        <f>Total!F1810</f>
        <v>Projectes i Direccions Facultatives</v>
      </c>
      <c r="G37" s="112" t="str">
        <f>Total!G1810</f>
        <v>PE+DF.XMG-19537</v>
      </c>
      <c r="H37" s="112" t="str">
        <f>Total!H1810</f>
        <v>Red. proj. i est. S.S. i posterior dir. facult. obres RAM 2019 als Serv. Territ. a  Girona (III): Institut Santa Eugènia, actualització projecte, (Girona) i Escola Frigolet, actualització projecte, (Porqueres).</v>
      </c>
      <c r="I37" s="157">
        <f>Total!I1810</f>
        <v>16339.47</v>
      </c>
    </row>
    <row r="38" spans="1:9" x14ac:dyDescent="0.2">
      <c r="A38" s="8">
        <v>37</v>
      </c>
      <c r="B38" s="101">
        <f>Total!B1811</f>
        <v>43439</v>
      </c>
      <c r="C38" s="101">
        <f>Total!C1811</f>
        <v>43455.541666666664</v>
      </c>
      <c r="D38" s="112" t="s">
        <v>1092</v>
      </c>
      <c r="E38" s="101" t="str">
        <f>Total!E1811</f>
        <v>Edificació</v>
      </c>
      <c r="F38" s="96" t="str">
        <f>Total!F1811</f>
        <v>Projectes i Direccions Facultatives</v>
      </c>
      <c r="G38" s="112" t="str">
        <f>Total!G1811</f>
        <v>PE+DF.XMG-19536</v>
      </c>
      <c r="H38" s="112" t="str">
        <f>Total!H1811</f>
        <v>Red. proj. i est. S.S. i posterior dir. facult. obres RAM 2019 als Serv. Territ. a  Girona (II): Institut Ermesenda (Girona) i Institut Sarrià (Sarrià de Ter).</v>
      </c>
      <c r="I38" s="157">
        <f>Total!I1811</f>
        <v>37148.76</v>
      </c>
    </row>
    <row r="39" spans="1:9" x14ac:dyDescent="0.2">
      <c r="A39" s="8">
        <v>39</v>
      </c>
      <c r="B39" s="101">
        <f>Total!B1813</f>
        <v>43445</v>
      </c>
      <c r="C39" s="101">
        <f>Total!C1813</f>
        <v>43472</v>
      </c>
      <c r="D39" s="112" t="s">
        <v>1092</v>
      </c>
      <c r="E39" s="101" t="str">
        <f>Total!E1813</f>
        <v>Edificació</v>
      </c>
      <c r="F39" s="96" t="str">
        <f>Total!F1813</f>
        <v>Direccions d'execució</v>
      </c>
      <c r="G39" s="112" t="str">
        <f>Total!G1813</f>
        <v>DE .CGM-17248</v>
      </c>
      <c r="H39" s="112" t="str">
        <f>Total!H1813</f>
        <v>Contracte de serveis per a l'assistència tècnica per a la Direcció d'Execució de les obres RAM de millores de seguretat i videovigilància en diverses comissaries de Mossos d'Esquadra.</v>
      </c>
      <c r="I39" s="157">
        <f>Total!I1813</f>
        <v>26000</v>
      </c>
    </row>
    <row r="40" spans="1:9" x14ac:dyDescent="0.2">
      <c r="A40" s="8">
        <v>40</v>
      </c>
      <c r="B40" s="101">
        <f>Total!B1814</f>
        <v>43446</v>
      </c>
      <c r="C40" s="101">
        <f>Total!C1814</f>
        <v>43474</v>
      </c>
      <c r="D40" s="112" t="s">
        <v>1092</v>
      </c>
      <c r="E40" s="101" t="str">
        <f>Total!E1814</f>
        <v>Edificació</v>
      </c>
      <c r="F40" s="96" t="str">
        <f>Total!F1814</f>
        <v>Control de Qualitat</v>
      </c>
      <c r="G40" s="112" t="str">
        <f>Total!G1814</f>
        <v>CQ. VGM-17227</v>
      </c>
      <c r="H40" s="112" t="str">
        <f>Total!H1814</f>
        <v>Control de qualitat de les obres RAM de substitució i millora de les instal·lacions de l'edifici A i accessos del complex Central de Sabadell.</v>
      </c>
      <c r="I40" s="157">
        <f>Total!I1814</f>
        <v>5920.14</v>
      </c>
    </row>
    <row r="41" spans="1:9" x14ac:dyDescent="0.2">
      <c r="A41" s="8">
        <v>41</v>
      </c>
      <c r="B41" s="101">
        <f>Total!B1815</f>
        <v>43447</v>
      </c>
      <c r="C41" s="101">
        <f>Total!C1815</f>
        <v>43472</v>
      </c>
      <c r="D41" s="112" t="s">
        <v>1092</v>
      </c>
      <c r="E41" s="101" t="str">
        <f>Total!E1815</f>
        <v>Edificació</v>
      </c>
      <c r="F41" s="96" t="str">
        <f>Total!F1815</f>
        <v>Control de Qualitat</v>
      </c>
      <c r="G41" s="112" t="str">
        <f>Total!G1815</f>
        <v>CQ. IAA-16255</v>
      </c>
      <c r="H41" s="112" t="str">
        <f>Total!H1815</f>
        <v>Contracte de serveis per a l'assistència tècnica de control de qualitat de les obres d'adequació i ampliació a Institut 3/2 L a l'Institut Badia Margarit d'Igualada.</v>
      </c>
      <c r="I41" s="157">
        <f>Total!I1815</f>
        <v>35192.71</v>
      </c>
    </row>
    <row r="42" spans="1:9" x14ac:dyDescent="0.2">
      <c r="A42" s="8">
        <v>42</v>
      </c>
      <c r="B42" s="101">
        <f>Total!B1816</f>
        <v>43447</v>
      </c>
      <c r="C42" s="101">
        <f>Total!C1816</f>
        <v>43474</v>
      </c>
      <c r="D42" s="112" t="s">
        <v>1092</v>
      </c>
      <c r="E42" s="101" t="str">
        <f>Total!E1816</f>
        <v>Edificació</v>
      </c>
      <c r="F42" s="96" t="str">
        <f>Total!F1816</f>
        <v>Direccions d'execució</v>
      </c>
      <c r="G42" s="112" t="str">
        <f>Total!G1816</f>
        <v>CSS. IAA-16255</v>
      </c>
      <c r="H42" s="112" t="str">
        <f>Total!H1816</f>
        <v>Contracte de serveis per a l'assistència tècnica per la coordinació de seguretat i salut de l'execució de les obres d'adequació i ampliació a Institut 3/2 L a l'Institut Badia i Margarit d'Igualada.</v>
      </c>
      <c r="I42" s="157">
        <f>Total!I1816</f>
        <v>26334.400000000001</v>
      </c>
    </row>
    <row r="43" spans="1:9" x14ac:dyDescent="0.2">
      <c r="A43" s="8">
        <v>43</v>
      </c>
      <c r="B43" s="101">
        <f>Total!B1817</f>
        <v>43447</v>
      </c>
      <c r="C43" s="101">
        <f>Total!C1817</f>
        <v>43474</v>
      </c>
      <c r="D43" s="112" t="s">
        <v>1092</v>
      </c>
      <c r="E43" s="101" t="str">
        <f>Total!E1817</f>
        <v>Edificació</v>
      </c>
      <c r="F43" s="96" t="str">
        <f>Total!F1817</f>
        <v>Direccions d'execució</v>
      </c>
      <c r="G43" s="112" t="str">
        <f>Total!G1817</f>
        <v>CSS. VGM-17227</v>
      </c>
      <c r="H43" s="112" t="str">
        <f>Total!H1817</f>
        <v>Contracte de serveis per a l'assistència tècnica per la coordinació de seguretat i salut de l'execució de les obres RAM de substitució i millora de les instal·lacions de l'edifici A i accessos del complex Central de Sabadell.</v>
      </c>
      <c r="I43" s="157">
        <f>Total!I1817</f>
        <v>4800</v>
      </c>
    </row>
    <row r="44" spans="1:9" x14ac:dyDescent="0.2">
      <c r="A44" s="8">
        <v>44</v>
      </c>
      <c r="B44" s="101">
        <f>Total!B1818</f>
        <v>43448</v>
      </c>
      <c r="C44" s="101">
        <f>Total!C1818</f>
        <v>43474</v>
      </c>
      <c r="D44" s="112" t="s">
        <v>1092</v>
      </c>
      <c r="E44" s="101" t="str">
        <f>Total!E1818</f>
        <v>Obra Civil</v>
      </c>
      <c r="F44" s="96" t="str">
        <f>Total!F1818</f>
        <v>Direccions d'Obra</v>
      </c>
      <c r="G44" s="112" t="str">
        <f>Total!G1818</f>
        <v>CSS. MC-14006</v>
      </c>
      <c r="H44" s="112" t="str">
        <f>Total!H1818</f>
        <v>Coordinació de seguretat i salut de l'execució de les obres del projecte constructiu de millora local. Seguretat viària. Estudi i implantació de millores en seguretat viària per a motoristes a la xarxa de carreteres de la Generalitat. Any 2014.</v>
      </c>
      <c r="I44" s="157">
        <f>Total!I1818</f>
        <v>10800</v>
      </c>
    </row>
    <row r="45" spans="1:9" x14ac:dyDescent="0.2">
      <c r="A45" s="8">
        <v>45</v>
      </c>
      <c r="B45" s="101">
        <f>Total!B1819</f>
        <v>43451</v>
      </c>
      <c r="C45" s="101">
        <f>Total!C1819</f>
        <v>43474</v>
      </c>
      <c r="D45" s="112" t="s">
        <v>1092</v>
      </c>
      <c r="E45" s="101" t="str">
        <f>Total!E1819</f>
        <v>Edificació</v>
      </c>
      <c r="F45" s="96" t="str">
        <f>Total!F1819</f>
        <v>Direccions d'execució</v>
      </c>
      <c r="G45" s="112" t="str">
        <f>Total!G1819</f>
        <v>DE. PAV-16212</v>
      </c>
      <c r="H45" s="112" t="str">
        <f>Total!H1819</f>
        <v>Contracte de serveis per a l'assistència tècnica de Direcció d'execució de les obres d'Ampliació Escola per a nova construcció edifici educació infantil a l'Escola Purificació Salas i Xandri de Sant Quirzedel Vallès.</v>
      </c>
      <c r="I45" s="157">
        <f>Total!I1819</f>
        <v>20286</v>
      </c>
    </row>
    <row r="46" spans="1:9" x14ac:dyDescent="0.2">
      <c r="A46" s="8">
        <v>46</v>
      </c>
      <c r="B46" s="101">
        <f>Total!B1820</f>
        <v>43454</v>
      </c>
      <c r="C46" s="101">
        <f>Total!C1820</f>
        <v>43500</v>
      </c>
      <c r="D46" s="112" t="s">
        <v>1092</v>
      </c>
      <c r="E46" s="101" t="str">
        <f>Total!E1820</f>
        <v>Obra Civil</v>
      </c>
      <c r="F46" s="96" t="str">
        <f>Total!F1820</f>
        <v>Direccions d'Obra</v>
      </c>
      <c r="G46" s="112" t="str">
        <f>Total!G1820</f>
        <v>DO.TM-09294.A2</v>
      </c>
      <c r="H46" s="112" t="str">
        <f>Total!H1820</f>
        <v>Direcció conjunta de les obres del "Projecte constructiu de la nova estació entre Collblanc i Pubilla Cases de la Línia 5 de l'FMB. Arquitectura i instal·lacions. Projecte actualitzat. Fase 1 (Lot 1 i Lot 2) i Fase 2".</v>
      </c>
      <c r="I46" s="157">
        <f>Total!I1820</f>
        <v>706000</v>
      </c>
    </row>
    <row r="47" spans="1:9" x14ac:dyDescent="0.2">
      <c r="A47" s="8">
        <v>47</v>
      </c>
      <c r="B47" s="101">
        <f>Total!B1821</f>
        <v>43458</v>
      </c>
      <c r="C47" s="101">
        <f>Total!C1821</f>
        <v>43474</v>
      </c>
      <c r="D47" s="112" t="s">
        <v>1092</v>
      </c>
      <c r="E47" s="101" t="str">
        <f>Total!E1821</f>
        <v>Edificació</v>
      </c>
      <c r="F47" s="96" t="str">
        <f>Total!F1821</f>
        <v>Direccions d'execució</v>
      </c>
      <c r="G47" s="112" t="str">
        <f>Total!G1821</f>
        <v>DE. INB-07393.A</v>
      </c>
      <c r="H47" s="112" t="str">
        <f>Total!H1821</f>
        <v>Contracte de serveis per a l'assistència tècnica per a la direcció d'execució de les obres de la nova construcció Institut 3/2 L (actualització) Angeleta Ferrer i Sensat a Barcelona.</v>
      </c>
      <c r="I47" s="157">
        <f>Total!I1821</f>
        <v>122500</v>
      </c>
    </row>
    <row r="48" spans="1:9" x14ac:dyDescent="0.2">
      <c r="A48" s="8">
        <v>48</v>
      </c>
      <c r="B48" s="101">
        <f>Total!B1822</f>
        <v>43458</v>
      </c>
      <c r="C48" s="101">
        <f>Total!C1822</f>
        <v>43474</v>
      </c>
      <c r="D48" s="112" t="s">
        <v>1092</v>
      </c>
      <c r="E48" s="101" t="str">
        <f>Total!E1822</f>
        <v>Edificació</v>
      </c>
      <c r="F48" s="96" t="str">
        <f>Total!F1822</f>
        <v>Control de Qualitat</v>
      </c>
      <c r="G48" s="112" t="str">
        <f>Total!G1822</f>
        <v>CQ. INB-07393.A</v>
      </c>
      <c r="H48" s="112" t="str">
        <f>Total!H1822</f>
        <v>Contracte de serveis per a l'assistència tècnica de control de qualitat de les obres de nova construcció Institut 3/2 L (actualització) Angeleta Ferrer i Sensat a Barcelona.</v>
      </c>
      <c r="I48" s="157">
        <f>Total!I1822</f>
        <v>46772.93</v>
      </c>
    </row>
    <row r="49" spans="1:9" x14ac:dyDescent="0.2">
      <c r="A49" s="8">
        <v>49</v>
      </c>
      <c r="B49" s="101">
        <f>Total!B1823</f>
        <v>43458</v>
      </c>
      <c r="C49" s="101">
        <f>Total!C1823</f>
        <v>43474</v>
      </c>
      <c r="D49" s="112" t="s">
        <v>1092</v>
      </c>
      <c r="E49" s="101" t="str">
        <f>Total!E1823</f>
        <v>Edificació</v>
      </c>
      <c r="F49" s="96" t="str">
        <f>Total!F1823</f>
        <v>Direccions d'execució</v>
      </c>
      <c r="G49" s="112" t="str">
        <f>Total!G1823</f>
        <v>DE. IAA-16255</v>
      </c>
      <c r="H49" s="112" t="str">
        <f>Total!H1823</f>
        <v>Contracte de serveis per a l'assistència tècnica de Direcció d'execució de les obres d'adequació i ampliació a Institut 3/2 L a l'Institut Badia Margarit d'Igualada.</v>
      </c>
      <c r="I49" s="157">
        <f>Total!I1823</f>
        <v>87781</v>
      </c>
    </row>
    <row r="50" spans="1:9" x14ac:dyDescent="0.2">
      <c r="A50" s="8">
        <v>50</v>
      </c>
      <c r="B50" s="101">
        <f>Total!B1824</f>
        <v>43461</v>
      </c>
      <c r="C50" s="101">
        <f>Total!C1824</f>
        <v>43479</v>
      </c>
      <c r="D50" s="112" t="s">
        <v>1092</v>
      </c>
      <c r="E50" s="101" t="str">
        <f>Total!E1824</f>
        <v>Edificació</v>
      </c>
      <c r="F50" s="96" t="str">
        <f>Total!F1824</f>
        <v>Control de Qualitat</v>
      </c>
      <c r="G50" s="112" t="str">
        <f>Total!G1824</f>
        <v>CQ.CCG-16273</v>
      </c>
      <c r="H50" s="112" t="str">
        <f>Total!H1824</f>
        <v>Contracte de serveis per a l'assistència tècnica per al control de qualitat de les obres de Remodelació de la Comissaria de la Policia de la Generalitat-Mossos d'Esquadra a Banyoles.</v>
      </c>
      <c r="I50" s="157">
        <f>Total!I1824</f>
        <v>7662.21</v>
      </c>
    </row>
    <row r="51" spans="1:9" x14ac:dyDescent="0.2">
      <c r="A51" s="8">
        <v>51</v>
      </c>
      <c r="B51" s="101">
        <f>Total!B1825</f>
        <v>43461</v>
      </c>
      <c r="C51" s="101">
        <f>Total!C1825</f>
        <v>43479</v>
      </c>
      <c r="D51" s="112" t="s">
        <v>1092</v>
      </c>
      <c r="E51" s="101" t="str">
        <f>Total!E1825</f>
        <v>Obra Civil</v>
      </c>
      <c r="F51" s="96" t="str">
        <f>Total!F1825</f>
        <v>Projectes</v>
      </c>
      <c r="G51" s="112" t="str">
        <f>Total!G1825</f>
        <v>E2 -INF-18500</v>
      </c>
      <c r="H51" s="112" t="str">
        <f>Total!H1825</f>
        <v>Assit. tècnica per a la investigació i assessorament en temes geotècnics de les infraestructures gestionades per Infraestructures de la Generalitat de Catalunya, SAU (Infraestructures.cat) i per l'ens Infraestructures Ferroviàries de Catalunya (Ifercat).</v>
      </c>
      <c r="I51" s="157">
        <f>Total!I1825</f>
        <v>100000</v>
      </c>
    </row>
    <row r="52" spans="1:9" x14ac:dyDescent="0.2">
      <c r="I52" s="126">
        <f>SUM(I2:I51)</f>
        <v>2803351.7399999998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A33A3-BF3F-442B-9E62-5E3A84F4ED8C}">
  <dimension ref="A1:I76"/>
  <sheetViews>
    <sheetView topLeftCell="A49" workbookViewId="0">
      <selection activeCell="A49"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90"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Total!B3648</f>
        <v>45048</v>
      </c>
      <c r="C2" s="101">
        <f>Total!C3648</f>
        <v>45084</v>
      </c>
      <c r="D2" s="112" t="s">
        <v>1092</v>
      </c>
      <c r="E2" s="332" t="str">
        <f>Total!E3648</f>
        <v>Obra Civil</v>
      </c>
      <c r="F2" s="96" t="str">
        <f>Total!F3648</f>
        <v>Projectes</v>
      </c>
      <c r="G2" s="112" t="str">
        <f>Total!G3648</f>
        <v>PC. AL-99276-A1</v>
      </c>
      <c r="H2" s="112" t="str">
        <f>Total!H3648</f>
        <v>Contracte de serveis per a l'assistència tècnica per a la redacció del projecte constructiu. Eixamplament i millora del traçat de la C-26 al PK 116+930 fins al 10+790 de la B-420. Navès - Montmajor.</v>
      </c>
      <c r="I2" s="157">
        <f>Total!I3648</f>
        <v>381370</v>
      </c>
    </row>
    <row r="3" spans="1:9" x14ac:dyDescent="0.2">
      <c r="A3" s="8">
        <v>2</v>
      </c>
      <c r="B3" s="101">
        <f>Total!B3649</f>
        <v>45048</v>
      </c>
      <c r="C3" s="101">
        <f>Total!C3649</f>
        <v>45075</v>
      </c>
      <c r="D3" s="112" t="s">
        <v>1092</v>
      </c>
      <c r="E3" s="332" t="str">
        <f>Total!E3649</f>
        <v>Edificació</v>
      </c>
      <c r="F3" s="96" t="str">
        <f>Total!F3649</f>
        <v>Direccions d'Obra</v>
      </c>
      <c r="G3" s="112" t="str">
        <f>Total!G3649</f>
        <v>DO. HTT-21212</v>
      </c>
      <c r="H3" s="112" t="str">
        <f>Total!H3649</f>
        <v>Contracte de serveis per a l'assistència tècnica de la direcció de les obres de l'Ampliació de l'Hospital Verge de la Cinta de Tortosa.</v>
      </c>
      <c r="I3" s="157">
        <f>Total!I3649</f>
        <v>595766.23</v>
      </c>
    </row>
    <row r="4" spans="1:9" x14ac:dyDescent="0.2">
      <c r="A4" s="8">
        <v>3</v>
      </c>
      <c r="B4" s="101">
        <f>Total!B3650</f>
        <v>45048</v>
      </c>
      <c r="C4" s="101">
        <f>Total!C3650</f>
        <v>45068</v>
      </c>
      <c r="D4" s="112" t="s">
        <v>1092</v>
      </c>
      <c r="E4" s="332" t="str">
        <f>Total!E3650</f>
        <v>Edificació</v>
      </c>
      <c r="F4" s="96" t="str">
        <f>Total!F3650</f>
        <v>Projectes</v>
      </c>
      <c r="G4" s="112" t="str">
        <f>Total!G3650</f>
        <v>E1-INF-23500</v>
      </c>
      <c r="H4" s="112" t="str">
        <f>Total!H3650</f>
        <v>Contracte de serveis d'assistència tècnica per a la investigació i assessorament en temes estructurals de les infraestructures gestionades per Infraestructures de la Generalitat de Catalunya, SAU (Infraestructures.cat).</v>
      </c>
      <c r="I4" s="157">
        <f>Total!I3650</f>
        <v>100000</v>
      </c>
    </row>
    <row r="5" spans="1:9" x14ac:dyDescent="0.2">
      <c r="A5" s="8">
        <v>4</v>
      </c>
      <c r="B5" s="101">
        <f>Total!B3651</f>
        <v>45048</v>
      </c>
      <c r="C5" s="101">
        <f>Total!C3651</f>
        <v>45068</v>
      </c>
      <c r="D5" s="112" t="s">
        <v>1092</v>
      </c>
      <c r="E5" s="332" t="str">
        <f>Total!E3651</f>
        <v>Obra Civil</v>
      </c>
      <c r="F5" s="96" t="str">
        <f>Total!F3651</f>
        <v>Projectes</v>
      </c>
      <c r="G5" s="112" t="str">
        <f>Total!G3651</f>
        <v>E2-INF-23500</v>
      </c>
      <c r="H5" s="112" t="str">
        <f>Total!H3651</f>
        <v>Contracte de serveis d'assistència tècnica per a la investigació i assessorament en temes geotècnics de les infraestructures gestionades per Infraestructures de la Generalitat de Catalunya, SAU (Infraestructures.cat).</v>
      </c>
      <c r="I5" s="157">
        <f>Total!I3651</f>
        <v>100000</v>
      </c>
    </row>
    <row r="6" spans="1:9" x14ac:dyDescent="0.2">
      <c r="A6" s="8">
        <v>5</v>
      </c>
      <c r="B6" s="101">
        <f>Total!B3652</f>
        <v>45049</v>
      </c>
      <c r="C6" s="101">
        <f>Total!C3652</f>
        <v>45068</v>
      </c>
      <c r="D6" s="112" t="s">
        <v>1092</v>
      </c>
      <c r="E6" s="332" t="str">
        <f>Total!E3652</f>
        <v>Obra Civil</v>
      </c>
      <c r="F6" s="96" t="str">
        <f>Total!F3652</f>
        <v>Projectes</v>
      </c>
      <c r="G6" s="112" t="str">
        <f>Total!G3652</f>
        <v>PC. MG-15015.3-A1</v>
      </c>
      <c r="H6" s="112" t="str">
        <f>Total!H3652</f>
        <v>Contracte de serveis per a l'assistència tècnica per a la redacció del projecte constructiu: "Millores de seguretat a la C-66 entre els PK 50+650 al 51+700 i 52+040 al 53+500. Serinyà".</v>
      </c>
      <c r="I6" s="157">
        <f>Total!I3652</f>
        <v>182750</v>
      </c>
    </row>
    <row r="7" spans="1:9" x14ac:dyDescent="0.2">
      <c r="A7" s="8">
        <v>6</v>
      </c>
      <c r="B7" s="101">
        <f>Total!B3653</f>
        <v>45050</v>
      </c>
      <c r="C7" s="101">
        <f>Total!C3653</f>
        <v>45068</v>
      </c>
      <c r="D7" s="112" t="s">
        <v>1092</v>
      </c>
      <c r="E7" s="332" t="str">
        <f>Total!E3653</f>
        <v>Edificació</v>
      </c>
      <c r="F7" s="96" t="str">
        <f>Total!F3653</f>
        <v>Control de Qualitat</v>
      </c>
      <c r="G7" s="112" t="str">
        <f>Total!G3653</f>
        <v>CQ. SGC-22213</v>
      </c>
      <c r="H7" s="112" t="str">
        <f>Total!H3653</f>
        <v>Contracte de serveis per a l'assistència tècnica de control de qualitat de les obres de la primera fase de l'ampliació dels dipòsits documentals de l'Arxiu Nacional de Catalunya, a Sant Cugat del Vallès.</v>
      </c>
      <c r="I7" s="157">
        <f>Total!I3653</f>
        <v>58474.98</v>
      </c>
    </row>
    <row r="8" spans="1:9" x14ac:dyDescent="0.2">
      <c r="A8" s="8">
        <v>7</v>
      </c>
      <c r="B8" s="101">
        <f>Total!B3654</f>
        <v>45050</v>
      </c>
      <c r="C8" s="101">
        <f>Total!C3654</f>
        <v>45068</v>
      </c>
      <c r="D8" s="112" t="s">
        <v>1092</v>
      </c>
      <c r="E8" s="332" t="str">
        <f>Total!E3654</f>
        <v>Edificació</v>
      </c>
      <c r="F8" s="96" t="str">
        <f>Total!F3654</f>
        <v>Direccions d'Execució</v>
      </c>
      <c r="G8" s="112" t="str">
        <f>Total!G3654</f>
        <v>DE. CAP-18335</v>
      </c>
      <c r="H8" s="112" t="str">
        <f>Total!H3654</f>
        <v>Contracte de serveis per a la direcció d'execució de les obres d'ampliació i reforma del CAP Moisès Broggide l'Escala.</v>
      </c>
      <c r="I8" s="157">
        <f>Total!I3654</f>
        <v>45820</v>
      </c>
    </row>
    <row r="9" spans="1:9" x14ac:dyDescent="0.2">
      <c r="A9" s="8">
        <v>8</v>
      </c>
      <c r="B9" s="101">
        <f>Total!B3655</f>
        <v>45050</v>
      </c>
      <c r="C9" s="101">
        <f>Total!C3655</f>
        <v>45068</v>
      </c>
      <c r="D9" s="112" t="s">
        <v>1092</v>
      </c>
      <c r="E9" s="332" t="str">
        <f>Total!E3655</f>
        <v>Edificació</v>
      </c>
      <c r="F9" s="96" t="str">
        <f>Total!F3655</f>
        <v>Control de Qualitat</v>
      </c>
      <c r="G9" s="112" t="str">
        <f>Total!G3655</f>
        <v>CQ. RAM-23900</v>
      </c>
      <c r="H9" s="112" t="str">
        <f>Total!H3655</f>
        <v>Contracte de serveis per a l'assistència tècnica de control de qualitat de les obres RAM d'equipament públics del Departament d'Educació. 4 lots.</v>
      </c>
      <c r="I9" s="157">
        <f>Total!I3655</f>
        <v>82355.37</v>
      </c>
    </row>
    <row r="10" spans="1:9" x14ac:dyDescent="0.2">
      <c r="A10" s="8">
        <v>9</v>
      </c>
      <c r="B10" s="101">
        <f>Total!B3656</f>
        <v>45050</v>
      </c>
      <c r="C10" s="101">
        <f>Total!C3656</f>
        <v>45068</v>
      </c>
      <c r="D10" s="112" t="s">
        <v>1092</v>
      </c>
      <c r="E10" s="332" t="str">
        <f>Total!E3656</f>
        <v>Obra Civil</v>
      </c>
      <c r="F10" s="96" t="str">
        <f>Total!F3656</f>
        <v>Control de Qualitat</v>
      </c>
      <c r="G10" s="112" t="str">
        <f>Total!G3656</f>
        <v>CQ. VB-01055-AA</v>
      </c>
      <c r="H10" s="112" t="str">
        <f>Total!H3656</f>
        <v>Contracte de serveis per a l'assistència tècnica de control de qualitat de les obres del projecte constructiu més el seu annex d'actualització de "Variant de Sagàs a la C-62 del PK 23+000 al 25+600. Santa Maria de Merlès – Sagàs".</v>
      </c>
      <c r="I10" s="157">
        <f>Total!I3656</f>
        <v>90685.48</v>
      </c>
    </row>
    <row r="11" spans="1:9" x14ac:dyDescent="0.2">
      <c r="A11" s="8">
        <v>10</v>
      </c>
      <c r="B11" s="101">
        <f>Total!B3657</f>
        <v>45051</v>
      </c>
      <c r="C11" s="101">
        <f>Total!C3657</f>
        <v>45068</v>
      </c>
      <c r="D11" s="112" t="s">
        <v>1092</v>
      </c>
      <c r="E11" s="332" t="str">
        <f>Total!E3657</f>
        <v>Edificació</v>
      </c>
      <c r="F11" s="96" t="str">
        <f>Total!F3657</f>
        <v>Direccions d'Obra</v>
      </c>
      <c r="G11" s="112" t="str">
        <f>Total!G3657</f>
        <v>DO. TM-16202.F2</v>
      </c>
      <c r="H11" s="112" t="str">
        <f>Total!H3657</f>
        <v>Direcció de les obres de millora de l'accessibilitat dels intercanviadors de Sants - Estació (Línies L3 i L5 dels FMB - Línies ADIF), Passeig de Gràcia (Línies L2, L3 i L4 dels FMB) i Catalunya (Línies L1 i L3 dels FMB). Barcelona. Fase 2.</v>
      </c>
      <c r="I11" s="157">
        <f>Total!I3657</f>
        <v>70538.44</v>
      </c>
    </row>
    <row r="12" spans="1:9" x14ac:dyDescent="0.2">
      <c r="A12" s="8">
        <v>11</v>
      </c>
      <c r="B12" s="101">
        <f>Total!B3658</f>
        <v>45051</v>
      </c>
      <c r="C12" s="101">
        <f>Total!C3658</f>
        <v>45068</v>
      </c>
      <c r="D12" s="112" t="s">
        <v>1092</v>
      </c>
      <c r="E12" s="332" t="str">
        <f>Total!E3658</f>
        <v>Obra Civil</v>
      </c>
      <c r="F12" s="96" t="str">
        <f>Total!F3658</f>
        <v>Projectes</v>
      </c>
      <c r="G12" s="112" t="str">
        <f>Total!G3658</f>
        <v>PC-MGB-22007.F3.</v>
      </c>
      <c r="H12" s="112" t="str">
        <f>Total!H3658</f>
        <v>Redacció del projecte constructiu "Ampliació de l'accés del carrer Badajoz de l'estació de Glòries de l'L1 del Ferrocarril Metropolità de Barcelona (FMB). Barcelona. Fase 3. Remodelació del vestíbul actual i ascensor vestíbul-andana".</v>
      </c>
      <c r="I12" s="157">
        <f>Total!I3658</f>
        <v>64429.27</v>
      </c>
    </row>
    <row r="13" spans="1:9" x14ac:dyDescent="0.2">
      <c r="A13" s="8">
        <v>12</v>
      </c>
      <c r="B13" s="101">
        <f>Total!B3659</f>
        <v>45054</v>
      </c>
      <c r="C13" s="101">
        <f>Total!C3659</f>
        <v>45084</v>
      </c>
      <c r="D13" s="112" t="s">
        <v>1092</v>
      </c>
      <c r="E13" s="332" t="str">
        <f>Total!E3659</f>
        <v>Obra Civil</v>
      </c>
      <c r="F13" s="96" t="str">
        <f>Total!F3659</f>
        <v>Direccions d'Obra</v>
      </c>
      <c r="G13" s="112" t="str">
        <f>Total!G3659</f>
        <v>DO. TM-12002.4</v>
      </c>
      <c r="H13" s="112" t="str">
        <f>Total!H3659</f>
        <v>Contracte de serveis per a la direcció de les obres del projecte constructiu de millora de les condicions mecàniques de la superestructura de diversos trams de via de la L2 de FMB.</v>
      </c>
      <c r="I13" s="157">
        <f>Total!I3659</f>
        <v>276123.96999999997</v>
      </c>
    </row>
    <row r="14" spans="1:9" x14ac:dyDescent="0.2">
      <c r="A14" s="8">
        <v>13</v>
      </c>
      <c r="B14" s="101">
        <f>Total!B3660</f>
        <v>45054</v>
      </c>
      <c r="C14" s="101">
        <f>Total!C3660</f>
        <v>45084</v>
      </c>
      <c r="D14" s="112" t="s">
        <v>1092</v>
      </c>
      <c r="E14" s="332" t="str">
        <f>Total!E3660</f>
        <v>Edificació</v>
      </c>
      <c r="F14" s="96" t="str">
        <f>Total!F3660</f>
        <v>Direccions d'Execució</v>
      </c>
      <c r="G14" s="112" t="str">
        <f>Total!G3660</f>
        <v>DE. SGC-22213</v>
      </c>
      <c r="H14" s="112" t="str">
        <f>Total!H3660</f>
        <v>Contracte de serveis per a la direcció d'execució de les obres de la primera fase de l'ampliació dels dipòsits documentals de l'Arxiu Nacional de Catalunya, a Sant Cugat del Vallès.</v>
      </c>
      <c r="I14" s="157">
        <f>Total!I3660</f>
        <v>223200</v>
      </c>
    </row>
    <row r="15" spans="1:9" x14ac:dyDescent="0.2">
      <c r="A15" s="8">
        <v>14</v>
      </c>
      <c r="B15" s="101">
        <f>Total!B3661</f>
        <v>45054</v>
      </c>
      <c r="C15" s="101">
        <f>Total!C3661</f>
        <v>45077</v>
      </c>
      <c r="D15" s="112" t="s">
        <v>1092</v>
      </c>
      <c r="E15" s="332" t="str">
        <f>Total!E3661</f>
        <v>Obra Civil</v>
      </c>
      <c r="F15" s="96" t="str">
        <f>Total!F3661</f>
        <v>Direccions d'Obra</v>
      </c>
      <c r="G15" s="112" t="str">
        <f>Total!G3661</f>
        <v>CSS. ML-14044.1</v>
      </c>
      <c r="H15" s="112" t="str">
        <f>Total!H3661</f>
        <v>Contracte de serveis per a l'assistència tècnica de coordinació de seguretat i salut de les obres d'ordenació de la travessera del Pi de Sant Just i tancament de rotondes a la C-55 del PK 75+770 al 77+350. El Pi de Sant Just.</v>
      </c>
      <c r="I15" s="157">
        <f>Total!I3661</f>
        <v>7561.99</v>
      </c>
    </row>
    <row r="16" spans="1:9" x14ac:dyDescent="0.2">
      <c r="A16" s="8">
        <v>15</v>
      </c>
      <c r="B16" s="101">
        <f>Total!B3662</f>
        <v>45054</v>
      </c>
      <c r="C16" s="101">
        <f>Total!C3662</f>
        <v>45077</v>
      </c>
      <c r="D16" s="112" t="s">
        <v>1092</v>
      </c>
      <c r="E16" s="332" t="str">
        <f>Total!E3662</f>
        <v>Obra Civil</v>
      </c>
      <c r="F16" s="96" t="str">
        <f>Total!F3662</f>
        <v>Direccions d'Obra</v>
      </c>
      <c r="G16" s="112" t="str">
        <f>Total!G3662</f>
        <v>DO. ML-14044.1</v>
      </c>
      <c r="H16" s="112" t="str">
        <f>Total!H3662</f>
        <v>Contracte de serveis per a la direcció de les obres d'ordenació de la travessera del Pi de Sant Just i tancament de rotondes a la C-55 del PK 75+770 al 77+350. El Pi de Sant Just.</v>
      </c>
      <c r="I16" s="157">
        <f>Total!I3662</f>
        <v>27777.200000000001</v>
      </c>
    </row>
    <row r="17" spans="1:9" x14ac:dyDescent="0.2">
      <c r="A17" s="8">
        <v>16</v>
      </c>
      <c r="B17" s="101">
        <f>Total!B3663</f>
        <v>45054</v>
      </c>
      <c r="C17" s="101">
        <f>Total!C3663</f>
        <v>45077</v>
      </c>
      <c r="D17" s="112" t="s">
        <v>1092</v>
      </c>
      <c r="E17" s="332" t="str">
        <f>Total!E3663</f>
        <v>Obra Civil</v>
      </c>
      <c r="F17" s="96" t="str">
        <f>Total!F3663</f>
        <v>Control de Qualitat</v>
      </c>
      <c r="G17" s="112" t="str">
        <f>Total!G3663</f>
        <v>CQ. ML-14044.1</v>
      </c>
      <c r="H17" s="112" t="str">
        <f>Total!H3663</f>
        <v>Contracte de serveis per a l'assistència tècnica de Control de Qualitat de les obres d'ordenació de la travessera del Pi de Sant Just i tancament de rotondes a la C-55 del PK 75+770 al 77+350. El Pi de Sant Just.</v>
      </c>
      <c r="I17" s="157">
        <f>Total!I3663</f>
        <v>10138.83</v>
      </c>
    </row>
    <row r="18" spans="1:9" x14ac:dyDescent="0.2">
      <c r="A18" s="8">
        <v>17</v>
      </c>
      <c r="B18" s="101">
        <f>Total!B3664</f>
        <v>45054</v>
      </c>
      <c r="C18" s="101">
        <f>Total!C3664</f>
        <v>45084</v>
      </c>
      <c r="D18" s="112" t="s">
        <v>1092</v>
      </c>
      <c r="E18" s="332" t="str">
        <f>Total!E3664</f>
        <v>Obra Civil</v>
      </c>
      <c r="F18" s="96" t="str">
        <f>Total!F3664</f>
        <v>Direccions d'Obra</v>
      </c>
      <c r="G18" s="112" t="str">
        <f>Total!G3664</f>
        <v>DO. PC-CXG-17032.F2+MB-15037</v>
      </c>
      <c r="H18" s="112" t="str">
        <f>Total!H3664</f>
        <v>Direcció conjunta de les obres de "Portada d'aigües a la finca Sant Mateu. Carretera C-37, PK 168+000, marge esquerre. La Vall d'en Bas i "Reparació puntual del sosteniment del túnel de la Codina a la C-37 al PK 170+114. La Vall d'en Bas".</v>
      </c>
      <c r="I18" s="157">
        <f>Total!I3664</f>
        <v>27069.86</v>
      </c>
    </row>
    <row r="19" spans="1:9" x14ac:dyDescent="0.2">
      <c r="A19" s="8">
        <v>18</v>
      </c>
      <c r="B19" s="101">
        <f>Total!B3665</f>
        <v>45054</v>
      </c>
      <c r="C19" s="101">
        <f>Total!C3665</f>
        <v>45084</v>
      </c>
      <c r="D19" s="112" t="s">
        <v>1092</v>
      </c>
      <c r="E19" s="332" t="str">
        <f>Total!E3665</f>
        <v>Obra Civil</v>
      </c>
      <c r="F19" s="96" t="str">
        <f>Total!F3665</f>
        <v>Control de Qualitat</v>
      </c>
      <c r="G19" s="112" t="str">
        <f>Total!G3665</f>
        <v>CQ. PC-CXG-17032.F2</v>
      </c>
      <c r="H19" s="112" t="str">
        <f>Total!H3665</f>
        <v>Contracte de serveis per a l'assistència tècnica de Control de Qualitat de les obres de la portada d'aigües a la finca Sant Mateu. C-37, PK 168+000, marge esquerre. La Vall d'en Bas.</v>
      </c>
      <c r="I19" s="157">
        <f>Total!I3665</f>
        <v>5243.77</v>
      </c>
    </row>
    <row r="20" spans="1:9" x14ac:dyDescent="0.2">
      <c r="A20" s="8">
        <v>19</v>
      </c>
      <c r="B20" s="101">
        <f>Total!B3666</f>
        <v>45054</v>
      </c>
      <c r="C20" s="101">
        <f>Total!C3666</f>
        <v>45084</v>
      </c>
      <c r="D20" s="112" t="s">
        <v>1092</v>
      </c>
      <c r="E20" s="332" t="str">
        <f>Total!E3666</f>
        <v>Obra Civil</v>
      </c>
      <c r="F20" s="96" t="str">
        <f>Total!F3666</f>
        <v>Direccions d'Obra</v>
      </c>
      <c r="G20" s="112" t="str">
        <f>Total!G3666</f>
        <v>CSS. PC-CXG-17032.F2</v>
      </c>
      <c r="H20" s="112" t="str">
        <f>Total!H3666</f>
        <v>Contracte de serveis per a l'assistència tècnica de coordinació de seguretat i salut de les obres de la portada d'aigües a la finca Sant Mateu. C-37, PK 168+000, marge esquerre. La Vall d'en Bas.</v>
      </c>
      <c r="I20" s="157">
        <f>Total!I3666</f>
        <v>4165.78</v>
      </c>
    </row>
    <row r="21" spans="1:9" x14ac:dyDescent="0.2">
      <c r="A21" s="8">
        <v>20</v>
      </c>
      <c r="B21" s="101">
        <f>Total!B3667</f>
        <v>45055</v>
      </c>
      <c r="C21" s="101">
        <f>Total!C3667</f>
        <v>45077</v>
      </c>
      <c r="D21" s="112" t="s">
        <v>1092</v>
      </c>
      <c r="E21" s="332" t="str">
        <f>Total!E3667</f>
        <v>Edificació</v>
      </c>
      <c r="F21" s="96" t="str">
        <f>Total!F3667</f>
        <v>Control de Qualitat</v>
      </c>
      <c r="G21" s="112" t="str">
        <f>Total!G3667</f>
        <v>CQ. ECO-21265</v>
      </c>
      <c r="H21" s="112" t="str">
        <f>Total!H3667</f>
        <v>Contracte de serveis per a l'assistència tècnica de Control de Qualitat de les obres de reparació dels tancaments exteriors i dentells del Vapor Ros de Terrassa.</v>
      </c>
      <c r="I21" s="157">
        <f>Total!I3667</f>
        <v>3777.75</v>
      </c>
    </row>
    <row r="22" spans="1:9" x14ac:dyDescent="0.2">
      <c r="A22" s="8">
        <v>21</v>
      </c>
      <c r="B22" s="101">
        <f>Total!B3668</f>
        <v>45057</v>
      </c>
      <c r="C22" s="101">
        <f>Total!C3668</f>
        <v>45089</v>
      </c>
      <c r="D22" s="112" t="s">
        <v>1092</v>
      </c>
      <c r="E22" s="332" t="str">
        <f>Total!E3668</f>
        <v>Edificació</v>
      </c>
      <c r="F22" s="96" t="str">
        <f>Total!F3668</f>
        <v>Control de Qualitat</v>
      </c>
      <c r="G22" s="112" t="str">
        <f>Total!G3668</f>
        <v>CQ. HTT-21212</v>
      </c>
      <c r="H22" s="112" t="str">
        <f>Total!H3668</f>
        <v>Contracte de serveis per a l'assistència tècnica per al control de qualitat de les obres de l'Ampliació de l'Hospital Verge de la Cinta de Tortosa.</v>
      </c>
      <c r="I22" s="157">
        <f>Total!I3668</f>
        <v>304044.98</v>
      </c>
    </row>
    <row r="23" spans="1:9" x14ac:dyDescent="0.2">
      <c r="A23" s="8">
        <v>22</v>
      </c>
      <c r="B23" s="101">
        <f>Total!B3669</f>
        <v>45057</v>
      </c>
      <c r="C23" s="101">
        <f>Total!C3669</f>
        <v>45075</v>
      </c>
      <c r="D23" s="112" t="s">
        <v>1092</v>
      </c>
      <c r="E23" s="332" t="str">
        <f>Total!E3669</f>
        <v>Obra Civil</v>
      </c>
      <c r="F23" s="96" t="str">
        <f>Total!F3669</f>
        <v>Direccions d'Obra</v>
      </c>
      <c r="G23" s="112" t="str">
        <f>Total!G3669</f>
        <v>DO. MB-16056</v>
      </c>
      <c r="H23" s="112" t="str">
        <f>Total!H3669</f>
        <v>Contracte de serveis per a la direcció de les obres de millora local. Apantallament acústic a la carretera C-17, al PK 21+200 (Cal Pastor) i PK 22+600 (Can Duran). Tram: Granollers - Canovelles.</v>
      </c>
      <c r="I23" s="157">
        <f>Total!I3669</f>
        <v>51178</v>
      </c>
    </row>
    <row r="24" spans="1:9" x14ac:dyDescent="0.2">
      <c r="A24" s="8">
        <v>23</v>
      </c>
      <c r="B24" s="101">
        <f>Total!B3670</f>
        <v>45057</v>
      </c>
      <c r="C24" s="101">
        <f>Total!C3670</f>
        <v>45075</v>
      </c>
      <c r="D24" s="112" t="s">
        <v>1092</v>
      </c>
      <c r="E24" s="332" t="str">
        <f>Total!E3670</f>
        <v>Obra Civil</v>
      </c>
      <c r="F24" s="96" t="str">
        <f>Total!F3670</f>
        <v>Direccions d'Obra</v>
      </c>
      <c r="G24" s="112" t="str">
        <f>Total!G3670</f>
        <v>DO. PC-CPC-20035</v>
      </c>
      <c r="H24" s="112" t="str">
        <f>Total!H3670</f>
        <v>Contracte de serveis per a la direcció de les obres "Estudi i implantació de millores de seguretat viària per a motoristes a la xarxa de carreteres de la Generalitat. Any 2020".</v>
      </c>
      <c r="I24" s="157">
        <f>Total!I3670</f>
        <v>85714.32</v>
      </c>
    </row>
    <row r="25" spans="1:9" x14ac:dyDescent="0.2">
      <c r="A25" s="8">
        <v>24</v>
      </c>
      <c r="B25" s="101">
        <f>Total!B3671</f>
        <v>45057</v>
      </c>
      <c r="C25" s="101">
        <f>Total!C3671</f>
        <v>45075</v>
      </c>
      <c r="D25" s="112" t="s">
        <v>1092</v>
      </c>
      <c r="E25" s="332" t="str">
        <f>Total!E3671</f>
        <v>Obra Civil</v>
      </c>
      <c r="F25" s="96" t="str">
        <f>Total!F3671</f>
        <v>Direccions d'Obra</v>
      </c>
      <c r="G25" s="112" t="str">
        <f>Total!G3671</f>
        <v>DO. PC-CMB-17020-AA</v>
      </c>
      <c r="H25" s="112" t="str">
        <f>Total!H3671</f>
        <v>Contracte de serveis per a la direcció de les obres de millora local. Estabilització de talussos a la carretera C-31 del PK 164+000 al 176+420. Tram: Costes del Garraf (Sitges).</v>
      </c>
      <c r="I25" s="157">
        <f>Total!I3671</f>
        <v>42590.27</v>
      </c>
    </row>
    <row r="26" spans="1:9" x14ac:dyDescent="0.2">
      <c r="A26" s="8">
        <v>25</v>
      </c>
      <c r="B26" s="101">
        <f>Total!B3672</f>
        <v>45057</v>
      </c>
      <c r="C26" s="101">
        <f>Total!C3672</f>
        <v>45075</v>
      </c>
      <c r="D26" s="112" t="s">
        <v>1092</v>
      </c>
      <c r="E26" s="332" t="str">
        <f>Total!E3672</f>
        <v>Obra Civil</v>
      </c>
      <c r="F26" s="96" t="str">
        <f>Total!F3672</f>
        <v>Direccions d'Obra</v>
      </c>
      <c r="G26" s="112" t="str">
        <f>Total!G3672</f>
        <v>DO. PC-CGB-19023</v>
      </c>
      <c r="H26" s="112" t="str">
        <f>Total!H3672</f>
        <v>Contracte de serveis per a la direcció de les obres de "Rehabilitació de les obres de fàbrica a la C-31 al PK 209+775. Sant Adrià de Besòs - Badalona".</v>
      </c>
      <c r="I26" s="157">
        <f>Total!I3672</f>
        <v>54113.04</v>
      </c>
    </row>
    <row r="27" spans="1:9" x14ac:dyDescent="0.2">
      <c r="A27" s="8">
        <v>26</v>
      </c>
      <c r="B27" s="101">
        <f>Total!B3673</f>
        <v>45057</v>
      </c>
      <c r="C27" s="101">
        <f>Total!C3673</f>
        <v>45077</v>
      </c>
      <c r="D27" s="112" t="s">
        <v>1092</v>
      </c>
      <c r="E27" s="332" t="str">
        <f>Total!E3673</f>
        <v>Obra Civil</v>
      </c>
      <c r="F27" s="96" t="str">
        <f>Total!F3673</f>
        <v>Direccions d'Obra</v>
      </c>
      <c r="G27" s="112" t="str">
        <f>Total!G3673</f>
        <v>ATAM. PC-CAB-17038</v>
      </c>
      <c r="H27" s="112" t="str">
        <f>Total!H3673</f>
        <v>Contracte de serveis per a l'assistència tècnica ambiental de les obres de condicionament del tercer carril de la C-16 del PK 22+000 al 23+800. Terrassa.</v>
      </c>
      <c r="I27" s="157">
        <f>Total!I3673</f>
        <v>36109.300000000003</v>
      </c>
    </row>
    <row r="28" spans="1:9" x14ac:dyDescent="0.2">
      <c r="A28" s="8">
        <v>27</v>
      </c>
      <c r="B28" s="101">
        <f>Total!B3674</f>
        <v>45057</v>
      </c>
      <c r="C28" s="101">
        <f>Total!C3674</f>
        <v>45084</v>
      </c>
      <c r="D28" s="112" t="s">
        <v>1092</v>
      </c>
      <c r="E28" s="332" t="str">
        <f>Total!E3674</f>
        <v>Obra Civil</v>
      </c>
      <c r="F28" s="96" t="str">
        <f>Total!F3674</f>
        <v>Direccions d'Obra</v>
      </c>
      <c r="G28" s="112" t="str">
        <f>Total!G3674</f>
        <v>DO. MB-15055-C1</v>
      </c>
      <c r="H28" s="112" t="str">
        <f>Total!H3674</f>
        <v>Contracte de serveis per a la direcció de les obres de la millora de les característiques superficials del ferm i reestudi de la secció transversal. Carretera C-55, del PK 16+600 al 18+000. Castellbell i el Vilar.</v>
      </c>
      <c r="I28" s="157">
        <f>Total!I3674</f>
        <v>169392.16</v>
      </c>
    </row>
    <row r="29" spans="1:9" x14ac:dyDescent="0.2">
      <c r="A29" s="8">
        <v>28</v>
      </c>
      <c r="B29" s="101">
        <f>Total!B3675</f>
        <v>45057</v>
      </c>
      <c r="C29" s="101">
        <f>Total!C3675</f>
        <v>45077</v>
      </c>
      <c r="D29" s="112" t="s">
        <v>1092</v>
      </c>
      <c r="E29" s="332" t="str">
        <f>Total!E3675</f>
        <v>Obra Civil</v>
      </c>
      <c r="F29" s="96" t="str">
        <f>Total!F3675</f>
        <v>Direccions d'Obra</v>
      </c>
      <c r="G29" s="112" t="str">
        <f>Total!G3675</f>
        <v>ATAM. VB-01055-AA</v>
      </c>
      <c r="H29" s="112" t="str">
        <f>Total!H3675</f>
        <v>Contracte de serveis per a l'assistència tècnica ambiental de les obres del projecte constructiu més el seu annex d'actualització de "Variant de Sagàs a la C-62 del PK 23+000 al 25+600. Santa Maria de Merlès – Sagàs".</v>
      </c>
      <c r="I29" s="157">
        <f>Total!I3675</f>
        <v>35674.75</v>
      </c>
    </row>
    <row r="30" spans="1:9" x14ac:dyDescent="0.2">
      <c r="A30" s="8">
        <v>29</v>
      </c>
      <c r="B30" s="101">
        <f>Total!B3676</f>
        <v>45057</v>
      </c>
      <c r="C30" s="101">
        <f>Total!C3676</f>
        <v>45075</v>
      </c>
      <c r="D30" s="112" t="s">
        <v>1092</v>
      </c>
      <c r="E30" s="332" t="str">
        <f>Total!E3676</f>
        <v>Obra Civil</v>
      </c>
      <c r="F30" s="96" t="str">
        <f>Total!F3676</f>
        <v>Direccions d'Obra</v>
      </c>
      <c r="G30" s="112" t="str">
        <f>Total!G3676</f>
        <v>DO. PC-CCB-17025</v>
      </c>
      <c r="H30" s="112" t="str">
        <f>Total!H3676</f>
        <v>Contracte de serveis per a la direcció de les obres de "Conservació extraordinària. Reubicació del cablejat de les instal·lacions de seguretat del túnel d'Amadeu Torner. Carretera C-31 del PK 198+060 al 198+453. Tram: l'Hospitalet de Llobregat".</v>
      </c>
      <c r="I30" s="157">
        <f>Total!I3676</f>
        <v>18349.810000000001</v>
      </c>
    </row>
    <row r="31" spans="1:9" x14ac:dyDescent="0.2">
      <c r="A31" s="8">
        <v>30</v>
      </c>
      <c r="B31" s="101">
        <f>Total!B3677</f>
        <v>45057</v>
      </c>
      <c r="C31" s="101">
        <f>Total!C3677</f>
        <v>45077</v>
      </c>
      <c r="D31" s="112" t="s">
        <v>1092</v>
      </c>
      <c r="E31" s="332" t="str">
        <f>Total!E3677</f>
        <v>Obra Civil</v>
      </c>
      <c r="F31" s="96" t="str">
        <f>Total!F3677</f>
        <v>Direccions d'Obra</v>
      </c>
      <c r="G31" s="112" t="str">
        <f>Total!G3677</f>
        <v>DO. TA-16203-AA.1</v>
      </c>
      <c r="H31" s="112" t="str">
        <f>Total!H3677</f>
        <v>Contracte de serveis per a la direcció de les obres del projecte constructiu "Nova estació d'autobusos d'Almacelles".</v>
      </c>
      <c r="I31" s="157">
        <f>Total!I3677</f>
        <v>83569.789999999994</v>
      </c>
    </row>
    <row r="32" spans="1:9" x14ac:dyDescent="0.2">
      <c r="A32" s="8">
        <v>31</v>
      </c>
      <c r="B32" s="101">
        <f>Total!B3678</f>
        <v>45057</v>
      </c>
      <c r="C32" s="101">
        <f>Total!C3678</f>
        <v>45077</v>
      </c>
      <c r="D32" s="112" t="s">
        <v>1092</v>
      </c>
      <c r="E32" s="332" t="str">
        <f>Total!E3678</f>
        <v>Obra Civil</v>
      </c>
      <c r="F32" s="96" t="str">
        <f>Total!F3678</f>
        <v>Direccions d'Obra</v>
      </c>
      <c r="G32" s="112" t="str">
        <f>Total!G3678</f>
        <v>DO. PC-CMB-17031</v>
      </c>
      <c r="H32" s="112" t="str">
        <f>Total!H3678</f>
        <v>Contracte de serveis per a la direcció de les obres de la millora de talussos a l'N-141g. Aguilar de Segarra – Rajadell.</v>
      </c>
      <c r="I32" s="157">
        <f>Total!I3678</f>
        <v>20528.59</v>
      </c>
    </row>
    <row r="33" spans="1:9" x14ac:dyDescent="0.2">
      <c r="A33" s="8">
        <v>32</v>
      </c>
      <c r="B33" s="101">
        <f>Total!B3679</f>
        <v>45057</v>
      </c>
      <c r="C33" s="101">
        <f>Total!C3679</f>
        <v>45077</v>
      </c>
      <c r="D33" s="112" t="s">
        <v>1092</v>
      </c>
      <c r="E33" s="332" t="str">
        <f>Total!E3679</f>
        <v>Obra Civil</v>
      </c>
      <c r="F33" s="96" t="str">
        <f>Total!F3679</f>
        <v>Direccions d'Obra</v>
      </c>
      <c r="G33" s="112" t="str">
        <f>Total!G3679</f>
        <v>DO. MG-04010-A1</v>
      </c>
      <c r="H33" s="112" t="str">
        <f>Total!H3679</f>
        <v>Contracte de serveis per a la direcció de les obres de la millora local. Rotonda a la carretera C-66, PK 26+690. Tram: Bordils.</v>
      </c>
      <c r="I33" s="157">
        <f>Total!I3679</f>
        <v>15985.7</v>
      </c>
    </row>
    <row r="34" spans="1:9" x14ac:dyDescent="0.2">
      <c r="A34" s="8">
        <v>33</v>
      </c>
      <c r="B34" s="101">
        <f>Total!B3680</f>
        <v>45057</v>
      </c>
      <c r="C34" s="101">
        <f>Total!C3680</f>
        <v>45075</v>
      </c>
      <c r="D34" s="112" t="s">
        <v>1092</v>
      </c>
      <c r="E34" s="332" t="str">
        <f>Total!E3680</f>
        <v>Obra Civil</v>
      </c>
      <c r="F34" s="96" t="str">
        <f>Total!F3680</f>
        <v>Direccions d'Obra</v>
      </c>
      <c r="G34" s="112" t="str">
        <f>Total!G3680</f>
        <v>DO. PC-CGT-19047</v>
      </c>
      <c r="H34" s="112" t="str">
        <f>Total!H3680</f>
        <v>Contracte de serveis per a la direcció de les obres de "Construcció de cunetes trepitjables a la T-723 i TV-7005. Mont-roig del Camp, Prades i Vilanova de Prades".</v>
      </c>
      <c r="I34" s="157">
        <f>Total!I3680</f>
        <v>37691.26</v>
      </c>
    </row>
    <row r="35" spans="1:9" x14ac:dyDescent="0.2">
      <c r="A35" s="8">
        <v>34</v>
      </c>
      <c r="B35" s="101">
        <f>Total!B3681</f>
        <v>45058</v>
      </c>
      <c r="C35" s="101">
        <f>Total!C3681</f>
        <v>45077</v>
      </c>
      <c r="D35" s="112" t="s">
        <v>1092</v>
      </c>
      <c r="E35" s="332" t="str">
        <f>Total!E3681</f>
        <v>Obra Civil</v>
      </c>
      <c r="F35" s="96" t="str">
        <f>Total!F3681</f>
        <v>Direccions d'Obra</v>
      </c>
      <c r="G35" s="112" t="str">
        <f>Total!G3681</f>
        <v>DO. VE-06008.1-C1</v>
      </c>
      <c r="H35" s="112" t="str">
        <f>Total!H3681</f>
        <v>Contracte de serveis per a la direcció de les obres de les actuacions d'enllaç a la variant de Gandesa. C-43 del PK 11+700 al 13+600. Gandesa.</v>
      </c>
      <c r="I35" s="157">
        <f>Total!I3681</f>
        <v>38304.74</v>
      </c>
    </row>
    <row r="36" spans="1:9" x14ac:dyDescent="0.2">
      <c r="A36" s="8">
        <v>35</v>
      </c>
      <c r="B36" s="101">
        <f>Total!B3682</f>
        <v>45058</v>
      </c>
      <c r="C36" s="101">
        <f>Total!C3682</f>
        <v>45084</v>
      </c>
      <c r="D36" s="112" t="s">
        <v>1092</v>
      </c>
      <c r="E36" s="332" t="str">
        <f>Total!E3682</f>
        <v>Obra Civil</v>
      </c>
      <c r="F36" s="96" t="str">
        <f>Total!F3682</f>
        <v>Direccions d'Obra</v>
      </c>
      <c r="G36" s="112" t="str">
        <f>Total!G3682</f>
        <v>DO. TA-16247-AA</v>
      </c>
      <c r="H36" s="112" t="str">
        <f>Total!H3682</f>
        <v>Contracte de serveis per a la direcció de les obres de la nova estació d'autobusos. Palamós.</v>
      </c>
      <c r="I36" s="157">
        <f>Total!I3682</f>
        <v>132932.35999999999</v>
      </c>
    </row>
    <row r="37" spans="1:9" x14ac:dyDescent="0.2">
      <c r="A37" s="8">
        <v>36</v>
      </c>
      <c r="B37" s="101">
        <f>Total!B3683</f>
        <v>45058</v>
      </c>
      <c r="C37" s="101">
        <f>Total!C3683</f>
        <v>45077</v>
      </c>
      <c r="D37" s="112" t="s">
        <v>1092</v>
      </c>
      <c r="E37" s="332" t="str">
        <f>Total!E3683</f>
        <v>Obra Civil</v>
      </c>
      <c r="F37" s="96" t="str">
        <f>Total!F3683</f>
        <v>Direccions d'Obra</v>
      </c>
      <c r="G37" s="112" t="str">
        <f>Total!G3683</f>
        <v>DO. PC-CPT-20058+PC-CMT-17054</v>
      </c>
      <c r="H37" s="112" t="str">
        <f>Total!H3683</f>
        <v>Dir. conjunta obres "Rotonda urbana a la T-322 i la T-323 al PK 5,060. Mont-roig del Camp" i "Millora local. Seg. viària. cunetes trepitjables, adequació elements contenció vehicles i millora ferm a la C-242, del pk 24,590 al 34,220. Tram: Ulldemolins.</v>
      </c>
      <c r="I37" s="157">
        <f>Total!I3683</f>
        <v>56104.51</v>
      </c>
    </row>
    <row r="38" spans="1:9" x14ac:dyDescent="0.2">
      <c r="A38" s="8">
        <v>37</v>
      </c>
      <c r="B38" s="101">
        <f>Total!B3684</f>
        <v>45058</v>
      </c>
      <c r="C38" s="101">
        <f>Total!C3684</f>
        <v>45075</v>
      </c>
      <c r="D38" s="112" t="s">
        <v>1092</v>
      </c>
      <c r="E38" s="332" t="str">
        <f>Total!E3684</f>
        <v>Obra Civil</v>
      </c>
      <c r="F38" s="96" t="str">
        <f>Total!F3684</f>
        <v>Direccions d'Obra</v>
      </c>
      <c r="G38" s="112" t="str">
        <f>Total!G3684</f>
        <v>DO. MT-08117.F1+PC-CMT-17053</v>
      </c>
      <c r="H38" s="112" t="str">
        <f>Total!H3684</f>
        <v>Dir. conjunta obres "Millora local. Millora nus. Enllaç TV-7211 de Reus a Constantí, pk 5,300. Fase 1. Rotonda. Tram: Constantí" i "Cunetes trepitjables, adequació elements contenció de vehicles i millora ferm T-214, pk 2,900 a 4,970. Altafulla-La Riera G</v>
      </c>
      <c r="I38" s="157">
        <f>Total!I3684</f>
        <v>25889.439999999999</v>
      </c>
    </row>
    <row r="39" spans="1:9" x14ac:dyDescent="0.2">
      <c r="A39" s="8">
        <v>38</v>
      </c>
      <c r="B39" s="101">
        <f>Total!B3685</f>
        <v>45058</v>
      </c>
      <c r="C39" s="101">
        <f>Total!C3685</f>
        <v>45089</v>
      </c>
      <c r="D39" s="112" t="s">
        <v>1092</v>
      </c>
      <c r="E39" s="332" t="str">
        <f>Total!E3685</f>
        <v>Edificació</v>
      </c>
      <c r="F39" s="96" t="str">
        <f>Total!F3685</f>
        <v>Direccions d'Obra</v>
      </c>
      <c r="G39" s="112" t="str">
        <f>Total!G3685</f>
        <v>DO. SGC-22213</v>
      </c>
      <c r="H39" s="112" t="str">
        <f>Total!H3685</f>
        <v>Contracte de serveis per a la direcció de les obres de la primera fase de l'ampliació dels dipòsits documentals de l'Arxiu Nacional de Catalunya, a Sant Cugat del Vallès.</v>
      </c>
      <c r="I39" s="157">
        <f>Total!I3685</f>
        <v>283579.93</v>
      </c>
    </row>
    <row r="40" spans="1:9" x14ac:dyDescent="0.2">
      <c r="A40" s="8">
        <v>39</v>
      </c>
      <c r="B40" s="101">
        <f>Total!B3686</f>
        <v>45058</v>
      </c>
      <c r="C40" s="101">
        <f>Total!C3686</f>
        <v>45077</v>
      </c>
      <c r="D40" s="112" t="s">
        <v>1092</v>
      </c>
      <c r="E40" s="332" t="str">
        <f>Total!E3686</f>
        <v>Obra Civil</v>
      </c>
      <c r="F40" s="96" t="str">
        <f>Total!F3686</f>
        <v>Direccions d'Obra</v>
      </c>
      <c r="G40" s="112" t="str">
        <f>Total!G3686</f>
        <v>DO. PC-CMB-17106</v>
      </c>
      <c r="H40" s="112" t="str">
        <f>Total!H3686</f>
        <v>Contracte de serveis per a la direcció de les obres de la millora local. Ponts i estructures. Millora de la capacitat hidràulica del pontó sobre la Riera de les Cases Noves, al PK 8+620 de la carretera C-153. Tram: les Masies de Roda.</v>
      </c>
      <c r="I40" s="157">
        <f>Total!I3686</f>
        <v>15363.11</v>
      </c>
    </row>
    <row r="41" spans="1:9" x14ac:dyDescent="0.2">
      <c r="A41" s="8">
        <v>40</v>
      </c>
      <c r="B41" s="101">
        <f>Total!B3687</f>
        <v>45058</v>
      </c>
      <c r="C41" s="101">
        <f>Total!C3687</f>
        <v>45075</v>
      </c>
      <c r="D41" s="112" t="s">
        <v>1092</v>
      </c>
      <c r="E41" s="332" t="str">
        <f>Total!E3687</f>
        <v>Obra Civil</v>
      </c>
      <c r="F41" s="96" t="str">
        <f>Total!F3687</f>
        <v>Direccions d'Obra</v>
      </c>
      <c r="G41" s="112" t="str">
        <f>Total!G3687</f>
        <v>DO. R0-21221</v>
      </c>
      <c r="H41" s="112" t="str">
        <f>Total!H3687</f>
        <v>Contracte de serveis per a la direcció de les obres de renovació per obsolescència d'equipaments per al sistema de senyalització de l'L9 de Metro de Barcelona.</v>
      </c>
      <c r="I41" s="157">
        <f>Total!I3687</f>
        <v>63303.28</v>
      </c>
    </row>
    <row r="42" spans="1:9" x14ac:dyDescent="0.2">
      <c r="A42" s="8">
        <v>41</v>
      </c>
      <c r="B42" s="101">
        <f>Total!B3688</f>
        <v>45061</v>
      </c>
      <c r="C42" s="101">
        <f>Total!C3688</f>
        <v>45089</v>
      </c>
      <c r="D42" s="112" t="s">
        <v>1092</v>
      </c>
      <c r="E42" s="332" t="str">
        <f>Total!E3688</f>
        <v>Obra Civil</v>
      </c>
      <c r="F42" s="96" t="str">
        <f>Total!F3688</f>
        <v>Direccions d'Obra</v>
      </c>
      <c r="G42" s="112" t="str">
        <f>Total!G3688</f>
        <v>DO. PC-MIB-20029</v>
      </c>
      <c r="H42" s="112" t="str">
        <f>Total!H3688</f>
        <v>Contracte de serveis per a la direcció de les obres del "Projecte constructiu d'ampliació dels tallers i cotxeres de Sant Genís de la Línia 3 dels FMB. Barcelona".</v>
      </c>
      <c r="I42" s="157">
        <f>Total!I3688</f>
        <v>966070</v>
      </c>
    </row>
    <row r="43" spans="1:9" x14ac:dyDescent="0.2">
      <c r="A43" s="8">
        <v>42</v>
      </c>
      <c r="B43" s="101">
        <f>Total!B3689</f>
        <v>45062</v>
      </c>
      <c r="C43" s="101">
        <f>Total!C3689</f>
        <v>45089</v>
      </c>
      <c r="D43" s="112" t="s">
        <v>1092</v>
      </c>
      <c r="E43" s="332" t="str">
        <f>Total!E3689</f>
        <v>Obra Civil</v>
      </c>
      <c r="F43" s="96" t="str">
        <f>Total!F3689</f>
        <v>Direccions d'Obra</v>
      </c>
      <c r="G43" s="112" t="str">
        <f>Total!G3689</f>
        <v>DO. PC-CAB-17038</v>
      </c>
      <c r="H43" s="112" t="str">
        <f>Total!H3689</f>
        <v>Contracte de serveis per a la direcció de les obres de condicionament del tercer carril de la C-16 del PK 22+000 al 23+800. Terrassa.</v>
      </c>
      <c r="I43" s="157">
        <f>Total!I3689</f>
        <v>345793.39</v>
      </c>
    </row>
    <row r="44" spans="1:9" x14ac:dyDescent="0.2">
      <c r="A44" s="8">
        <v>43</v>
      </c>
      <c r="B44" s="101">
        <f>Total!B3690</f>
        <v>45062</v>
      </c>
      <c r="C44" s="101">
        <f>Total!C3690</f>
        <v>45089</v>
      </c>
      <c r="D44" s="112" t="s">
        <v>1092</v>
      </c>
      <c r="E44" s="332" t="str">
        <f>Total!E3690</f>
        <v>Obra Civil</v>
      </c>
      <c r="F44" s="96" t="str">
        <f>Total!F3690</f>
        <v>Direccions d'Obra</v>
      </c>
      <c r="G44" s="112" t="str">
        <f>Total!G3690</f>
        <v>DO. TM-11020.F1</v>
      </c>
      <c r="H44" s="112" t="str">
        <f>Total!H3690</f>
        <v>Contracte de serveis per a la direcció de les obres del projecte constructiu de millora de l'accessibilitat de l'estació de Ciutadella - Vila Olímpica de la Línia 4 del FMB.</v>
      </c>
      <c r="I44" s="157">
        <f>Total!I3690</f>
        <v>306567.5</v>
      </c>
    </row>
    <row r="45" spans="1:9" x14ac:dyDescent="0.2">
      <c r="A45" s="8">
        <v>44</v>
      </c>
      <c r="B45" s="101">
        <f>Total!B3691</f>
        <v>45065</v>
      </c>
      <c r="C45" s="101">
        <f>Total!C3691</f>
        <v>45089</v>
      </c>
      <c r="D45" s="112" t="s">
        <v>1092</v>
      </c>
      <c r="E45" s="332" t="str">
        <f>Total!E3691</f>
        <v>Obra Civil</v>
      </c>
      <c r="F45" s="96" t="str">
        <f>Total!F3691</f>
        <v>Control de Qualitat</v>
      </c>
      <c r="G45" s="112" t="str">
        <f>Total!G3691</f>
        <v>CQ. TM-16202.F1</v>
      </c>
      <c r="H45" s="112" t="str">
        <f>Total!H3691</f>
        <v>Control de qualitat de les obres de millora de l'accessibilitat dels intercanviadors de Sants - Estació (línies L3 i L5 dels FMB - línies ADIF), Passeig de Gràcia (línies L2, L3 i L4 dels FMB) i Catalunya (línies L1 i L3 dels FMB). Barcelona. Fase 1.</v>
      </c>
      <c r="I45" s="157">
        <f>Total!I3691</f>
        <v>58863.92</v>
      </c>
    </row>
    <row r="46" spans="1:9" x14ac:dyDescent="0.2">
      <c r="A46" s="8">
        <v>45</v>
      </c>
      <c r="B46" s="101">
        <f>Total!B3692</f>
        <v>45065</v>
      </c>
      <c r="C46" s="101">
        <f>Total!C3692</f>
        <v>45089</v>
      </c>
      <c r="D46" s="112" t="s">
        <v>1092</v>
      </c>
      <c r="E46" s="332" t="str">
        <f>Total!E3692</f>
        <v>Obra Civil</v>
      </c>
      <c r="F46" s="96" t="str">
        <f>Total!F3692</f>
        <v>Control de Qualitat</v>
      </c>
      <c r="G46" s="112" t="str">
        <f>Total!G3692</f>
        <v>CQ. TM-12002.4</v>
      </c>
      <c r="H46" s="112" t="str">
        <f>Total!H3692</f>
        <v>Contracte de serveis per a l'assistència tècnica de control de qualitat de les obres del projecte constructiu de millora de les condicions mecàniques de la superestructura de diversos trams de via de la L2 de FMB.</v>
      </c>
      <c r="I46" s="157">
        <f>Total!I3692</f>
        <v>35243.53</v>
      </c>
    </row>
    <row r="47" spans="1:9" x14ac:dyDescent="0.2">
      <c r="A47" s="8">
        <v>46</v>
      </c>
      <c r="B47" s="101">
        <f>Total!B3693</f>
        <v>45065</v>
      </c>
      <c r="C47" s="101">
        <f>Total!C3693</f>
        <v>45089</v>
      </c>
      <c r="D47" s="112" t="s">
        <v>1092</v>
      </c>
      <c r="E47" s="332" t="str">
        <f>Total!E3693</f>
        <v>Obra Civil</v>
      </c>
      <c r="F47" s="96" t="str">
        <f>Total!F3693</f>
        <v>Direccions d'Obra</v>
      </c>
      <c r="G47" s="112" t="str">
        <f>Total!G3693</f>
        <v>CSS. PC-MIB-20029</v>
      </c>
      <c r="H47" s="112" t="str">
        <f>Total!H3693</f>
        <v>Contracte de serveis per a l'assistència tècnica de coordinació de seguretat i salut de les obres del projecte constructiu d'ampliació dels tallers i cotxeres de Sant Genís de la línia 3 dels FMB. Barcelona.</v>
      </c>
      <c r="I47" s="157">
        <f>Total!I3693</f>
        <v>93936.92</v>
      </c>
    </row>
    <row r="48" spans="1:9" x14ac:dyDescent="0.2">
      <c r="A48" s="8">
        <v>47</v>
      </c>
      <c r="B48" s="101">
        <f>Total!B3694</f>
        <v>45065</v>
      </c>
      <c r="C48" s="101">
        <f>Total!C3694</f>
        <v>45089</v>
      </c>
      <c r="D48" s="112" t="s">
        <v>1092</v>
      </c>
      <c r="E48" s="332" t="str">
        <f>Total!E3694</f>
        <v>Obra Civil</v>
      </c>
      <c r="F48" s="96" t="str">
        <f>Total!F3694</f>
        <v>Control de Qualitat</v>
      </c>
      <c r="G48" s="112" t="str">
        <f>Total!G3694</f>
        <v>CQ. TM-16202.F2</v>
      </c>
      <c r="H48" s="112" t="str">
        <f>Total!H3694</f>
        <v>Control de qualitat de les obres del projecte constructiu de millora de l'accessibilitat dels intercanviadors de Sants - Estació (línies L3 i L5 dels FMB - línies ADIF) i Catalunya (línies L1 i L3 dels FMB). Barcelona. Fase 2.</v>
      </c>
      <c r="I48" s="157">
        <f>Total!I3694</f>
        <v>21506.97</v>
      </c>
    </row>
    <row r="49" spans="1:9" x14ac:dyDescent="0.2">
      <c r="A49" s="8">
        <v>48</v>
      </c>
      <c r="B49" s="101">
        <f>Total!B3695</f>
        <v>45068</v>
      </c>
      <c r="C49" s="101">
        <f>Total!C3695</f>
        <v>45084</v>
      </c>
      <c r="D49" s="112" t="s">
        <v>1092</v>
      </c>
      <c r="E49" s="332" t="str">
        <f>Total!E3695</f>
        <v>Obra Civil</v>
      </c>
      <c r="F49" s="96" t="str">
        <f>Total!F3695</f>
        <v>Control de Qualitat</v>
      </c>
      <c r="G49" s="112" t="str">
        <f>Total!G3695</f>
        <v>CQ-PC-MIB-20029</v>
      </c>
      <c r="H49" s="112" t="str">
        <f>Total!H3695</f>
        <v>Contracte de serveis per a l'assistència tècnica de control de qualitat de les obres del "Projecte constructiu d'ampliació dels tallers i cotxeres de Sant Genís de la Línia 3 dels FMB. Barcelona".</v>
      </c>
      <c r="I49" s="157">
        <f>Total!I3695</f>
        <v>164457.26999999999</v>
      </c>
    </row>
    <row r="50" spans="1:9" x14ac:dyDescent="0.2">
      <c r="A50" s="8">
        <v>49</v>
      </c>
      <c r="B50" s="101">
        <f>Total!B3696</f>
        <v>45068</v>
      </c>
      <c r="C50" s="101">
        <f>Total!C3696</f>
        <v>45089</v>
      </c>
      <c r="D50" s="112" t="s">
        <v>1092</v>
      </c>
      <c r="E50" s="332" t="str">
        <f>Total!E3696</f>
        <v>Obra Civil</v>
      </c>
      <c r="F50" s="96" t="str">
        <f>Total!F3696</f>
        <v>Control de Qualitat</v>
      </c>
      <c r="G50" s="112" t="str">
        <f>Total!G3696</f>
        <v>CQ. TA-16247-AA</v>
      </c>
      <c r="H50" s="112" t="str">
        <f>Total!H3696</f>
        <v>Contracte de serveis per a l'assistència tècnica de Control de Qualitat de les obres de la nova estació d'autobusos. Palamós.</v>
      </c>
      <c r="I50" s="157">
        <f>Total!I3696</f>
        <v>21011.53</v>
      </c>
    </row>
    <row r="51" spans="1:9" x14ac:dyDescent="0.2">
      <c r="A51" s="8">
        <v>50</v>
      </c>
      <c r="B51" s="101">
        <f>Total!B3697</f>
        <v>45068</v>
      </c>
      <c r="C51" s="101">
        <f>Total!C3697</f>
        <v>45089</v>
      </c>
      <c r="D51" s="112" t="s">
        <v>1092</v>
      </c>
      <c r="E51" s="332" t="str">
        <f>Total!E3697</f>
        <v>Obra Civil</v>
      </c>
      <c r="F51" s="96" t="str">
        <f>Total!F3697</f>
        <v>Direccions d'Obra</v>
      </c>
      <c r="G51" s="112" t="str">
        <f>Total!G3697</f>
        <v>CSS. TA-16247-AA</v>
      </c>
      <c r="H51" s="112" t="str">
        <f>Total!H3697</f>
        <v>Contracte de serveis per a l'assistència tècnica de coordinació de seguretat i salut de les obres de la nova estació d'autobusos. Palamós.</v>
      </c>
      <c r="I51" s="157">
        <f>Total!I3697</f>
        <v>13848.37</v>
      </c>
    </row>
    <row r="52" spans="1:9" x14ac:dyDescent="0.2">
      <c r="A52" s="8">
        <v>51</v>
      </c>
      <c r="B52" s="101">
        <f>Total!B3698</f>
        <v>45068</v>
      </c>
      <c r="C52" s="101">
        <f>Total!C3698</f>
        <v>45089</v>
      </c>
      <c r="D52" s="112" t="s">
        <v>1092</v>
      </c>
      <c r="E52" s="332" t="str">
        <f>Total!E3698</f>
        <v>Obra Civil</v>
      </c>
      <c r="F52" s="96" t="str">
        <f>Total!F3698</f>
        <v>Direccions d'Obra</v>
      </c>
      <c r="G52" s="112" t="str">
        <f>Total!G3698</f>
        <v>CSS. TM-16202.F2</v>
      </c>
      <c r="H52" s="112" t="str">
        <f>Total!H3698</f>
        <v>Coord. S.S. obres projecte constructiu millora de l'accessibilitat dels intercanviadors de Sants - Estació (línies L3 i L5 dels FMB - línies ADIF), Passeig de Gràcia (línies L2, L3 i L4 dels FMB) i Catalunya (línies L1 i L3 dels FMB). Barcelona. Fase 2.</v>
      </c>
      <c r="I52" s="157">
        <f>Total!I3698</f>
        <v>14372.59</v>
      </c>
    </row>
    <row r="53" spans="1:9" x14ac:dyDescent="0.2">
      <c r="A53" s="8">
        <v>52</v>
      </c>
      <c r="B53" s="101">
        <f>Total!B3699</f>
        <v>45068</v>
      </c>
      <c r="C53" s="101">
        <f>Total!C3699</f>
        <v>45089</v>
      </c>
      <c r="D53" s="112" t="s">
        <v>1092</v>
      </c>
      <c r="E53" s="332" t="str">
        <f>Total!E3699</f>
        <v>Obra Civil</v>
      </c>
      <c r="F53" s="96" t="str">
        <f>Total!F3699</f>
        <v>Direccions d'Obra</v>
      </c>
      <c r="G53" s="112" t="str">
        <f>Total!G3699</f>
        <v>CSS. TM-16202.F1</v>
      </c>
      <c r="H53" s="112" t="str">
        <f>Total!H3699</f>
        <v>Coord. S.S. per exec.  obres del projecte constructiu de millora de l'accessibilitat dels intercanviadors de Sants - Estació (línies L3 i L5 dels FMB - línies ADIF), Passeig de Gràcia (línies L2, L3 i L4 dels FMB) i Catalunya (línies L1 i L3 dels FMB).</v>
      </c>
      <c r="I53" s="157">
        <f>Total!I3699</f>
        <v>35923.54</v>
      </c>
    </row>
    <row r="54" spans="1:9" x14ac:dyDescent="0.2">
      <c r="A54" s="8">
        <v>53</v>
      </c>
      <c r="B54" s="101">
        <f>Total!B3700</f>
        <v>45068</v>
      </c>
      <c r="C54" s="101">
        <f>Total!C3700</f>
        <v>45089</v>
      </c>
      <c r="D54" s="112" t="s">
        <v>1092</v>
      </c>
      <c r="E54" s="332" t="str">
        <f>Total!E3700</f>
        <v>Obra Civil</v>
      </c>
      <c r="F54" s="96" t="str">
        <f>Total!F3700</f>
        <v>Direccions d'Obra</v>
      </c>
      <c r="G54" s="112" t="str">
        <f>Total!G3700</f>
        <v>CSS. TM-12002.4</v>
      </c>
      <c r="H54" s="112" t="str">
        <f>Total!H3700</f>
        <v>Contracte de serveis per a l'assistència tècnica de coordinació de seguretat i salut de les obres del projecte constructiu de millora de les condicions mecàniques de la superestructura de diversos trams de via de la Línia 2 d'FMB.</v>
      </c>
      <c r="I54" s="157">
        <f>Total!I3700</f>
        <v>31610.89</v>
      </c>
    </row>
    <row r="55" spans="1:9" x14ac:dyDescent="0.2">
      <c r="A55" s="8">
        <v>54</v>
      </c>
      <c r="B55" s="101">
        <f>Total!B3701</f>
        <v>45068</v>
      </c>
      <c r="C55" s="101">
        <f>Total!C3701</f>
        <v>45089</v>
      </c>
      <c r="D55" s="112" t="s">
        <v>1092</v>
      </c>
      <c r="E55" s="332" t="str">
        <f>Total!E3701</f>
        <v>Edificació</v>
      </c>
      <c r="F55" s="96" t="str">
        <f>Total!F3701</f>
        <v>Direccions d'Execució</v>
      </c>
      <c r="G55" s="112" t="str">
        <f>Total!G3701</f>
        <v>CSS. SGC-22213</v>
      </c>
      <c r="H55" s="112" t="str">
        <f>Total!H3701</f>
        <v>Contracte de serveis per a l'assistència tècnica de coordinació de seguretat i salut de les obres del projecte executiu de primera fase de l'ampliació dels dipòsits documentals de l'Arxiu Nacional de Catalunya, a Sant Cugat del Vallès.</v>
      </c>
      <c r="I55" s="157">
        <f>Total!I3701</f>
        <v>31671.49</v>
      </c>
    </row>
    <row r="56" spans="1:9" x14ac:dyDescent="0.2">
      <c r="A56" s="8">
        <v>55</v>
      </c>
      <c r="B56" s="101">
        <f>Total!B3702</f>
        <v>45068</v>
      </c>
      <c r="C56" s="101">
        <f>Total!C3702</f>
        <v>45089</v>
      </c>
      <c r="D56" s="112" t="s">
        <v>1092</v>
      </c>
      <c r="E56" s="332" t="str">
        <f>Total!E3702</f>
        <v>Edificació</v>
      </c>
      <c r="F56" s="96" t="str">
        <f>Total!F3702</f>
        <v>Direccions d'Execució</v>
      </c>
      <c r="G56" s="112" t="str">
        <f>Total!G3702</f>
        <v>CSS. CAP-18335</v>
      </c>
      <c r="H56" s="112" t="str">
        <f>Total!H3702</f>
        <v>Contracte de serveis per a l'assistència tècnica de coordinació de seguretat i salut de les obres del projecte executiu d'ampliació i reforma del Centre d'Atenció Primària Moisès Broggi, de l'Escala.</v>
      </c>
      <c r="I56" s="157">
        <f>Total!I3702</f>
        <v>17182.5</v>
      </c>
    </row>
    <row r="57" spans="1:9" x14ac:dyDescent="0.2">
      <c r="A57" s="8">
        <v>56</v>
      </c>
      <c r="B57" s="101">
        <f>Total!B3703</f>
        <v>45068</v>
      </c>
      <c r="C57" s="101">
        <f>Total!C3703</f>
        <v>45089</v>
      </c>
      <c r="D57" s="112" t="s">
        <v>1092</v>
      </c>
      <c r="E57" s="332" t="str">
        <f>Total!E3703</f>
        <v>Obra Civil</v>
      </c>
      <c r="F57" s="96" t="str">
        <f>Total!F3703</f>
        <v>Direccions d'Obra</v>
      </c>
      <c r="G57" s="112" t="str">
        <f>Total!G3703</f>
        <v>CSS. VB-01055-AA</v>
      </c>
      <c r="H57" s="112" t="str">
        <f>Total!H3703</f>
        <v>Coordinació de seguretat i salut de les obres del projecte constructiu més el seu annex d'actualització de la variant de Sagàs a la C-62 del PK 23+000 al 25+600. Santa Maria de Merlès – Sagàs. Lot 1 + Lot 2.</v>
      </c>
      <c r="I57" s="157">
        <f>Total!I3703</f>
        <v>28665.55</v>
      </c>
    </row>
    <row r="58" spans="1:9" x14ac:dyDescent="0.2">
      <c r="A58" s="8">
        <v>57</v>
      </c>
      <c r="B58" s="101">
        <f>Total!B3704</f>
        <v>45070</v>
      </c>
      <c r="C58" s="101">
        <f>Total!C3704</f>
        <v>45089</v>
      </c>
      <c r="D58" s="112" t="s">
        <v>1092</v>
      </c>
      <c r="E58" s="332" t="str">
        <f>Total!E3704</f>
        <v>Edificació</v>
      </c>
      <c r="F58" s="96" t="str">
        <f>Total!F3704</f>
        <v>Control de Qualitat</v>
      </c>
      <c r="G58" s="112" t="str">
        <f>Total!G3704</f>
        <v>CQ. CAP-18335</v>
      </c>
      <c r="H58" s="112" t="str">
        <f>Total!H3704</f>
        <v>Contracte de serveis per a l'assistència tècnica de control de qualitat de les obres d'ampliació i reforma del CAP Moisès Broggi de l'Escala.</v>
      </c>
      <c r="I58" s="157">
        <f>Total!I3704</f>
        <v>17121.5</v>
      </c>
    </row>
    <row r="59" spans="1:9" x14ac:dyDescent="0.2">
      <c r="A59" s="8">
        <v>58</v>
      </c>
      <c r="B59" s="101">
        <f>Total!B3705</f>
        <v>45071</v>
      </c>
      <c r="C59" s="101">
        <f>Total!C3705</f>
        <v>45091</v>
      </c>
      <c r="D59" s="112" t="s">
        <v>1092</v>
      </c>
      <c r="E59" s="332" t="str">
        <f>Total!E3705</f>
        <v>Obra Civil</v>
      </c>
      <c r="F59" s="96" t="str">
        <f>Total!F3705</f>
        <v>Projectes</v>
      </c>
      <c r="G59" s="112" t="str">
        <f>Total!G3705</f>
        <v>PC. AT-00164-C4</v>
      </c>
      <c r="H59" s="112" t="str">
        <f>Total!H3705</f>
        <v>Contracte de serveis per a l'assistència tècnica per a la redacció del projecte constructiu de condicionament de la C-51, millora de la secció dels camins de servei, calçades laterals i connexions amb la C-51z del PK 10+150 al 32+240. Albinyana-Valls.</v>
      </c>
      <c r="I59" s="157">
        <f>Total!I3705</f>
        <v>84830</v>
      </c>
    </row>
    <row r="60" spans="1:9" x14ac:dyDescent="0.2">
      <c r="A60" s="8">
        <v>59</v>
      </c>
      <c r="B60" s="101">
        <f>Total!B3706</f>
        <v>45072</v>
      </c>
      <c r="C60" s="101">
        <f>Total!C3706</f>
        <v>45091</v>
      </c>
      <c r="D60" s="112" t="s">
        <v>1092</v>
      </c>
      <c r="E60" s="332" t="str">
        <f>Total!E3706</f>
        <v>Obra Civil</v>
      </c>
      <c r="F60" s="96" t="str">
        <f>Total!F3706</f>
        <v>Projectes</v>
      </c>
      <c r="G60" s="112" t="str">
        <f>Total!G3706</f>
        <v>PC. PC-BNC-18128.3</v>
      </c>
      <c r="H60" s="112" t="str">
        <f>Total!H3706</f>
        <v>Contracte de serveis per a l'assistència tècnica per a la redacció del projecte constructiu: "Via ciclista paral·lela a les BV-5301 i C-35. Vilalba Sasserra - Santa Maria de Palautordera-Sant Celoni. Estació FFCC Palautordera-Rotonda de la C-35 amb BV-...</v>
      </c>
      <c r="I60" s="157">
        <f>Total!I3706</f>
        <v>43513</v>
      </c>
    </row>
    <row r="61" spans="1:9" x14ac:dyDescent="0.2">
      <c r="A61" s="8">
        <v>60</v>
      </c>
      <c r="B61" s="101">
        <f>Total!B3707</f>
        <v>45075</v>
      </c>
      <c r="C61" s="101">
        <f>Total!C3707</f>
        <v>45091</v>
      </c>
      <c r="D61" s="112" t="s">
        <v>1092</v>
      </c>
      <c r="E61" s="332" t="str">
        <f>Total!E3707</f>
        <v>Obra Civil</v>
      </c>
      <c r="F61" s="96" t="str">
        <f>Total!F3707</f>
        <v>Projectes</v>
      </c>
      <c r="G61" s="112" t="str">
        <f>Total!G3707</f>
        <v>PC. PC-CFB-22023</v>
      </c>
      <c r="H61" s="112" t="str">
        <f>Total!H3707</f>
        <v>Contracte de serveis per a l'assistència tècnica per a la redacció del projecte constructiu de millora de les característiques superficials i obres complementàries a la C-352 del PK 17+300 al 18+800. Granollers.</v>
      </c>
      <c r="I61" s="157">
        <f>Total!I3707</f>
        <v>42000</v>
      </c>
    </row>
    <row r="62" spans="1:9" x14ac:dyDescent="0.2">
      <c r="A62" s="8">
        <v>61</v>
      </c>
      <c r="B62" s="101">
        <f>Total!B3708</f>
        <v>45075</v>
      </c>
      <c r="C62" s="101">
        <f>Total!C3708</f>
        <v>45091</v>
      </c>
      <c r="D62" s="112" t="s">
        <v>1092</v>
      </c>
      <c r="E62" s="332" t="str">
        <f>Total!E3708</f>
        <v>Obra Civil</v>
      </c>
      <c r="F62" s="96" t="str">
        <f>Total!F3708</f>
        <v>Projectes</v>
      </c>
      <c r="G62" s="112" t="str">
        <f>Total!G3708</f>
        <v>EV. EX-CIT-21036</v>
      </c>
      <c r="H62" s="112" t="str">
        <f>Total!H3708</f>
        <v>Contracte de serveis per a l'assistència tècnica per a la redacció del document ambiental de la millora de característiques superficials i reestudi de secció transversal a la C-14 del PK 20+830 al 35+000. Alcover – Montblanc.</v>
      </c>
      <c r="I62" s="157">
        <f>Total!I3708</f>
        <v>19300</v>
      </c>
    </row>
    <row r="63" spans="1:9" x14ac:dyDescent="0.2">
      <c r="A63" s="8">
        <v>62</v>
      </c>
      <c r="B63" s="101">
        <f>Total!B3709</f>
        <v>45075</v>
      </c>
      <c r="C63" s="101">
        <f>Total!C3709</f>
        <v>45103</v>
      </c>
      <c r="D63" s="112" t="s">
        <v>1092</v>
      </c>
      <c r="E63" s="332" t="str">
        <f>Total!E3709</f>
        <v>Obra Civil</v>
      </c>
      <c r="F63" s="96" t="str">
        <f>Total!F3709</f>
        <v>Projectes</v>
      </c>
      <c r="G63" s="112" t="str">
        <f>Total!G3709</f>
        <v>PC. PC-CFL-22037</v>
      </c>
      <c r="H63" s="112" t="str">
        <f>Total!H3709</f>
        <v>Contracte de serveis per a l'assistència tècnica per a la redacció del projecte constructiu. Reforçament de ferm i obres complementàries a la C-233 del PK 22+100 al 35+370. La Granadella – el Soleràs.</v>
      </c>
      <c r="I63" s="157">
        <f>Total!I3709</f>
        <v>99600</v>
      </c>
    </row>
    <row r="64" spans="1:9" x14ac:dyDescent="0.2">
      <c r="A64" s="8">
        <v>63</v>
      </c>
      <c r="B64" s="101">
        <f>Total!B3710</f>
        <v>45075</v>
      </c>
      <c r="C64" s="101">
        <f>Total!C3710</f>
        <v>45091</v>
      </c>
      <c r="D64" s="112" t="s">
        <v>1092</v>
      </c>
      <c r="E64" s="332" t="str">
        <f>Total!E3710</f>
        <v>Obra Civil</v>
      </c>
      <c r="F64" s="96" t="str">
        <f>Total!F3710</f>
        <v>Projectes</v>
      </c>
      <c r="G64" s="112" t="str">
        <f>Total!G3710</f>
        <v>PC. PC-CPB-22016</v>
      </c>
      <c r="H64" s="112" t="str">
        <f>Total!H3710</f>
        <v>Contracte de serveis per a l'assistència tècnica per a la redacció del projecte constructiu de rotonda a la intersecció de la C-35 al PK 31+525 amb el carrer del Camí Ral. Granollers.</v>
      </c>
      <c r="I64" s="157">
        <f>Total!I3710</f>
        <v>49520</v>
      </c>
    </row>
    <row r="65" spans="1:9" x14ac:dyDescent="0.2">
      <c r="A65" s="8">
        <v>64</v>
      </c>
      <c r="B65" s="101">
        <f>Total!B3711</f>
        <v>45075</v>
      </c>
      <c r="C65" s="101">
        <f>Total!C3711</f>
        <v>45091</v>
      </c>
      <c r="D65" s="112" t="s">
        <v>1092</v>
      </c>
      <c r="E65" s="332" t="str">
        <f>Total!E3711</f>
        <v>Obra Civil</v>
      </c>
      <c r="F65" s="96" t="str">
        <f>Total!F3711</f>
        <v>Projectes</v>
      </c>
      <c r="G65" s="112" t="str">
        <f>Total!G3711</f>
        <v>PC. PC-CGT-22043</v>
      </c>
      <c r="H65" s="112" t="str">
        <f>Total!H3711</f>
        <v>Contracte de serveis per a l'assistència tècnica per a la redacció del projecte constructiu de millora dels sistemes de contenció de vehicles a les carreteres del Servei Territorial de Carreteres de Tarragona.</v>
      </c>
      <c r="I65" s="157">
        <f>Total!I3711</f>
        <v>90430</v>
      </c>
    </row>
    <row r="66" spans="1:9" x14ac:dyDescent="0.2">
      <c r="A66" s="8">
        <v>65</v>
      </c>
      <c r="B66" s="101">
        <f>Total!B3712</f>
        <v>45075</v>
      </c>
      <c r="C66" s="101">
        <f>Total!C3712</f>
        <v>45103</v>
      </c>
      <c r="D66" s="112" t="s">
        <v>1092</v>
      </c>
      <c r="E66" s="332" t="str">
        <f>Total!E3712</f>
        <v>Obra Civil</v>
      </c>
      <c r="F66" s="96" t="str">
        <f>Total!F3712</f>
        <v>Projectes</v>
      </c>
      <c r="G66" s="112" t="str">
        <f>Total!G3712</f>
        <v>PC. PC-CGB-22030</v>
      </c>
      <c r="H66" s="112" t="str">
        <f>Total!H3712</f>
        <v>Contracte de serveis per a l'assistència tècnica per a la redacció del projecte constructiu. Estabilització de talussos a la BP-1103 del PK 0+000 al 6+646 i a la BP-1121 del PK 5+710 al 11+150. El Bruc – Monistrol de Montserrat.</v>
      </c>
      <c r="I66" s="157">
        <f>Total!I3712</f>
        <v>68100</v>
      </c>
    </row>
    <row r="67" spans="1:9" x14ac:dyDescent="0.2">
      <c r="A67" s="8">
        <v>66</v>
      </c>
      <c r="B67" s="101">
        <f>Total!B3713</f>
        <v>45075</v>
      </c>
      <c r="C67" s="101">
        <f>Total!C3713</f>
        <v>45096</v>
      </c>
      <c r="D67" s="112" t="s">
        <v>1092</v>
      </c>
      <c r="E67" s="332" t="str">
        <f>Total!E3713</f>
        <v>Edificació</v>
      </c>
      <c r="F67" s="96" t="str">
        <f>Total!F3713</f>
        <v>Control de Qualitat</v>
      </c>
      <c r="G67" s="112" t="str">
        <f>Total!G3713</f>
        <v>CQ. S15-PNG-03463</v>
      </c>
      <c r="H67" s="112" t="str">
        <f>Total!H3713</f>
        <v>Contracte de serveis per a l'assistència tècnica de Control de Qualitat de les obres de condicionament d'elements i espais de l'escola Mas Masó de Salt.</v>
      </c>
      <c r="I67" s="157">
        <f>Total!I3713</f>
        <v>2058.29</v>
      </c>
    </row>
    <row r="68" spans="1:9" x14ac:dyDescent="0.2">
      <c r="A68" s="8">
        <v>67</v>
      </c>
      <c r="B68" s="101">
        <f>Total!B3714</f>
        <v>45075</v>
      </c>
      <c r="C68" s="101">
        <f>Total!C3714</f>
        <v>45096</v>
      </c>
      <c r="D68" s="112" t="s">
        <v>1092</v>
      </c>
      <c r="E68" s="332" t="str">
        <f>Total!E3714</f>
        <v>Edificació</v>
      </c>
      <c r="F68" s="96" t="str">
        <f>Total!F3714</f>
        <v>Control de Qualitat</v>
      </c>
      <c r="G68" s="112" t="str">
        <f>Total!G3714</f>
        <v>CQ. S14-INT-06497</v>
      </c>
      <c r="H68" s="112" t="str">
        <f>Total!H3714</f>
        <v>Contracte de serveis per a l'assistència tècnica de Control de Qualitat de les obres de condicionament de la coberta de l'edifici principal de l' IES d'Altafulla.</v>
      </c>
      <c r="I68" s="157">
        <f>Total!I3714</f>
        <v>4738.25</v>
      </c>
    </row>
    <row r="69" spans="1:9" x14ac:dyDescent="0.2">
      <c r="A69" s="8">
        <v>68</v>
      </c>
      <c r="B69" s="101">
        <f>Total!B3715</f>
        <v>45075</v>
      </c>
      <c r="C69" s="101">
        <f>Total!C3715</f>
        <v>45098</v>
      </c>
      <c r="D69" s="112" t="s">
        <v>1092</v>
      </c>
      <c r="E69" s="332" t="str">
        <f>Total!E3715</f>
        <v>Edificació</v>
      </c>
      <c r="F69" s="96" t="str">
        <f>Total!F3715</f>
        <v>Control de Qualitat</v>
      </c>
      <c r="G69" s="112" t="str">
        <f>Total!G3715</f>
        <v>CQ. JVV-08227.A</v>
      </c>
      <c r="H69" s="112" t="str">
        <f>Total!H3715</f>
        <v>Contracte de serveis per al control de qualitat de les obres d'adequació del projecte de reforma i ampliació de l'àrea de comunicacions i l'edifici d'accés al Centre Educatiu El Segre.</v>
      </c>
      <c r="I69" s="157">
        <f>Total!I3715</f>
        <v>10027.129999999999</v>
      </c>
    </row>
    <row r="70" spans="1:9" x14ac:dyDescent="0.2">
      <c r="A70" s="8">
        <v>69</v>
      </c>
      <c r="B70" s="101">
        <f>Total!B3716</f>
        <v>45075</v>
      </c>
      <c r="C70" s="101">
        <f>Total!C3716</f>
        <v>45098</v>
      </c>
      <c r="D70" s="112" t="s">
        <v>1092</v>
      </c>
      <c r="E70" s="332" t="str">
        <f>Total!E3716</f>
        <v>Edificació</v>
      </c>
      <c r="F70" s="96" t="str">
        <f>Total!F3716</f>
        <v>Direccions d'Execució</v>
      </c>
      <c r="G70" s="112" t="str">
        <f>Total!G3716</f>
        <v>DE. JVV-08227.A</v>
      </c>
      <c r="H70" s="112" t="str">
        <f>Total!H3716</f>
        <v>Contracte de serveis per a la direcció d'execució de les obres d'adequació del projecte de reforma i ampliació de l'àrea de comunica cions i l'edifici d'accés al Centre Educatiu El Segre.</v>
      </c>
      <c r="I70" s="157">
        <f>Total!I3716</f>
        <v>26000</v>
      </c>
    </row>
    <row r="71" spans="1:9" x14ac:dyDescent="0.2">
      <c r="A71" s="8">
        <v>70</v>
      </c>
      <c r="B71" s="101">
        <f>Total!B3717</f>
        <v>45075</v>
      </c>
      <c r="C71" s="101">
        <f>Total!C3717</f>
        <v>45091</v>
      </c>
      <c r="D71" s="112" t="s">
        <v>1092</v>
      </c>
      <c r="E71" s="332" t="str">
        <f>Total!E3717</f>
        <v>Obra Civil</v>
      </c>
      <c r="F71" s="96" t="str">
        <f>Total!F3717</f>
        <v>Projectes</v>
      </c>
      <c r="G71" s="112" t="str">
        <f>Total!G3717</f>
        <v>EV. ES-CGB-22002 + 3</v>
      </c>
      <c r="H71" s="112" t="str">
        <f>Total!H3717</f>
        <v>Redacció dels treballs: "Auditoria de seguretat viària. Millora dels elements funcionals existents de la B-23 del PK 0+000 al 7+260. Barcelona-Sant Feliu de Llobregat", Auditoria seg. viària. Millores seguretat C-66 entre pk 50,650 al 51,700 i 52,040....</v>
      </c>
      <c r="I71" s="157">
        <f>Total!I3717</f>
        <v>36000</v>
      </c>
    </row>
    <row r="72" spans="1:9" x14ac:dyDescent="0.2">
      <c r="A72" s="8">
        <v>71</v>
      </c>
      <c r="B72" s="101">
        <f>Total!B3718</f>
        <v>45075</v>
      </c>
      <c r="C72" s="101">
        <f>Total!C3718</f>
        <v>45096</v>
      </c>
      <c r="D72" s="112" t="s">
        <v>1092</v>
      </c>
      <c r="E72" s="332" t="str">
        <f>Total!E3718</f>
        <v>Edificació</v>
      </c>
      <c r="F72" s="96" t="str">
        <f>Total!F3718</f>
        <v>Control de Qualitat</v>
      </c>
      <c r="G72" s="112" t="str">
        <f>Total!G3718</f>
        <v>CQ. S8-PNA-07373</v>
      </c>
      <c r="H72" s="112" t="str">
        <f>Total!H3718</f>
        <v>Contracte de serveis per a l'assistència tècnica de Control de Qualitat de les obres de condicionament de les cobertes dels edificis d'infantil, primària i gimnàs i drenatge pati d'infantil de l'escola Campderrós de Vallirana.</v>
      </c>
      <c r="I72" s="157">
        <f>Total!I3718</f>
        <v>9216.2199999999993</v>
      </c>
    </row>
    <row r="73" spans="1:9" x14ac:dyDescent="0.2">
      <c r="A73" s="8">
        <v>72</v>
      </c>
      <c r="B73" s="101">
        <f>Total!B3719</f>
        <v>45075</v>
      </c>
      <c r="C73" s="101">
        <f>Total!C3719</f>
        <v>45096</v>
      </c>
      <c r="D73" s="112" t="s">
        <v>1092</v>
      </c>
      <c r="E73" s="332" t="str">
        <f>Total!E3719</f>
        <v>Edificació</v>
      </c>
      <c r="F73" s="96" t="str">
        <f>Total!F3719</f>
        <v>Control de Qualitat</v>
      </c>
      <c r="G73" s="112" t="str">
        <f>Total!G3719</f>
        <v>CQ. S8-INA-05559</v>
      </c>
      <c r="H73" s="112" t="str">
        <f>Total!H3719</f>
        <v>Contracte de serveis per a l'assistència tècnica de Control de Qualitat de les obres de condicionament de les façanes, de cobertes i espais exteriors del SES Collbató.</v>
      </c>
      <c r="I73" s="157">
        <f>Total!I3719</f>
        <v>2122.0300000000002</v>
      </c>
    </row>
    <row r="74" spans="1:9" x14ac:dyDescent="0.2">
      <c r="A74" s="8">
        <v>73</v>
      </c>
      <c r="B74" s="101">
        <f>Total!B3720</f>
        <v>45075</v>
      </c>
      <c r="C74" s="101">
        <f>Total!C3720</f>
        <v>45098</v>
      </c>
      <c r="D74" s="112" t="s">
        <v>1092</v>
      </c>
      <c r="E74" s="332" t="str">
        <f>Total!E3720</f>
        <v>Edificació</v>
      </c>
      <c r="F74" s="96" t="str">
        <f>Total!F3720</f>
        <v>Direccions d'Execució</v>
      </c>
      <c r="G74" s="112" t="str">
        <f>Total!G3720</f>
        <v>CSS. JVV-08227.A</v>
      </c>
      <c r="H74" s="112" t="str">
        <f>Total!H3720</f>
        <v>Contracte de serveis per a l'assistència tècnica de coordinació de seguretat i salut de les obres d'adequació del projecte de reforma i ampliació de l'àrea de comunicacions i l'edifici d'accés al Centre Educatiu El Segre.</v>
      </c>
      <c r="I74" s="157">
        <f>Total!I3720</f>
        <v>6500</v>
      </c>
    </row>
    <row r="75" spans="1:9" x14ac:dyDescent="0.2">
      <c r="A75" s="8">
        <v>74</v>
      </c>
      <c r="B75" s="101">
        <f>Total!B3721</f>
        <v>45077</v>
      </c>
      <c r="C75" s="101">
        <f>Total!C3721</f>
        <v>45096</v>
      </c>
      <c r="D75" s="112" t="s">
        <v>1092</v>
      </c>
      <c r="E75" s="332" t="str">
        <f>Total!E3721</f>
        <v>Obra Civil</v>
      </c>
      <c r="F75" s="96" t="str">
        <f>Total!F3721</f>
        <v>Direccions d'Obra</v>
      </c>
      <c r="G75" s="112" t="str">
        <f>Total!G3721</f>
        <v>CSS. PRL-23001</v>
      </c>
      <c r="H75" s="112" t="str">
        <f>Total!H3721</f>
        <v>Contracte de serveis per a la supervisió de la prevenció de riscos laborals i de la coordinació de seguretat i salut de les obres de la Línia 9 del metro de Barcelona.</v>
      </c>
      <c r="I75" s="157">
        <f>Total!I3721</f>
        <v>88400</v>
      </c>
    </row>
    <row r="76" spans="1:9" x14ac:dyDescent="0.2">
      <c r="I76" s="126">
        <f>SUM(I2:I75)</f>
        <v>6813870.6399999987</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37"/>
  <sheetViews>
    <sheetView workbookViewId="0">
      <selection activeCell="I37" sqref="I37"/>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Total!B1739</f>
        <v>43409</v>
      </c>
      <c r="C2" s="101">
        <f>Total!C1739</f>
        <v>43431</v>
      </c>
      <c r="D2" s="112" t="s">
        <v>1092</v>
      </c>
      <c r="E2" s="101" t="str">
        <f>Total!E1739</f>
        <v>Edificació</v>
      </c>
      <c r="F2" s="96" t="str">
        <f>Total!F1739</f>
        <v>Direccions d'Execució</v>
      </c>
      <c r="G2" s="112" t="str">
        <f>Total!G1739</f>
        <v>CSS. ECO-17219</v>
      </c>
      <c r="H2" s="112" t="str">
        <f>Total!H1739</f>
        <v>Coordinació de seguretat i salut de l'execució de les obres de distribució dels espais interiors i les seves instal·lacions per a la implantació del nou complex al districte administratiu de la Generalitat de Catalunya Fase 1 a Barcelona.</v>
      </c>
      <c r="I2" s="157">
        <f>Total!I1739</f>
        <v>96000</v>
      </c>
    </row>
    <row r="3" spans="1:9" x14ac:dyDescent="0.2">
      <c r="A3" s="8">
        <v>2</v>
      </c>
      <c r="B3" s="101">
        <f>Total!B1740</f>
        <v>43409</v>
      </c>
      <c r="C3" s="101">
        <f>Total!C1740</f>
        <v>43431</v>
      </c>
      <c r="D3" s="112" t="s">
        <v>1092</v>
      </c>
      <c r="E3" s="101" t="str">
        <f>Total!E1740</f>
        <v>Edificació</v>
      </c>
      <c r="F3" s="96" t="str">
        <f>Total!F1740</f>
        <v>Control de Qualitat</v>
      </c>
      <c r="G3" s="112" t="str">
        <f>Total!G1740</f>
        <v>CQ. ECO-17219</v>
      </c>
      <c r="H3" s="112" t="str">
        <f>Total!H1740</f>
        <v>Control de qualitat de les obres de distribució dels espais interiors i les seves instal·lacions per a la implantació del nou complex al districte administratiu de la Generalitat de Catalunya Fase 1 a Barcelona.</v>
      </c>
      <c r="I3" s="157">
        <f>Total!I1740</f>
        <v>91339.33</v>
      </c>
    </row>
    <row r="4" spans="1:9" x14ac:dyDescent="0.2">
      <c r="A4" s="8">
        <v>3</v>
      </c>
      <c r="B4" s="101">
        <f>Total!B1741</f>
        <v>43409</v>
      </c>
      <c r="C4" s="101">
        <f>Total!C1741</f>
        <v>43423</v>
      </c>
      <c r="D4" s="112" t="s">
        <v>1092</v>
      </c>
      <c r="E4" s="101" t="str">
        <f>Total!E1741</f>
        <v>Obra Civil</v>
      </c>
      <c r="F4" s="96" t="str">
        <f>Total!F1741</f>
        <v>Direccions d'obra</v>
      </c>
      <c r="G4" s="112" t="str">
        <f>Total!G1741</f>
        <v>CSS. MG-07061.1</v>
      </c>
      <c r="H4" s="112" t="str">
        <f>Total!H1741</f>
        <v>Coordinació de seguretat i salut de l'execució de les obres del projecte constructiu de millora local. Millora de nus. Rotonda a la carretera GI-632, PK 2+500. Tram: Bellcaire d'Empordà.</v>
      </c>
      <c r="I4" s="157">
        <f>Total!I1741</f>
        <v>6240</v>
      </c>
    </row>
    <row r="5" spans="1:9" x14ac:dyDescent="0.2">
      <c r="A5" s="8">
        <v>4</v>
      </c>
      <c r="B5" s="101">
        <f>Total!B1742</f>
        <v>43409</v>
      </c>
      <c r="C5" s="101">
        <f>Total!C1742</f>
        <v>43423</v>
      </c>
      <c r="D5" s="112" t="s">
        <v>1092</v>
      </c>
      <c r="E5" s="101" t="str">
        <f>Total!E1742</f>
        <v>Edificació</v>
      </c>
      <c r="F5" s="96" t="str">
        <f>Total!F1742</f>
        <v>Direccions d'Execució</v>
      </c>
      <c r="G5" s="112" t="str">
        <f>Total!G1742</f>
        <v>DE. PNC-09359.A</v>
      </c>
      <c r="H5" s="112" t="str">
        <f>Total!H1742</f>
        <v>Direcció d'execució de les obres de la nova construcció a l'Escola Agnès de Sitges, 1 línia.</v>
      </c>
      <c r="I5" s="157">
        <f>Total!I1742</f>
        <v>94200</v>
      </c>
    </row>
    <row r="6" spans="1:9" x14ac:dyDescent="0.2">
      <c r="A6" s="8">
        <v>5</v>
      </c>
      <c r="B6" s="101">
        <f>Total!B1743</f>
        <v>43412</v>
      </c>
      <c r="C6" s="101">
        <f>Total!C1743</f>
        <v>43430</v>
      </c>
      <c r="D6" s="112" t="s">
        <v>1092</v>
      </c>
      <c r="E6" s="101" t="str">
        <f>Total!E1743</f>
        <v>Obra Civil</v>
      </c>
      <c r="F6" s="96" t="str">
        <f>Total!F1743</f>
        <v>Control de Qualitat</v>
      </c>
      <c r="G6" s="112" t="str">
        <f>Total!G1743</f>
        <v>CQ. CGM-17224</v>
      </c>
      <c r="H6" s="112" t="str">
        <f>Total!H1743</f>
        <v>Contracte de serveis per a l'assistència tècnica per al control de qualitat de les obres RAM de renovació d'equips de clima i implantació de mesures per a la millora de l'eficiència energètica de diverses comissaries de Mossos d'Esquadra.</v>
      </c>
      <c r="I6" s="157">
        <f>Total!I1743</f>
        <v>4558.8500000000004</v>
      </c>
    </row>
    <row r="7" spans="1:9" x14ac:dyDescent="0.2">
      <c r="A7" s="8">
        <v>6</v>
      </c>
      <c r="B7" s="101">
        <f>Total!B1744</f>
        <v>43412</v>
      </c>
      <c r="C7" s="101">
        <f>Total!C1744</f>
        <v>43430</v>
      </c>
      <c r="D7" s="112" t="s">
        <v>1092</v>
      </c>
      <c r="E7" s="101" t="str">
        <f>Total!E1744</f>
        <v>Edificació</v>
      </c>
      <c r="F7" s="96" t="str">
        <f>Total!F1744</f>
        <v>Direccions d'Execució</v>
      </c>
      <c r="G7" s="112" t="str">
        <f>Total!G1744</f>
        <v>DE. CLT-10089.1 + CLT-10089.2</v>
      </c>
      <c r="H7" s="112" t="str">
        <f>Total!H1744</f>
        <v>Contracte de serveis per a l'assistència tècnica conjunta de direcció d'execució de les obres del projecte d'arquitectura d'un nou Consultori Local a Verges. Clau: CLT-10089.1 i les obres del projecte d'instal·lacions d'un nou Consultori Local a Verges.</v>
      </c>
      <c r="I7" s="157">
        <f>Total!I1744</f>
        <v>10453.82</v>
      </c>
    </row>
    <row r="8" spans="1:9" x14ac:dyDescent="0.2">
      <c r="A8" s="8">
        <v>7</v>
      </c>
      <c r="B8" s="101">
        <f>Total!B1745</f>
        <v>43412</v>
      </c>
      <c r="C8" s="101">
        <f>Total!C1745</f>
        <v>43430</v>
      </c>
      <c r="D8" s="112" t="s">
        <v>1092</v>
      </c>
      <c r="E8" s="101" t="str">
        <f>Total!E1745</f>
        <v>Edificació</v>
      </c>
      <c r="F8" s="96" t="str">
        <f>Total!F1745</f>
        <v>Direccions d'Execució</v>
      </c>
      <c r="G8" s="112" t="str">
        <f>Total!G1745</f>
        <v>DE. PNL-16216</v>
      </c>
      <c r="H8" s="112" t="str">
        <f>Total!H1745</f>
        <v>Contracte de serveis per a l'assistència tècnica de la Direcció d'execució de les obres de la nova construcció de l'Escola El Vinyet de Solsona.</v>
      </c>
      <c r="I8" s="157">
        <f>Total!I1745</f>
        <v>98754</v>
      </c>
    </row>
    <row r="9" spans="1:9" x14ac:dyDescent="0.2">
      <c r="A9" s="8">
        <v>8</v>
      </c>
      <c r="B9" s="101">
        <f>Total!B1746</f>
        <v>43412</v>
      </c>
      <c r="C9" s="101">
        <f>Total!C1746</f>
        <v>43430</v>
      </c>
      <c r="D9" s="112" t="s">
        <v>1092</v>
      </c>
      <c r="E9" s="101" t="str">
        <f>Total!E1746</f>
        <v>Edificació</v>
      </c>
      <c r="F9" s="96" t="str">
        <f>Total!F1746</f>
        <v>Direccions d'Execució</v>
      </c>
      <c r="G9" s="112" t="str">
        <f>Total!G1746</f>
        <v>DE. PAL-16214</v>
      </c>
      <c r="H9" s="112" t="str">
        <f>Total!H1746</f>
        <v>Contracte de serveis per a l'assistència tècnica de direcció d'execució de les obres d'ampliació a 2,5 L a l'Escola Ramón Faus i Esteve a Guissona.</v>
      </c>
      <c r="I9" s="157">
        <f>Total!I1746</f>
        <v>15687</v>
      </c>
    </row>
    <row r="10" spans="1:9" x14ac:dyDescent="0.2">
      <c r="A10" s="8">
        <v>9</v>
      </c>
      <c r="B10" s="101">
        <f>Total!B1747</f>
        <v>43413</v>
      </c>
      <c r="C10" s="101">
        <f>Total!C1747</f>
        <v>43430</v>
      </c>
      <c r="D10" s="112" t="s">
        <v>1092</v>
      </c>
      <c r="E10" s="101" t="str">
        <f>Total!E1747</f>
        <v>Edificació</v>
      </c>
      <c r="F10" s="96" t="str">
        <f>Total!F1747</f>
        <v>Direccions d'Execució</v>
      </c>
      <c r="G10" s="112" t="str">
        <f>Total!G1747</f>
        <v>CSS. CAP-15346</v>
      </c>
      <c r="H10" s="112" t="str">
        <f>Total!H1747</f>
        <v>Contracte de serveis per a l'assistència tècnica per a la coordinació de seguretat i salut de les obres de construcció del nou Centre d'Atenció Primària Cotet, a Premià de Dalt.</v>
      </c>
      <c r="I10" s="157">
        <f>Total!I1747</f>
        <v>13665</v>
      </c>
    </row>
    <row r="11" spans="1:9" x14ac:dyDescent="0.2">
      <c r="A11" s="8">
        <v>10</v>
      </c>
      <c r="B11" s="101">
        <f>Total!B1749</f>
        <v>43413</v>
      </c>
      <c r="C11" s="101">
        <f>Total!C1749</f>
        <v>43430</v>
      </c>
      <c r="D11" s="112" t="s">
        <v>1092</v>
      </c>
      <c r="E11" s="101" t="str">
        <f>Total!E1749</f>
        <v>Edificació</v>
      </c>
      <c r="F11" s="96" t="str">
        <f>Total!F1749</f>
        <v>Direccions d'Execució</v>
      </c>
      <c r="G11" s="112" t="str">
        <f>Total!G1749</f>
        <v>DE. CAP-15346</v>
      </c>
      <c r="H11" s="112" t="str">
        <f>Total!H1749</f>
        <v>Contracte de serveis per a l'assistència tècnica de la direcció d'execució de les obres de construcció del nou Centre d'Atenció Primària Cotet, a Premià de Dalt.</v>
      </c>
      <c r="I11" s="157">
        <f>Total!I1749</f>
        <v>45550</v>
      </c>
    </row>
    <row r="12" spans="1:9" x14ac:dyDescent="0.2">
      <c r="A12" s="8">
        <v>11</v>
      </c>
      <c r="B12" s="101">
        <f>Total!B1750</f>
        <v>43413</v>
      </c>
      <c r="C12" s="101">
        <f>Total!C1750</f>
        <v>43432</v>
      </c>
      <c r="D12" s="112" t="s">
        <v>1092</v>
      </c>
      <c r="E12" s="101" t="str">
        <f>Total!E1750</f>
        <v>Edificació</v>
      </c>
      <c r="F12" s="96" t="str">
        <f>Total!F1750</f>
        <v>Direccions d'Execució</v>
      </c>
      <c r="G12" s="112" t="str">
        <f>Total!G1750</f>
        <v>DE. PGM-15352</v>
      </c>
      <c r="H12" s="112" t="str">
        <f>Total!H1750</f>
        <v>Contracte de serveis per a l'assistència tècnica per a la direcció d'execució de les obres d'Adequació, reforma i millora del Parc de Bombers de Girona.</v>
      </c>
      <c r="I12" s="157">
        <f>Total!I1750</f>
        <v>31000</v>
      </c>
    </row>
    <row r="13" spans="1:9" x14ac:dyDescent="0.2">
      <c r="A13" s="8">
        <v>12</v>
      </c>
      <c r="B13" s="101">
        <f>Total!B1751</f>
        <v>43416</v>
      </c>
      <c r="C13" s="101">
        <f>Total!C1751</f>
        <v>43437</v>
      </c>
      <c r="D13" s="112" t="s">
        <v>1092</v>
      </c>
      <c r="E13" s="101" t="str">
        <f>Total!E1751</f>
        <v>Edificació</v>
      </c>
      <c r="F13" s="96" t="str">
        <f>Total!F1751</f>
        <v>Direccions d'Execució</v>
      </c>
      <c r="G13" s="112" t="str">
        <f>Total!G1751</f>
        <v>DE. CGM-17223</v>
      </c>
      <c r="H13" s="112" t="str">
        <f>Total!H1751</f>
        <v>Contracte de serveis per a l'assistència tècnica per a la direcció d'execució de les obres RAM renovació d'equips de clima i implantació de mesures per a la millora de l'eficiència energètica de diverses comissaries de Mossos d'Esquadra.</v>
      </c>
      <c r="I13" s="157">
        <f>Total!I1751</f>
        <v>8800</v>
      </c>
    </row>
    <row r="14" spans="1:9" x14ac:dyDescent="0.2">
      <c r="A14" s="8">
        <v>13</v>
      </c>
      <c r="B14" s="101">
        <f>Total!B1752</f>
        <v>43416</v>
      </c>
      <c r="C14" s="101">
        <f>Total!C1752</f>
        <v>43432</v>
      </c>
      <c r="D14" s="112" t="s">
        <v>1092</v>
      </c>
      <c r="E14" s="101" t="str">
        <f>Total!E1752</f>
        <v>Obra Civil</v>
      </c>
      <c r="F14" s="96" t="str">
        <f>Total!F1752</f>
        <v>Control de Qualitat</v>
      </c>
      <c r="G14" s="112" t="str">
        <f>Total!G1752</f>
        <v>CQ. MC-14006</v>
      </c>
      <c r="H14" s="112" t="str">
        <f>Total!H1752</f>
        <v>Control de qualitat de les obres del projecte constructiu de millora local. Seguretat viària. Estudi i implantació de millores en seguretat viària per a motoristes a la xarxa de carreteres de la Generalitat. Any 2014.</v>
      </c>
      <c r="I14" s="157">
        <f>Total!I1752</f>
        <v>12653.52</v>
      </c>
    </row>
    <row r="15" spans="1:9" x14ac:dyDescent="0.2">
      <c r="A15" s="8">
        <v>14</v>
      </c>
      <c r="B15" s="101">
        <f>Total!B1753</f>
        <v>43417</v>
      </c>
      <c r="C15" s="101">
        <f>Total!C1753</f>
        <v>43432</v>
      </c>
      <c r="D15" s="112" t="s">
        <v>1092</v>
      </c>
      <c r="E15" s="101" t="str">
        <f>Total!E1753</f>
        <v>Obra Civil</v>
      </c>
      <c r="F15" s="96" t="str">
        <f>Total!F1753</f>
        <v>Direccions d'Obra</v>
      </c>
      <c r="G15" s="112" t="str">
        <f>Total!G1753</f>
        <v>DO. AB-14009.F3.1</v>
      </c>
      <c r="H15" s="112" t="str">
        <f>Total!H1753</f>
        <v>Contracte de serveis per a la direcció de les obres del projecte constructiu de millora general. Condicionament. Ampliació de la calçada lateral sentit Terrassa a l'autopista C-58, del PK 14+500 al 18+800. Tram: Sabadell-Terrassa.</v>
      </c>
      <c r="I15" s="157">
        <f>Total!I1753</f>
        <v>385450</v>
      </c>
    </row>
    <row r="16" spans="1:9" x14ac:dyDescent="0.2">
      <c r="A16" s="8">
        <v>15</v>
      </c>
      <c r="B16" s="101">
        <f>Total!B1754</f>
        <v>43418</v>
      </c>
      <c r="C16" s="101">
        <f>Total!C1754</f>
        <v>43437</v>
      </c>
      <c r="D16" s="112" t="s">
        <v>1092</v>
      </c>
      <c r="E16" s="101" t="str">
        <f>Total!E1754</f>
        <v>Obra Civil</v>
      </c>
      <c r="F16" s="96" t="str">
        <f>Total!F1754</f>
        <v>Direccions d'Obra</v>
      </c>
      <c r="G16" s="112" t="str">
        <f>Total!G1754</f>
        <v>DO. TM-02609.20.2.2</v>
      </c>
      <c r="H16" s="112" t="str">
        <f>Total!H1754</f>
        <v>Direcció de les obres del projecte de canvi de senyalèctica i de plafons de senyalització per adaptar la xarxa a la posada en servei de la Línia 10 Sud del metro de Barcelona. Estacions Ildefons Cerdà, Provençana i estacions Viaducte. Fases 2 i 3.</v>
      </c>
      <c r="I16" s="157">
        <f>Total!I1754</f>
        <v>2200.0300000000002</v>
      </c>
    </row>
    <row r="17" spans="1:9" x14ac:dyDescent="0.2">
      <c r="A17" s="8">
        <v>16</v>
      </c>
      <c r="B17" s="101">
        <f>Total!B1755</f>
        <v>43418</v>
      </c>
      <c r="C17" s="101">
        <f>Total!C1755</f>
        <v>43437</v>
      </c>
      <c r="D17" s="112" t="s">
        <v>1092</v>
      </c>
      <c r="E17" s="101" t="str">
        <f>Total!E1755</f>
        <v>Edificació</v>
      </c>
      <c r="F17" s="96" t="str">
        <f>Total!F1755</f>
        <v>Direccions d'Execució</v>
      </c>
      <c r="G17" s="112" t="str">
        <f>Total!G1755</f>
        <v>DE. CAP-16204</v>
      </c>
      <c r="H17" s="112" t="str">
        <f>Total!H1755</f>
        <v>Contracte de serveis per a la Direcció d'execució de les obres de Construcció del nou Centre d'Atenció Primària de la Seu d'Urgell.</v>
      </c>
      <c r="I17" s="157">
        <f>Total!I1755</f>
        <v>66950</v>
      </c>
    </row>
    <row r="18" spans="1:9" x14ac:dyDescent="0.2">
      <c r="A18" s="8">
        <v>17</v>
      </c>
      <c r="B18" s="101">
        <f>Total!B1756</f>
        <v>43418</v>
      </c>
      <c r="C18" s="101">
        <f>Total!C1756</f>
        <v>43437</v>
      </c>
      <c r="D18" s="112" t="s">
        <v>1092</v>
      </c>
      <c r="E18" s="101" t="str">
        <f>Total!E1756</f>
        <v>Edificació</v>
      </c>
      <c r="F18" s="96" t="str">
        <f>Total!F1756</f>
        <v>Direccions d'Execució</v>
      </c>
      <c r="G18" s="112" t="str">
        <f>Total!G1756</f>
        <v>DE. CAP-16219</v>
      </c>
      <c r="H18" s="112" t="str">
        <f>Total!H1756</f>
        <v>Contracte de serveis per a la Direcció d'execució de les obres corresponents al Projecte: obres RAM del Centre d'Atenció Primària Cappont, de Lleida.</v>
      </c>
      <c r="I18" s="157">
        <f>Total!I1756</f>
        <v>5720.5</v>
      </c>
    </row>
    <row r="19" spans="1:9" x14ac:dyDescent="0.2">
      <c r="A19" s="8">
        <v>18</v>
      </c>
      <c r="B19" s="101">
        <f>Total!B1757</f>
        <v>43420</v>
      </c>
      <c r="C19" s="101">
        <f>Total!C1757</f>
        <v>43437</v>
      </c>
      <c r="D19" s="112" t="s">
        <v>1092</v>
      </c>
      <c r="E19" s="101" t="str">
        <f>Total!E1757</f>
        <v>Edificació</v>
      </c>
      <c r="F19" s="96" t="str">
        <f>Total!F1757</f>
        <v>Direccions d'Execució</v>
      </c>
      <c r="G19" s="112" t="str">
        <f>Total!G1757</f>
        <v>DE. CGM-17253</v>
      </c>
      <c r="H19" s="112" t="str">
        <f>Total!H1757</f>
        <v>Contracte de serveis per a la Direcció d'execució de les obres corresponents al Projecte: RAM de millores funcionals de diverses comissaries de Mossos d'Esquadra.</v>
      </c>
      <c r="I19" s="157">
        <f>Total!I1757</f>
        <v>9000</v>
      </c>
    </row>
    <row r="20" spans="1:9" x14ac:dyDescent="0.2">
      <c r="A20" s="8">
        <v>19</v>
      </c>
      <c r="B20" s="101">
        <f>Total!B1758</f>
        <v>43420</v>
      </c>
      <c r="C20" s="101">
        <f>Total!C1758</f>
        <v>43439</v>
      </c>
      <c r="D20" s="112" t="s">
        <v>1092</v>
      </c>
      <c r="E20" s="101" t="str">
        <f>Total!E1758</f>
        <v>Edificació</v>
      </c>
      <c r="F20" s="96" t="str">
        <f>Total!F1758</f>
        <v>Direccions d'Execució</v>
      </c>
      <c r="G20" s="112" t="str">
        <f>Total!G1758</f>
        <v>CSS. PGM-15352+CGM-17224+CCG-16273</v>
      </c>
      <c r="H20" s="112" t="str">
        <f>Total!H1758</f>
        <v>Assistència tècnica per a la Coordinació de seguretat i salut de l'execució de les obres: "Adequació, reforma i millora del Parc de Bombers de Girona. Obres RAM de renovació d'equips de clima diverses comissaries Mossos obres remodelació Comis. a Banyoles</v>
      </c>
      <c r="I20" s="157">
        <f>Total!I1758</f>
        <v>16500</v>
      </c>
    </row>
    <row r="21" spans="1:9" x14ac:dyDescent="0.2">
      <c r="A21" s="8">
        <v>20</v>
      </c>
      <c r="B21" s="101">
        <f>Total!B1759</f>
        <v>43420</v>
      </c>
      <c r="C21" s="101">
        <f>Total!C1759</f>
        <v>43437</v>
      </c>
      <c r="D21" s="112" t="s">
        <v>1092</v>
      </c>
      <c r="E21" s="101" t="str">
        <f>Total!E1759</f>
        <v>Edificació</v>
      </c>
      <c r="F21" s="96" t="str">
        <f>Total!F1759</f>
        <v>Direccions d'Execució</v>
      </c>
      <c r="G21" s="112" t="str">
        <f>Total!G1759</f>
        <v>DE. IAV-16213</v>
      </c>
      <c r="H21" s="112" t="str">
        <f>Total!H1759</f>
        <v>Contracte de serveis per a l'assistència tècnica de direcció d'execució de les obres d'ampliació a Institut 4/2 L Rovira-Forns de Santa Perpètua de Mogoda.</v>
      </c>
      <c r="I21" s="157">
        <f>Total!I1759</f>
        <v>19475</v>
      </c>
    </row>
    <row r="22" spans="1:9" x14ac:dyDescent="0.2">
      <c r="A22" s="8">
        <v>21</v>
      </c>
      <c r="B22" s="101">
        <f>Total!B1760</f>
        <v>43420</v>
      </c>
      <c r="C22" s="101">
        <f>Total!C1760</f>
        <v>43437</v>
      </c>
      <c r="D22" s="112" t="s">
        <v>1092</v>
      </c>
      <c r="E22" s="101" t="str">
        <f>Total!E1760</f>
        <v>Edificació</v>
      </c>
      <c r="F22" s="96" t="str">
        <f>Total!F1760</f>
        <v>Direccions d'Execució</v>
      </c>
      <c r="G22" s="112" t="str">
        <f>Total!G1760</f>
        <v>CSS. PNL-16216+PAL-16214</v>
      </c>
      <c r="H22" s="112" t="str">
        <f>Total!H1760</f>
        <v>Coordinació de seguretat i salut conjunta de les obres de l'execució de les obres de nova construcció de l'Escola El Vinyet de Solsona i execució de les obres d'ampliació de l'Escola Ramón Faus i Esteve de Guissona.</v>
      </c>
      <c r="I22" s="157">
        <f>Total!I1760</f>
        <v>34080</v>
      </c>
    </row>
    <row r="23" spans="1:9" x14ac:dyDescent="0.2">
      <c r="A23" s="8">
        <v>22</v>
      </c>
      <c r="B23" s="101">
        <f>Total!B1761</f>
        <v>43420</v>
      </c>
      <c r="C23" s="101">
        <f>Total!C1761</f>
        <v>43439</v>
      </c>
      <c r="D23" s="112" t="s">
        <v>1092</v>
      </c>
      <c r="E23" s="101" t="str">
        <f>Total!E1761</f>
        <v>Edificació</v>
      </c>
      <c r="F23" s="96" t="str">
        <f>Total!F1761</f>
        <v>Direccions d'Execució</v>
      </c>
      <c r="G23" s="112" t="str">
        <f>Total!G1761</f>
        <v>DE. PGM-15307</v>
      </c>
      <c r="H23" s="112" t="str">
        <f>Total!H1761</f>
        <v>Contracte de serveis per a la direcció d'execució de les obres RAM Reforma i ampliació d'espais tècnics i millora del Parc de Bombers existent a Granollers.</v>
      </c>
      <c r="I23" s="157">
        <f>Total!I1761</f>
        <v>21000</v>
      </c>
    </row>
    <row r="24" spans="1:9" x14ac:dyDescent="0.2">
      <c r="A24" s="8">
        <v>23</v>
      </c>
      <c r="B24" s="101">
        <f>Total!B1762</f>
        <v>43423</v>
      </c>
      <c r="C24" s="101">
        <f>Total!C1762</f>
        <v>43444</v>
      </c>
      <c r="D24" s="112" t="s">
        <v>1092</v>
      </c>
      <c r="E24" s="101" t="str">
        <f>Total!E1762</f>
        <v>Edificació</v>
      </c>
      <c r="F24" s="96" t="str">
        <f>Total!F1762</f>
        <v>Control de Qualitat</v>
      </c>
      <c r="G24" s="112" t="str">
        <f>Total!G1762</f>
        <v>CQ. PGM-15352</v>
      </c>
      <c r="H24" s="112" t="str">
        <f>Total!H1762</f>
        <v>Contracte de serveis per a l'assistència tècnica per al control de qualitat de les obres d'Adequació, reforma i millora del Parc de Bombers de Girona.</v>
      </c>
      <c r="I24" s="157">
        <f>Total!I1762</f>
        <v>17130.57</v>
      </c>
    </row>
    <row r="25" spans="1:9" x14ac:dyDescent="0.2">
      <c r="A25" s="8">
        <v>24</v>
      </c>
      <c r="B25" s="101">
        <f>Total!B1763</f>
        <v>43424</v>
      </c>
      <c r="C25" s="101">
        <f>Total!C1763</f>
        <v>43444</v>
      </c>
      <c r="D25" s="112" t="s">
        <v>1092</v>
      </c>
      <c r="E25" s="101" t="str">
        <f>Total!E1763</f>
        <v>Obra Civil</v>
      </c>
      <c r="F25" s="96" t="str">
        <f>Total!F1763</f>
        <v>Control de Qualitat</v>
      </c>
      <c r="G25" s="112" t="str">
        <f>Total!G1763</f>
        <v>CQ.VE-06008.1</v>
      </c>
      <c r="H25" s="112" t="str">
        <f>Total!H1763</f>
        <v>Contracte de serveis per a l'assistència tècnica de control de qualitat de les obres del projecte constructiu de millora general. Variant de Gandesa. Actuacions d'enllaç a la variant. Carretera C-43, PK 11+700 al 13+600. Tram: Gandesa.</v>
      </c>
      <c r="I25" s="157">
        <f>Total!I1763</f>
        <v>20701.45</v>
      </c>
    </row>
    <row r="26" spans="1:9" x14ac:dyDescent="0.2">
      <c r="A26" s="8">
        <v>25</v>
      </c>
      <c r="B26" s="101">
        <f>Total!B1764</f>
        <v>43425</v>
      </c>
      <c r="C26" s="101">
        <f>Total!C1764</f>
        <v>43444</v>
      </c>
      <c r="D26" s="112" t="s">
        <v>1092</v>
      </c>
      <c r="E26" s="101" t="str">
        <f>Total!E1764</f>
        <v>Edificació</v>
      </c>
      <c r="F26" s="96" t="str">
        <f>Total!F1764</f>
        <v>Direccions d'Execució</v>
      </c>
      <c r="G26" s="112" t="str">
        <f>Total!G1764</f>
        <v>CSS. CGM-17253+PGM-15307</v>
      </c>
      <c r="H26" s="112" t="str">
        <f>Total!H1764</f>
        <v>Coordinació de Seguretat i Salut conjunta de les obres: "RAM de millores funcionals de diverses comissaries de Mossos d'Esquadra. i "Reforma, ampliació d'espais tècnics i millora del Parc de Bombers existent a Granollers.</v>
      </c>
      <c r="I26" s="157">
        <f>Total!I1764</f>
        <v>9000</v>
      </c>
    </row>
    <row r="27" spans="1:9" x14ac:dyDescent="0.2">
      <c r="A27" s="8">
        <v>26</v>
      </c>
      <c r="B27" s="101">
        <f>Total!B1765</f>
        <v>43427</v>
      </c>
      <c r="C27" s="101">
        <f>Total!C1765</f>
        <v>43444</v>
      </c>
      <c r="D27" s="112" t="s">
        <v>1092</v>
      </c>
      <c r="E27" s="101" t="str">
        <f>Total!E1765</f>
        <v>Obra Civil</v>
      </c>
      <c r="F27" s="96" t="str">
        <f>Total!F1765</f>
        <v>Direccions d'Obra</v>
      </c>
      <c r="G27" s="112" t="str">
        <f>Total!G1765</f>
        <v>DO. MC-14006</v>
      </c>
      <c r="H27" s="112" t="str">
        <f>Total!H1765</f>
        <v>Direcció de les obres del projecte constructiu de millora local. Seguretat viària. Estudi i implantació de millores en seguretat viària per a motoristes a la xarxa de carreteres de la Generalitat. Any 2014.</v>
      </c>
      <c r="I27" s="157">
        <f>Total!I1765</f>
        <v>51946.67</v>
      </c>
    </row>
    <row r="28" spans="1:9" x14ac:dyDescent="0.2">
      <c r="A28" s="8">
        <v>27</v>
      </c>
      <c r="B28" s="101">
        <f>Total!B1766</f>
        <v>43427</v>
      </c>
      <c r="C28" s="101">
        <f>Total!C1766</f>
        <v>43444</v>
      </c>
      <c r="D28" s="112" t="s">
        <v>1092</v>
      </c>
      <c r="E28" s="101" t="str">
        <f>Total!E1766</f>
        <v>Obra Civil</v>
      </c>
      <c r="F28" s="96" t="str">
        <f>Total!F1766</f>
        <v>Direccions d'Obra</v>
      </c>
      <c r="G28" s="112" t="str">
        <f>Total!G1766</f>
        <v>PC. TM-11018.1</v>
      </c>
      <c r="H28" s="112" t="str">
        <f>Total!H1766</f>
        <v>Redacció del projecte constructiu: Millora de l'accessibilitat de l'estació de Vallcarca de la Línia 3 dels FMB. Ascensor de carrer. Barcelona.</v>
      </c>
      <c r="I28" s="157">
        <f>Total!I1766</f>
        <v>41000</v>
      </c>
    </row>
    <row r="29" spans="1:9" x14ac:dyDescent="0.2">
      <c r="A29" s="8">
        <v>28</v>
      </c>
      <c r="B29" s="101">
        <f>Total!B1767</f>
        <v>43430</v>
      </c>
      <c r="C29" s="101">
        <f>Total!C1767</f>
        <v>43446</v>
      </c>
      <c r="D29" s="112" t="s">
        <v>1092</v>
      </c>
      <c r="E29" s="101" t="str">
        <f>Total!E1767</f>
        <v>Obra Civil</v>
      </c>
      <c r="F29" s="96" t="str">
        <f>Total!F1767</f>
        <v>Direccions d'Obra</v>
      </c>
      <c r="G29" s="112" t="str">
        <f>Total!G1767</f>
        <v>DO.NB-03114.1-A1-C4</v>
      </c>
      <c r="H29" s="112" t="str">
        <f>Total!H1767</f>
        <v>Direcció de les obres del projecte complementari de millora local. Talussos. Adequació del marge del riu Llobregat adjacent al vial Port-Aeroport. Tram: El Prat de Llobregat.</v>
      </c>
      <c r="I29" s="157">
        <f>Total!I1767</f>
        <v>5340</v>
      </c>
    </row>
    <row r="30" spans="1:9" x14ac:dyDescent="0.2">
      <c r="A30" s="8">
        <v>29</v>
      </c>
      <c r="B30" s="101">
        <f>Total!B1768</f>
        <v>43430</v>
      </c>
      <c r="C30" s="101">
        <f>Total!C1768</f>
        <v>43474</v>
      </c>
      <c r="D30" s="112" t="s">
        <v>1092</v>
      </c>
      <c r="E30" s="101" t="str">
        <f>Total!E1768</f>
        <v>Edificació</v>
      </c>
      <c r="F30" s="96" t="str">
        <f>Total!F1768</f>
        <v>Control de Qualitat</v>
      </c>
      <c r="G30" s="112" t="str">
        <f>Total!G1768</f>
        <v>CQ. CGM-17253</v>
      </c>
      <c r="H30" s="112" t="str">
        <f>Total!H1768</f>
        <v>Control de qualitat de les obres RAM de millores funcionals de diverses comissaries de les regions policials de Girona, Metropolitana Nord, Ponent i Metropolitana Sud.</v>
      </c>
      <c r="I30" s="157">
        <f>Total!I1768</f>
        <v>4147.13</v>
      </c>
    </row>
    <row r="31" spans="1:9" x14ac:dyDescent="0.2">
      <c r="A31" s="8">
        <v>30</v>
      </c>
      <c r="B31" s="101">
        <f>Total!B1769</f>
        <v>43430</v>
      </c>
      <c r="C31" s="101">
        <f>Total!C1769</f>
        <v>43446</v>
      </c>
      <c r="D31" s="112" t="s">
        <v>1092</v>
      </c>
      <c r="E31" s="101" t="str">
        <f>Total!E1769</f>
        <v>Edificació</v>
      </c>
      <c r="F31" s="96" t="str">
        <f>Total!F1769</f>
        <v>Direccions d'Execució</v>
      </c>
      <c r="G31" s="112" t="str">
        <f>Total!G1769</f>
        <v>DE.CGM-17225</v>
      </c>
      <c r="H31" s="112" t="str">
        <f>Total!H1769</f>
        <v>Contracte de serveis per a la Direcció d'execució de les obres RAM de substitució i millora del sistema de gravadors i càmeres perimetrals de diverses comissaries de Mossos d'Esquadra.</v>
      </c>
      <c r="I31" s="157">
        <f>Total!I1769</f>
        <v>8200</v>
      </c>
    </row>
    <row r="32" spans="1:9" x14ac:dyDescent="0.2">
      <c r="A32" s="8">
        <v>31</v>
      </c>
      <c r="B32" s="101">
        <f>Total!B1770</f>
        <v>43430</v>
      </c>
      <c r="C32" s="101">
        <f>Total!C1770</f>
        <v>43446</v>
      </c>
      <c r="D32" s="112" t="s">
        <v>1092</v>
      </c>
      <c r="E32" s="101" t="str">
        <f>Total!E1770</f>
        <v>Edificació</v>
      </c>
      <c r="F32" s="96" t="str">
        <f>Total!F1770</f>
        <v>Direccions d'Execució</v>
      </c>
      <c r="G32" s="112" t="str">
        <f>Total!G1770</f>
        <v>CSS. PNC-09359.A</v>
      </c>
      <c r="H32" s="112" t="str">
        <f>Total!H1770</f>
        <v>Contracte de serveis per a l'Assistència Tècnica de la Coordinació de seguretat i salut per l'execució de les obres Nova construcció Escola Agnès de Sitges, Clau: PNC-09359.A (Lot1+Lot2).</v>
      </c>
      <c r="I32" s="157">
        <f>Total!I1770</f>
        <v>28260</v>
      </c>
    </row>
    <row r="33" spans="1:9" x14ac:dyDescent="0.2">
      <c r="A33" s="8">
        <v>32</v>
      </c>
      <c r="B33" s="101">
        <f>Total!B1771</f>
        <v>43430</v>
      </c>
      <c r="C33" s="101">
        <f>Total!C1771</f>
        <v>43446</v>
      </c>
      <c r="D33" s="112" t="s">
        <v>1092</v>
      </c>
      <c r="E33" s="101" t="str">
        <f>Total!E1771</f>
        <v>Obra Civil</v>
      </c>
      <c r="F33" s="96" t="str">
        <f>Total!F1771</f>
        <v>Direccions d'Obra</v>
      </c>
      <c r="G33" s="112" t="str">
        <f>Total!G1771</f>
        <v>CSS.VE-06008.1</v>
      </c>
      <c r="H33" s="112" t="str">
        <f>Total!H1771</f>
        <v>Contracte de serveis per a l'Assistència Tècnica de Coordinació de Seguretat i Salut de les obres del projecte constructiu de millora general. Variant de Gandesa. Actuacions d'enllaç a la variant. Carretera C-43, PK 11+700 al 13+600. Tram: Gandesa.</v>
      </c>
      <c r="I33" s="157">
        <f>Total!I1771</f>
        <v>16800</v>
      </c>
    </row>
    <row r="34" spans="1:9" x14ac:dyDescent="0.2">
      <c r="A34" s="8">
        <v>33</v>
      </c>
      <c r="B34" s="101">
        <f>Total!B1772</f>
        <v>43432</v>
      </c>
      <c r="C34" s="101">
        <f>Total!C1772</f>
        <v>43447</v>
      </c>
      <c r="D34" s="112" t="s">
        <v>1092</v>
      </c>
      <c r="E34" s="101" t="str">
        <f>Total!E1772</f>
        <v>Obra Civil</v>
      </c>
      <c r="F34" s="96" t="str">
        <f>Total!F1772</f>
        <v>Direccions d'Obra</v>
      </c>
      <c r="G34" s="112" t="str">
        <f>Total!G1772</f>
        <v>ATAM. VE-06008.1</v>
      </c>
      <c r="H34" s="112" t="str">
        <f>Total!H1772</f>
        <v>Contracte de serveis de l'assistència tècnica ambiental. Millora general. Variant de Gandesa. Actuacions d'enllaç a la variant. Carretera C-43, PK 11+700 al 13+600. Tram: Gandesa. Clau: ATAM. VE-06008.1.</v>
      </c>
      <c r="I34" s="157">
        <f>Total!I1772</f>
        <v>12474</v>
      </c>
    </row>
    <row r="35" spans="1:9" x14ac:dyDescent="0.2">
      <c r="A35" s="8">
        <v>34</v>
      </c>
      <c r="B35" s="101">
        <f>Total!B1773</f>
        <v>43433</v>
      </c>
      <c r="C35" s="101">
        <f>Total!C1773</f>
        <v>43451</v>
      </c>
      <c r="D35" s="112" t="s">
        <v>1092</v>
      </c>
      <c r="E35" s="101" t="str">
        <f>Total!E1773</f>
        <v>Obra Civil</v>
      </c>
      <c r="F35" s="96" t="str">
        <f>Total!F1773</f>
        <v>Direccions d'Obra</v>
      </c>
      <c r="G35" s="112" t="str">
        <f>Total!G1773</f>
        <v>DO. MG-16027</v>
      </c>
      <c r="H35" s="112" t="str">
        <f>Total!H1773</f>
        <v>Contracte de serveis per a la direcció de les obres del projecte constructiu de millora local. Millora de nus. Rotonda i ordenació d'accessos a la carretera GI-533, del PK 2+470 al 3+740. Tram: Vilablareix ¿ Aiguaviva.</v>
      </c>
      <c r="I35" s="157">
        <f>Total!I1773</f>
        <v>38546.660000000003</v>
      </c>
    </row>
    <row r="36" spans="1:9" x14ac:dyDescent="0.2">
      <c r="A36" s="8">
        <v>35</v>
      </c>
      <c r="B36" s="101">
        <f>Total!B1774</f>
        <v>43434</v>
      </c>
      <c r="C36" s="101">
        <f>Total!C1774</f>
        <v>43451.541666666664</v>
      </c>
      <c r="D36" s="112" t="s">
        <v>1092</v>
      </c>
      <c r="E36" s="101" t="str">
        <f>Total!E1774</f>
        <v>Edificació</v>
      </c>
      <c r="F36" s="96" t="str">
        <f>Total!F1774</f>
        <v>Direccions d'execució</v>
      </c>
      <c r="G36" s="112" t="str">
        <f>Total!G1774</f>
        <v>DE.VGM-17227</v>
      </c>
      <c r="H36" s="112" t="str">
        <f>Total!H1774</f>
        <v>Contracte de serveis per a la Direcció d'Execució de les obres RAM de substitució i millora de les instal·lacions de l'edifici A i accessos del complex Central de Sabadell.</v>
      </c>
      <c r="I36" s="157">
        <f>Total!I1774</f>
        <v>16000</v>
      </c>
    </row>
    <row r="37" spans="1:9" x14ac:dyDescent="0.2">
      <c r="I37" s="126">
        <f>SUM(I2:I36)</f>
        <v>1358823.5299999998</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36"/>
  <sheetViews>
    <sheetView workbookViewId="0">
      <selection activeCell="I36" sqref="I3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Total!B1704</f>
        <v>43377</v>
      </c>
      <c r="C2" s="101">
        <f>Total!C1704</f>
        <v>43395</v>
      </c>
      <c r="D2" s="112" t="s">
        <v>1092</v>
      </c>
      <c r="E2" s="101" t="str">
        <f>Total!E1704</f>
        <v>Edificació</v>
      </c>
      <c r="F2" s="96" t="str">
        <f>Total!F1704</f>
        <v>Control de Qualitat</v>
      </c>
      <c r="G2" s="112" t="str">
        <f>Total!G1704</f>
        <v>CQ. S4-BSV-05494</v>
      </c>
      <c r="H2" s="112" t="str">
        <f>Total!H1704</f>
        <v>Control de qualitat de les actuacions de rehabilitació per a la resolució de les patologies en façana i paviments exteriors al casal de Gent Gran de Torelló.</v>
      </c>
      <c r="I2" s="157">
        <f>Total!I1704</f>
        <v>769.14</v>
      </c>
    </row>
    <row r="3" spans="1:9" x14ac:dyDescent="0.2">
      <c r="A3" s="8">
        <v>2</v>
      </c>
      <c r="B3" s="101">
        <f>Total!B1705</f>
        <v>43377</v>
      </c>
      <c r="C3" s="101">
        <f>Total!C1705</f>
        <v>43395</v>
      </c>
      <c r="D3" s="112" t="s">
        <v>1092</v>
      </c>
      <c r="E3" s="101" t="str">
        <f>Total!E1705</f>
        <v>Obra Civil</v>
      </c>
      <c r="F3" s="96" t="str">
        <f>Total!F1705</f>
        <v>Direccions d'Obra</v>
      </c>
      <c r="G3" s="112" t="str">
        <f>Total!G1705</f>
        <v>CSS. MG-16027</v>
      </c>
      <c r="H3" s="112" t="str">
        <f>Total!H1705</f>
        <v>Coordinació de seguretat i salut de les obres del projecte constructiu de millora local. Millora de nus. Rotonda i ordenació d'accessos a la carretera GI-533, del pk 2,470 al 3,740. tram: Vilablareix-Aiguaviva.</v>
      </c>
      <c r="I3" s="157">
        <f>Total!I1705</f>
        <v>9636</v>
      </c>
    </row>
    <row r="4" spans="1:9" x14ac:dyDescent="0.2">
      <c r="A4" s="8">
        <v>3</v>
      </c>
      <c r="B4" s="101">
        <f>Total!B1706</f>
        <v>43378</v>
      </c>
      <c r="C4" s="101">
        <f>Total!C1706</f>
        <v>43395</v>
      </c>
      <c r="D4" s="112" t="s">
        <v>1092</v>
      </c>
      <c r="E4" s="101" t="str">
        <f>Total!E1706</f>
        <v>Edificació</v>
      </c>
      <c r="F4" s="96" t="str">
        <f>Total!F1706</f>
        <v>Direccions d'execució</v>
      </c>
      <c r="G4" s="112" t="str">
        <f>Total!G1706</f>
        <v>CSS. PMB-14333</v>
      </c>
      <c r="H4" s="112" t="str">
        <f>Total!H1706</f>
        <v>Coordinació de seguretat i salut de l'execució de les obres de substitució del Parc de Bombers existent a Moià per un edifici de tipus industrialitzat.</v>
      </c>
      <c r="I4" s="157">
        <f>Total!I1706</f>
        <v>9000</v>
      </c>
    </row>
    <row r="5" spans="1:9" x14ac:dyDescent="0.2">
      <c r="A5" s="8">
        <v>4</v>
      </c>
      <c r="B5" s="101">
        <f>Total!B1707</f>
        <v>43378</v>
      </c>
      <c r="C5" s="101">
        <f>Total!C1707</f>
        <v>43395</v>
      </c>
      <c r="D5" s="112" t="s">
        <v>1092</v>
      </c>
      <c r="E5" s="101" t="str">
        <f>Total!E1707</f>
        <v>Obra Civil</v>
      </c>
      <c r="F5" s="96" t="str">
        <f>Total!F1707</f>
        <v>Direccions d'Obra</v>
      </c>
      <c r="G5" s="112" t="str">
        <f>Total!G1707</f>
        <v>CSS. ML-16047+MB-16021</v>
      </c>
      <c r="H5" s="112" t="str">
        <f>Total!H1707</f>
        <v>Coord. seg. i s. conjunta obres: Projecte de millora local. Millora de nus. Ordenació cruïlla a la carretera N-II, PK 496+670. Tram: Bellpuig. i Projecte de millora local. Millora de nus. Rotonda a la carretera BV-2429, PK 21+160. Tram: Subirats.</v>
      </c>
      <c r="I5" s="157">
        <f>Total!I1707</f>
        <v>10200</v>
      </c>
    </row>
    <row r="6" spans="1:9" x14ac:dyDescent="0.2">
      <c r="A6" s="8">
        <v>5</v>
      </c>
      <c r="B6" s="101">
        <f>Total!B1708</f>
        <v>43378</v>
      </c>
      <c r="C6" s="101">
        <f>Total!C1708</f>
        <v>43395</v>
      </c>
      <c r="D6" s="112" t="s">
        <v>1092</v>
      </c>
      <c r="E6" s="101" t="str">
        <f>Total!E1708</f>
        <v>Edificació</v>
      </c>
      <c r="F6" s="96" t="str">
        <f>Total!F1708</f>
        <v>Direccions d'execució</v>
      </c>
      <c r="G6" s="112" t="str">
        <f>Total!G1708</f>
        <v>CSS-CGM-17223+1</v>
      </c>
      <c r="H6" s="112" t="str">
        <f>Total!H1708</f>
        <v>Coord. S.S.: "Exec. obres RAM renovació d'equips de clima i implantació de mesures per a la millora de l'eficiència energ. diverses comissaries Mossos d'Esquadra. i exec. obr. RAM subst. i millora sist. gravadors i càmeres perim. de diverses comissaries.</v>
      </c>
      <c r="I6" s="157">
        <f>Total!I1708</f>
        <v>4800</v>
      </c>
    </row>
    <row r="7" spans="1:9" x14ac:dyDescent="0.2">
      <c r="A7" s="8">
        <v>6</v>
      </c>
      <c r="B7" s="101">
        <f>Total!B1709</f>
        <v>43378</v>
      </c>
      <c r="C7" s="101">
        <f>Total!C1709</f>
        <v>43395</v>
      </c>
      <c r="D7" s="112" t="s">
        <v>1092</v>
      </c>
      <c r="E7" s="101" t="str">
        <f>Total!E1709</f>
        <v>Obra Civil</v>
      </c>
      <c r="F7" s="96" t="str">
        <f>Total!F1709</f>
        <v>Direccions d'Obra</v>
      </c>
      <c r="G7" s="112" t="str">
        <f>Total!G1709</f>
        <v>CSS. AG-05087.1</v>
      </c>
      <c r="H7" s="112" t="str">
        <f>Total!H1709</f>
        <v>Coordinació de Seguretat i Salut de l'execució de les obres del projecte constructiu de millora general. Condicionament de la carretera GI-633, del PK 0+000 al 6+290. Tram: Medinyà (cruïlla amb l¿N-II) - Sant Jordi Desvalls.</v>
      </c>
      <c r="I7" s="157">
        <f>Total!I1709</f>
        <v>49200</v>
      </c>
    </row>
    <row r="8" spans="1:9" x14ac:dyDescent="0.2">
      <c r="A8" s="8">
        <v>7</v>
      </c>
      <c r="B8" s="101">
        <f>Total!B1710</f>
        <v>43378</v>
      </c>
      <c r="C8" s="101">
        <f>Total!C1710</f>
        <v>43395</v>
      </c>
      <c r="D8" s="112" t="s">
        <v>1092</v>
      </c>
      <c r="E8" s="101" t="str">
        <f>Total!E1710</f>
        <v>Obra Civil</v>
      </c>
      <c r="F8" s="96" t="str">
        <f>Total!F1710</f>
        <v>Direccions d'Obra</v>
      </c>
      <c r="G8" s="112" t="str">
        <f>Total!G1710</f>
        <v>CSS. AT-00164.1-A1</v>
      </c>
      <c r="H8" s="112" t="str">
        <f>Total!H1710</f>
        <v>Coordinació de Seguretat i Salut de l'execució de les obres del projecte constructiu de millora general. Condicionament de la carretera C-51 a Vilardida. PK 24+400 al 26+ 840. Tram: Vila-rodona.</v>
      </c>
      <c r="I8" s="157">
        <f>Total!I1710</f>
        <v>34200</v>
      </c>
    </row>
    <row r="9" spans="1:9" x14ac:dyDescent="0.2">
      <c r="A9" s="8">
        <v>8</v>
      </c>
      <c r="B9" s="101">
        <f>Total!B1711</f>
        <v>43378</v>
      </c>
      <c r="C9" s="101">
        <f>Total!C1711</f>
        <v>43395</v>
      </c>
      <c r="D9" s="112" t="s">
        <v>1092</v>
      </c>
      <c r="E9" s="101" t="str">
        <f>Total!E1711</f>
        <v>Obra Civil</v>
      </c>
      <c r="F9" s="96" t="str">
        <f>Total!F1711</f>
        <v>Direccions d'Obra</v>
      </c>
      <c r="G9" s="112" t="str">
        <f>Total!G1711</f>
        <v>ATAM. AG-05087.1</v>
      </c>
      <c r="H9" s="112" t="str">
        <f>Total!H1711</f>
        <v>Contracte de serveis per a l'assistència tècnica ambiental. Millora general. Condicionament de la carretera GI-633, del PK 0+000 al 6+290. Tram: Medinyà (cruïlla amb l¿N-II)-Sant Jordi Desvalls.</v>
      </c>
      <c r="I9" s="157">
        <f>Total!I1711</f>
        <v>37422</v>
      </c>
    </row>
    <row r="10" spans="1:9" x14ac:dyDescent="0.2">
      <c r="A10" s="8">
        <v>9</v>
      </c>
      <c r="B10" s="101">
        <f>Total!B1712</f>
        <v>43381</v>
      </c>
      <c r="C10" s="101">
        <f>Total!C1712</f>
        <v>43396</v>
      </c>
      <c r="D10" s="112" t="s">
        <v>1092</v>
      </c>
      <c r="E10" s="101" t="str">
        <f>Total!E1712</f>
        <v>Edificació</v>
      </c>
      <c r="F10" s="96" t="str">
        <f>Total!F1712</f>
        <v>Control de Qualitat</v>
      </c>
      <c r="G10" s="112" t="str">
        <f>Total!G1712</f>
        <v>CQ. SOC-17267</v>
      </c>
      <c r="H10" s="112" t="str">
        <f>Total!H1712</f>
        <v>Contracte de serveis per a l'assistència tècnica per al control de qualitat de les obres de reforma i ampliació de l'oficina de treball del SOC a Salt.</v>
      </c>
      <c r="I10" s="157">
        <f>Total!I1712</f>
        <v>22104.47</v>
      </c>
    </row>
    <row r="11" spans="1:9" x14ac:dyDescent="0.2">
      <c r="A11" s="8">
        <v>10</v>
      </c>
      <c r="B11" s="101">
        <f>Total!B1713</f>
        <v>43381</v>
      </c>
      <c r="C11" s="101">
        <f>Total!C1713</f>
        <v>43396</v>
      </c>
      <c r="D11" s="112" t="s">
        <v>1092</v>
      </c>
      <c r="E11" s="101" t="str">
        <f>Total!E1713</f>
        <v>Edificació</v>
      </c>
      <c r="F11" s="96" t="str">
        <f>Total!F1713</f>
        <v>Direccions d'execució</v>
      </c>
      <c r="G11" s="112" t="str">
        <f>Total!G1713</f>
        <v>DE. SOC-17267</v>
      </c>
      <c r="H11" s="112" t="str">
        <f>Total!H1713</f>
        <v>Contracte de serveis per a l'assistència tècnica per a la direcció d'execució de les obres de reforma i ampliació de l'oficina de treball del SOC a Salt.</v>
      </c>
      <c r="I11" s="157">
        <f>Total!I1713</f>
        <v>34000</v>
      </c>
    </row>
    <row r="12" spans="1:9" x14ac:dyDescent="0.2">
      <c r="A12" s="8">
        <v>11</v>
      </c>
      <c r="B12" s="101">
        <f>Total!B1714</f>
        <v>43381</v>
      </c>
      <c r="C12" s="101">
        <f>Total!C1714</f>
        <v>43396</v>
      </c>
      <c r="D12" s="112" t="s">
        <v>1092</v>
      </c>
      <c r="E12" s="101" t="str">
        <f>Total!E1714</f>
        <v>Edificació</v>
      </c>
      <c r="F12" s="96" t="str">
        <f>Total!F1714</f>
        <v>Direccions d'execució</v>
      </c>
      <c r="G12" s="112" t="str">
        <f>Total!G1714</f>
        <v>CSS. SOC-17267+BSV-15315.A…</v>
      </c>
      <c r="H12" s="112" t="str">
        <f>Total!H1714</f>
        <v>Coord. S.S. obres reforma i ampliació de l'oficina de treball del SOC a Salt; reforma cuina i magatzem a la resid. Els Arcs a Figueres; obres  proj. arquit. nou consultori local a Verges; i ob. proj. instal. nou consultori local a Verges.</v>
      </c>
      <c r="I12" s="157">
        <f>Total!I1714</f>
        <v>14865.91</v>
      </c>
    </row>
    <row r="13" spans="1:9" x14ac:dyDescent="0.2">
      <c r="A13" s="8">
        <v>12</v>
      </c>
      <c r="B13" s="101">
        <f>Total!B1715</f>
        <v>43381</v>
      </c>
      <c r="C13" s="101">
        <f>Total!C1715</f>
        <v>43397</v>
      </c>
      <c r="D13" s="112" t="s">
        <v>1092</v>
      </c>
      <c r="E13" s="101" t="str">
        <f>Total!E1715</f>
        <v>Obra Civil</v>
      </c>
      <c r="F13" s="96" t="str">
        <f>Total!F1715</f>
        <v>Control de Qualitat</v>
      </c>
      <c r="G13" s="112" t="str">
        <f>Total!G1715</f>
        <v>CQ. AB-14009.F3</v>
      </c>
      <c r="H13" s="112" t="str">
        <f>Total!H1715</f>
        <v>Control de qualitat de les obres del projecte constructiu de millora general. Condicionament. Ampliació de la calçada lateral sentit Terrassa a l'autopista C-58, del PK 14+500 al 18+800. Tram: Sabadell-Terrassa.</v>
      </c>
      <c r="I13" s="157">
        <f>Total!I1715</f>
        <v>152916.17000000001</v>
      </c>
    </row>
    <row r="14" spans="1:9" x14ac:dyDescent="0.2">
      <c r="A14" s="8">
        <v>13</v>
      </c>
      <c r="B14" s="101">
        <f>Total!B1716</f>
        <v>43381</v>
      </c>
      <c r="C14" s="101">
        <f>Total!C1716</f>
        <v>43402</v>
      </c>
      <c r="D14" s="112" t="s">
        <v>1092</v>
      </c>
      <c r="E14" s="101" t="str">
        <f>Total!E1716</f>
        <v>Obra Civil</v>
      </c>
      <c r="F14" s="96" t="str">
        <f>Total!F1716</f>
        <v>Control de Qualitat</v>
      </c>
      <c r="G14" s="112" t="str">
        <f>Total!G1716</f>
        <v>CQ. MB-12049.A1</v>
      </c>
      <c r="H14" s="112" t="str">
        <f>Total!H1716</f>
        <v>C.Q. obres proj. constructiu Millora local. Millora nus. Nova rotonda a l'enllaç nord de Tona de la ctra. C-17, PK 52+800, marge dret, i adequació vial de servei crta. C-17, entre el PK 51+300 i el PK 53+530, marge dret. Tram: Tona.</v>
      </c>
      <c r="I14" s="157">
        <f>Total!I1716</f>
        <v>14382.45</v>
      </c>
    </row>
    <row r="15" spans="1:9" x14ac:dyDescent="0.2">
      <c r="A15" s="8">
        <v>14</v>
      </c>
      <c r="B15" s="101">
        <f>Total!B1717</f>
        <v>43382</v>
      </c>
      <c r="C15" s="101">
        <f>Total!C1717</f>
        <v>43395</v>
      </c>
      <c r="D15" s="112" t="s">
        <v>1092</v>
      </c>
      <c r="E15" s="101" t="str">
        <f>Total!E1717</f>
        <v>Obra Civil</v>
      </c>
      <c r="F15" s="96" t="str">
        <f>Total!F1717</f>
        <v>Direccions d'Obra</v>
      </c>
      <c r="G15" s="112" t="str">
        <f>Total!G1717</f>
        <v>CSS.MB-11049+2</v>
      </c>
      <c r="H15" s="112" t="str">
        <f>Total!H1717</f>
        <v>Coor. seguretat i salut de les obres dels proj. construc.: Millora local. Millora nus ctra. C-35, pk 53,080, amb la BV-5301, pk 0,000. Tram: Santat Maria de Palautordera. Millora local. Millora nus. Nova rotonda a l'enllaç nord de Tona de la Ctra. C-17…</v>
      </c>
      <c r="I15" s="157">
        <f>Total!I1717</f>
        <v>17040</v>
      </c>
    </row>
    <row r="16" spans="1:9" x14ac:dyDescent="0.2">
      <c r="A16" s="8">
        <v>15</v>
      </c>
      <c r="B16" s="101">
        <f>Total!B1718</f>
        <v>43382</v>
      </c>
      <c r="C16" s="101">
        <f>Total!C1718</f>
        <v>43397</v>
      </c>
      <c r="D16" s="112" t="s">
        <v>1092</v>
      </c>
      <c r="E16" s="101" t="str">
        <f>Total!E1718</f>
        <v>Edificació</v>
      </c>
      <c r="F16" s="96" t="str">
        <f>Total!F1718</f>
        <v>Control de Qualitat</v>
      </c>
      <c r="G16" s="112" t="str">
        <f>Total!G1718</f>
        <v>CQ. PNC-09359.A</v>
      </c>
      <c r="H16" s="112" t="str">
        <f>Total!H1718</f>
        <v>Contracte de serveis per a l'assistència tècnica de control de qualitat de les obres de la de nova construcció de l'Escola Agnès de Sitges, 1 línia.</v>
      </c>
      <c r="I16" s="157">
        <f>Total!I1718</f>
        <v>42372.2</v>
      </c>
    </row>
    <row r="17" spans="1:9" x14ac:dyDescent="0.2">
      <c r="A17" s="8">
        <v>16</v>
      </c>
      <c r="B17" s="101">
        <f>Total!B1719</f>
        <v>43382</v>
      </c>
      <c r="C17" s="101">
        <f>Total!C1719</f>
        <v>43397</v>
      </c>
      <c r="D17" s="112" t="s">
        <v>1092</v>
      </c>
      <c r="E17" s="101" t="str">
        <f>Total!E1719</f>
        <v>Edificació</v>
      </c>
      <c r="F17" s="96" t="str">
        <f>Total!F1719</f>
        <v>Control de Qualitat</v>
      </c>
      <c r="G17" s="112" t="str">
        <f>Total!G1719</f>
        <v>CQ. CAP-16234</v>
      </c>
      <c r="H17" s="112" t="str">
        <f>Total!H1719</f>
        <v>Contracte de serveis per a l'assistència tècnica de control de qualitat de les obres RAM dels Centres d'Atenció Primària El Carmel de Barcelona i de Sant Fost de Campsentelles.</v>
      </c>
      <c r="I17" s="157">
        <f>Total!I1719</f>
        <v>1383.55</v>
      </c>
    </row>
    <row r="18" spans="1:9" x14ac:dyDescent="0.2">
      <c r="A18" s="8">
        <v>17</v>
      </c>
      <c r="B18" s="101">
        <f>Total!B1720</f>
        <v>43382</v>
      </c>
      <c r="C18" s="101">
        <f>Total!C1720</f>
        <v>43397</v>
      </c>
      <c r="D18" s="112" t="s">
        <v>1092</v>
      </c>
      <c r="E18" s="101" t="str">
        <f>Total!E1720</f>
        <v>Edificació</v>
      </c>
      <c r="F18" s="96" t="str">
        <f>Total!F1720</f>
        <v>Control de Qualitat</v>
      </c>
      <c r="G18" s="112" t="str">
        <f>Total!G1720</f>
        <v>CQ. PAV-16212</v>
      </c>
      <c r="H18" s="112" t="str">
        <f>Total!H1720</f>
        <v>Contracte de serveis per a l'assistència tècnica de control de qualitat de les obres d'ampliació Escola per a nova construcció edifici educació infantil a l'Escola Purificació Salas i Xandri de Sant Quirze del Vallès.</v>
      </c>
      <c r="I18" s="157">
        <f>Total!I1720</f>
        <v>8180.2</v>
      </c>
    </row>
    <row r="19" spans="1:9" x14ac:dyDescent="0.2">
      <c r="A19" s="8">
        <v>18</v>
      </c>
      <c r="B19" s="101">
        <f>Total!B1721</f>
        <v>43382</v>
      </c>
      <c r="C19" s="101">
        <f>Total!C1721</f>
        <v>43397</v>
      </c>
      <c r="D19" s="112" t="s">
        <v>1092</v>
      </c>
      <c r="E19" s="101" t="str">
        <f>Total!E1721</f>
        <v>Obra Civil</v>
      </c>
      <c r="F19" s="96" t="str">
        <f>Total!F1721</f>
        <v>Direccions d'Obra</v>
      </c>
      <c r="G19" s="112" t="str">
        <f>Total!G1721</f>
        <v>CSS. AB-14009-F3.1</v>
      </c>
      <c r="H19" s="112" t="str">
        <f>Total!H1721</f>
        <v>Assistència tècnica de coordinació de seguretat i salut de les obres del projecte constructiu de millora general. Condicionament. Ampliació de la calçada lateral sentit Terrassa a l'autopista C-58, del pk 14,500 al 18,800. Sabadell-Terrassa.</v>
      </c>
      <c r="I19" s="157">
        <f>Total!I1721</f>
        <v>51600</v>
      </c>
    </row>
    <row r="20" spans="1:9" x14ac:dyDescent="0.2">
      <c r="A20" s="8">
        <v>19</v>
      </c>
      <c r="B20" s="101">
        <f>Total!B1722</f>
        <v>43383</v>
      </c>
      <c r="C20" s="101">
        <f>Total!C1722</f>
        <v>43402</v>
      </c>
      <c r="D20" s="112" t="s">
        <v>1092</v>
      </c>
      <c r="E20" s="101" t="str">
        <f>Total!E1722</f>
        <v>Obra Civil</v>
      </c>
      <c r="F20" s="96" t="str">
        <f>Total!F1722</f>
        <v>Direccions d'Obra</v>
      </c>
      <c r="G20" s="112" t="str">
        <f>Total!G1722</f>
        <v>DO. AT-00164.1-A1</v>
      </c>
      <c r="H20" s="112" t="str">
        <f>Total!H1722</f>
        <v>Contracte de serveis per a la direcció de les obres del projecte constructiu de millora general. Condicionament de la carretera C-51 a Vilardida. PK 24+400 al 26+840. Tram: Vila-rodona.</v>
      </c>
      <c r="I20" s="157">
        <f>Total!I1722</f>
        <v>212953.33</v>
      </c>
    </row>
    <row r="21" spans="1:9" x14ac:dyDescent="0.2">
      <c r="A21" s="8">
        <v>20</v>
      </c>
      <c r="B21" s="101">
        <f>Total!B1723</f>
        <v>43383</v>
      </c>
      <c r="C21" s="101">
        <f>Total!C1723</f>
        <v>43402</v>
      </c>
      <c r="D21" s="112" t="s">
        <v>1092</v>
      </c>
      <c r="E21" s="101" t="str">
        <f>Total!E1723</f>
        <v>Edificació</v>
      </c>
      <c r="F21" s="96" t="str">
        <f>Total!F1723</f>
        <v>Direccions d'execució</v>
      </c>
      <c r="G21" s="112" t="str">
        <f>Total!G1723</f>
        <v>DE. PAA-15309 + IAA-16230</v>
      </c>
      <c r="H21" s="112" t="str">
        <f>Total!H1723</f>
        <v>Direcció d'execució conjunta de les obres d'ampliació i adequació Escola 1 L(sense gimnàs) a Escola Cau de la Guineu a Corbera de Llobregat  i de les obres d'ampliació de l'Escola Gavà Mar a Gavà per a Institut-Escola.</v>
      </c>
      <c r="I21" s="157">
        <f>Total!I1723</f>
        <v>63800</v>
      </c>
    </row>
    <row r="22" spans="1:9" x14ac:dyDescent="0.2">
      <c r="A22" s="8">
        <v>21</v>
      </c>
      <c r="B22" s="101">
        <f>Total!B1724</f>
        <v>43384</v>
      </c>
      <c r="C22" s="101">
        <f>Total!C1724</f>
        <v>43402</v>
      </c>
      <c r="D22" s="112" t="s">
        <v>1092</v>
      </c>
      <c r="E22" s="101" t="str">
        <f>Total!E1724</f>
        <v>Edificació</v>
      </c>
      <c r="F22" s="96" t="str">
        <f>Total!F1724</f>
        <v>Direccions d'execució</v>
      </c>
      <c r="G22" s="112" t="str">
        <f>Total!G1724</f>
        <v>DE.CGM-17248</v>
      </c>
      <c r="H22" s="112" t="str">
        <f>Total!H1724</f>
        <v>Contracte serveis per a l'assistència tècnica per a la Direcció d'Execució de les obres RAM de millores de seguretat i videovigilància en diverses comissaries de Mossos d'Esquadra.</v>
      </c>
      <c r="I22" s="157">
        <f>Total!I1724</f>
        <v>21000</v>
      </c>
    </row>
    <row r="23" spans="1:9" x14ac:dyDescent="0.2">
      <c r="A23" s="8">
        <v>22</v>
      </c>
      <c r="B23" s="101">
        <f>Total!B1725</f>
        <v>43384</v>
      </c>
      <c r="C23" s="101">
        <f>Total!C1725</f>
        <v>43402</v>
      </c>
      <c r="D23" s="112" t="s">
        <v>1092</v>
      </c>
      <c r="E23" s="101" t="str">
        <f>Total!E1725</f>
        <v>Obra Civil</v>
      </c>
      <c r="F23" s="96" t="str">
        <f>Total!F1725</f>
        <v>Projectes</v>
      </c>
      <c r="G23" s="112" t="str">
        <f>Total!G1725</f>
        <v>PC. NB-15065</v>
      </c>
      <c r="H23" s="112" t="str">
        <f>Total!H1725</f>
        <v>Contracte de serveis per a l¿assistència tècnica per a la redacció del projecte constructiu de la Millora general. Nova carretera. Nou accés a Igualada sud des de la carretera C-37, al PK 64+400. Vilanova del Camí - Igualada.</v>
      </c>
      <c r="I23" s="157">
        <f>Total!I1725</f>
        <v>216300</v>
      </c>
    </row>
    <row r="24" spans="1:9" x14ac:dyDescent="0.2">
      <c r="A24" s="8">
        <v>23</v>
      </c>
      <c r="B24" s="101">
        <f>Total!B1726</f>
        <v>43384</v>
      </c>
      <c r="C24" s="101">
        <f>Total!C1726</f>
        <v>43402</v>
      </c>
      <c r="D24" s="112" t="s">
        <v>1092</v>
      </c>
      <c r="E24" s="101" t="str">
        <f>Total!E1726</f>
        <v>Obra Civil</v>
      </c>
      <c r="F24" s="96" t="str">
        <f>Total!F1726</f>
        <v>Direccions d'Obra</v>
      </c>
      <c r="G24" s="112" t="str">
        <f>Total!G1726</f>
        <v>DO. ML-10032.A1</v>
      </c>
      <c r="H24" s="112" t="str">
        <f>Total!H1726</f>
        <v>Contracte de serveis per a la direcció de les obres del projecte constructiu de millora local. Millora de nus. Carretera N-II, PK 452+160, i L-800, PK 0+000. Tram: Alcarràs.</v>
      </c>
      <c r="I24" s="157">
        <f>Total!I1726</f>
        <v>30973.33</v>
      </c>
    </row>
    <row r="25" spans="1:9" x14ac:dyDescent="0.2">
      <c r="A25" s="8">
        <v>24</v>
      </c>
      <c r="B25" s="101">
        <f>Total!B1727</f>
        <v>43384</v>
      </c>
      <c r="C25" s="101">
        <f>Total!C1727</f>
        <v>43402</v>
      </c>
      <c r="D25" s="112" t="s">
        <v>1092</v>
      </c>
      <c r="E25" s="101" t="str">
        <f>Total!E1727</f>
        <v>Obra Civil</v>
      </c>
      <c r="F25" s="96" t="str">
        <f>Total!F1727</f>
        <v>Direccions d'Obra</v>
      </c>
      <c r="G25" s="112" t="str">
        <f>Total!G1727</f>
        <v>DO. AG-05087.1</v>
      </c>
      <c r="H25" s="112" t="str">
        <f>Total!H1727</f>
        <v>Contracte de serveis per a la direcció de les obres del projecte constructiu de millora general. Condicionament de la carretera GI-633, del PK 0+000 al 6+290. Tram: Medinyà (cruïlla amb l'N-II) - Sant Jordi Desvalls.</v>
      </c>
      <c r="I25" s="157">
        <f>Total!I1727</f>
        <v>181280</v>
      </c>
    </row>
    <row r="26" spans="1:9" x14ac:dyDescent="0.2">
      <c r="A26" s="8">
        <v>25</v>
      </c>
      <c r="B26" s="101">
        <f>Total!B1728</f>
        <v>43384</v>
      </c>
      <c r="C26" s="101">
        <f>Total!C1728</f>
        <v>43402</v>
      </c>
      <c r="D26" s="112" t="s">
        <v>1092</v>
      </c>
      <c r="E26" s="101" t="str">
        <f>Total!E1728</f>
        <v>Obra Civil</v>
      </c>
      <c r="F26" s="96" t="str">
        <f>Total!F1728</f>
        <v>Direccions d'Obra</v>
      </c>
      <c r="G26" s="112" t="str">
        <f>Total!G1728</f>
        <v>DO. MB-12049.A1</v>
      </c>
      <c r="H26" s="112" t="str">
        <f>Total!H1728</f>
        <v>Dir. obres millora local. Millora de nus. Nova rotonda a l'enllaç Nord de Tona de la carretera C-17, a l'alçada del PK 52+800, marge dret, i adequació del vial de servei de la carretera C-17, entre el PK 51,300 i 53,530, marge dret. Tram: Tona.</v>
      </c>
      <c r="I26" s="157">
        <f>Total!I1728</f>
        <v>38833.33</v>
      </c>
    </row>
    <row r="27" spans="1:9" x14ac:dyDescent="0.2">
      <c r="A27" s="8">
        <v>26</v>
      </c>
      <c r="B27" s="101">
        <f>Total!B1729</f>
        <v>43384</v>
      </c>
      <c r="C27" s="101">
        <f>Total!C1729</f>
        <v>43402</v>
      </c>
      <c r="D27" s="112" t="s">
        <v>1092</v>
      </c>
      <c r="E27" s="101" t="str">
        <f>Total!E1729</f>
        <v>Obra Civil</v>
      </c>
      <c r="F27" s="96" t="str">
        <f>Total!F1729</f>
        <v>Direccions d'Obra</v>
      </c>
      <c r="G27" s="112" t="str">
        <f>Total!G1729</f>
        <v>PM. MB-07109-A1-M1</v>
      </c>
      <c r="H27" s="112" t="str">
        <f>Total!H1729</f>
        <v>Contracte de serveis per a l'assistència tècnica per a la redacció del projecte modificat núm. 1 de millora local. Implantació d'un tercer carril a la carretera C-55 del PK 9+360 a l'11+400. Tram: Collbató.</v>
      </c>
      <c r="I27" s="157">
        <f>Total!I1729</f>
        <v>18000</v>
      </c>
    </row>
    <row r="28" spans="1:9" x14ac:dyDescent="0.2">
      <c r="A28" s="8">
        <v>27</v>
      </c>
      <c r="B28" s="101">
        <f>Total!B1730</f>
        <v>43384</v>
      </c>
      <c r="C28" s="101">
        <f>Total!C1730</f>
        <v>43402</v>
      </c>
      <c r="D28" s="112" t="s">
        <v>1092</v>
      </c>
      <c r="E28" s="101" t="str">
        <f>Total!E1730</f>
        <v>Obra Civil</v>
      </c>
      <c r="F28" s="96" t="str">
        <f>Total!F1730</f>
        <v>Control de Qualitat</v>
      </c>
      <c r="G28" s="112" t="str">
        <f>Total!G1730</f>
        <v>CQ.ML-10032.A1</v>
      </c>
      <c r="H28" s="112" t="str">
        <f>Total!H1730</f>
        <v>Contracte de serveis per a l'assistència tècnica de control de qualitat de les obres del projecte constructiu de millora local. Millora de nus. Carretera N-II, PK 452+160, i L-800, PK 0+000. Tram: Alcarràs.</v>
      </c>
      <c r="I28" s="157">
        <f>Total!I1730</f>
        <v>12462.13</v>
      </c>
    </row>
    <row r="29" spans="1:9" x14ac:dyDescent="0.2">
      <c r="A29" s="8">
        <v>28</v>
      </c>
      <c r="B29" s="101">
        <f>Total!B1731</f>
        <v>43388</v>
      </c>
      <c r="C29" s="101">
        <f>Total!C1731</f>
        <v>43409</v>
      </c>
      <c r="D29" s="112" t="s">
        <v>1092</v>
      </c>
      <c r="E29" s="101" t="str">
        <f>Total!E1731</f>
        <v>Edificació</v>
      </c>
      <c r="F29" s="96" t="str">
        <f>Total!F1731</f>
        <v>Direccions d'execució</v>
      </c>
      <c r="G29" s="112" t="str">
        <f>Total!G1731</f>
        <v>CSS. IAA-16230</v>
      </c>
      <c r="H29" s="112" t="str">
        <f>Total!H1731</f>
        <v>Assistència tècnica de Coordinació de Seguretat i Salut en l'execució de les obres d'ampliació de l'Escola Gavà Mar a Gavà per a Institut-Escola.</v>
      </c>
      <c r="I29" s="157">
        <f>Total!I1731</f>
        <v>8700</v>
      </c>
    </row>
    <row r="30" spans="1:9" x14ac:dyDescent="0.2">
      <c r="A30" s="8">
        <v>30</v>
      </c>
      <c r="B30" s="101">
        <f>Total!B1733</f>
        <v>43390</v>
      </c>
      <c r="C30" s="101">
        <f>Total!C1733</f>
        <v>43409</v>
      </c>
      <c r="D30" s="112" t="s">
        <v>1092</v>
      </c>
      <c r="E30" s="101" t="str">
        <f>Total!E1733</f>
        <v>Obra Civil</v>
      </c>
      <c r="F30" s="96" t="str">
        <f>Total!F1733</f>
        <v>Control de Qualitat</v>
      </c>
      <c r="G30" s="112" t="str">
        <f>Total!G1733</f>
        <v>CQ. MG-07061.1</v>
      </c>
      <c r="H30" s="112" t="str">
        <f>Total!H1733</f>
        <v>Contracte de serveis per a l'assistència tècnica de control de qualitat de les obres del projecte constructiu de millora local. Millora de nus. Rotonda a la carretera GI-632, PK 2+500. Tram: Bellcaire d'Empordà.</v>
      </c>
      <c r="I30" s="157">
        <f>Total!I1733</f>
        <v>6469.65</v>
      </c>
    </row>
    <row r="31" spans="1:9" x14ac:dyDescent="0.2">
      <c r="A31" s="8">
        <v>31</v>
      </c>
      <c r="B31" s="101">
        <f>Total!B1734</f>
        <v>43392</v>
      </c>
      <c r="C31" s="101">
        <f>Total!C1734</f>
        <v>43416</v>
      </c>
      <c r="D31" s="112" t="s">
        <v>1092</v>
      </c>
      <c r="E31" s="101" t="str">
        <f>Total!E1734</f>
        <v>Obra Civil</v>
      </c>
      <c r="F31" s="96" t="str">
        <f>Total!F1734</f>
        <v>Control de Qualitat</v>
      </c>
      <c r="G31" s="112" t="str">
        <f>Total!G1734</f>
        <v>CQ. TM-02609.20.2.2</v>
      </c>
      <c r="H31" s="112" t="str">
        <f>Total!H1734</f>
        <v>Control de qualitat de les obres del Projecte de canvi de senyalèctica i de plafons de senyalització per adaptar la xarxa a la posada en servei de la Línia 10 Sud del metro de Barcelona. Estacions Ildefons Cerdà, Provençana i estacions Viaducte. F. 2 i 3.</v>
      </c>
      <c r="I31" s="157">
        <f>Total!I1734</f>
        <v>851.7</v>
      </c>
    </row>
    <row r="32" spans="1:9" x14ac:dyDescent="0.2">
      <c r="A32" s="8">
        <v>32</v>
      </c>
      <c r="B32" s="101">
        <f>Total!B1735</f>
        <v>43392</v>
      </c>
      <c r="C32" s="101">
        <f>Total!C1735</f>
        <v>43409</v>
      </c>
      <c r="D32" s="112" t="s">
        <v>1092</v>
      </c>
      <c r="E32" s="101" t="str">
        <f>Total!E1735</f>
        <v>Edificació</v>
      </c>
      <c r="F32" s="96" t="str">
        <f>Total!F1735</f>
        <v>Control de Qualitat</v>
      </c>
      <c r="G32" s="112" t="str">
        <f>Total!G1735</f>
        <v>CQ. IAC-10037-C1</v>
      </c>
      <c r="H32" s="112" t="str">
        <f>Total!H1735</f>
        <v>Control de qualitat del projecte complementari núm. 1 de les obres d'adequació secretaria, lavabos P2, vestidors, incendis P2, façana, porta, xemeneia i parallamps a l'Institut La Llauna de Badalona.</v>
      </c>
      <c r="I32" s="157">
        <f>Total!I1735</f>
        <v>1591.82</v>
      </c>
    </row>
    <row r="33" spans="1:9" x14ac:dyDescent="0.2">
      <c r="A33" s="8">
        <v>33</v>
      </c>
      <c r="B33" s="101">
        <f>Total!B1736</f>
        <v>43392</v>
      </c>
      <c r="C33" s="101">
        <f>Total!C1736</f>
        <v>43411</v>
      </c>
      <c r="D33" s="112" t="s">
        <v>1092</v>
      </c>
      <c r="E33" s="101" t="str">
        <f>Total!E1736</f>
        <v>Obra Civil</v>
      </c>
      <c r="F33" s="96" t="str">
        <f>Total!F1736</f>
        <v>Direccions d'Obra</v>
      </c>
      <c r="G33" s="112" t="str">
        <f>Total!G1736</f>
        <v>CSS.XB-06047</v>
      </c>
      <c r="H33" s="112" t="str">
        <f>Total!H1736</f>
        <v>Coordinació de seguretat i salut de l'execució de les obres del projecte constructiu "Vial de connexió entre la ronda nord de Granollers i el sector V industrial. Les franqueses del Vallès".</v>
      </c>
      <c r="I33" s="157">
        <f>Total!I1736</f>
        <v>11760</v>
      </c>
    </row>
    <row r="34" spans="1:9" x14ac:dyDescent="0.2">
      <c r="A34" s="8">
        <v>34</v>
      </c>
      <c r="B34" s="101">
        <f>Total!B1737</f>
        <v>43397</v>
      </c>
      <c r="C34" s="101">
        <f>Total!C1737</f>
        <v>43416</v>
      </c>
      <c r="D34" s="112" t="s">
        <v>1092</v>
      </c>
      <c r="E34" s="101" t="str">
        <f>Total!E1737</f>
        <v>Obra Civil</v>
      </c>
      <c r="F34" s="96" t="str">
        <f>Total!F1737</f>
        <v>Direccions d'Obra</v>
      </c>
      <c r="G34" s="112" t="str">
        <f>Total!G1737</f>
        <v>DO.XB-06047</v>
      </c>
      <c r="H34" s="112" t="str">
        <f>Total!H1737</f>
        <v>Direcció de les obres del projecte constructiu de millora local. Millora de nus. Vial de connexió de la Ronda nord de Granollers entre la rotonda de Francesc Macià i el Sector V Industrial, al marge esquerre del Congost. Tram: Les Franqueses del Vallès.</v>
      </c>
      <c r="I34" s="157">
        <f>Total!I1737</f>
        <v>41166.67</v>
      </c>
    </row>
    <row r="35" spans="1:9" x14ac:dyDescent="0.2">
      <c r="A35" s="8">
        <v>35</v>
      </c>
      <c r="B35" s="101">
        <f>Total!B1738</f>
        <v>43399</v>
      </c>
      <c r="C35" s="101">
        <f>Total!C1738</f>
        <v>43416</v>
      </c>
      <c r="D35" s="112" t="s">
        <v>1092</v>
      </c>
      <c r="E35" s="101" t="str">
        <f>Total!E1738</f>
        <v>Obra Civil</v>
      </c>
      <c r="F35" s="96" t="str">
        <f>Total!F1738</f>
        <v>Control de Qualitat</v>
      </c>
      <c r="G35" s="112" t="str">
        <f>Total!G1738</f>
        <v>CQ. MG-16027</v>
      </c>
      <c r="H35" s="112" t="str">
        <f>Total!H1738</f>
        <v>Contracte de serveis per a l'assistència tècnica de control de qualitat de les obres del projecte constructiu de millora local. Millora de nus. Rotonda i ordenació d'accessos a la carretera GI-533, del PK 2+470 al 3+740. Tram: Vilablareix d'Aiguaviva.</v>
      </c>
      <c r="I35" s="157">
        <f>Total!I1738</f>
        <v>15415.66</v>
      </c>
    </row>
    <row r="36" spans="1:9" x14ac:dyDescent="0.2">
      <c r="I36" s="126">
        <f>SUM(I2:I35)</f>
        <v>1395629.7099999997</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25"/>
  <sheetViews>
    <sheetView workbookViewId="0">
      <selection activeCell="I25" sqref="I25"/>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Total!B1679</f>
        <v>43346</v>
      </c>
      <c r="C2" s="101">
        <f>Total!C1679</f>
        <v>43362</v>
      </c>
      <c r="D2" s="112" t="s">
        <v>1092</v>
      </c>
      <c r="E2" s="101" t="str">
        <f>Total!E1679</f>
        <v>Obra Civil</v>
      </c>
      <c r="F2" s="96" t="str">
        <f>Total!F1679</f>
        <v>Direccions d'Obra</v>
      </c>
      <c r="G2" s="112" t="str">
        <f>Total!G1679</f>
        <v>DO. TM-12002.3</v>
      </c>
      <c r="H2" s="112" t="str">
        <f>Total!H1679</f>
        <v>Direcció de les obres del projecte constructiu per a la millora de les condicions mecàniques de la superestructura de via de la Línia 2 de FMB. Tram: Universitat-Monumental.</v>
      </c>
      <c r="I2" s="157">
        <f>Total!I1679</f>
        <v>96166.67</v>
      </c>
    </row>
    <row r="3" spans="1:9" x14ac:dyDescent="0.2">
      <c r="A3" s="8">
        <v>2</v>
      </c>
      <c r="B3" s="101">
        <f>Total!B1680</f>
        <v>43346</v>
      </c>
      <c r="C3" s="101">
        <f>Total!C1680</f>
        <v>43362</v>
      </c>
      <c r="D3" s="112" t="s">
        <v>1092</v>
      </c>
      <c r="E3" s="101" t="str">
        <f>Total!E1680</f>
        <v>Obra Civil</v>
      </c>
      <c r="F3" s="96" t="str">
        <f>Total!F1680</f>
        <v>Control de Qualitat</v>
      </c>
      <c r="G3" s="112" t="str">
        <f>Total!G1680</f>
        <v>CQ. TM-12002.3</v>
      </c>
      <c r="H3" s="112" t="str">
        <f>Total!H1680</f>
        <v>Control de qualitat de les obres del projecte constructiu per a la millora de les condicions mecàniques de la superestructura de via de la Línia 2 de FMB. Tram: Universitat-Monumental.</v>
      </c>
      <c r="I3" s="157">
        <f>Total!I1680</f>
        <v>32947.21</v>
      </c>
    </row>
    <row r="4" spans="1:9" x14ac:dyDescent="0.2">
      <c r="A4" s="8">
        <v>3</v>
      </c>
      <c r="B4" s="101">
        <f>Total!B1681</f>
        <v>43346</v>
      </c>
      <c r="C4" s="101">
        <f>Total!C1681</f>
        <v>43362</v>
      </c>
      <c r="D4" s="112" t="s">
        <v>1092</v>
      </c>
      <c r="E4" s="101" t="str">
        <f>Total!E1681</f>
        <v>Obra Civil</v>
      </c>
      <c r="F4" s="96" t="str">
        <f>Total!F1681</f>
        <v>Direccions d'Obra</v>
      </c>
      <c r="G4" s="112" t="str">
        <f>Total!G1681</f>
        <v>CSS. TM-12002.3</v>
      </c>
      <c r="H4" s="112" t="str">
        <f>Total!H1681</f>
        <v>Assist. tècnica de coordinació de segureatat i salut de les obres del projecte constructiu per a la millora de les condicions mecàniques de la superestructura de via de la Línia 2 de FMB. Tram: Universitat-Monumental.</v>
      </c>
      <c r="I4" s="157">
        <f>Total!I1681</f>
        <v>23280</v>
      </c>
    </row>
    <row r="5" spans="1:9" x14ac:dyDescent="0.2">
      <c r="A5" s="8">
        <v>4</v>
      </c>
      <c r="B5" s="101">
        <f>Total!B1682</f>
        <v>43353</v>
      </c>
      <c r="C5" s="101">
        <f>Total!C1682</f>
        <v>43369</v>
      </c>
      <c r="D5" s="112" t="s">
        <v>1092</v>
      </c>
      <c r="E5" s="101" t="str">
        <f>Total!E1682</f>
        <v>Edificació</v>
      </c>
      <c r="F5" s="96" t="str">
        <f>Total!F1682</f>
        <v>Control de Qualitat</v>
      </c>
      <c r="G5" s="112" t="str">
        <f>Total!G1682</f>
        <v>CQ. IAA-16230</v>
      </c>
      <c r="H5" s="112" t="str">
        <f>Total!H1682</f>
        <v>Contracte de serveis per a l'assistència tècnica del control de qualitat de les obres d'ampliació a l'Escola Gavà Mar a Gavà per a Institut-Escola.</v>
      </c>
      <c r="I5" s="157">
        <f>Total!I1682</f>
        <v>18120.55</v>
      </c>
    </row>
    <row r="6" spans="1:9" x14ac:dyDescent="0.2">
      <c r="A6" s="8">
        <v>5</v>
      </c>
      <c r="B6" s="101">
        <f>Total!B1683</f>
        <v>43350</v>
      </c>
      <c r="C6" s="101">
        <f>Total!C1683</f>
        <v>43369</v>
      </c>
      <c r="D6" s="112" t="s">
        <v>1092</v>
      </c>
      <c r="E6" s="101" t="str">
        <f>Total!E1683</f>
        <v>Obra Civil</v>
      </c>
      <c r="F6" s="96" t="str">
        <f>Total!F1683</f>
        <v>Direccións d'Obra</v>
      </c>
      <c r="G6" s="112" t="str">
        <f>Total!G1683</f>
        <v>DO.MG-08128.1</v>
      </c>
      <c r="H6" s="112" t="str">
        <f>Total!H1683</f>
        <v>Direcció de les obres del projecte constructiu de millora local. Eixamplament i reforç de la carretera C-25, del pk 238,000 al 240,100. Tram: Riudellots de la Selva.</v>
      </c>
      <c r="I6" s="157">
        <f>Total!I1683</f>
        <v>52093.33</v>
      </c>
    </row>
    <row r="7" spans="1:9" x14ac:dyDescent="0.2">
      <c r="A7" s="8">
        <v>6</v>
      </c>
      <c r="B7" s="101">
        <f>Total!B1684</f>
        <v>43350</v>
      </c>
      <c r="C7" s="101">
        <f>Total!C1684</f>
        <v>43369</v>
      </c>
      <c r="D7" s="112" t="s">
        <v>1092</v>
      </c>
      <c r="E7" s="101" t="str">
        <f>Total!E1684</f>
        <v>Edificació</v>
      </c>
      <c r="F7" s="96" t="str">
        <f>Total!F1684</f>
        <v>Direccións d'Obra</v>
      </c>
      <c r="G7" s="112" t="str">
        <f>Total!G1684</f>
        <v>DO.TA-16248+TA-08259.A1</v>
      </c>
      <c r="H7" s="112" t="str">
        <f>Total!H1684</f>
        <v>Direcció conjunta de les obres del "Proj. actualitzat. Nova estació autobusos La Bisbal Empordà" i "Millora puntual. Arranjament diverses estacins i parades autobusos. (Amposta, Blanes, Igualada, La Seu d'Urgell, Olot, Quatre Camins, Sant Vicenç …."</v>
      </c>
      <c r="I7" s="157">
        <f>Total!I1684</f>
        <v>120000</v>
      </c>
    </row>
    <row r="8" spans="1:9" x14ac:dyDescent="0.2">
      <c r="A8" s="8">
        <v>7</v>
      </c>
      <c r="B8" s="101">
        <f>Total!B1685</f>
        <v>43350</v>
      </c>
      <c r="C8" s="101">
        <f>Total!C1685</f>
        <v>43369</v>
      </c>
      <c r="D8" s="112" t="s">
        <v>1092</v>
      </c>
      <c r="E8" s="101" t="str">
        <f>Total!E1685</f>
        <v>Edificació</v>
      </c>
      <c r="F8" s="96" t="str">
        <f>Total!F1685</f>
        <v>Control de Qualitat</v>
      </c>
      <c r="G8" s="112" t="str">
        <f>Total!G1685</f>
        <v>CQ. TA-08259.A1</v>
      </c>
      <c r="H8" s="112" t="str">
        <f>Total!H1685</f>
        <v>Control de qualitat de les obres del projecte actualitzat. Nova estació d'autobusos de la Bisbal d'Empordà.</v>
      </c>
      <c r="I8" s="157">
        <f>Total!I1685</f>
        <v>11407.59</v>
      </c>
    </row>
    <row r="9" spans="1:9" x14ac:dyDescent="0.2">
      <c r="A9" s="8">
        <v>8</v>
      </c>
      <c r="B9" s="101">
        <f>Total!B1686</f>
        <v>43350</v>
      </c>
      <c r="C9" s="101">
        <f>Total!C1686</f>
        <v>43369</v>
      </c>
      <c r="D9" s="112" t="s">
        <v>1092</v>
      </c>
      <c r="E9" s="101" t="str">
        <f>Total!E1686</f>
        <v>Edificació</v>
      </c>
      <c r="F9" s="96" t="str">
        <f>Total!F1686</f>
        <v>Direccions d'execució</v>
      </c>
      <c r="G9" s="112" t="str">
        <f>Total!G1686</f>
        <v>CSS. TA-16248 L1+ TA-08259.A1</v>
      </c>
      <c r="H9" s="112" t="str">
        <f>Total!H1686</f>
        <v>Assist. tèncica coordinació seg. i salut conjunta de les obres millora puntual. Arranjament de diverses estacions i parades d'autobusos (La Seu d'Urgell, Olot, Torroella de Montgrí, Sabadell, Blanes, Vic, Sant Feliu de Palleros i Tossa de Mar) i …</v>
      </c>
      <c r="I9" s="157">
        <f>Total!I1686</f>
        <v>17160</v>
      </c>
    </row>
    <row r="10" spans="1:9" x14ac:dyDescent="0.2">
      <c r="A10" s="8">
        <v>10</v>
      </c>
      <c r="B10" s="101">
        <f>Total!B1688</f>
        <v>43356</v>
      </c>
      <c r="C10" s="101">
        <f>Total!C1688</f>
        <v>43374</v>
      </c>
      <c r="D10" s="112" t="s">
        <v>1092</v>
      </c>
      <c r="E10" s="101" t="str">
        <f>Total!E1688</f>
        <v>Edificació</v>
      </c>
      <c r="F10" s="96" t="str">
        <f>Total!F1688</f>
        <v>Direccións d'Obra</v>
      </c>
      <c r="G10" s="112" t="str">
        <f>Total!G1688</f>
        <v>DE. BSV-14291</v>
      </c>
      <c r="H10" s="112" t="str">
        <f>Total!H1688</f>
        <v>Contracte de serveis per a la direcció d'execució de les obres de rehabilitació i reforç estructural de les plantes 1 a 4 de la residència i centre de dia per a gent gran La Mercè de Tarragona.</v>
      </c>
      <c r="I10" s="157">
        <f>Total!I1688</f>
        <v>86000</v>
      </c>
    </row>
    <row r="11" spans="1:9" x14ac:dyDescent="0.2">
      <c r="A11" s="8">
        <v>11</v>
      </c>
      <c r="B11" s="101">
        <f>Total!B1689</f>
        <v>43357</v>
      </c>
      <c r="C11" s="101">
        <f>Total!C1689</f>
        <v>43376</v>
      </c>
      <c r="D11" s="112" t="s">
        <v>1092</v>
      </c>
      <c r="E11" s="101" t="str">
        <f>Total!E1689</f>
        <v>Obra Civil</v>
      </c>
      <c r="F11" s="96" t="str">
        <f>Total!F1689</f>
        <v>Control de Qualitat</v>
      </c>
      <c r="G11" s="112" t="str">
        <f>Total!G1689</f>
        <v>CQ. TA-16248</v>
      </c>
      <c r="H11" s="112" t="str">
        <f>Total!H1689</f>
        <v>Control qualitat obres Millora puntual. Arranjament de diverses estacions i parades d'autobusos (Amposta, Blanes, Igualada, la Seu d'Urgell, Olot, Quatre Camins -Sant Vicenç dels Horts, Reus, Sabadell, S. Feliu de Pallerols, Tarragona, Torroella Montgrí..</v>
      </c>
      <c r="I11" s="157">
        <f>Total!I1689</f>
        <v>18359.349999999999</v>
      </c>
    </row>
    <row r="12" spans="1:9" x14ac:dyDescent="0.2">
      <c r="A12" s="8">
        <v>12</v>
      </c>
      <c r="B12" s="101">
        <f>Total!B1690</f>
        <v>43357</v>
      </c>
      <c r="C12" s="101">
        <f>Total!C1690</f>
        <v>43376</v>
      </c>
      <c r="D12" s="112" t="s">
        <v>1092</v>
      </c>
      <c r="E12" s="101" t="str">
        <f>Total!E1690</f>
        <v>Edificació</v>
      </c>
      <c r="F12" s="96" t="str">
        <f>Total!F1690</f>
        <v>Control de Qualitat</v>
      </c>
      <c r="G12" s="112" t="str">
        <f>Total!G1690</f>
        <v>CQ. CAP-16206</v>
      </c>
      <c r="H12" s="112" t="str">
        <f>Total!H1690</f>
        <v>Control de qualitat de les obres RAM del Centre d'Atenció Primària Santa Margarida de Montbui, del Centre d'Atenció Primària Rosa dels Vents, de Barberà del Vallès i del Consultori Local de Santa Agnès de Malanyanes.</v>
      </c>
      <c r="I12" s="157">
        <f>Total!I1690</f>
        <v>2229.0100000000002</v>
      </c>
    </row>
    <row r="13" spans="1:9" x14ac:dyDescent="0.2">
      <c r="A13" s="8">
        <v>13</v>
      </c>
      <c r="B13" s="101">
        <f>Total!B1691</f>
        <v>43357</v>
      </c>
      <c r="C13" s="101">
        <f>Total!C1691</f>
        <v>43376</v>
      </c>
      <c r="D13" s="112" t="s">
        <v>1092</v>
      </c>
      <c r="E13" s="101" t="str">
        <f>Total!E1691</f>
        <v>Edificació</v>
      </c>
      <c r="F13" s="96" t="str">
        <f>Total!F1691</f>
        <v>Control de Qualitat</v>
      </c>
      <c r="G13" s="112" t="str">
        <f>Total!G1691</f>
        <v>CQ. CAP-16219</v>
      </c>
      <c r="H13" s="112" t="str">
        <f>Total!H1691</f>
        <v>Control de qualitat de les obres RAM del Centre d'Atenció Primària Cappont.</v>
      </c>
      <c r="I13" s="157">
        <f>Total!I1691</f>
        <v>2668.36</v>
      </c>
    </row>
    <row r="14" spans="1:9" x14ac:dyDescent="0.2">
      <c r="A14" s="8">
        <v>14</v>
      </c>
      <c r="B14" s="101">
        <f>Total!B1692</f>
        <v>43360</v>
      </c>
      <c r="C14" s="101">
        <f>Total!C1692</f>
        <v>43381</v>
      </c>
      <c r="D14" s="112" t="s">
        <v>1092</v>
      </c>
      <c r="E14" s="101" t="str">
        <f>Total!E1692</f>
        <v>Edificació</v>
      </c>
      <c r="F14" s="96" t="str">
        <f>Total!F1692</f>
        <v>Control de Qualitat</v>
      </c>
      <c r="G14" s="112" t="str">
        <f>Total!G1692</f>
        <v>CQ. BSV-14291</v>
      </c>
      <c r="H14" s="112" t="str">
        <f>Total!H1692</f>
        <v>Control de qualitat de les obres de rehabilitació i reforç estructural de les plantes 1 a 4 de la residència i centre de dia per a gent gran La Mercè de Tarragona.</v>
      </c>
      <c r="I14" s="157">
        <f>Total!I1692</f>
        <v>33468.959999999999</v>
      </c>
    </row>
    <row r="15" spans="1:9" x14ac:dyDescent="0.2">
      <c r="A15" s="8">
        <v>15</v>
      </c>
      <c r="B15" s="101">
        <f>Total!B1693</f>
        <v>43363</v>
      </c>
      <c r="C15" s="101">
        <f>Total!C1693</f>
        <v>43381</v>
      </c>
      <c r="D15" s="112" t="s">
        <v>1092</v>
      </c>
      <c r="E15" s="101" t="str">
        <f>Total!E1693</f>
        <v>Obra Civil</v>
      </c>
      <c r="F15" s="96" t="str">
        <f>Total!F1693</f>
        <v>Direccións d'Obra</v>
      </c>
      <c r="G15" s="112" t="str">
        <f>Total!G1693</f>
        <v>CSS. BSV-14291</v>
      </c>
      <c r="H15" s="112" t="str">
        <f>Total!H1693</f>
        <v>Contracte de serveis per a l'assistència tècnica de coordinació de seguretat i salut de les obres de rehabilitació i reforç estructural de les plantes 1 a 4 de la residència i centre de dia per a gent gran La Mercè a Tarragona.</v>
      </c>
      <c r="I15" s="157">
        <f>Total!I1693</f>
        <v>25800</v>
      </c>
    </row>
    <row r="16" spans="1:9" x14ac:dyDescent="0.2">
      <c r="A16" s="8">
        <v>16</v>
      </c>
      <c r="B16" s="101">
        <f>Total!B1694</f>
        <v>43363</v>
      </c>
      <c r="C16" s="101">
        <f>Total!C1694</f>
        <v>43381</v>
      </c>
      <c r="D16" s="112" t="s">
        <v>1092</v>
      </c>
      <c r="E16" s="101" t="str">
        <f>Total!E1694</f>
        <v>Obra Civil</v>
      </c>
      <c r="F16" s="96" t="str">
        <f>Total!F1694</f>
        <v>Direccións d'Obra</v>
      </c>
      <c r="G16" s="112" t="str">
        <f>Total!G1694</f>
        <v>CSS- ML-10032.A1</v>
      </c>
      <c r="H16" s="112" t="str">
        <f>Total!H1694</f>
        <v>Contracte de serveis per a l'Assistència tècnica per la Coordinació de seguretat i salut de l'execució de les obres del projecte constructiu de millora local. Millora de nus. Carretera N-II, PK 452+160, i L-800, PK 0+000. Tram: Alcarràs.</v>
      </c>
      <c r="I16" s="157">
        <f>Total!I1694</f>
        <v>8640</v>
      </c>
    </row>
    <row r="17" spans="1:9" x14ac:dyDescent="0.2">
      <c r="A17" s="8">
        <v>17</v>
      </c>
      <c r="B17" s="101">
        <f>Total!B1695</f>
        <v>43370</v>
      </c>
      <c r="C17" s="101">
        <f>Total!C1695</f>
        <v>43388</v>
      </c>
      <c r="D17" s="112" t="s">
        <v>1092</v>
      </c>
      <c r="E17" s="101" t="str">
        <f>Total!E1695</f>
        <v>Edificació</v>
      </c>
      <c r="F17" s="96" t="str">
        <f>Total!F1695</f>
        <v>Direccions d'execució</v>
      </c>
      <c r="G17" s="112" t="str">
        <f>Total!G1695</f>
        <v>DE.VGM-17222</v>
      </c>
      <c r="H17" s="112" t="str">
        <f>Total!H1695</f>
        <v>Contracte de serveis per a la direcció d'execució de les obres RAM d'adequació i millora de les instal·lacions de climatització per al seu ús durant tot l'any, a l'edifici D de l'Institut de Seguretat Pública de Catalunya.</v>
      </c>
      <c r="I17" s="157">
        <f>Total!I1695</f>
        <v>15200</v>
      </c>
    </row>
    <row r="18" spans="1:9" x14ac:dyDescent="0.2">
      <c r="A18" s="8">
        <v>19</v>
      </c>
      <c r="B18" s="101">
        <f>Total!B1697</f>
        <v>43371</v>
      </c>
      <c r="C18" s="101">
        <f>Total!C1697</f>
        <v>43388</v>
      </c>
      <c r="D18" s="112" t="s">
        <v>1092</v>
      </c>
      <c r="E18" s="101" t="str">
        <f>Total!E1697</f>
        <v>Obra Civil</v>
      </c>
      <c r="F18" s="96" t="str">
        <f>Total!F1697</f>
        <v>Control de Qualitat</v>
      </c>
      <c r="G18" s="112" t="str">
        <f>Total!G1697</f>
        <v>CQ.XB-06047</v>
      </c>
      <c r="H18" s="112" t="str">
        <f>Total!H1697</f>
        <v>Control de qualitat de la "Millora local. Millora de nus. Vial de connexió de la Ronda nord de Granollers entre la rotonda de Francesc Macià i el Sector V Industrial, al marge esquerre del Congost. Tram: les Franqueses del Vallès".</v>
      </c>
      <c r="I18" s="157">
        <f>Total!I1697</f>
        <v>16801.02</v>
      </c>
    </row>
    <row r="19" spans="1:9" x14ac:dyDescent="0.2">
      <c r="A19" s="8">
        <v>20</v>
      </c>
      <c r="B19" s="101">
        <f>Total!B1698</f>
        <v>43371</v>
      </c>
      <c r="C19" s="101">
        <f>Total!C1698</f>
        <v>43388</v>
      </c>
      <c r="D19" s="112" t="s">
        <v>1092</v>
      </c>
      <c r="E19" s="101" t="str">
        <f>Total!E1698</f>
        <v>Obra Civil</v>
      </c>
      <c r="F19" s="96" t="str">
        <f>Total!F1698</f>
        <v>Control de Qualitat</v>
      </c>
      <c r="G19" s="112" t="str">
        <f>Total!G1698</f>
        <v>CQ. AG-05087.1</v>
      </c>
      <c r="H19" s="112" t="str">
        <f>Total!H1698</f>
        <v>Control de Qualitat de les obres del projecte constructiu de millora general. Condicionament de la carretera GI-633, del PK 0+000 al 6+290. Tram: Medinyà (cruïlla amb l'N-II) - Sant Jordi Desvalls.</v>
      </c>
      <c r="I19" s="157">
        <f>Total!I1698</f>
        <v>63105.32</v>
      </c>
    </row>
    <row r="20" spans="1:9" x14ac:dyDescent="0.2">
      <c r="A20" s="8">
        <v>21</v>
      </c>
      <c r="B20" s="101">
        <f>Total!B1699</f>
        <v>43371</v>
      </c>
      <c r="C20" s="101">
        <f>Total!C1699</f>
        <v>43388</v>
      </c>
      <c r="D20" s="112" t="s">
        <v>1092</v>
      </c>
      <c r="E20" s="101" t="str">
        <f>Total!E1699</f>
        <v>Obra Civil</v>
      </c>
      <c r="F20" s="96" t="str">
        <f>Total!F1699</f>
        <v>Control de Qualitat</v>
      </c>
      <c r="G20" s="112" t="str">
        <f>Total!G1699</f>
        <v>CQ. ML-16047</v>
      </c>
      <c r="H20" s="112" t="str">
        <f>Total!H1699</f>
        <v>Control de qualitat de les obres del projecte constructiu de millora local. Millora de nus. Ordenació cruïlla a la carretera N-II, PK 496+670. Tram: Bellpuig.</v>
      </c>
      <c r="I20" s="157">
        <f>Total!I1699</f>
        <v>6473.75</v>
      </c>
    </row>
    <row r="21" spans="1:9" x14ac:dyDescent="0.2">
      <c r="A21" s="8">
        <v>22</v>
      </c>
      <c r="B21" s="101">
        <f>Total!B1700</f>
        <v>43371</v>
      </c>
      <c r="C21" s="101">
        <f>Total!C1700</f>
        <v>43388</v>
      </c>
      <c r="D21" s="112" t="s">
        <v>1092</v>
      </c>
      <c r="E21" s="101" t="str">
        <f>Total!E1700</f>
        <v>Edificació</v>
      </c>
      <c r="F21" s="96" t="str">
        <f>Total!F1700</f>
        <v>Control de Qualitat</v>
      </c>
      <c r="G21" s="112" t="str">
        <f>Total!G1700</f>
        <v>CQ. VGM-17222</v>
      </c>
      <c r="H21" s="112" t="str">
        <f>Total!H1700</f>
        <v>Control de qualitat de les obres RAM d'adequació i millora de les instal·lacions de climatització per a seu ús durant tot l'any, a l'edifici D de l'institut de Seguretat Pública de Catalunya.</v>
      </c>
      <c r="I21" s="157">
        <f>Total!I1700</f>
        <v>8418.9</v>
      </c>
    </row>
    <row r="22" spans="1:9" x14ac:dyDescent="0.2">
      <c r="A22" s="8">
        <v>23</v>
      </c>
      <c r="B22" s="101">
        <f>Total!B1701</f>
        <v>43371</v>
      </c>
      <c r="C22" s="101">
        <f>Total!C1701</f>
        <v>43388</v>
      </c>
      <c r="D22" s="112" t="s">
        <v>1092</v>
      </c>
      <c r="E22" s="101" t="str">
        <f>Total!E1701</f>
        <v>Edificació</v>
      </c>
      <c r="F22" s="96" t="str">
        <f>Total!F1701</f>
        <v>Direccions d'execució</v>
      </c>
      <c r="G22" s="112" t="str">
        <f>Total!G1701</f>
        <v>CSS. VGM-17222</v>
      </c>
      <c r="H22" s="112" t="str">
        <f>Total!H1701</f>
        <v>Coordinació de seguretat i salut de les obres RAM d'adequació i millora de les instal·lacions de climatització per al seu ús durant tot l'any, a l'edifici D de l'institut de Seguretat Pública de Catalunya.</v>
      </c>
      <c r="I22" s="157">
        <f>Total!I1701</f>
        <v>4560</v>
      </c>
    </row>
    <row r="23" spans="1:9" x14ac:dyDescent="0.2">
      <c r="A23" s="8">
        <v>24</v>
      </c>
      <c r="B23" s="101">
        <f>Total!B1702</f>
        <v>43371</v>
      </c>
      <c r="C23" s="101">
        <f>Total!C1702</f>
        <v>43388</v>
      </c>
      <c r="D23" s="112" t="s">
        <v>1092</v>
      </c>
      <c r="E23" s="101" t="str">
        <f>Total!E1702</f>
        <v>Obra Civil</v>
      </c>
      <c r="F23" s="96" t="str">
        <f>Total!F1702</f>
        <v>Control de Qualitat</v>
      </c>
      <c r="G23" s="112" t="str">
        <f>Total!G1702</f>
        <v>CQ. AT-00164.1-A1</v>
      </c>
      <c r="H23" s="112" t="str">
        <f>Total!H1702</f>
        <v>Control de qualitat de les obres del projecte constructiu de millora general. Condicionament de la carretera C-51 a Vilardida. PK 24+400 al 26+840. Tram: Vila-rodona.</v>
      </c>
      <c r="I23" s="157">
        <f>Total!I1702</f>
        <v>75558.11</v>
      </c>
    </row>
    <row r="24" spans="1:9" x14ac:dyDescent="0.2">
      <c r="A24" s="8">
        <v>25</v>
      </c>
      <c r="B24" s="101">
        <f>Total!B1703</f>
        <v>43371</v>
      </c>
      <c r="C24" s="101">
        <f>Total!C1703</f>
        <v>43388</v>
      </c>
      <c r="D24" s="112" t="s">
        <v>1092</v>
      </c>
      <c r="E24" s="101" t="str">
        <f>Total!E1703</f>
        <v>Edificació</v>
      </c>
      <c r="F24" s="96" t="str">
        <f>Total!F1703</f>
        <v>Control de Qualitat</v>
      </c>
      <c r="G24" s="112" t="str">
        <f>Total!G1703</f>
        <v>CQ. CAP-16209</v>
      </c>
      <c r="H24" s="112" t="str">
        <f>Total!H1703</f>
        <v>Control de qualitat de les obres RAM del Centre d'Atenció Primària Les Indianes de Montcada i Reixac.</v>
      </c>
      <c r="I24" s="157">
        <f>Total!I1703</f>
        <v>1138.48</v>
      </c>
    </row>
    <row r="25" spans="1:9" x14ac:dyDescent="0.2">
      <c r="I25" s="126">
        <f>SUM(I2:I24)</f>
        <v>739596.61</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8"/>
  <sheetViews>
    <sheetView topLeftCell="B1" workbookViewId="0">
      <selection activeCell="I18" sqref="I18"/>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Total!B1662</f>
        <v>43313</v>
      </c>
      <c r="C2" s="101">
        <f>Total!C1662</f>
        <v>43355</v>
      </c>
      <c r="D2" s="112" t="s">
        <v>1092</v>
      </c>
      <c r="E2" s="101" t="str">
        <f>Total!E1662</f>
        <v>Edificació</v>
      </c>
      <c r="F2" s="96" t="str">
        <f>Total!F1662</f>
        <v>Control de Qualitat</v>
      </c>
      <c r="G2" s="112" t="str">
        <f>Total!G1662</f>
        <v>CQ.IAV-16213</v>
      </c>
      <c r="H2" s="112" t="str">
        <f>Total!H1662</f>
        <v>Contracte de serveis per l'assistència tècnica de control de qualitat de les obres d'ampliació a Institut 4/2 La Rovira-Forns de Santa Perpètua de Mogoda.</v>
      </c>
      <c r="I2" s="157">
        <f>Total!I1662</f>
        <v>7469.11</v>
      </c>
    </row>
    <row r="3" spans="1:9" x14ac:dyDescent="0.2">
      <c r="A3" s="8">
        <v>2</v>
      </c>
      <c r="B3" s="101">
        <f>Total!B1663</f>
        <v>43313</v>
      </c>
      <c r="C3" s="101">
        <f>Total!C1663</f>
        <v>43355</v>
      </c>
      <c r="D3" s="112" t="s">
        <v>1092</v>
      </c>
      <c r="E3" s="101" t="str">
        <f>Total!E1663</f>
        <v>Edificació</v>
      </c>
      <c r="F3" s="96" t="str">
        <f>Total!F1663</f>
        <v>Control de Qualitat</v>
      </c>
      <c r="G3" s="112" t="str">
        <f>Total!G1663</f>
        <v>CQ. HVB-16220</v>
      </c>
      <c r="H3" s="112" t="str">
        <f>Total!H1663</f>
        <v>Contracte de serveis per a l'assitència tècnica de control de qualitat de les obres d'Instal·lacions de la reforma i ampliació de l'Hospital de Viladecans.</v>
      </c>
      <c r="I3" s="157">
        <f>Total!I1663</f>
        <v>214765.57</v>
      </c>
    </row>
    <row r="4" spans="1:9" x14ac:dyDescent="0.2">
      <c r="A4" s="8">
        <v>3</v>
      </c>
      <c r="B4" s="101">
        <f>Total!B1664</f>
        <v>43315</v>
      </c>
      <c r="C4" s="101">
        <f>Total!C1664</f>
        <v>43355</v>
      </c>
      <c r="D4" s="112" t="s">
        <v>1092</v>
      </c>
      <c r="E4" s="101" t="str">
        <f>Total!E1664</f>
        <v>Obra Civil</v>
      </c>
      <c r="F4" s="96" t="str">
        <f>Total!F1664</f>
        <v>Projectes</v>
      </c>
      <c r="G4" s="112" t="str">
        <f>Total!G1664</f>
        <v>TA-NC-00100-A2 NC-00100-A2</v>
      </c>
      <c r="H4" s="112" t="str">
        <f>Total!H1664</f>
        <v>Contrato de servicios para la asistencia técnica para la redacción de proyecto de trazado y del proyecto constructivo de mejora general; nueva carretera entre Riba-Roja y La Granja d'Escarp.</v>
      </c>
      <c r="I4" s="157">
        <f>Total!I1664</f>
        <v>311200</v>
      </c>
    </row>
    <row r="5" spans="1:9" x14ac:dyDescent="0.2">
      <c r="A5" s="8">
        <v>4</v>
      </c>
      <c r="B5" s="101">
        <f>Total!B1665</f>
        <v>43315</v>
      </c>
      <c r="C5" s="101">
        <f>Total!C1665</f>
        <v>43355</v>
      </c>
      <c r="D5" s="112" t="s">
        <v>1092</v>
      </c>
      <c r="E5" s="101" t="str">
        <f>Total!E1665</f>
        <v>Edificació</v>
      </c>
      <c r="F5" s="96" t="str">
        <f>Total!F1665</f>
        <v>Control de Qualitat</v>
      </c>
      <c r="G5" s="112" t="str">
        <f>Total!G1665</f>
        <v>CQ. CGM-17225</v>
      </c>
      <c r="H5" s="112" t="str">
        <f>Total!H1665</f>
        <v>Contracte de serveis per a l'assistència tècnica de control dequalitat de les obres RAM de substitució i millora del sistemade gravadors i càmeres perimetrals de diverses comissaries deMossos d'Esquadra.</v>
      </c>
      <c r="I5" s="157">
        <f>Total!I1665</f>
        <v>4200</v>
      </c>
    </row>
    <row r="6" spans="1:9" x14ac:dyDescent="0.2">
      <c r="A6" s="8">
        <v>5</v>
      </c>
      <c r="B6" s="101">
        <f>Total!B1666</f>
        <v>43315</v>
      </c>
      <c r="C6" s="101">
        <f>Total!C1666</f>
        <v>43355</v>
      </c>
      <c r="D6" s="112" t="s">
        <v>1092</v>
      </c>
      <c r="E6" s="101" t="str">
        <f>Total!E1666</f>
        <v>Edificació</v>
      </c>
      <c r="F6" s="96" t="str">
        <f>Total!F1666</f>
        <v>Control de Qualitat</v>
      </c>
      <c r="G6" s="112" t="str">
        <f>Total!G1666</f>
        <v>CQ. INC-08226.A</v>
      </c>
      <c r="H6" s="112" t="str">
        <f>Total!H1666</f>
        <v>Contracte de serveis per a l'assistència tècnica de control de qualitat de les obres de la nova construcció de l'Institut Ventura Gassol de Badalona.</v>
      </c>
      <c r="I6" s="157">
        <f>Total!I1666</f>
        <v>54137.79</v>
      </c>
    </row>
    <row r="7" spans="1:9" x14ac:dyDescent="0.2">
      <c r="A7" s="8">
        <v>6</v>
      </c>
      <c r="B7" s="101">
        <f>Total!B1667</f>
        <v>43315</v>
      </c>
      <c r="C7" s="101">
        <f>Total!C1667</f>
        <v>43355</v>
      </c>
      <c r="D7" s="112" t="s">
        <v>1092</v>
      </c>
      <c r="E7" s="101" t="str">
        <f>Total!E1667</f>
        <v>Edificació</v>
      </c>
      <c r="F7" s="96" t="str">
        <f>Total!F1667</f>
        <v>Control de Qualitat</v>
      </c>
      <c r="G7" s="112" t="str">
        <f>Total!G1667</f>
        <v>CQ. CAP-16204</v>
      </c>
      <c r="H7" s="112" t="str">
        <f>Total!H1667</f>
        <v>Contracte de serveis per a l'assistència tècnica de control de qualitat de les obres de construcció del nou Centre d'Atenció Primària de la Seu d'Urgell.</v>
      </c>
      <c r="I7" s="157">
        <f>Total!I1667</f>
        <v>24027.15</v>
      </c>
    </row>
    <row r="8" spans="1:9" x14ac:dyDescent="0.2">
      <c r="A8" s="8">
        <v>7</v>
      </c>
      <c r="B8" s="101">
        <f>Total!B1668</f>
        <v>43318</v>
      </c>
      <c r="C8" s="101">
        <f>Total!C1668</f>
        <v>43362</v>
      </c>
      <c r="D8" s="112" t="s">
        <v>1092</v>
      </c>
      <c r="E8" s="101" t="str">
        <f>Total!E1668</f>
        <v>Obra Civil</v>
      </c>
      <c r="F8" s="96" t="str">
        <f>Total!F1668</f>
        <v>Control de Qualitat</v>
      </c>
      <c r="G8" s="112" t="str">
        <f>Total!G1668</f>
        <v>CQ. MB-11049</v>
      </c>
      <c r="H8" s="112" t="str">
        <f>Total!H1668</f>
        <v>Contracte de serveis per a l¿assistència tècnica del control de qualitat de les obres del projecte constructiu de millora local. Millora de nus de la carretera C-35, PK 53+080, amb la BV-5301, PK 0+000. Tram: Santa Maria de Palautordera.</v>
      </c>
      <c r="I8" s="157">
        <f>Total!I1668</f>
        <v>5007.1099999999997</v>
      </c>
    </row>
    <row r="9" spans="1:9" x14ac:dyDescent="0.2">
      <c r="A9" s="8">
        <v>8</v>
      </c>
      <c r="B9" s="101">
        <f>Total!B1669</f>
        <v>43318</v>
      </c>
      <c r="C9" s="101">
        <f>Total!C1669</f>
        <v>43362</v>
      </c>
      <c r="D9" s="112" t="s">
        <v>1092</v>
      </c>
      <c r="E9" s="101" t="str">
        <f>Total!E1669</f>
        <v>Obra Civil</v>
      </c>
      <c r="F9" s="96" t="str">
        <f>Total!F1669</f>
        <v>Control de Qualitat</v>
      </c>
      <c r="G9" s="112" t="str">
        <f>Total!G1669</f>
        <v>CQ. MB-16021</v>
      </c>
      <c r="H9" s="112" t="str">
        <f>Total!H1669</f>
        <v>Contracte de serveis per a l¿assistència tècnica de control de qualitat de les obres del projecte constructiu de millora local. Millora de nus. Rotonda a la carretera BV-2429, PK 21+160. Tram: Subirats.</v>
      </c>
      <c r="I9" s="157">
        <f>Total!I1669</f>
        <v>4881.76</v>
      </c>
    </row>
    <row r="10" spans="1:9" x14ac:dyDescent="0.2">
      <c r="A10" s="8">
        <v>9</v>
      </c>
      <c r="B10" s="101">
        <f>Total!B1670</f>
        <v>43318</v>
      </c>
      <c r="C10" s="101">
        <f>Total!C1670</f>
        <v>43362</v>
      </c>
      <c r="D10" s="112" t="s">
        <v>1092</v>
      </c>
      <c r="E10" s="101" t="str">
        <f>Total!E1670</f>
        <v>Edificació</v>
      </c>
      <c r="F10" s="96" t="str">
        <f>Total!F1670</f>
        <v>Direcció d'Execució</v>
      </c>
      <c r="G10" s="112" t="str">
        <f>Total!G1670</f>
        <v>DE. PMB-14333</v>
      </c>
      <c r="H10" s="112" t="str">
        <f>Total!H1670</f>
        <v>Contracte de serveis per a l'assistència tècnica de la direcció d'execució de les obres de substitució del Parc de Bombers existent a Moià per un edifici de tipus industrialitzat.</v>
      </c>
      <c r="I10" s="157">
        <f>Total!I1670</f>
        <v>30000</v>
      </c>
    </row>
    <row r="11" spans="1:9" x14ac:dyDescent="0.2">
      <c r="A11" s="8">
        <v>10</v>
      </c>
      <c r="B11" s="101">
        <f>Total!B1671</f>
        <v>43318</v>
      </c>
      <c r="C11" s="101">
        <f>Total!C1671</f>
        <v>43362</v>
      </c>
      <c r="D11" s="112" t="s">
        <v>1092</v>
      </c>
      <c r="E11" s="101" t="str">
        <f>Total!E1671</f>
        <v>Obra Civil</v>
      </c>
      <c r="F11" s="96" t="str">
        <f>Total!F1671</f>
        <v>Direccions d'Obra</v>
      </c>
      <c r="G11" s="112" t="str">
        <f>Total!G1671</f>
        <v>ATAM. AB-14009.F3.1</v>
      </c>
      <c r="H11" s="112" t="str">
        <f>Total!H1671</f>
        <v>Contracte de serveis per a l'Assistència tècnica ambiental de les obres: Projecte constructiu de Millora general. Condicionament. Ampliació de la calçada lateral sentit Terrassa a l'autopista C-58, del PK 14+500 al 18+800. Sabadell - Terrassa.</v>
      </c>
      <c r="I11" s="157">
        <f>Total!I1671</f>
        <v>62370</v>
      </c>
    </row>
    <row r="12" spans="1:9" x14ac:dyDescent="0.2">
      <c r="A12" s="8">
        <v>11</v>
      </c>
      <c r="B12" s="101">
        <f>Total!B1672</f>
        <v>43319</v>
      </c>
      <c r="C12" s="101">
        <f>Total!C1672</f>
        <v>43362</v>
      </c>
      <c r="D12" s="112" t="s">
        <v>1092</v>
      </c>
      <c r="E12" s="101" t="str">
        <f>Total!E1672</f>
        <v>Obra Civil</v>
      </c>
      <c r="F12" s="96" t="str">
        <f>Total!F1672</f>
        <v>Direccions d'Obra</v>
      </c>
      <c r="G12" s="112" t="str">
        <f>Total!G1672</f>
        <v>DO. ML-16047</v>
      </c>
      <c r="H12" s="112" t="str">
        <f>Total!H1672</f>
        <v>Contracte de serveis per a la direcció de les obres de millora local. Millora de nus. Ordenació cruïlla a la carretera N-II, PK 496+670. Tram: Bellpuig.</v>
      </c>
      <c r="I12" s="157">
        <f>Total!I1672</f>
        <v>23466.67</v>
      </c>
    </row>
    <row r="13" spans="1:9" x14ac:dyDescent="0.2">
      <c r="A13" s="8">
        <v>12</v>
      </c>
      <c r="B13" s="101">
        <f>Total!B1673</f>
        <v>43319</v>
      </c>
      <c r="C13" s="101">
        <f>Total!C1673</f>
        <v>43362</v>
      </c>
      <c r="D13" s="112" t="s">
        <v>1092</v>
      </c>
      <c r="E13" s="101" t="str">
        <f>Total!E1673</f>
        <v>Edificació</v>
      </c>
      <c r="F13" s="96" t="str">
        <f>Total!F1673</f>
        <v>Direccions d'Execució</v>
      </c>
      <c r="G13" s="112" t="str">
        <f>Total!G1673</f>
        <v>DE. INC-08226.A</v>
      </c>
      <c r="H13" s="112" t="str">
        <f>Total!H1673</f>
        <v>Contracte de serveis per a la direcció d'execució de les obres de la nova construcció de l'Institut Ventura Gassol de Badalona.</v>
      </c>
      <c r="I13" s="157">
        <f>Total!I1673</f>
        <v>140000</v>
      </c>
    </row>
    <row r="14" spans="1:9" x14ac:dyDescent="0.2">
      <c r="A14" s="8">
        <v>13</v>
      </c>
      <c r="B14" s="101">
        <f>Total!B1674</f>
        <v>43319</v>
      </c>
      <c r="C14" s="101">
        <f>Total!C1674</f>
        <v>43362</v>
      </c>
      <c r="D14" s="112" t="s">
        <v>1092</v>
      </c>
      <c r="E14" s="101" t="str">
        <f>Total!E1674</f>
        <v>Obra Civil</v>
      </c>
      <c r="F14" s="96" t="str">
        <f>Total!F1674</f>
        <v>Direccions d'Obra</v>
      </c>
      <c r="G14" s="112" t="str">
        <f>Total!G1674</f>
        <v>DO. MB-11049 + MB-16021</v>
      </c>
      <c r="H14" s="112" t="str">
        <f>Total!H1674</f>
        <v>Dir. conj. obres dels proj. constructius de: "Millora local. Millora de nus de la ctra C-35, PK 53+080, amb la BV-5301, PK 0+000. Tram: Santa Maria de Palautordera. Millora de nus. Rotonda a la ctra BV-22129, PK 21+160. Tram: Subirats.</v>
      </c>
      <c r="I14" s="157">
        <f>Total!I1674</f>
        <v>34333.33</v>
      </c>
    </row>
    <row r="15" spans="1:9" x14ac:dyDescent="0.2">
      <c r="A15" s="8">
        <v>14</v>
      </c>
      <c r="B15" s="101">
        <f>Total!B1675</f>
        <v>43319</v>
      </c>
      <c r="C15" s="101">
        <f>Total!C1675</f>
        <v>43362</v>
      </c>
      <c r="D15" s="112" t="s">
        <v>1092</v>
      </c>
      <c r="E15" s="101" t="str">
        <f>Total!E1675</f>
        <v>Edificació</v>
      </c>
      <c r="F15" s="96" t="str">
        <f>Total!F1675</f>
        <v>Direccions d'Execució</v>
      </c>
      <c r="G15" s="112" t="str">
        <f>Total!G1675</f>
        <v>DE. PAE-14336</v>
      </c>
      <c r="H15" s="112" t="str">
        <f>Total!H1675</f>
        <v>Contracte de serveis per a la Direcció d'execució de les obres de reforma i adequació escola 2L a l'Escola Lluís Viñas i Viñoles de Mora d'Ebre.</v>
      </c>
      <c r="I15" s="157">
        <f>Total!I1675</f>
        <v>24000</v>
      </c>
    </row>
    <row r="16" spans="1:9" x14ac:dyDescent="0.2">
      <c r="A16" s="8">
        <v>15</v>
      </c>
      <c r="B16" s="101">
        <f>Total!B1676</f>
        <v>43319</v>
      </c>
      <c r="C16" s="101">
        <f>Total!C1676</f>
        <v>43362</v>
      </c>
      <c r="D16" s="112" t="s">
        <v>1092</v>
      </c>
      <c r="E16" s="101" t="str">
        <f>Total!E1676</f>
        <v>Edificació</v>
      </c>
      <c r="F16" s="96" t="str">
        <f>Total!F1676</f>
        <v>Direccions d'Execució</v>
      </c>
      <c r="G16" s="112" t="str">
        <f>Total!G1676</f>
        <v>CSS. PAE-14336</v>
      </c>
      <c r="H16" s="112" t="str">
        <f>Total!H1676</f>
        <v>Coordinació de Seguretat i Salut conjunta de les obres: Reforma i adequació escola 2L a l'Escola Lluís Viñas i Viñoles de Mora d'Ebre. Reforma i adequació escola i  Instal·lació d'elements de protecció solar.</v>
      </c>
      <c r="I16" s="157">
        <f>Total!I1676</f>
        <v>7200</v>
      </c>
    </row>
    <row r="17" spans="1:9" x14ac:dyDescent="0.2">
      <c r="A17" s="8">
        <v>16</v>
      </c>
      <c r="B17" s="101">
        <f>Total!B1677</f>
        <v>43319</v>
      </c>
      <c r="C17" s="101">
        <f>Total!C1677</f>
        <v>43362</v>
      </c>
      <c r="D17" s="112" t="s">
        <v>1092</v>
      </c>
      <c r="E17" s="101" t="str">
        <f>Total!E1677</f>
        <v>Edificació</v>
      </c>
      <c r="F17" s="96" t="str">
        <f>Total!F1677</f>
        <v>Direccions d'Execució</v>
      </c>
      <c r="G17" s="112" t="str">
        <f>Total!G1677</f>
        <v>CSS. INC-08226.A+PAA-15309</v>
      </c>
      <c r="H17" s="112" t="str">
        <f>Total!H1677</f>
        <v>Assist. tèc. conj. de Coord. S.S. obres Nova construcció de l'Institut Ventura Gassol de Badalona i de les obres d'Ampliació i adequació Escola a 1L (sense gimnàs) a l'Escola Cau de la Guineu a Corbera de Llobregat.</v>
      </c>
      <c r="I17" s="157">
        <f>Total!I1677</f>
        <v>52350</v>
      </c>
    </row>
    <row r="18" spans="1:9" x14ac:dyDescent="0.2">
      <c r="I18" s="126">
        <f>SUM(I2:I17)</f>
        <v>999408.49</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13"/>
  <sheetViews>
    <sheetView workbookViewId="0">
      <selection activeCell="I13" sqref="I13"/>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Total!B1650</f>
        <v>43307</v>
      </c>
      <c r="C2" s="101">
        <f>Total!C1650</f>
        <v>43362</v>
      </c>
      <c r="D2" s="112" t="s">
        <v>1092</v>
      </c>
      <c r="E2" s="101" t="str">
        <f>Total!E1650</f>
        <v>Edificació</v>
      </c>
      <c r="F2" s="96" t="str">
        <f>Total!F1650</f>
        <v>Control de Qualitat</v>
      </c>
      <c r="G2" s="112" t="str">
        <f>Total!G1650</f>
        <v>CQ. CGM-17223</v>
      </c>
      <c r="H2" s="112" t="str">
        <f>Total!H1650</f>
        <v>Contracte de serveis per a l'assistència tècnica per al control de qualitat de les obres RAM renovació d'equips de clima i implantació de mesures per a la millora de l'eficiència energètica de diverses comissaries de Mossos d'Esquadra</v>
      </c>
      <c r="I2" s="157">
        <f>Total!I1650</f>
        <v>5400</v>
      </c>
    </row>
    <row r="3" spans="1:9" x14ac:dyDescent="0.2">
      <c r="A3" s="8">
        <v>2</v>
      </c>
      <c r="B3" s="101">
        <f>Total!B1651</f>
        <v>43307</v>
      </c>
      <c r="C3" s="101">
        <f>Total!C1651</f>
        <v>43355</v>
      </c>
      <c r="D3" s="112" t="s">
        <v>1092</v>
      </c>
      <c r="E3" s="101" t="str">
        <f>Total!E1651</f>
        <v>Edificació</v>
      </c>
      <c r="F3" s="96" t="str">
        <f>Total!F1651</f>
        <v>Control de Qualitat</v>
      </c>
      <c r="G3" s="112" t="str">
        <f>Total!G1651</f>
        <v>CQ-PAA-15309</v>
      </c>
      <c r="H3" s="112" t="str">
        <f>Total!H1651</f>
        <v>Contracte de serveis per a l'assistència tècnica de control de qualitat de les obres d'ampliació i adequació a 1L (sense gimnàs) a l'Escola CAU de la Guineu a Corbera de Llobregat.</v>
      </c>
      <c r="I3" s="157">
        <f>Total!I1651</f>
        <v>23777.57</v>
      </c>
    </row>
    <row r="4" spans="1:9" x14ac:dyDescent="0.2">
      <c r="A4" s="8">
        <v>4</v>
      </c>
      <c r="B4" s="101">
        <f>Total!B1653</f>
        <v>43308</v>
      </c>
      <c r="C4" s="101">
        <f>Total!C1653</f>
        <v>43355</v>
      </c>
      <c r="D4" s="112" t="s">
        <v>1092</v>
      </c>
      <c r="E4" s="101" t="str">
        <f>Total!E1653</f>
        <v>Edificació</v>
      </c>
      <c r="F4" s="96" t="str">
        <f>Total!F1653</f>
        <v>Control de Qualitat</v>
      </c>
      <c r="G4" s="112" t="str">
        <f>Total!G1653</f>
        <v>CQ. PGM-15307</v>
      </c>
      <c r="H4" s="112" t="str">
        <f>Total!H1653</f>
        <v>Contracte de serveis per a l'assitència tècnica per al control de qualitat de les obres RAM reforma i ampliació d'espais tècnics i millora del Parc de Bombers existent a Granollers.</v>
      </c>
      <c r="I4" s="157">
        <f>Total!I1653</f>
        <v>14254.05</v>
      </c>
    </row>
    <row r="5" spans="1:9" x14ac:dyDescent="0.2">
      <c r="A5" s="8">
        <v>5</v>
      </c>
      <c r="B5" s="101">
        <f>Total!B1654</f>
        <v>43308</v>
      </c>
      <c r="C5" s="101">
        <f>Total!C1654</f>
        <v>43355</v>
      </c>
      <c r="D5" s="112" t="s">
        <v>1092</v>
      </c>
      <c r="E5" s="101" t="str">
        <f>Total!E1654</f>
        <v>Edificació</v>
      </c>
      <c r="F5" s="96" t="str">
        <f>Total!F1654</f>
        <v>Control de Qualitat</v>
      </c>
      <c r="G5" s="112" t="str">
        <f>Total!G1654</f>
        <v>CQ.PGM-17218</v>
      </c>
      <c r="H5" s="112" t="str">
        <f>Total!H1654</f>
        <v>Contracte de serveis per a l'assistència tècnica per al control de qualitat de les obres RAM d'arranjament de la coberta del Parc de Bombers d'Amer.</v>
      </c>
      <c r="I5" s="157">
        <f>Total!I1654</f>
        <v>673.99</v>
      </c>
    </row>
    <row r="6" spans="1:9" x14ac:dyDescent="0.2">
      <c r="A6" s="8">
        <v>6</v>
      </c>
      <c r="B6" s="101">
        <f>Total!B1655</f>
        <v>43308</v>
      </c>
      <c r="C6" s="101">
        <f>Total!C1655</f>
        <v>43362</v>
      </c>
      <c r="D6" s="112" t="s">
        <v>1092</v>
      </c>
      <c r="E6" s="101" t="str">
        <f>Total!E1655</f>
        <v>Edificació</v>
      </c>
      <c r="F6" s="96" t="str">
        <f>Total!F1655</f>
        <v>Control de Qualitat</v>
      </c>
      <c r="G6" s="112" t="str">
        <f>Total!G1655</f>
        <v>CQ.PAL-16214</v>
      </c>
      <c r="H6" s="112" t="str">
        <f>Total!H1655</f>
        <v>Contracte de serveis per a l'assistència tècnica per al control de qualitat de les obres d'ampliació a 2,5 L a l'Escola Ramon Faus i Esteve a Guissona</v>
      </c>
      <c r="I6" s="157">
        <f>Total!I1655</f>
        <v>7583.29</v>
      </c>
    </row>
    <row r="7" spans="1:9" x14ac:dyDescent="0.2">
      <c r="A7" s="8">
        <v>7</v>
      </c>
      <c r="B7" s="101">
        <f>Total!B1656</f>
        <v>43308</v>
      </c>
      <c r="C7" s="101">
        <f>Total!C1656</f>
        <v>43355</v>
      </c>
      <c r="D7" s="112" t="s">
        <v>1092</v>
      </c>
      <c r="E7" s="101" t="str">
        <f>Total!E1656</f>
        <v>Edificació</v>
      </c>
      <c r="F7" s="96" t="str">
        <f>Total!F1656</f>
        <v>Control de Qualitat</v>
      </c>
      <c r="G7" s="112" t="str">
        <f>Total!G1656</f>
        <v>CQ.PNL-16216</v>
      </c>
      <c r="H7" s="112" t="str">
        <f>Total!H1656</f>
        <v>Contracte de serveis per a l'assistència tècnica per al control de qualitat de la nova construcció de l'Escola 1 L a l'Escola El Vinyet de Solsona</v>
      </c>
      <c r="I7" s="157">
        <f>Total!I1656</f>
        <v>42705.89</v>
      </c>
    </row>
    <row r="8" spans="1:9" x14ac:dyDescent="0.2">
      <c r="A8" s="8">
        <v>8</v>
      </c>
      <c r="B8" s="101">
        <f>Total!B1657</f>
        <v>43308</v>
      </c>
      <c r="C8" s="101">
        <f>Total!C1657</f>
        <v>43360</v>
      </c>
      <c r="D8" s="112" t="s">
        <v>1092</v>
      </c>
      <c r="E8" s="101" t="str">
        <f>Total!E1657</f>
        <v>Edificació</v>
      </c>
      <c r="F8" s="96" t="str">
        <f>Total!F1657</f>
        <v>Control de Qualitat</v>
      </c>
      <c r="G8" s="112" t="str">
        <f>Total!G1657</f>
        <v>CQ CAP-15346</v>
      </c>
      <c r="H8" s="112" t="str">
        <f>Total!H1657</f>
        <v>Contracte de serveis per l'assistència tècnica de control de qualitat  de les obres de construcció del nou centre d'atenció primària Cotet, a Premià de Dalt..</v>
      </c>
      <c r="I8" s="157">
        <f>Total!I1657</f>
        <v>33085.21</v>
      </c>
    </row>
    <row r="9" spans="1:9" x14ac:dyDescent="0.2">
      <c r="A9" s="8">
        <v>9</v>
      </c>
      <c r="B9" s="101">
        <f>Total!B1658</f>
        <v>43308</v>
      </c>
      <c r="C9" s="101">
        <f>Total!C1658</f>
        <v>43355</v>
      </c>
      <c r="D9" s="112" t="s">
        <v>1092</v>
      </c>
      <c r="E9" s="101" t="str">
        <f>Total!E1658</f>
        <v>Edificació</v>
      </c>
      <c r="F9" s="96" t="str">
        <f>Total!F1658</f>
        <v>Control de Qualitat</v>
      </c>
      <c r="G9" s="112" t="str">
        <f>Total!G1658</f>
        <v>CQ. PMB-14333</v>
      </c>
      <c r="H9" s="112" t="str">
        <f>Total!H1658</f>
        <v>Contracte de serveis per a l'assistència tècnica de la direcció d'execució de les obres de substitució del Parc de Bombers existent a Moià per un edifici de tipus industrialitzat.</v>
      </c>
      <c r="I9" s="157">
        <f>Total!I1658</f>
        <v>13842.71</v>
      </c>
    </row>
    <row r="10" spans="1:9" x14ac:dyDescent="0.2">
      <c r="A10" s="8">
        <v>10</v>
      </c>
      <c r="B10" s="101">
        <f>Total!B1659</f>
        <v>43308</v>
      </c>
      <c r="C10" s="101">
        <f>Total!C1659</f>
        <v>43355</v>
      </c>
      <c r="D10" s="112" t="s">
        <v>1092</v>
      </c>
      <c r="E10" s="101" t="str">
        <f>Total!E1659</f>
        <v>Edificació</v>
      </c>
      <c r="F10" s="96" t="str">
        <f>Total!F1659</f>
        <v>Control de Qualitat</v>
      </c>
      <c r="G10" s="112" t="str">
        <f>Total!G1659</f>
        <v>CQ. CGM-17248</v>
      </c>
      <c r="H10" s="112" t="str">
        <f>Total!H1659</f>
        <v>Contracte de serveis per a l'assistència tècnica per al control de qualitat de les obres RAM de millores de seguretat i videovigilància de diverses comissaries de Mossos d'Esquadra.</v>
      </c>
      <c r="I10" s="157">
        <f>Total!I1659</f>
        <v>8112</v>
      </c>
    </row>
    <row r="11" spans="1:9" x14ac:dyDescent="0.2">
      <c r="A11" s="8">
        <v>11</v>
      </c>
      <c r="B11" s="101">
        <f>Total!B1660</f>
        <v>43308</v>
      </c>
      <c r="C11" s="101">
        <f>Total!C1660</f>
        <v>43348</v>
      </c>
      <c r="D11" s="112" t="s">
        <v>1092</v>
      </c>
      <c r="E11" s="101" t="str">
        <f>Total!E1660</f>
        <v>Obra Civil</v>
      </c>
      <c r="F11" s="96" t="str">
        <f>Total!F1660</f>
        <v>Direccions d'Obra</v>
      </c>
      <c r="G11" s="112" t="str">
        <f>Total!G1660</f>
        <v>ATAM. AT-00164.1-A1</v>
      </c>
      <c r="H11" s="112" t="str">
        <f>Total!H1660</f>
        <v>Assistència tècnica ambiental. Millora general. Condicionament de la carretera C-51 a Vilardida. Pk 24,400 al 26,840. Tram: Vila-rodona.</v>
      </c>
      <c r="I11" s="157">
        <f>Total!I1660</f>
        <v>31944</v>
      </c>
    </row>
    <row r="12" spans="1:9" x14ac:dyDescent="0.2">
      <c r="A12" s="8">
        <v>12</v>
      </c>
      <c r="B12" s="101">
        <f>Total!B1661</f>
        <v>43312</v>
      </c>
      <c r="C12" s="101">
        <f>Total!C1661</f>
        <v>43355</v>
      </c>
      <c r="D12" s="112" t="s">
        <v>1092</v>
      </c>
      <c r="E12" s="101" t="str">
        <f>Total!E1661</f>
        <v>Obra Civil</v>
      </c>
      <c r="F12" s="96" t="str">
        <f>Total!F1661</f>
        <v>Control de Qualitat</v>
      </c>
      <c r="G12" s="112" t="str">
        <f>Total!G1661</f>
        <v>CQ. MG-08128.1</v>
      </c>
      <c r="H12" s="112" t="str">
        <f>Total!H1661</f>
        <v>Contracte de serveis per a l'assistència tècnica de control de qualitat de les obres del projecte constructiu de millora local. Eixamplament i reforç del ferm. Carretera C-25, del PK 238+000 al 240+100. Tram : Riudellots de la Selva.</v>
      </c>
      <c r="I12" s="157">
        <f>Total!I1661</f>
        <v>18189.23</v>
      </c>
    </row>
    <row r="13" spans="1:9" x14ac:dyDescent="0.2">
      <c r="I13" s="126">
        <f>SUM(I2:I12)</f>
        <v>199567.94</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5"/>
  <sheetViews>
    <sheetView workbookViewId="0">
      <selection activeCell="A5" sqref="A5"/>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Total!B1646</f>
        <v>43255</v>
      </c>
      <c r="C2" s="101">
        <f>Total!C1646</f>
        <v>43271</v>
      </c>
      <c r="D2" s="112" t="s">
        <v>1092</v>
      </c>
      <c r="E2" s="101" t="str">
        <f>Total!E1646</f>
        <v>Obra Civil</v>
      </c>
      <c r="F2" s="96" t="str">
        <f>Total!F1646</f>
        <v>Projectes</v>
      </c>
      <c r="G2" s="112" t="str">
        <f>Total!G1646</f>
        <v>AT-UPA-14015.4</v>
      </c>
      <c r="H2" s="112" t="str">
        <f>Total!H1646</f>
        <v>Assistència tècnica per als treballs de restauració de les praderies de Posidònia, afectades per la presència de morts defondeig i altres elements al litoral de l'Alt Empordà.</v>
      </c>
      <c r="I2" s="157">
        <f>Total!I1646</f>
        <v>94679.2</v>
      </c>
    </row>
    <row r="3" spans="1:9" x14ac:dyDescent="0.2">
      <c r="A3" s="8">
        <v>2</v>
      </c>
      <c r="B3" s="101">
        <f>Total!B1647</f>
        <v>43266</v>
      </c>
      <c r="C3" s="101">
        <f>Total!C1647</f>
        <v>43283</v>
      </c>
      <c r="D3" s="112" t="s">
        <v>1092</v>
      </c>
      <c r="E3" s="101" t="str">
        <f>Total!E1647</f>
        <v>Obra Civil</v>
      </c>
      <c r="F3" s="96" t="str">
        <f>Total!F1647</f>
        <v>Direccions d'obra</v>
      </c>
      <c r="G3" s="112" t="str">
        <f>Total!G1647</f>
        <v>CSS. PRL-18001</v>
      </c>
      <c r="H3" s="112" t="str">
        <f>Total!H1647</f>
        <v>Contracte de serveis per a la supervisió de la prevenció de riscos laborals i de la coordinació de seguretat i salut de les obres de la L9.</v>
      </c>
      <c r="I3" s="157">
        <f>Total!I1647</f>
        <v>87200</v>
      </c>
    </row>
    <row r="4" spans="1:9" x14ac:dyDescent="0.2">
      <c r="A4" s="8">
        <v>4</v>
      </c>
      <c r="B4" s="101">
        <f>Total!B1649</f>
        <v>43280</v>
      </c>
      <c r="C4" s="101">
        <f>Total!C1649</f>
        <v>43297</v>
      </c>
      <c r="D4" s="112" t="s">
        <v>1092</v>
      </c>
      <c r="E4" s="101" t="str">
        <f>Total!E1649</f>
        <v>Obra Civil</v>
      </c>
      <c r="F4" s="96" t="str">
        <f>Total!F1649</f>
        <v>Projectes</v>
      </c>
      <c r="G4" s="112" t="str">
        <f>Total!G1649</f>
        <v>E1-INF-18500</v>
      </c>
      <c r="H4" s="112" t="str">
        <f>Total!H1649</f>
        <v>Serveis per l'assistència tècnica per a la investigació i assessorament en temes estructurals de les infraestructures gestionades per Infraestructures de la Generalitat de Catalunya i per l'ens Infraestructures Ferroviàries de Catalunya.</v>
      </c>
      <c r="I4" s="157">
        <f>Total!I1649</f>
        <v>100000</v>
      </c>
    </row>
    <row r="5" spans="1:9" x14ac:dyDescent="0.2">
      <c r="I5" s="126">
        <f>SUM(I2:I4)</f>
        <v>281879.2</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38"/>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Total!B1609</f>
        <v>43160</v>
      </c>
      <c r="C2" s="101">
        <f>Total!C1609</f>
        <v>43208</v>
      </c>
      <c r="D2" s="112" t="s">
        <v>1092</v>
      </c>
      <c r="E2" s="101" t="str">
        <f>Total!E1609</f>
        <v>Edificació</v>
      </c>
      <c r="F2" s="96" t="str">
        <f>Total!F1609</f>
        <v>Projectes i Direccions d'Obra</v>
      </c>
      <c r="G2" s="112" t="str">
        <f>Total!G1609</f>
        <v>PE+DO PNV-17277</v>
      </c>
      <c r="H2" s="112" t="str">
        <f>Total!H1609</f>
        <v>Redacció del projecte bàsic i executiu i la posterior direcció d'obra de la Nova construcció Escola de 2 línies Virolet de Sabadell.</v>
      </c>
      <c r="I2" s="157">
        <f>Total!I1609</f>
        <v>348860</v>
      </c>
    </row>
    <row r="3" spans="1:9" x14ac:dyDescent="0.2">
      <c r="A3" s="8">
        <v>2</v>
      </c>
      <c r="B3" s="101">
        <f>Total!B1610</f>
        <v>43160</v>
      </c>
      <c r="C3" s="101">
        <f>Total!C1610</f>
        <v>43208</v>
      </c>
      <c r="D3" s="112" t="s">
        <v>1092</v>
      </c>
      <c r="E3" s="101" t="str">
        <f>Total!E1610</f>
        <v>Edificació</v>
      </c>
      <c r="F3" s="96" t="str">
        <f>Total!F1610</f>
        <v>Projectes i Direccions d'Obra</v>
      </c>
      <c r="G3" s="112" t="str">
        <f>Total!G1610</f>
        <v>PE+DO PNT-17275</v>
      </c>
      <c r="H3" s="112" t="str">
        <f>Total!H1610</f>
        <v>Redacció del projecte bàsic i executiu i la posterior direcció d'obra de la nova construcció Escola 1 línia a Maspujols.</v>
      </c>
      <c r="I3" s="157">
        <f>Total!I1610</f>
        <v>226355.71</v>
      </c>
    </row>
    <row r="4" spans="1:9" x14ac:dyDescent="0.2">
      <c r="A4" s="8">
        <v>3</v>
      </c>
      <c r="B4" s="101">
        <f>Total!B1611</f>
        <v>43161</v>
      </c>
      <c r="C4" s="101">
        <f>Total!C1611</f>
        <v>43178</v>
      </c>
      <c r="D4" s="112" t="s">
        <v>1092</v>
      </c>
      <c r="E4" s="101" t="str">
        <f>Total!E1611</f>
        <v>Obra Civil</v>
      </c>
      <c r="F4" s="96" t="str">
        <f>Total!F1611</f>
        <v>Projectes</v>
      </c>
      <c r="G4" s="112" t="str">
        <f>Total!G1611</f>
        <v>IA-CVG-17101</v>
      </c>
      <c r="H4" s="112" t="str">
        <f>Total!H1611</f>
        <v>Redacció de l'estudi d'impacte ambiental de la  variant de Sils i Riudarenes a la C-63 del PK 14+254 al 22+000. Sils - Riudarenes.</v>
      </c>
      <c r="I4" s="157">
        <f>Total!I1611</f>
        <v>63300</v>
      </c>
    </row>
    <row r="5" spans="1:9" x14ac:dyDescent="0.2">
      <c r="A5" s="8">
        <v>4</v>
      </c>
      <c r="B5" s="101">
        <f>Total!B1612</f>
        <v>43161</v>
      </c>
      <c r="C5" s="101">
        <f>Total!C1612</f>
        <v>43180</v>
      </c>
      <c r="D5" s="112" t="s">
        <v>1092</v>
      </c>
      <c r="E5" s="101" t="str">
        <f>Total!E1612</f>
        <v>Obra Civil</v>
      </c>
      <c r="F5" s="96" t="str">
        <f>Total!F1612</f>
        <v>Direccions d'Obra</v>
      </c>
      <c r="G5" s="112" t="str">
        <f>Total!G1612</f>
        <v>CSS. R0-17203.1</v>
      </c>
      <c r="H5" s="112" t="str">
        <f>Total!H1612</f>
        <v>Coordinació de seguretat i salut de les obres del projecte constructiu per a la restitució de paràmetres geomètrics en aparells de via del tram IV de la Línia 9 de metro de Barcelona. Entre les estacions de Bon Pastor i Sagrera.</v>
      </c>
      <c r="I5" s="157">
        <f>Total!I1612</f>
        <v>9500</v>
      </c>
    </row>
    <row r="6" spans="1:9" x14ac:dyDescent="0.2">
      <c r="A6" s="8">
        <v>5</v>
      </c>
      <c r="B6" s="101">
        <f>Total!B1613</f>
        <v>43161</v>
      </c>
      <c r="C6" s="101">
        <f>Total!C1613</f>
        <v>43180</v>
      </c>
      <c r="D6" s="112" t="s">
        <v>1092</v>
      </c>
      <c r="E6" s="101" t="str">
        <f>Total!E1613</f>
        <v>Obra Civil</v>
      </c>
      <c r="F6" s="96" t="str">
        <f>Total!F1613</f>
        <v>Direccions d'Obra</v>
      </c>
      <c r="G6" s="112" t="str">
        <f>Total!G1613</f>
        <v>DO. R0-17203.1</v>
      </c>
      <c r="H6" s="112" t="str">
        <f>Total!H1613</f>
        <v>Direcció de les obres del projecte constructiu de restitució de paràmetres geomètrics en aparells de via del tram IV de la Línia 9 de metro de Barcelona. Entre les estacions de Bon Pastor i Sagrera.</v>
      </c>
      <c r="I6" s="157">
        <f>Total!I1613</f>
        <v>44450</v>
      </c>
    </row>
    <row r="7" spans="1:9" x14ac:dyDescent="0.2">
      <c r="A7" s="8">
        <v>6</v>
      </c>
      <c r="B7" s="101">
        <f>Total!B1614</f>
        <v>43161</v>
      </c>
      <c r="C7" s="101">
        <f>Total!C1614</f>
        <v>43194</v>
      </c>
      <c r="D7" s="112" t="s">
        <v>1092</v>
      </c>
      <c r="E7" s="101" t="str">
        <f>Total!E1614</f>
        <v>Obra Civil</v>
      </c>
      <c r="F7" s="96" t="str">
        <f>Total!F1614</f>
        <v>Control de Qualitat</v>
      </c>
      <c r="G7" s="112" t="str">
        <f>Total!G1614</f>
        <v>CQ. VL-02137.1-C2</v>
      </c>
      <c r="H7" s="112" t="str">
        <f>Total!H1614</f>
        <v>Control de qualitat de les obres del projecte constructiu de millora local. Actuacions a la xarxa de reg i xarxa de pluvials a la Variant de Vilanova de la Barca. Carretera C-13z al PK 17+700. Tram: Vilanova de l a Barca.</v>
      </c>
      <c r="I7" s="157">
        <f>Total!I1614</f>
        <v>490.66</v>
      </c>
    </row>
    <row r="8" spans="1:9" x14ac:dyDescent="0.2">
      <c r="A8" s="8">
        <v>7</v>
      </c>
      <c r="B8" s="101">
        <f>Total!B1615</f>
        <v>43161</v>
      </c>
      <c r="C8" s="101">
        <f>Total!C1615</f>
        <v>43180</v>
      </c>
      <c r="D8" s="112" t="s">
        <v>1092</v>
      </c>
      <c r="E8" s="101" t="str">
        <f>Total!E1615</f>
        <v>Obra Civil</v>
      </c>
      <c r="F8" s="96" t="str">
        <f>Total!F1615</f>
        <v>Control de Qualitat</v>
      </c>
      <c r="G8" s="112" t="str">
        <f>Total!G1615</f>
        <v>CQ.R0-17203.1</v>
      </c>
      <c r="H8" s="112" t="str">
        <f>Total!H1615</f>
        <v>Control de qualitat de les obres del projecte constructiu per a la restitució de paràmetres geomètrics en aparells de via del tram IV de la Línia 9 de metro de Barcelona. Entre les estacions de Bon Pastor i Sagrera.</v>
      </c>
      <c r="I8" s="157">
        <f>Total!I1615</f>
        <v>13243.28</v>
      </c>
    </row>
    <row r="9" spans="1:9" x14ac:dyDescent="0.2">
      <c r="A9" s="8">
        <v>8</v>
      </c>
      <c r="B9" s="101">
        <f>Total!B1616</f>
        <v>43161</v>
      </c>
      <c r="C9" s="101">
        <f>Total!C1616</f>
        <v>43178</v>
      </c>
      <c r="D9" s="112" t="s">
        <v>1092</v>
      </c>
      <c r="E9" s="101" t="str">
        <f>Total!E1616</f>
        <v>Obra Civil</v>
      </c>
      <c r="F9" s="96" t="str">
        <f>Total!F1616</f>
        <v>Projectes</v>
      </c>
      <c r="G9" s="112" t="str">
        <f>Total!G1616</f>
        <v>EV. AE-AB-06081-A1.F1</v>
      </c>
      <c r="H9" s="112" t="str">
        <f>Total!H1616</f>
        <v>Redacció de l’estudi d’auditoria de seguretat viària de les obres de millora general. Condicionament. Reestudi de la secció transversal. Carretera C-352. PK 20+640 al 22+740. Tram: la Roca del Vallès - les Franqueses del Vallès.</v>
      </c>
      <c r="I9" s="157">
        <f>Total!I1616</f>
        <v>11880</v>
      </c>
    </row>
    <row r="10" spans="1:9" x14ac:dyDescent="0.2">
      <c r="A10" s="8">
        <v>9</v>
      </c>
      <c r="B10" s="101">
        <f>Total!B1617</f>
        <v>43161</v>
      </c>
      <c r="C10" s="101">
        <f>Total!C1617</f>
        <v>43194</v>
      </c>
      <c r="D10" s="112" t="s">
        <v>1092</v>
      </c>
      <c r="E10" s="101" t="str">
        <f>Total!E1617</f>
        <v>Edificació</v>
      </c>
      <c r="F10" s="96" t="str">
        <f>Total!F1617</f>
        <v>Control de Qualitat</v>
      </c>
      <c r="G10" s="112" t="str">
        <f>Total!G1617</f>
        <v>CQ. CAP-16211</v>
      </c>
      <c r="H10" s="112" t="str">
        <f>Total!H1617</f>
        <v>Control de qualitat de de les obres RAM del Centre d'Atenció Primària Antoni Creus, de Terrassa.</v>
      </c>
      <c r="I10" s="157">
        <f>Total!I1617</f>
        <v>1364.94</v>
      </c>
    </row>
    <row r="11" spans="1:9" x14ac:dyDescent="0.2">
      <c r="A11" s="8">
        <v>10</v>
      </c>
      <c r="B11" s="101">
        <f>Total!B1618</f>
        <v>43161</v>
      </c>
      <c r="C11" s="101">
        <f>Total!C1618</f>
        <v>43180</v>
      </c>
      <c r="D11" s="112" t="s">
        <v>1092</v>
      </c>
      <c r="E11" s="101" t="str">
        <f>Total!E1618</f>
        <v>Obra Civil</v>
      </c>
      <c r="F11" s="96" t="str">
        <f>Total!F1618</f>
        <v>Direccións d'Obra</v>
      </c>
      <c r="G11" s="112" t="str">
        <f>Total!G1618</f>
        <v>CSS. AL-05020.2</v>
      </c>
      <c r="H11" s="112" t="str">
        <f>Total!H1618</f>
        <v>Coordinació de seguretat i salut de l'execució les obres del projecte constructiu de millora general. Reforçament, eixamplament i millora del traçat de la carretera C-28 del PK 41+920 al 45+850. Tram: Baqueira - límit de comarca.</v>
      </c>
      <c r="I11" s="157">
        <f>Total!I1618</f>
        <v>27000</v>
      </c>
    </row>
    <row r="12" spans="1:9" x14ac:dyDescent="0.2">
      <c r="A12" s="8">
        <v>11</v>
      </c>
      <c r="B12" s="101">
        <f>Total!B1619</f>
        <v>43164</v>
      </c>
      <c r="C12" s="101">
        <f>Total!C1619</f>
        <v>43194</v>
      </c>
      <c r="D12" s="112" t="s">
        <v>1092</v>
      </c>
      <c r="E12" s="101" t="str">
        <f>Total!E1619</f>
        <v>Obra Civil</v>
      </c>
      <c r="F12" s="96" t="str">
        <f>Total!F1619</f>
        <v>Direccións d'Obra</v>
      </c>
      <c r="G12" s="112" t="str">
        <f>Total!G1619</f>
        <v>DO. VL-02137.1-C2</v>
      </c>
      <c r="H12" s="112" t="str">
        <f>Total!H1619</f>
        <v>Direcció de les obres del projecte constructiu de millora local. Actuacions a la xarxa de reg i xarxa de pluvials a la Variant de Vilanova de la Barca. Carretera C-13z al PK 17+700. Tram: Vilanova de la Barca.</v>
      </c>
      <c r="I12" s="157">
        <f>Total!I1619</f>
        <v>2116.67</v>
      </c>
    </row>
    <row r="13" spans="1:9" x14ac:dyDescent="0.2">
      <c r="A13" s="8">
        <v>12</v>
      </c>
      <c r="B13" s="101">
        <f>Total!B1620</f>
        <v>43164</v>
      </c>
      <c r="C13" s="101">
        <f>Total!C1620</f>
        <v>43185</v>
      </c>
      <c r="D13" s="112" t="s">
        <v>1092</v>
      </c>
      <c r="E13" s="101" t="str">
        <f>Total!E1620</f>
        <v>Edificació</v>
      </c>
      <c r="F13" s="96" t="str">
        <f>Total!F1620</f>
        <v>Control de Qualitat</v>
      </c>
      <c r="G13" s="112" t="str">
        <f>Total!G1620</f>
        <v>CQ. CLT-10089.1+CLT-10089.2</v>
      </c>
      <c r="H13" s="112" t="str">
        <f>Total!H1620</f>
        <v>Control de qualitat de les obres: "Execució de les obres del projecte d'arquitectura d'un nou Consultori Local a Verges i Execució de les obres del projecte d'instal·lacions d'un nou Consultori Local a Verges.</v>
      </c>
      <c r="I13" s="157">
        <f>Total!I1620</f>
        <v>8089.34</v>
      </c>
    </row>
    <row r="14" spans="1:9" x14ac:dyDescent="0.2">
      <c r="A14" s="8">
        <v>13</v>
      </c>
      <c r="B14" s="101">
        <f>Total!B1621</f>
        <v>43164</v>
      </c>
      <c r="C14" s="101">
        <f>Total!C1621</f>
        <v>43180</v>
      </c>
      <c r="D14" s="112" t="s">
        <v>1092</v>
      </c>
      <c r="E14" s="101" t="str">
        <f>Total!E1621</f>
        <v>Obra Civil</v>
      </c>
      <c r="F14" s="96" t="str">
        <f>Total!F1621</f>
        <v>Projectes</v>
      </c>
      <c r="G14" s="112" t="str">
        <f>Total!G1621</f>
        <v>PC. UPA-17286</v>
      </c>
      <c r="H14" s="112" t="str">
        <f>Total!H1621</f>
        <v>Redacció del Plec. Conservació ambiental. Conservació i manteniment del Programa d’Infraestructura Verda de Catalunya. 2019-2020.</v>
      </c>
      <c r="I14" s="157">
        <f>Total!I1621</f>
        <v>38000</v>
      </c>
    </row>
    <row r="15" spans="1:9" x14ac:dyDescent="0.2">
      <c r="A15" s="8">
        <v>14</v>
      </c>
      <c r="B15" s="101">
        <f>Total!B1622</f>
        <v>43164</v>
      </c>
      <c r="C15" s="101">
        <f>Total!C1622</f>
        <v>43194</v>
      </c>
      <c r="D15" s="112" t="s">
        <v>1092</v>
      </c>
      <c r="E15" s="101" t="str">
        <f>Total!E1622</f>
        <v>Edificació</v>
      </c>
      <c r="F15" s="96" t="str">
        <f>Total!F1622</f>
        <v>Control de Qualitat</v>
      </c>
      <c r="G15" s="112" t="str">
        <f>Total!G1622</f>
        <v>CQ. BSV-15316</v>
      </c>
      <c r="H15" s="112" t="str">
        <f>Total!H1622</f>
        <v>Control de qualitat obres d'instal·lació de dues escales d'emergència, una bugaderia i habitacions de la residència per a gent gran Mil·lenari a Barcelona.</v>
      </c>
      <c r="I15" s="157">
        <f>Total!I1622</f>
        <v>5494.4</v>
      </c>
    </row>
    <row r="16" spans="1:9" x14ac:dyDescent="0.2">
      <c r="A16" s="8">
        <v>15</v>
      </c>
      <c r="B16" s="101">
        <f>Total!B1623</f>
        <v>43164</v>
      </c>
      <c r="C16" s="101">
        <f>Total!C1623</f>
        <v>43185</v>
      </c>
      <c r="D16" s="112" t="s">
        <v>1092</v>
      </c>
      <c r="E16" s="101" t="str">
        <f>Total!E1623</f>
        <v>Obra Civil</v>
      </c>
      <c r="F16" s="96" t="str">
        <f>Total!F1623</f>
        <v>Direccions d'Obra</v>
      </c>
      <c r="G16" s="112" t="str">
        <f>Total!G1623</f>
        <v>ATAM. AL-05020.2</v>
      </c>
      <c r="H16" s="112" t="str">
        <f>Total!H1623</f>
        <v>Assistència tècnica ambiental per a l´execució de les obres del millora general. Reforçament, eixamplament i millora del traçat de la carretera C-28 del PK 41+920 al 45+850. Tram: Baquèira-límit de comarca.</v>
      </c>
      <c r="I16" s="157">
        <f>Total!I1623</f>
        <v>25905</v>
      </c>
    </row>
    <row r="17" spans="1:9" x14ac:dyDescent="0.2">
      <c r="A17" s="8">
        <v>16</v>
      </c>
      <c r="B17" s="101">
        <f>Total!B1624</f>
        <v>43164</v>
      </c>
      <c r="C17" s="101">
        <f>Total!C1624</f>
        <v>43180</v>
      </c>
      <c r="D17" s="112" t="s">
        <v>1092</v>
      </c>
      <c r="E17" s="101" t="str">
        <f>Total!E1624</f>
        <v>Obra Civil</v>
      </c>
      <c r="F17" s="96" t="str">
        <f>Total!F1624</f>
        <v>Projectes</v>
      </c>
      <c r="G17" s="112" t="str">
        <f>Total!G1624</f>
        <v>EV. AE-MG-15015.2</v>
      </c>
      <c r="H17" s="112" t="str">
        <f>Total!H1624</f>
        <v>Redacció de l’estudi d’auditoria de seguretat viària de les obres de millora local. Seguretat viària. Millores de seguretat i reestudi de la secció transversal. Carretera C-66, PK 50+450 al 55+800. Tram: Serinyà - Sant Ferriol.</v>
      </c>
      <c r="I17" s="157">
        <f>Total!I1624</f>
        <v>22275</v>
      </c>
    </row>
    <row r="18" spans="1:9" x14ac:dyDescent="0.2">
      <c r="A18" s="8">
        <v>17</v>
      </c>
      <c r="B18" s="101">
        <f>Total!B1625</f>
        <v>43165</v>
      </c>
      <c r="C18" s="101">
        <f>Total!C1625</f>
        <v>43194</v>
      </c>
      <c r="D18" s="112" t="s">
        <v>1092</v>
      </c>
      <c r="E18" s="101" t="str">
        <f>Total!E1625</f>
        <v>Obra Civil</v>
      </c>
      <c r="F18" s="96" t="str">
        <f>Total!F1625</f>
        <v>Direccions d'Obra</v>
      </c>
      <c r="G18" s="112" t="str">
        <f>Total!G1625</f>
        <v>CSS. VL-02137.1-C2</v>
      </c>
      <c r="H18" s="112" t="str">
        <f>Total!H1625</f>
        <v>Coordinació de seguretat i salut de les obres del projecte constructiu de millora local. Actuacions a la xarxa de reg i xarxa de pluvials a la Variant de Vilanova de la Barca. Carretera C-13z al PK 17+700. Tram: Vilanova de la Barca.</v>
      </c>
      <c r="I18" s="157">
        <f>Total!I1625</f>
        <v>650</v>
      </c>
    </row>
    <row r="19" spans="1:9" x14ac:dyDescent="0.2">
      <c r="A19" s="8">
        <v>18</v>
      </c>
      <c r="B19" s="101">
        <f>Total!B1626</f>
        <v>43165</v>
      </c>
      <c r="C19" s="101">
        <f>Total!C1626</f>
        <v>43194</v>
      </c>
      <c r="D19" s="112" t="s">
        <v>1092</v>
      </c>
      <c r="E19" s="101" t="str">
        <f>Total!E1626</f>
        <v>Edificació</v>
      </c>
      <c r="F19" s="96" t="str">
        <f>Total!F1626</f>
        <v>Projectes i Direccions Facultatives</v>
      </c>
      <c r="G19" s="112" t="str">
        <f>Total!G1626</f>
        <v>MSA. S9-CAP-05550</v>
      </c>
      <c r="H19" s="112" t="str">
        <f>Total!H1626</f>
        <v>Redacció del projecte executiu i la posterior direcció facultativa de les obres d’adequació de la instal·lació de climatització i resolució de filtracions del Centre d’atenció primària Can Serra de l’Hospitalet de Llobregat.</v>
      </c>
      <c r="I19" s="157">
        <f>Total!I1626</f>
        <v>11000</v>
      </c>
    </row>
    <row r="20" spans="1:9" x14ac:dyDescent="0.2">
      <c r="A20" s="8">
        <v>19</v>
      </c>
      <c r="B20" s="101">
        <f>Total!B1627</f>
        <v>43165</v>
      </c>
      <c r="C20" s="101">
        <f>Total!C1627</f>
        <v>43206</v>
      </c>
      <c r="D20" s="112" t="s">
        <v>1092</v>
      </c>
      <c r="E20" s="101" t="str">
        <f>Total!E1627</f>
        <v>Obra Civil</v>
      </c>
      <c r="F20" s="96" t="str">
        <f>Total!F1627</f>
        <v>Control de Qualitat</v>
      </c>
      <c r="G20" s="112" t="str">
        <f>Total!G1627</f>
        <v>CQ.TM-02609.20.2.1</v>
      </c>
      <c r="H20" s="112" t="str">
        <f>Total!H1627</f>
        <v>Control de qualitat de les obres del projecte constructiu de canvi de la senyalèctica i plafons de senyalització per adaptar la xarxa a la posada en servei de la Línia 10 Sud del metro de Barcelona. Estacions Foc Cisell i Foneria.</v>
      </c>
      <c r="I20" s="157">
        <f>Total!I1627</f>
        <v>1985</v>
      </c>
    </row>
    <row r="21" spans="1:9" x14ac:dyDescent="0.2">
      <c r="A21" s="8">
        <v>20</v>
      </c>
      <c r="B21" s="101">
        <f>Total!B1628</f>
        <v>43165</v>
      </c>
      <c r="C21" s="101">
        <f>Total!C1628</f>
        <v>43194</v>
      </c>
      <c r="D21" s="112" t="s">
        <v>1092</v>
      </c>
      <c r="E21" s="101" t="str">
        <f>Total!E1628</f>
        <v>Edificació</v>
      </c>
      <c r="F21" s="96" t="str">
        <f>Total!F1628</f>
        <v>Projectes i Direccions Facultatives</v>
      </c>
      <c r="G21" s="112" t="str">
        <f>Total!G1628</f>
        <v>MSA. S10-CAP-05465</v>
      </c>
      <c r="H21" s="112" t="str">
        <f>Total!H1628</f>
        <v>Redacció del projecte executiu i posterior direcció facultativa de les obres d’adequació d’accessos i instal·lacions del Centre d’atenció primària de Cervelló.</v>
      </c>
      <c r="I21" s="157">
        <f>Total!I1628</f>
        <v>11000</v>
      </c>
    </row>
    <row r="22" spans="1:9" x14ac:dyDescent="0.2">
      <c r="A22" s="8">
        <v>22</v>
      </c>
      <c r="B22" s="101">
        <f>Total!B1630</f>
        <v>43166</v>
      </c>
      <c r="C22" s="101">
        <f>Total!C1630</f>
        <v>43185</v>
      </c>
      <c r="D22" s="112" t="s">
        <v>1092</v>
      </c>
      <c r="E22" s="101" t="str">
        <f>Total!E1630</f>
        <v>Edificació</v>
      </c>
      <c r="F22" s="96" t="str">
        <f>Total!F1630</f>
        <v>Projectes i Direccions Facultatives</v>
      </c>
      <c r="G22" s="112" t="str">
        <f>Total!G1630</f>
        <v>MSA. S1-PNA-07373</v>
      </c>
      <c r="H22" s="112" t="str">
        <f>Total!H1630</f>
        <v>Redacció del projecte executiu i la posterior direcció facultativa de les obres de rehabilitació de la coberta del centre d'educació infantil i primària Campderrós de Vallirana.</v>
      </c>
      <c r="I22" s="157">
        <f>Total!I1630</f>
        <v>11000</v>
      </c>
    </row>
    <row r="23" spans="1:9" x14ac:dyDescent="0.2">
      <c r="A23" s="8">
        <v>23</v>
      </c>
      <c r="B23" s="101">
        <f>Total!B1631</f>
        <v>43166</v>
      </c>
      <c r="C23" s="101">
        <f>Total!C1631</f>
        <v>43194</v>
      </c>
      <c r="D23" s="112" t="s">
        <v>1092</v>
      </c>
      <c r="E23" s="101" t="str">
        <f>Total!E1631</f>
        <v>Edificació</v>
      </c>
      <c r="F23" s="96" t="str">
        <f>Total!F1631</f>
        <v>Direccions d'Obra</v>
      </c>
      <c r="G23" s="112" t="str">
        <f>Total!G1631</f>
        <v>DO. JJB-15301</v>
      </c>
      <c r="H23" s="112" t="str">
        <f>Total!H1631</f>
        <v>Direcció de les obres RAM reforma interior de l'edifici judicial del carrer Prim de Badalona.</v>
      </c>
      <c r="I23" s="157">
        <f>Total!I1631</f>
        <v>39000</v>
      </c>
    </row>
    <row r="24" spans="1:9" x14ac:dyDescent="0.2">
      <c r="A24" s="8">
        <v>24</v>
      </c>
      <c r="B24" s="101">
        <f>Total!B1632</f>
        <v>43166</v>
      </c>
      <c r="C24" s="101">
        <f>Total!C1632</f>
        <v>43185</v>
      </c>
      <c r="D24" s="112" t="s">
        <v>1092</v>
      </c>
      <c r="E24" s="101" t="str">
        <f>Total!E1632</f>
        <v>Obra Civil</v>
      </c>
      <c r="F24" s="96" t="str">
        <f>Total!F1632</f>
        <v>Direccions d'Obra</v>
      </c>
      <c r="G24" s="112" t="str">
        <f>Total!G1632</f>
        <v>CSS. MG-08128.1</v>
      </c>
      <c r="H24" s="112" t="str">
        <f>Total!H1632</f>
        <v>Coordinació de seguretat i salut de l'execució de les obres del projecte constructiu de millora local. Eixamplament i reforç del ferm. Carretera C-25, del PK 238+000 al 240+100. Tram: Riudellots de la Selva.</v>
      </c>
      <c r="I24" s="157">
        <f>Total!I1632</f>
        <v>8400</v>
      </c>
    </row>
    <row r="25" spans="1:9" x14ac:dyDescent="0.2">
      <c r="A25" s="8">
        <v>25</v>
      </c>
      <c r="B25" s="101">
        <f>Total!B1633</f>
        <v>43172</v>
      </c>
      <c r="C25" s="101">
        <f>Total!C1633</f>
        <v>43227</v>
      </c>
      <c r="D25" s="112" t="s">
        <v>1092</v>
      </c>
      <c r="E25" s="101" t="str">
        <f>Total!E1633</f>
        <v>Edificació</v>
      </c>
      <c r="F25" s="96" t="str">
        <f>Total!F1633</f>
        <v>Projectes i Direccions d'Obra</v>
      </c>
      <c r="G25" s="112" t="str">
        <f>Total!G1633</f>
        <v>PE+DO HHB-18276</v>
      </c>
      <c r="H25" s="112" t="str">
        <f>Total!H1633</f>
        <v>Redacció del projecte bàsic i executiu i la posterior direcció d'obra de les obres de connexió d'escomesa elèctrica a l'Hospital Vall d'Hebron de Barcelona, 2a fase.</v>
      </c>
      <c r="I25" s="157">
        <f>Total!I1633</f>
        <v>289714</v>
      </c>
    </row>
    <row r="26" spans="1:9" x14ac:dyDescent="0.2">
      <c r="A26" s="8">
        <v>26</v>
      </c>
      <c r="B26" s="101">
        <f>Total!B1634</f>
        <v>43166</v>
      </c>
      <c r="C26" s="101">
        <f>Total!C1634</f>
        <v>43206</v>
      </c>
      <c r="D26" s="112" t="s">
        <v>1092</v>
      </c>
      <c r="E26" s="101" t="str">
        <f>Total!E1634</f>
        <v>Obra Civil</v>
      </c>
      <c r="F26" s="96" t="str">
        <f>Total!F1634</f>
        <v>Projectes</v>
      </c>
      <c r="G26" s="112" t="str">
        <f>Total!G1634</f>
        <v>PC. UPA-17284</v>
      </c>
      <c r="H26" s="112" t="str">
        <f>Total!H1634</f>
        <v>Redacció del projecte constructiu. Millora ambiental. Recuperació ambiental de la riera Mugueta i Rec del Molí a Castelló d'Empúries. Alt Empordà.</v>
      </c>
      <c r="I26" s="157">
        <f>Total!I1634</f>
        <v>68500</v>
      </c>
    </row>
    <row r="27" spans="1:9" x14ac:dyDescent="0.2">
      <c r="A27" s="8">
        <v>27</v>
      </c>
      <c r="B27" s="101">
        <f>Total!B1635</f>
        <v>43166</v>
      </c>
      <c r="C27" s="101">
        <f>Total!C1635</f>
        <v>43185</v>
      </c>
      <c r="D27" s="112" t="s">
        <v>1092</v>
      </c>
      <c r="E27" s="101" t="str">
        <f>Total!E1635</f>
        <v>Obra Civil</v>
      </c>
      <c r="F27" s="96" t="str">
        <f>Total!F1635</f>
        <v>Projectes</v>
      </c>
      <c r="G27" s="112" t="str">
        <f>Total!G1635</f>
        <v>PC. UPA-17288</v>
      </c>
      <c r="H27" s="112" t="str">
        <f>Total!H1635</f>
        <v>Redacció del projecte constructiu. Millora ambiental. Recuperació ambiental i posada en valor dels camins ramaders del Perelló.</v>
      </c>
      <c r="I27" s="157">
        <f>Total!I1635</f>
        <v>28500</v>
      </c>
    </row>
    <row r="28" spans="1:9" x14ac:dyDescent="0.2">
      <c r="A28" s="8">
        <v>28</v>
      </c>
      <c r="B28" s="101">
        <f>Total!B1636</f>
        <v>43167</v>
      </c>
      <c r="C28" s="101">
        <f>Total!C1636</f>
        <v>43201</v>
      </c>
      <c r="D28" s="112" t="s">
        <v>1092</v>
      </c>
      <c r="E28" s="101" t="str">
        <f>Total!E1636</f>
        <v>Edificació</v>
      </c>
      <c r="F28" s="96" t="str">
        <f>Total!F1636</f>
        <v>Direccions d'execució</v>
      </c>
      <c r="G28" s="112" t="str">
        <f>Total!G1636</f>
        <v>CSS. CAP-15348</v>
      </c>
      <c r="H28" s="112" t="str">
        <f>Total!H1636</f>
        <v>Coordinació de seguretat i salut de les obres de construcció del nou Centre d'Atenció Primària Santa Eulàlia, de l'Hospitalet de Llobregat.</v>
      </c>
      <c r="I28" s="157">
        <f>Total!I1636</f>
        <v>17670</v>
      </c>
    </row>
    <row r="29" spans="1:9" x14ac:dyDescent="0.2">
      <c r="A29" s="8">
        <v>29</v>
      </c>
      <c r="B29" s="101">
        <f>Total!B1637</f>
        <v>43167</v>
      </c>
      <c r="C29" s="101">
        <f>Total!C1637</f>
        <v>43201</v>
      </c>
      <c r="D29" s="112" t="s">
        <v>1092</v>
      </c>
      <c r="E29" s="101" t="str">
        <f>Total!E1637</f>
        <v>Edificació</v>
      </c>
      <c r="F29" s="96" t="str">
        <f>Total!F1637</f>
        <v>Control de Qualitat</v>
      </c>
      <c r="G29" s="112" t="str">
        <f>Total!G1637</f>
        <v>CQ. CAP-15348</v>
      </c>
      <c r="H29" s="112" t="str">
        <f>Total!H1637</f>
        <v>Control de qualitat de les obres de construcció del nou CAP Santa Eulàlia, de l'Hospitalet de Llobregat.</v>
      </c>
      <c r="I29" s="157">
        <f>Total!I1637</f>
        <v>33342.47</v>
      </c>
    </row>
    <row r="30" spans="1:9" x14ac:dyDescent="0.2">
      <c r="A30" s="8">
        <v>30</v>
      </c>
      <c r="B30" s="101">
        <f>Total!B1638</f>
        <v>43167</v>
      </c>
      <c r="C30" s="101">
        <f>Total!C1638</f>
        <v>43194</v>
      </c>
      <c r="D30" s="112" t="s">
        <v>1092</v>
      </c>
      <c r="E30" s="101" t="str">
        <f>Total!E1638</f>
        <v>Edificació</v>
      </c>
      <c r="F30" s="96" t="str">
        <f>Total!F1638</f>
        <v>Control de Qualitat</v>
      </c>
      <c r="G30" s="112" t="str">
        <f>Total!G1638</f>
        <v>CQ. RAM-18900</v>
      </c>
      <c r="H30" s="112" t="str">
        <f>Total!H1638</f>
        <v>Control de qualitat de les obres RAM 2018. 4 lots.</v>
      </c>
      <c r="I30" s="157">
        <f>Total!I1638</f>
        <v>100021.09</v>
      </c>
    </row>
    <row r="31" spans="1:9" x14ac:dyDescent="0.2">
      <c r="A31" s="8">
        <v>31</v>
      </c>
      <c r="B31" s="101">
        <f>Total!B1639</f>
        <v>43167</v>
      </c>
      <c r="C31" s="101">
        <f>Total!C1639</f>
        <v>43201</v>
      </c>
      <c r="D31" s="112" t="s">
        <v>1092</v>
      </c>
      <c r="E31" s="101" t="str">
        <f>Total!E1639</f>
        <v>Edificació</v>
      </c>
      <c r="F31" s="96" t="str">
        <f>Total!F1639</f>
        <v>Direcció d'Execució</v>
      </c>
      <c r="G31" s="112" t="str">
        <f>Total!G1639</f>
        <v>DE. CAP-15348</v>
      </c>
      <c r="H31" s="112" t="str">
        <f>Total!H1639</f>
        <v>Direcció d'execució de les obres de construcció del nou Centre d'Atenció Primària Santa Eulàlia, de l'Hospitalet de Llobregat.</v>
      </c>
      <c r="I31" s="157">
        <f>Total!I1639</f>
        <v>70680</v>
      </c>
    </row>
    <row r="32" spans="1:9" x14ac:dyDescent="0.2">
      <c r="A32" s="8">
        <v>32</v>
      </c>
      <c r="B32" s="101">
        <f>Total!B1640</f>
        <v>43167</v>
      </c>
      <c r="C32" s="101">
        <f>Total!C1640</f>
        <v>43185</v>
      </c>
      <c r="D32" s="112" t="s">
        <v>1092</v>
      </c>
      <c r="E32" s="101" t="str">
        <f>Total!E1640</f>
        <v>Obra Civil</v>
      </c>
      <c r="F32" s="96" t="str">
        <f>Total!F1640</f>
        <v>Direccions d'Obra</v>
      </c>
      <c r="G32" s="112" t="str">
        <f>Total!G1640</f>
        <v>EV. E14-TM-02609</v>
      </c>
      <c r="H32" s="112" t="str">
        <f>Total!H1640</f>
        <v>Redacció de l'anàlisi i validació de la ventilació del túnel i estacions de la Línia 10 Sud entre Pou Bifurcació i Pou d'Atac Motors.</v>
      </c>
      <c r="I32" s="157">
        <f>Total!I1640</f>
        <v>208000</v>
      </c>
    </row>
    <row r="33" spans="1:9" x14ac:dyDescent="0.2">
      <c r="A33" s="8">
        <v>33</v>
      </c>
      <c r="B33" s="101">
        <f>Total!B1641</f>
        <v>43167</v>
      </c>
      <c r="C33" s="101">
        <f>Total!C1641</f>
        <v>43208</v>
      </c>
      <c r="D33" s="112" t="s">
        <v>1092</v>
      </c>
      <c r="E33" s="101" t="str">
        <f>Total!E1641</f>
        <v>Edificació</v>
      </c>
      <c r="F33" s="96" t="str">
        <f>Total!F1641</f>
        <v>Control de Qualitat</v>
      </c>
      <c r="G33" s="112" t="str">
        <f>Total!G1641</f>
        <v>CQ. ICF-15336</v>
      </c>
      <c r="H33" s="112" t="str">
        <f>Total!H1641</f>
        <v>Control de qualitat de les obres de restauració de la façana principal de l'edifi situat a la Gran Via de les Corts Catalanes, 635 (cantonada c/ Roger de Llúria, 36) de Barcelona.</v>
      </c>
      <c r="I33" s="157">
        <f>Total!I1641</f>
        <v>1433.32</v>
      </c>
    </row>
    <row r="34" spans="1:9" x14ac:dyDescent="0.2">
      <c r="A34" s="8">
        <v>34</v>
      </c>
      <c r="B34" s="101">
        <f>Total!B1642</f>
        <v>43167</v>
      </c>
      <c r="C34" s="101">
        <f>Total!C1642</f>
        <v>43199</v>
      </c>
      <c r="D34" s="112" t="s">
        <v>1092</v>
      </c>
      <c r="E34" s="101" t="str">
        <f>Total!E1642</f>
        <v>Edificació</v>
      </c>
      <c r="F34" s="96" t="str">
        <f>Total!F1642</f>
        <v>Projectes i Direccions Facultatives</v>
      </c>
      <c r="G34" s="112" t="str">
        <f>Total!G1642</f>
        <v>MSA. S20-PNC-04317</v>
      </c>
      <c r="H34" s="112" t="str">
        <f>Total!H1642</f>
        <v>Redacció del projecte executiu i la posterior direcció facultativa de les obres de rehabilitació de la façana històrica del centre d'educació infantil i primària El Progrés de Badalona.</v>
      </c>
      <c r="I34" s="157">
        <f>Total!I1642</f>
        <v>8000</v>
      </c>
    </row>
    <row r="35" spans="1:9" x14ac:dyDescent="0.2">
      <c r="A35" s="8">
        <v>35</v>
      </c>
      <c r="B35" s="101">
        <f>Total!B1643</f>
        <v>43167</v>
      </c>
      <c r="C35" s="101">
        <f>Total!C1643</f>
        <v>43206</v>
      </c>
      <c r="D35" s="112" t="s">
        <v>1092</v>
      </c>
      <c r="E35" s="101" t="str">
        <f>Total!E1643</f>
        <v>Edificació</v>
      </c>
      <c r="F35" s="96" t="str">
        <f>Total!F1643</f>
        <v>Projectes i Direccions d'Obra</v>
      </c>
      <c r="G35" s="112" t="str">
        <f>Total!G1643</f>
        <v>PE+DO. CAP-18277</v>
      </c>
      <c r="H35" s="112" t="str">
        <f>Total!H1643</f>
        <v>Redacció del projecte bàsic i executiu i la posterior direcció d'obra del nou servei de rehabilitació del CAP de Falset.</v>
      </c>
      <c r="I35" s="157">
        <f>Total!I1643</f>
        <v>73988</v>
      </c>
    </row>
    <row r="36" spans="1:9" x14ac:dyDescent="0.2">
      <c r="A36" s="8">
        <v>36</v>
      </c>
      <c r="B36" s="101">
        <f>Total!B1644</f>
        <v>43167</v>
      </c>
      <c r="C36" s="101">
        <f>Total!C1644</f>
        <v>43199</v>
      </c>
      <c r="D36" s="112" t="s">
        <v>1092</v>
      </c>
      <c r="E36" s="101" t="str">
        <f>Total!E1644</f>
        <v>Edificació</v>
      </c>
      <c r="F36" s="96" t="str">
        <f>Total!F1644</f>
        <v>Projectes i Direccions d'Obra</v>
      </c>
      <c r="G36" s="112" t="str">
        <f>Total!G1644</f>
        <v>PE+DO. HTT-18275</v>
      </c>
      <c r="H36" s="112" t="str">
        <f>Total!H1644</f>
        <v>Redacció del projecte bàsic i executiu i la posterior direcció d'obra de les obres del nou servei de radioteràpia de l'Hospital Verge de la Cinta, de Tortosa.</v>
      </c>
      <c r="I36" s="157">
        <f>Total!I1644</f>
        <v>219387</v>
      </c>
    </row>
    <row r="37" spans="1:9" x14ac:dyDescent="0.2">
      <c r="A37" s="8">
        <v>37</v>
      </c>
      <c r="B37" s="101">
        <f>Total!B1645</f>
        <v>43167</v>
      </c>
      <c r="C37" s="101">
        <f>Total!C1645</f>
        <v>43194</v>
      </c>
      <c r="D37" s="112" t="s">
        <v>1092</v>
      </c>
      <c r="E37" s="101" t="str">
        <f>Total!E1645</f>
        <v>Edificació</v>
      </c>
      <c r="F37" s="96" t="str">
        <f>Total!F1645</f>
        <v>Projectes i Direccions d'Obra</v>
      </c>
      <c r="G37" s="112" t="str">
        <f>Total!G1645</f>
        <v>PE+DO. CAP-18201</v>
      </c>
      <c r="H37" s="112" t="str">
        <f>Total!H1645</f>
        <v>Redacció del projecte bàsic i executiu i la posterior direcció d'obra de les obres d'ampliació i reforma del CAP de Malgrat de Mar.</v>
      </c>
      <c r="I37" s="157">
        <f>Total!I1645</f>
        <v>198871</v>
      </c>
    </row>
    <row r="38" spans="1:9" x14ac:dyDescent="0.2">
      <c r="I38" s="126">
        <f>SUM(I2:I37)</f>
        <v>2249466.8799999999</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24"/>
  <sheetViews>
    <sheetView workbookViewId="0">
      <selection activeCell="I24" sqref="I24"/>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Total!B1586</f>
        <v>43137</v>
      </c>
      <c r="C2" s="101">
        <f>Total!C1586</f>
        <v>43157</v>
      </c>
      <c r="D2" s="112" t="s">
        <v>1092</v>
      </c>
      <c r="E2" s="101" t="str">
        <f>Total!E1586</f>
        <v>Obra Civil</v>
      </c>
      <c r="F2" s="96" t="str">
        <f>Total!F1586</f>
        <v>Control de Qualitat</v>
      </c>
      <c r="G2" s="112" t="str">
        <f>Total!G1586</f>
        <v>CQ. AL-05020.2</v>
      </c>
      <c r="H2" s="112" t="str">
        <f>Total!H1586</f>
        <v>Control de qualitat de les obres del projecte constructiu de millora general. Reforçament, eixamplament i millora del traçat de la carretera C-28 del PK 41+920 al 45+850. Tram: Baquèira - límit de comarca.</v>
      </c>
      <c r="I2" s="157">
        <f>Total!I1586</f>
        <v>96863.84</v>
      </c>
    </row>
    <row r="3" spans="1:9" x14ac:dyDescent="0.2">
      <c r="A3" s="8">
        <v>2</v>
      </c>
      <c r="B3" s="101">
        <f>Total!B1587</f>
        <v>43137</v>
      </c>
      <c r="C3" s="101">
        <f>Total!C1587</f>
        <v>43157</v>
      </c>
      <c r="D3" s="112" t="s">
        <v>1092</v>
      </c>
      <c r="E3" s="101" t="str">
        <f>Total!E1587</f>
        <v>Obra Civil</v>
      </c>
      <c r="F3" s="96" t="str">
        <f>Total!F1587</f>
        <v>Direccions d'Obra</v>
      </c>
      <c r="G3" s="112" t="str">
        <f>Total!G1587</f>
        <v>CSS. XA-16237</v>
      </c>
      <c r="H3" s="112" t="str">
        <f>Total!H1587</f>
        <v>Coordinació de seguretat i salut de les obres del projecte de condicionament i millora del camí de servei del canal Xerta Sénia i actuacions complementàries. TTMM de Xerta, Aldover, Tortosa i Roquetes (Baix Ebre).</v>
      </c>
      <c r="I3" s="157">
        <f>Total!I1587</f>
        <v>4000</v>
      </c>
    </row>
    <row r="4" spans="1:9" x14ac:dyDescent="0.2">
      <c r="A4" s="8">
        <v>3</v>
      </c>
      <c r="B4" s="101">
        <f>Total!B1588</f>
        <v>43137</v>
      </c>
      <c r="C4" s="101">
        <f>Total!C1588</f>
        <v>43157</v>
      </c>
      <c r="D4" s="112" t="s">
        <v>1092</v>
      </c>
      <c r="E4" s="101" t="str">
        <f>Total!E1588</f>
        <v>Obra Civil</v>
      </c>
      <c r="F4" s="96" t="str">
        <f>Total!F1588</f>
        <v>Direccions d'Obra</v>
      </c>
      <c r="G4" s="112" t="str">
        <f>Total!G1588</f>
        <v>DO. XA-16237</v>
      </c>
      <c r="H4" s="112" t="str">
        <f>Total!H1588</f>
        <v>Direcció de les obres del projecte de condicionament i millora del camí de servei del canal Xerta Sénia i actuacions complementàries. TTMM de Xerta, Aldover, Tortosa i Roquetes (Baix Ebre).</v>
      </c>
      <c r="I4" s="157">
        <f>Total!I1588</f>
        <v>11022.22</v>
      </c>
    </row>
    <row r="5" spans="1:9" x14ac:dyDescent="0.2">
      <c r="A5" s="8">
        <v>4</v>
      </c>
      <c r="B5" s="101">
        <f>Total!B1589</f>
        <v>43138</v>
      </c>
      <c r="C5" s="101">
        <f>Total!C1589</f>
        <v>43157</v>
      </c>
      <c r="D5" s="112" t="s">
        <v>1092</v>
      </c>
      <c r="E5" s="101" t="str">
        <f>Total!E1589</f>
        <v>Obra Civil</v>
      </c>
      <c r="F5" s="96" t="str">
        <f>Total!F1589</f>
        <v>Projectes</v>
      </c>
      <c r="G5" s="112" t="str">
        <f>Total!G1589</f>
        <v>PC. VR-03921.1.F2</v>
      </c>
      <c r="H5" s="112" t="str">
        <f>Total!H1589</f>
        <v>Redacció del projecte d’ampliació i modernització del regadiu de la Conca de Tremp. Canonada de transport. Fase 2. Tram pk 1+520 a pk 3+415. TTMM Talarn i Tremp.</v>
      </c>
      <c r="I5" s="157">
        <f>Total!I1589</f>
        <v>36000</v>
      </c>
    </row>
    <row r="6" spans="1:9" x14ac:dyDescent="0.2">
      <c r="A6" s="8">
        <v>5</v>
      </c>
      <c r="B6" s="101">
        <f>Total!B1590</f>
        <v>43138</v>
      </c>
      <c r="C6" s="101">
        <f>Total!C1590</f>
        <v>43157</v>
      </c>
      <c r="D6" s="112" t="s">
        <v>1092</v>
      </c>
      <c r="E6" s="101" t="str">
        <f>Total!E1590</f>
        <v>Obra Civil</v>
      </c>
      <c r="F6" s="96" t="str">
        <f>Total!F1590</f>
        <v>Direccions d'Obra</v>
      </c>
      <c r="G6" s="112" t="str">
        <f>Total!G1590</f>
        <v>ATAM. TM-11018.FA</v>
      </c>
      <c r="H6" s="112" t="str">
        <f>Total!H1590</f>
        <v>Assistència tècnica ambiental per a l´execució de les obres del projecte constructiu d´actuacions de millora de l´evacuació i de l´accessibilitat de l´estació de Vallcarca de la línia 3 de l´FMB.</v>
      </c>
      <c r="I6" s="157">
        <f>Total!I1590</f>
        <v>19852.8</v>
      </c>
    </row>
    <row r="7" spans="1:9" x14ac:dyDescent="0.2">
      <c r="A7" s="8">
        <v>6</v>
      </c>
      <c r="B7" s="101">
        <f>Total!B1591</f>
        <v>43138</v>
      </c>
      <c r="C7" s="101">
        <f>Total!C1591</f>
        <v>43157</v>
      </c>
      <c r="D7" s="112" t="s">
        <v>1092</v>
      </c>
      <c r="E7" s="101" t="str">
        <f>Total!E1591</f>
        <v>Obra Civil</v>
      </c>
      <c r="F7" s="96" t="str">
        <f>Total!F1591</f>
        <v>Projectes</v>
      </c>
      <c r="G7" s="112" t="str">
        <f>Total!G1591</f>
        <v>PC. PC-CMB-17103</v>
      </c>
      <c r="H7" s="112" t="str">
        <f>Total!H1591</f>
        <v>Redacció del projecte constructiu Millora local. Millora de nus. Rotonda a la intersecció de la carretera N-II, PK 647+685, amb la Ronda Joan d’Àustria. Tram: Mataró.</v>
      </c>
      <c r="I7" s="157">
        <f>Total!I1591</f>
        <v>25500</v>
      </c>
    </row>
    <row r="8" spans="1:9" x14ac:dyDescent="0.2">
      <c r="A8" s="8">
        <v>7</v>
      </c>
      <c r="B8" s="101">
        <f>Total!B1592</f>
        <v>43140</v>
      </c>
      <c r="C8" s="101">
        <f>Total!C1592</f>
        <v>43157</v>
      </c>
      <c r="D8" s="112" t="s">
        <v>1092</v>
      </c>
      <c r="E8" s="101" t="str">
        <f>Total!E1592</f>
        <v>Edificació</v>
      </c>
      <c r="F8" s="96" t="str">
        <f>Total!F1592</f>
        <v>Projectes i Direccions Facultatives</v>
      </c>
      <c r="G8" s="112" t="str">
        <f>Total!G1592</f>
        <v>MSA. S6-PNG-03495</v>
      </c>
      <c r="H8" s="112" t="str">
        <f>Total!H1592</f>
        <v>Redacció del projecte executiu i de l'estudi de seguretat i salut i la posterior direcció facultativa de les actuacions per al condicionament de la coberta, de les façanes, dels tancaments i d'alguns espais del CEIP Marta Mala de Girona.</v>
      </c>
      <c r="I8" s="157">
        <f>Total!I1592</f>
        <v>13000</v>
      </c>
    </row>
    <row r="9" spans="1:9" x14ac:dyDescent="0.2">
      <c r="A9" s="8">
        <v>8</v>
      </c>
      <c r="B9" s="101">
        <f>Total!B1593</f>
        <v>43140</v>
      </c>
      <c r="C9" s="101">
        <f>Total!C1593</f>
        <v>43157</v>
      </c>
      <c r="D9" s="112" t="s">
        <v>1092</v>
      </c>
      <c r="E9" s="101" t="str">
        <f>Total!E1593</f>
        <v>Edificació</v>
      </c>
      <c r="F9" s="96" t="str">
        <f>Total!F1593</f>
        <v>Projectes i Direccions d'Obra</v>
      </c>
      <c r="G9" s="112" t="str">
        <f>Total!G1593</f>
        <v>PE+DO. PNT-17278</v>
      </c>
      <c r="H9" s="112" t="str">
        <f>Total!H1593</f>
        <v>Redacció del projecte bàsic i executiu i la posterior direcció d'obra de la Nova construcció Escola Teresa Godes i Domènech de 7 unitats al Montmell.</v>
      </c>
      <c r="I9" s="157">
        <f>Total!I1593</f>
        <v>150842.85999999999</v>
      </c>
    </row>
    <row r="10" spans="1:9" x14ac:dyDescent="0.2">
      <c r="A10" s="8">
        <v>9</v>
      </c>
      <c r="B10" s="101">
        <f>Total!B1594</f>
        <v>43144</v>
      </c>
      <c r="C10" s="101">
        <f>Total!C1594</f>
        <v>43164</v>
      </c>
      <c r="D10" s="112" t="s">
        <v>1092</v>
      </c>
      <c r="E10" s="101" t="str">
        <f>Total!E1594</f>
        <v>Edificació</v>
      </c>
      <c r="F10" s="96" t="str">
        <f>Total!F1594</f>
        <v>Projectes i Direccions Facultatives</v>
      </c>
      <c r="G10" s="112" t="str">
        <f>Total!G1594</f>
        <v>PE+DF. XMT-18531</v>
      </c>
      <c r="H10" s="112" t="str">
        <f>Total!H1594</f>
        <v>Redacció del projecte i l'estudi de seguretat i salut i la posterior direcció facultativa de les obres RAM 2018 als Serveis Territorials a Tarragona V, Escola Mestral (Vila-Seca) i Escola Sant Bernat Calvó(Vila-Seca).</v>
      </c>
      <c r="I10" s="157">
        <f>Total!I1594</f>
        <v>14380.16</v>
      </c>
    </row>
    <row r="11" spans="1:9" x14ac:dyDescent="0.2">
      <c r="A11" s="8">
        <v>11</v>
      </c>
      <c r="B11" s="101">
        <f>Total!B1596</f>
        <v>43144</v>
      </c>
      <c r="C11" s="101">
        <f>Total!C1596</f>
        <v>43164</v>
      </c>
      <c r="D11" s="112" t="s">
        <v>1092</v>
      </c>
      <c r="E11" s="101" t="str">
        <f>Total!E1596</f>
        <v>Edificació</v>
      </c>
      <c r="F11" s="96" t="str">
        <f>Total!F1596</f>
        <v>Projectes i Direccions Facultatives</v>
      </c>
      <c r="G11" s="112" t="str">
        <f>Total!G1596</f>
        <v>PE+DF. XMC-18532</v>
      </c>
      <c r="H11" s="112" t="str">
        <f>Total!H1596</f>
        <v>Redacció del projecte executiu i l'estudi de seguretat i salut i la posterior direcció facultativa de les obres RAM 2018 als Serveis Territorials Serveis territorials Barcelona comarques VII: Escola Montcau (Gelida).</v>
      </c>
      <c r="I11" s="157">
        <f>Total!I1596</f>
        <v>11983.47</v>
      </c>
    </row>
    <row r="12" spans="1:9" x14ac:dyDescent="0.2">
      <c r="A12" s="8">
        <v>12</v>
      </c>
      <c r="B12" s="101">
        <f>Total!B1597</f>
        <v>43145</v>
      </c>
      <c r="C12" s="101">
        <f>Total!C1597</f>
        <v>43164</v>
      </c>
      <c r="D12" s="112" t="s">
        <v>1092</v>
      </c>
      <c r="E12" s="101" t="str">
        <f>Total!E1597</f>
        <v>Edificació</v>
      </c>
      <c r="F12" s="96" t="str">
        <f>Total!F1597</f>
        <v>Projectes i Direccions Facultatives</v>
      </c>
      <c r="G12" s="112" t="str">
        <f>Total!G1597</f>
        <v>MSA. S6-CAP-06508</v>
      </c>
      <c r="H12" s="112" t="str">
        <f>Total!H1597</f>
        <v>Redacció del projecte executiu i de l'estudi de seguretat i salut i la posterior direcció facultativa de les actuacions de subsanació de deficiències al CAP de Cunit.</v>
      </c>
      <c r="I12" s="157">
        <f>Total!I1597</f>
        <v>15000</v>
      </c>
    </row>
    <row r="13" spans="1:9" x14ac:dyDescent="0.2">
      <c r="A13" s="8">
        <v>13</v>
      </c>
      <c r="B13" s="101">
        <f>Total!B1598</f>
        <v>43145</v>
      </c>
      <c r="C13" s="101">
        <f>Total!C1598</f>
        <v>43164</v>
      </c>
      <c r="D13" s="112" t="s">
        <v>1092</v>
      </c>
      <c r="E13" s="101" t="str">
        <f>Total!E1598</f>
        <v>Obra Civil</v>
      </c>
      <c r="F13" s="96" t="str">
        <f>Total!F1598</f>
        <v>Direccions d'Obra</v>
      </c>
      <c r="G13" s="112" t="str">
        <f>Total!G1598</f>
        <v>DO. AL-05020.2</v>
      </c>
      <c r="H13" s="112" t="str">
        <f>Total!H1598</f>
        <v>Direcció de les obres del projecte constructiu de millora general. Reforçament, eixamplament i millora del traçat de la carretera C-28 del PK 41,920 al 45,850. Tram: Baquèira - límit de comarca.</v>
      </c>
      <c r="I13" s="157">
        <f>Total!I1598</f>
        <v>198083.33</v>
      </c>
    </row>
    <row r="14" spans="1:9" x14ac:dyDescent="0.2">
      <c r="A14" s="8">
        <v>14</v>
      </c>
      <c r="B14" s="101">
        <f>Total!B1599</f>
        <v>43145</v>
      </c>
      <c r="C14" s="101">
        <f>Total!C1599</f>
        <v>43164</v>
      </c>
      <c r="D14" s="112" t="s">
        <v>1092</v>
      </c>
      <c r="E14" s="101" t="str">
        <f>Total!E1599</f>
        <v>Obra Civil</v>
      </c>
      <c r="F14" s="96" t="str">
        <f>Total!F1599</f>
        <v>Projectes</v>
      </c>
      <c r="G14" s="112" t="str">
        <f>Total!G1599</f>
        <v>PM. MB-15028-M1</v>
      </c>
      <c r="H14" s="112" t="str">
        <f>Total!H1599</f>
        <v>Red. proj. modif. núm. 1 obres de millora local. Instal. control. Sist. de control per a implantació d'un sist. de peatge tancat virtual, a diversos enllaços de l'autopista C-16 entre Terrassa i Manresa. Tram: Terrassa - Manresa.</v>
      </c>
      <c r="I14" s="157">
        <f>Total!I1599</f>
        <v>18000</v>
      </c>
    </row>
    <row r="15" spans="1:9" x14ac:dyDescent="0.2">
      <c r="A15" s="8">
        <v>15</v>
      </c>
      <c r="B15" s="101">
        <f>Total!B1600</f>
        <v>43145</v>
      </c>
      <c r="C15" s="101">
        <f>Total!C1600</f>
        <v>43164</v>
      </c>
      <c r="D15" s="112" t="s">
        <v>1092</v>
      </c>
      <c r="E15" s="101" t="str">
        <f>Total!E1600</f>
        <v>Edificació</v>
      </c>
      <c r="F15" s="96" t="str">
        <f>Total!F1600</f>
        <v>Projectes i Direccions Facultatives</v>
      </c>
      <c r="G15" s="112" t="str">
        <f>Total!G1600</f>
        <v>MSA. S8-CAP-05507</v>
      </c>
      <c r="H15" s="112" t="str">
        <f>Total!H1600</f>
        <v>Redacció del projecte executiu i de l'estudi de seguretat i salut i la posterior direcció facultativa de les actuacions per a la subsanació de deficiències al CAP de Cubelles.</v>
      </c>
      <c r="I15" s="157">
        <f>Total!I1600</f>
        <v>20000</v>
      </c>
    </row>
    <row r="16" spans="1:9" x14ac:dyDescent="0.2">
      <c r="A16" s="8">
        <v>16</v>
      </c>
      <c r="B16" s="101">
        <f>Total!B1601</f>
        <v>43145</v>
      </c>
      <c r="C16" s="101">
        <f>Total!C1601</f>
        <v>43166</v>
      </c>
      <c r="D16" s="112" t="s">
        <v>1092</v>
      </c>
      <c r="E16" s="101" t="str">
        <f>Total!E1601</f>
        <v>Obra Civil</v>
      </c>
      <c r="F16" s="96" t="str">
        <f>Total!F1601</f>
        <v>Projectes</v>
      </c>
      <c r="G16" s="112" t="str">
        <f>Total!G1601</f>
        <v>PC.TF-03474.5</v>
      </c>
      <c r="H16" s="112" t="str">
        <f>Total!H1601</f>
        <v>Redacció del projecte constructiu de retirada de l'estructura de la reixa del pou de ventilació antic de la Rambla Egara a Terrassa.</v>
      </c>
      <c r="I16" s="157">
        <f>Total!I1601</f>
        <v>19000</v>
      </c>
    </row>
    <row r="17" spans="1:9" x14ac:dyDescent="0.2">
      <c r="A17" s="8">
        <v>17</v>
      </c>
      <c r="B17" s="101">
        <f>Total!B1602</f>
        <v>43145</v>
      </c>
      <c r="C17" s="101">
        <f>Total!C1602</f>
        <v>43164</v>
      </c>
      <c r="D17" s="112" t="s">
        <v>1092</v>
      </c>
      <c r="E17" s="101" t="str">
        <f>Total!E1602</f>
        <v>Edificació</v>
      </c>
      <c r="F17" s="96" t="str">
        <f>Total!F1602</f>
        <v>Control de Qualitat</v>
      </c>
      <c r="G17" s="112" t="str">
        <f>Total!G1602</f>
        <v>CQ. S1-SNA-08314</v>
      </c>
      <c r="H17" s="112" t="str">
        <f>Total!H1602</f>
        <v>Control de qualitat de les obres d'ampliació i adequació de les instal·lacions de la sala de la caldera d'ACS de l'IES de Masquefa.</v>
      </c>
      <c r="I17" s="157">
        <f>Total!I1602</f>
        <v>5395.33</v>
      </c>
    </row>
    <row r="18" spans="1:9" x14ac:dyDescent="0.2">
      <c r="A18" s="8">
        <v>18</v>
      </c>
      <c r="B18" s="101">
        <f>Total!B1603</f>
        <v>43147</v>
      </c>
      <c r="C18" s="101">
        <f>Total!C1603</f>
        <v>43164</v>
      </c>
      <c r="D18" s="112" t="s">
        <v>1092</v>
      </c>
      <c r="E18" s="101" t="str">
        <f>Total!E1603</f>
        <v>Edificació</v>
      </c>
      <c r="F18" s="96" t="str">
        <f>Total!F1603</f>
        <v>Projectes i Direccions Facultatives</v>
      </c>
      <c r="G18" s="112" t="str">
        <f>Total!G1603</f>
        <v>MSA.S3-ING-05570</v>
      </c>
      <c r="H18" s="112" t="str">
        <f>Total!H1603</f>
        <v>Redacció del projecte executiu, l'estudi de seguretat i salut i la posterior direcció facultativa d'obres actuacions per al condicionament dels paraments exteriors i reparacions en paviments de l'IES Vallvera de Salt.</v>
      </c>
      <c r="I18" s="157">
        <f>Total!I1603</f>
        <v>28000</v>
      </c>
    </row>
    <row r="19" spans="1:9" x14ac:dyDescent="0.2">
      <c r="A19" s="8">
        <v>19</v>
      </c>
      <c r="B19" s="101">
        <f>Total!B1604</f>
        <v>43151</v>
      </c>
      <c r="C19" s="101">
        <f>Total!C1604</f>
        <v>43199</v>
      </c>
      <c r="D19" s="112" t="s">
        <v>1092</v>
      </c>
      <c r="E19" s="101" t="str">
        <f>Total!E1604</f>
        <v>Edificació</v>
      </c>
      <c r="F19" s="96" t="str">
        <f>Total!F1604</f>
        <v>Projectes i Direccions d'Obra</v>
      </c>
      <c r="G19" s="112" t="str">
        <f>Total!G1604</f>
        <v>PE+DO. PNG-17276</v>
      </c>
      <c r="H19" s="112" t="str">
        <f>Total!H1604</f>
        <v>Redacció del projecte bàsic i executiu i la posterior direcció d'obra de la Nova construcció Escola 1 línia Josep Ribot i Olivas a Vilamalla.</v>
      </c>
      <c r="I19" s="157">
        <f>Total!I1604</f>
        <v>250764</v>
      </c>
    </row>
    <row r="20" spans="1:9" x14ac:dyDescent="0.2">
      <c r="A20" s="8">
        <v>20</v>
      </c>
      <c r="B20" s="101">
        <f>Total!B1605</f>
        <v>43151</v>
      </c>
      <c r="C20" s="101">
        <f>Total!C1605</f>
        <v>43171</v>
      </c>
      <c r="D20" s="112" t="s">
        <v>1092</v>
      </c>
      <c r="E20" s="101" t="str">
        <f>Total!E1605</f>
        <v>Obra Civil</v>
      </c>
      <c r="F20" s="96" t="str">
        <f>Total!F1605</f>
        <v>Direccions d'Obra</v>
      </c>
      <c r="G20" s="112" t="str">
        <f>Total!G1605</f>
        <v>CSS. TM-02609.1+2</v>
      </c>
      <c r="H20" s="112" t="str">
        <f>Total!H1605</f>
        <v>Coord. Seg. i Salut conjunta obres: Projecte de l'ATC senyal. i PCC de la línia 9 de metro de BCN i Projec. const. sist. tancament andanes línia 9 metro BCN. i Exec. obres proj. xarxa transmisió inalàmbrica banda ampla de la línia 9 metro BCN….</v>
      </c>
      <c r="I20" s="157">
        <f>Total!I1605</f>
        <v>28800</v>
      </c>
    </row>
    <row r="21" spans="1:9" x14ac:dyDescent="0.2">
      <c r="A21" s="8">
        <v>21</v>
      </c>
      <c r="B21" s="101">
        <f>Total!B1606</f>
        <v>43152</v>
      </c>
      <c r="C21" s="101">
        <f>Total!C1606</f>
        <v>43171</v>
      </c>
      <c r="D21" s="112" t="s">
        <v>1092</v>
      </c>
      <c r="E21" s="101" t="str">
        <f>Total!E1606</f>
        <v>Obra Civil</v>
      </c>
      <c r="F21" s="96" t="str">
        <f>Total!F1606</f>
        <v>Projectes</v>
      </c>
      <c r="G21" s="112" t="str">
        <f>Total!G1606</f>
        <v>PC. UPA-15009.1</v>
      </c>
      <c r="H21" s="112" t="str">
        <f>Total!H1606</f>
        <v>Redacció del projecte constructiu. Millora connectivitat. Permeabilització infraestructures. Itinerari ecohistòric i ordenació ús públic a la zona de Punta la Móra dins de l'espai PEIN de Tamarit-Punta la Móra. Tarragona.</v>
      </c>
      <c r="I21" s="157">
        <f>Total!I1606</f>
        <v>25000</v>
      </c>
    </row>
    <row r="22" spans="1:9" x14ac:dyDescent="0.2">
      <c r="A22" s="8">
        <v>22</v>
      </c>
      <c r="B22" s="101">
        <f>Total!B1607</f>
        <v>43152</v>
      </c>
      <c r="C22" s="101">
        <f>Total!C1607</f>
        <v>43199</v>
      </c>
      <c r="D22" s="112" t="s">
        <v>1092</v>
      </c>
      <c r="E22" s="101" t="str">
        <f>Total!E1607</f>
        <v>Edificació</v>
      </c>
      <c r="F22" s="96" t="str">
        <f>Total!F1607</f>
        <v>Projectes i Direccions d'Obra</v>
      </c>
      <c r="G22" s="112" t="str">
        <f>Total!G1607</f>
        <v>PE+DO. PNH-17282</v>
      </c>
      <c r="H22" s="112" t="str">
        <f>Total!H1607</f>
        <v>Redacció del projecte bàsic i executiu i la posterior direcció d'obra de la nova construcció Escola 1 línia (sense gimnàs) Pla del Puig de Sant Fruitós del Bages.</v>
      </c>
      <c r="I22" s="157">
        <f>Total!I1607</f>
        <v>214486</v>
      </c>
    </row>
    <row r="23" spans="1:9" x14ac:dyDescent="0.2">
      <c r="A23" s="8">
        <v>23</v>
      </c>
      <c r="B23" s="101">
        <f>Total!B1608</f>
        <v>43153</v>
      </c>
      <c r="C23" s="101">
        <f>Total!C1608</f>
        <v>43172</v>
      </c>
      <c r="D23" s="112" t="s">
        <v>1092</v>
      </c>
      <c r="E23" s="101" t="str">
        <f>Total!E1608</f>
        <v>Obra Civil</v>
      </c>
      <c r="F23" s="96" t="str">
        <f>Total!F1608</f>
        <v>Projectes</v>
      </c>
      <c r="G23" s="112" t="str">
        <f>Total!G1608</f>
        <v>PC. PC-CMB-17076</v>
      </c>
      <c r="H23" s="112" t="str">
        <f>Total!H1608</f>
        <v>Redacció del projecte constructiu millora local. Ponts i estructures. Pas inferior per a vianants i ciclistes a la carretera C-59, pk 15,050. Tram: Caldes de Montbui.</v>
      </c>
      <c r="I23" s="157">
        <f>Total!I1608</f>
        <v>25500</v>
      </c>
    </row>
    <row r="24" spans="1:9" x14ac:dyDescent="0.2">
      <c r="I24" s="126">
        <f>SUM(I2:I23)</f>
        <v>1231474.0099999998</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9"/>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Total!B1559</f>
        <v>43104</v>
      </c>
      <c r="C2" s="101">
        <f>Total!C1559</f>
        <v>43122</v>
      </c>
      <c r="D2" s="112" t="s">
        <v>1092</v>
      </c>
      <c r="E2" s="101" t="str">
        <f>Total!E1559</f>
        <v>Edificació</v>
      </c>
      <c r="F2" s="96" t="str">
        <f>Total!F1559</f>
        <v>Direccions d'Execució</v>
      </c>
      <c r="G2" s="112" t="str">
        <f>Total!G1559</f>
        <v>DE. JJB-15301</v>
      </c>
      <c r="H2" s="112" t="str">
        <f>Total!H1559</f>
        <v>Direcció d'execució de les obres RAM reforma interior de l'edifici judicial del carrer Prim a Badalona.</v>
      </c>
      <c r="I2" s="157">
        <f>Total!I1559</f>
        <v>51000</v>
      </c>
    </row>
    <row r="3" spans="1:9" x14ac:dyDescent="0.2">
      <c r="A3" s="8">
        <v>2</v>
      </c>
      <c r="B3" s="101">
        <f>Total!B1560</f>
        <v>43104</v>
      </c>
      <c r="C3" s="101">
        <f>Total!C1560</f>
        <v>43122</v>
      </c>
      <c r="D3" s="112" t="s">
        <v>1092</v>
      </c>
      <c r="E3" s="101" t="str">
        <f>Total!E1560</f>
        <v>Edificació</v>
      </c>
      <c r="F3" s="96" t="str">
        <f>Total!F1560</f>
        <v>Control de Qualitat</v>
      </c>
      <c r="G3" s="112" t="str">
        <f>Total!G1560</f>
        <v>CQ. GET-14308.4</v>
      </c>
      <c r="H3" s="112" t="str">
        <f>Total!H1560</f>
        <v>Control de qualitat de les obres de Nova construcció del Pavelló Poliesportiu a la zona esportiva de Camp Clar a Tarragona. Instal·lacions específiques pels jocs.</v>
      </c>
      <c r="I3" s="157">
        <f>Total!I1560</f>
        <v>7176.31</v>
      </c>
    </row>
    <row r="4" spans="1:9" x14ac:dyDescent="0.2">
      <c r="A4" s="8">
        <v>3</v>
      </c>
      <c r="B4" s="101">
        <f>Total!B1561</f>
        <v>43103</v>
      </c>
      <c r="C4" s="101">
        <f>Total!C1561</f>
        <v>43129</v>
      </c>
      <c r="D4" s="112" t="s">
        <v>1092</v>
      </c>
      <c r="E4" s="101" t="str">
        <f>Total!E1561</f>
        <v>Edificació</v>
      </c>
      <c r="F4" s="96" t="str">
        <f>Total!F1561</f>
        <v>Projectes i Direccions d'Obra</v>
      </c>
      <c r="G4" s="112" t="str">
        <f>Total!G1561</f>
        <v>PE+DO HGG-17213</v>
      </c>
      <c r="H4" s="112" t="str">
        <f>Total!H1561</f>
        <v>Redacció del projecte executiu i l'estudi de seguretat i salut i la posterior direcció de les obres d'ampliació del Bloc quirúrgic de l'Hospital de Blanes.</v>
      </c>
      <c r="I4" s="157">
        <f>Total!I1561</f>
        <v>187561.2</v>
      </c>
    </row>
    <row r="5" spans="1:9" x14ac:dyDescent="0.2">
      <c r="A5" s="8">
        <v>4</v>
      </c>
      <c r="B5" s="101">
        <f>Total!B1562</f>
        <v>43105</v>
      </c>
      <c r="C5" s="101">
        <f>Total!C1562</f>
        <v>43122</v>
      </c>
      <c r="D5" s="112" t="s">
        <v>1092</v>
      </c>
      <c r="E5" s="101" t="str">
        <f>Total!E1562</f>
        <v>Obra Civil</v>
      </c>
      <c r="F5" s="96" t="str">
        <f>Total!F1562</f>
        <v>Projectes</v>
      </c>
      <c r="G5" s="112" t="str">
        <f>Total!G1562</f>
        <v>EV. EX-CMC-17095</v>
      </c>
      <c r="H5" s="112" t="str">
        <f>Total!H1562</f>
        <v>Redacció de l'estudi d'auditories de seguretat viària d'actuacions en trams de la xarxa de carreteres de la Generalitat de Catalunya en l'àmbit de les carreteres C-63 a la Selva, i B-224 a l'Anoia i Baix Llobregat.</v>
      </c>
      <c r="I5" s="157">
        <f>Total!I1562</f>
        <v>40000</v>
      </c>
    </row>
    <row r="6" spans="1:9" x14ac:dyDescent="0.2">
      <c r="A6" s="8">
        <v>5</v>
      </c>
      <c r="B6" s="101">
        <f>Total!B1563</f>
        <v>43102</v>
      </c>
      <c r="C6" s="101">
        <f>Total!C1563</f>
        <v>43143</v>
      </c>
      <c r="D6" s="112" t="s">
        <v>1092</v>
      </c>
      <c r="E6" s="101" t="str">
        <f>Total!E1563</f>
        <v>Edificació</v>
      </c>
      <c r="F6" s="96" t="str">
        <f>Total!F1563</f>
        <v>Projectes i Direccions d'Obra</v>
      </c>
      <c r="G6" s="112" t="str">
        <f>Total!G1563</f>
        <v>PE+DO. INT-17269</v>
      </c>
      <c r="H6" s="112" t="str">
        <f>Total!H1563</f>
        <v>Redacció del projecte bàsic i executiu i la posterior direcció d'obra de la nova construcció Institut 3/0 a Roda de Berà.</v>
      </c>
      <c r="I6" s="157">
        <f>Total!I1563</f>
        <v>335572.86</v>
      </c>
    </row>
    <row r="7" spans="1:9" x14ac:dyDescent="0.2">
      <c r="A7" s="8">
        <v>6</v>
      </c>
      <c r="B7" s="101">
        <f>Total!B1564</f>
        <v>43109</v>
      </c>
      <c r="C7" s="101">
        <f>Total!C1564</f>
        <v>43131</v>
      </c>
      <c r="D7" s="112" t="s">
        <v>1092</v>
      </c>
      <c r="E7" s="101" t="str">
        <f>Total!E1564</f>
        <v>Edificació</v>
      </c>
      <c r="F7" s="96" t="str">
        <f>Total!F1564</f>
        <v>Control de Qualitat</v>
      </c>
      <c r="G7" s="112" t="str">
        <f>Total!G1564</f>
        <v>CQ. HHB-15356</v>
      </c>
      <c r="H7" s="112" t="str">
        <f>Total!H1564</f>
        <v>Control de Qualitatde de les obres del nou accés ambulatori i reforma del soterrani 2 per consultes externes de l’Àrea Maternoinfantil de l’Hospital Vall d’Hebron de Barcelona.</v>
      </c>
      <c r="I7" s="157">
        <f>Total!I1564</f>
        <v>34739.919999999998</v>
      </c>
    </row>
    <row r="8" spans="1:9" x14ac:dyDescent="0.2">
      <c r="A8" s="8">
        <v>7</v>
      </c>
      <c r="B8" s="101">
        <f>Total!B1565</f>
        <v>43109</v>
      </c>
      <c r="C8" s="101">
        <f>Total!C1565</f>
        <v>43131</v>
      </c>
      <c r="D8" s="112" t="s">
        <v>1092</v>
      </c>
      <c r="E8" s="101" t="str">
        <f>Total!E1565</f>
        <v>Edificació</v>
      </c>
      <c r="F8" s="96" t="str">
        <f>Total!F1565</f>
        <v>Projectes i Direccions d'Obra</v>
      </c>
      <c r="G8" s="112" t="str">
        <f>Total!G1565</f>
        <v>PE+DO. PNL-17265 (2v)</v>
      </c>
      <c r="H8" s="112" t="str">
        <f>Total!H1565</f>
        <v>Redacció del projecte bàsic i executiu i la posterior direcció d'obra de la nova construcció Escola 4 unitats Ramon Perelló-Zer Guicivervi a Vilagrassa.</v>
      </c>
      <c r="I8" s="157">
        <f>Total!I1565</f>
        <v>89071</v>
      </c>
    </row>
    <row r="9" spans="1:9" x14ac:dyDescent="0.2">
      <c r="A9" s="8">
        <v>8</v>
      </c>
      <c r="B9" s="101">
        <f>Total!B1566</f>
        <v>43109</v>
      </c>
      <c r="C9" s="101">
        <f>Total!C1566</f>
        <v>43129</v>
      </c>
      <c r="D9" s="112" t="s">
        <v>1092</v>
      </c>
      <c r="E9" s="101" t="str">
        <f>Total!E1566</f>
        <v>Edificació</v>
      </c>
      <c r="F9" s="96" t="str">
        <f>Total!F1566</f>
        <v>Direccions d'Execució</v>
      </c>
      <c r="G9" s="112" t="str">
        <f>Total!G1566</f>
        <v>DE. GET-14308.4</v>
      </c>
      <c r="H9" s="112" t="str">
        <f>Total!H1566</f>
        <v>Direcció d'execució de les obres de nova construcció del Pavelló Poliesportiu a la zona esportiva de camp Clar, a Tarragona. Instal·lacions específiques pels jocs.</v>
      </c>
      <c r="I9" s="157">
        <f>Total!I1566</f>
        <v>39680</v>
      </c>
    </row>
    <row r="10" spans="1:9" x14ac:dyDescent="0.2">
      <c r="A10" s="8">
        <v>9</v>
      </c>
      <c r="B10" s="101">
        <f>Total!B1567</f>
        <v>43110</v>
      </c>
      <c r="C10" s="101">
        <f>Total!C1567</f>
        <v>43129</v>
      </c>
      <c r="D10" s="112" t="s">
        <v>1092</v>
      </c>
      <c r="E10" s="101" t="str">
        <f>Total!E1567</f>
        <v>Obra Civil</v>
      </c>
      <c r="F10" s="96" t="str">
        <f>Total!F1567</f>
        <v>Projectes</v>
      </c>
      <c r="G10" s="112" t="str">
        <f>Total!G1567</f>
        <v>E1-PX-08400.4</v>
      </c>
      <c r="H10" s="112" t="str">
        <f>Total!H1567</f>
        <v>Redacció del document ambiental. Modernització a pressió natural del sector 3 de la zona regable del Canal de Pinyana, TM Portell, Vilanova de Segrià, Benavent de Segrià, Torreserona, Corbins i Alguaire.</v>
      </c>
      <c r="I10" s="157">
        <f>Total!I1567</f>
        <v>13516.56</v>
      </c>
    </row>
    <row r="11" spans="1:9" x14ac:dyDescent="0.2">
      <c r="A11" s="8">
        <v>10</v>
      </c>
      <c r="B11" s="101">
        <f>Total!B1568</f>
        <v>43111</v>
      </c>
      <c r="C11" s="101">
        <f>Total!C1568</f>
        <v>43131</v>
      </c>
      <c r="D11" s="112" t="s">
        <v>1092</v>
      </c>
      <c r="E11" s="101" t="str">
        <f>Total!E1568</f>
        <v>Obra Civil</v>
      </c>
      <c r="F11" s="96" t="str">
        <f>Total!F1568</f>
        <v>Direccions d'Obra</v>
      </c>
      <c r="G11" s="112" t="str">
        <f>Total!G1568</f>
        <v>CSS TM-11018.FA + TF-02676.11</v>
      </c>
      <c r="H11" s="112" t="str">
        <f>Total!H1568</f>
        <v>Coord. S.S. obres Proj. actuacions millora de l'evacuació i de l'accessibilitat de l'estació de Vallcarca de la línia 3 de l'FMB. FASE A. Clau: TM-11018.FA i Condicionament del túnel i estacions entre Sabadell Estació (provisional) i Sabadell Rambla.</v>
      </c>
      <c r="I11" s="157">
        <f>Total!I1568</f>
        <v>25600</v>
      </c>
    </row>
    <row r="12" spans="1:9" x14ac:dyDescent="0.2">
      <c r="A12" s="8">
        <v>11</v>
      </c>
      <c r="B12" s="101">
        <f>Total!B1569</f>
        <v>43112</v>
      </c>
      <c r="C12" s="101">
        <f>Total!C1569</f>
        <v>43129</v>
      </c>
      <c r="D12" s="112" t="s">
        <v>1092</v>
      </c>
      <c r="E12" s="101" t="str">
        <f>Total!E1569</f>
        <v>Obra Civil</v>
      </c>
      <c r="F12" s="96" t="str">
        <f>Total!F1569</f>
        <v>Projectes</v>
      </c>
      <c r="G12" s="112" t="str">
        <f>Total!G1569</f>
        <v>E8-MA-15900</v>
      </c>
      <c r="H12" s="112" t="str">
        <f>Total!H1569</f>
        <v>Redacció dels Treballs de recerca de mesures destinades a la millora de l'habitat dels juvenils d'àliga cuabarrada en les ZEPA de Granyena i de Valls de Sió. Declaració d’Impacte Ambiental 2010.</v>
      </c>
      <c r="I12" s="157">
        <f>Total!I1569</f>
        <v>10000</v>
      </c>
    </row>
    <row r="13" spans="1:9" x14ac:dyDescent="0.2">
      <c r="A13" s="8">
        <v>12</v>
      </c>
      <c r="B13" s="101">
        <f>Total!B1570</f>
        <v>43112</v>
      </c>
      <c r="C13" s="101">
        <f>Total!C1570</f>
        <v>43129</v>
      </c>
      <c r="D13" s="112" t="s">
        <v>1092</v>
      </c>
      <c r="E13" s="101" t="str">
        <f>Total!E1570</f>
        <v>Obra Civil</v>
      </c>
      <c r="F13" s="96" t="str">
        <f>Total!F1570</f>
        <v>Projectes</v>
      </c>
      <c r="G13" s="112" t="str">
        <f>Total!G1570</f>
        <v>E7-MA-16900</v>
      </c>
      <c r="H13" s="112" t="str">
        <f>Total!H1570</f>
        <v>Redacció de l’estudi i seguiment de la població de conills a la Plana de Lleida i avaluació de la necessitat d’implantació de vedrunes. Mesures correctores i compensatòries del regadiu del sistema Segarra-Ga rrigues.</v>
      </c>
      <c r="I13" s="157">
        <f>Total!I1570</f>
        <v>10000</v>
      </c>
    </row>
    <row r="14" spans="1:9" x14ac:dyDescent="0.2">
      <c r="A14" s="8">
        <v>13</v>
      </c>
      <c r="B14" s="101">
        <f>Total!B1571</f>
        <v>43112</v>
      </c>
      <c r="C14" s="101">
        <f>Total!C1571</f>
        <v>43131</v>
      </c>
      <c r="D14" s="112" t="s">
        <v>1092</v>
      </c>
      <c r="E14" s="101" t="str">
        <f>Total!E1571</f>
        <v>Edificació</v>
      </c>
      <c r="F14" s="96" t="str">
        <f>Total!F1571</f>
        <v>Projectes i Direccions d'Obra</v>
      </c>
      <c r="G14" s="112" t="str">
        <f>Total!G1571</f>
        <v>PE+DO. CAP-17280 (2v)</v>
      </c>
      <c r="H14" s="112" t="str">
        <f>Total!H1571</f>
        <v>Redacció del projecte bàsic i executiu i la posterior direcció d'obra del nou Centre d'Atenció Primària El Papiol.</v>
      </c>
      <c r="I14" s="157">
        <f>Total!I1571</f>
        <v>146344</v>
      </c>
    </row>
    <row r="15" spans="1:9" x14ac:dyDescent="0.2">
      <c r="A15" s="8">
        <v>14</v>
      </c>
      <c r="B15" s="101">
        <f>Total!B1572</f>
        <v>43112</v>
      </c>
      <c r="C15" s="101">
        <f>Total!C1572</f>
        <v>43129</v>
      </c>
      <c r="D15" s="112" t="s">
        <v>1092</v>
      </c>
      <c r="E15" s="101" t="str">
        <f>Total!E1572</f>
        <v>Edificació</v>
      </c>
      <c r="F15" s="96" t="str">
        <f>Total!F1572</f>
        <v>Direccions d'Execució</v>
      </c>
      <c r="G15" s="112" t="str">
        <f>Total!G1572</f>
        <v>DE. INL-10083</v>
      </c>
      <c r="H15" s="112" t="str">
        <f>Total!H1572</f>
        <v>direcció d'execució de les obres de Nova construcció de 4/2 línies de l'Institut Joan Solà de Torrefarrera.</v>
      </c>
      <c r="I15" s="157">
        <f>Total!I1572</f>
        <v>132812.1</v>
      </c>
    </row>
    <row r="16" spans="1:9" x14ac:dyDescent="0.2">
      <c r="A16" s="8">
        <v>15</v>
      </c>
      <c r="B16" s="101">
        <f>Total!B1573</f>
        <v>43116</v>
      </c>
      <c r="C16" s="101">
        <f>Total!C1573</f>
        <v>43136</v>
      </c>
      <c r="D16" s="112" t="s">
        <v>1092</v>
      </c>
      <c r="E16" s="101" t="str">
        <f>Total!E1573</f>
        <v>Edificació</v>
      </c>
      <c r="F16" s="96" t="str">
        <f>Total!F1573</f>
        <v>Direccions d'Execució</v>
      </c>
      <c r="G16" s="112" t="str">
        <f>Total!G1573</f>
        <v>CSS. INM-10090</v>
      </c>
      <c r="H16" s="112" t="str">
        <f>Total!H1573</f>
        <v>Coordinació de seguretat i salut de les obres de nova construcció Institut 2/0 línies a l'Institut Can Record de Sant Esteve Palautordera.</v>
      </c>
      <c r="I16" s="157">
        <f>Total!I1573</f>
        <v>22000</v>
      </c>
    </row>
    <row r="17" spans="1:9" x14ac:dyDescent="0.2">
      <c r="A17" s="8">
        <v>16</v>
      </c>
      <c r="B17" s="101">
        <f>Total!B1574</f>
        <v>43116</v>
      </c>
      <c r="C17" s="101">
        <f>Total!C1574</f>
        <v>43131</v>
      </c>
      <c r="D17" s="112" t="s">
        <v>1092</v>
      </c>
      <c r="E17" s="101" t="str">
        <f>Total!E1574</f>
        <v>Obra Civil</v>
      </c>
      <c r="F17" s="96" t="str">
        <f>Total!F1574</f>
        <v>Projectes</v>
      </c>
      <c r="G17" s="112" t="str">
        <f>Total!G1574</f>
        <v>EI. EI-CVG-17101</v>
      </c>
      <c r="H17" s="112" t="str">
        <f>Total!H1574</f>
        <v>Redacció de l'estudi informatiu. Variant de Sils i Riudarenes a la C-63 del PK 14+254 al 22+000. Sils - Riudarenes.</v>
      </c>
      <c r="I17" s="157">
        <f>Total!I1574</f>
        <v>189600</v>
      </c>
    </row>
    <row r="18" spans="1:9" x14ac:dyDescent="0.2">
      <c r="A18" s="8">
        <v>17</v>
      </c>
      <c r="B18" s="101">
        <f>Total!B1575</f>
        <v>43116</v>
      </c>
      <c r="C18" s="101">
        <f>Total!C1575</f>
        <v>43136</v>
      </c>
      <c r="D18" s="112" t="s">
        <v>1092</v>
      </c>
      <c r="E18" s="101" t="str">
        <f>Total!E1575</f>
        <v>Obra Civil</v>
      </c>
      <c r="F18" s="96" t="str">
        <f>Total!F1575</f>
        <v>Projectes</v>
      </c>
      <c r="G18" s="112" t="str">
        <f>Total!G1575</f>
        <v>PC.MA-17910</v>
      </c>
      <c r="H18" s="112" t="str">
        <f>Total!H1575</f>
        <v>Redac. Plec. Conservació de plantacions i de les mesures compensatòries i correctores dels proj. de recup. dels sistemes naturals de l’àmbit fluvial dels rius i altres actuacions de rest. ambiental del regadiu del sist. Segarra-Garrigues.</v>
      </c>
      <c r="I18" s="157">
        <f>Total!I1575</f>
        <v>12407.6</v>
      </c>
    </row>
    <row r="19" spans="1:9" x14ac:dyDescent="0.2">
      <c r="A19" s="8">
        <v>18</v>
      </c>
      <c r="B19" s="101">
        <f>Total!B1576</f>
        <v>43118</v>
      </c>
      <c r="C19" s="101">
        <f>Total!C1576</f>
        <v>43136</v>
      </c>
      <c r="D19" s="112" t="s">
        <v>1092</v>
      </c>
      <c r="E19" s="101" t="str">
        <f>Total!E1576</f>
        <v>Edificació</v>
      </c>
      <c r="F19" s="96" t="str">
        <f>Total!F1576</f>
        <v>Projectes i Direccions Facultatives</v>
      </c>
      <c r="G19" s="112" t="str">
        <f>Total!G1576</f>
        <v>MSA. S4-CAP-02714</v>
      </c>
      <c r="H19" s="112" t="str">
        <f>Total!H1576</f>
        <v>Redacció del projecte executiu i la posterior direcció facultativa de les actuacions de subsanació de deficiències al CAP de Cardedeu.</v>
      </c>
      <c r="I19" s="157">
        <f>Total!I1576</f>
        <v>35000</v>
      </c>
    </row>
    <row r="20" spans="1:9" x14ac:dyDescent="0.2">
      <c r="A20" s="8">
        <v>19</v>
      </c>
      <c r="B20" s="101">
        <f>Total!B1577</f>
        <v>43118</v>
      </c>
      <c r="C20" s="101">
        <f>Total!C1577</f>
        <v>43138</v>
      </c>
      <c r="D20" s="112" t="s">
        <v>1092</v>
      </c>
      <c r="E20" s="101" t="str">
        <f>Total!E1577</f>
        <v>Edificació</v>
      </c>
      <c r="F20" s="96" t="str">
        <f>Total!F1577</f>
        <v>Control de Qualitat</v>
      </c>
      <c r="G20" s="112" t="str">
        <f>Total!G1577</f>
        <v>CQ. PAE-14336</v>
      </c>
      <c r="H20" s="112" t="str">
        <f>Total!H1577</f>
        <v>Control de qualitat de les obres de reforma i adequació escola 2L a l'Escola Lluís Viñas i Viñoles de Mora d'Ebre.</v>
      </c>
      <c r="I20" s="157">
        <f>Total!I1577</f>
        <v>9941.68</v>
      </c>
    </row>
    <row r="21" spans="1:9" x14ac:dyDescent="0.2">
      <c r="A21" s="8">
        <v>20</v>
      </c>
      <c r="B21" s="101">
        <f>Total!B1578</f>
        <v>43118</v>
      </c>
      <c r="C21" s="101">
        <f>Total!C1578</f>
        <v>43136</v>
      </c>
      <c r="D21" s="112" t="s">
        <v>1092</v>
      </c>
      <c r="E21" s="101" t="str">
        <f>Total!E1578</f>
        <v>Obra Civil</v>
      </c>
      <c r="F21" s="96" t="str">
        <f>Total!F1578</f>
        <v>Control de Qualitat</v>
      </c>
      <c r="G21" s="112" t="str">
        <f>Total!G1578</f>
        <v>CQ. MG-08007-A1</v>
      </c>
      <c r="H21" s="112" t="str">
        <f>Total!H1578</f>
        <v>Control de qualitat de les obres del projecte constructiu de millora local. Millora de nus. Rotonda a la carretera GI-652 al PK 0+800. Tram: Torrent.</v>
      </c>
      <c r="I21" s="157">
        <f>Total!I1578</f>
        <v>4845.6400000000003</v>
      </c>
    </row>
    <row r="22" spans="1:9" x14ac:dyDescent="0.2">
      <c r="A22" s="8">
        <v>21</v>
      </c>
      <c r="B22" s="101">
        <f>Total!B1579</f>
        <v>43118</v>
      </c>
      <c r="C22" s="101">
        <f>Total!C1579</f>
        <v>43136</v>
      </c>
      <c r="D22" s="112" t="s">
        <v>1092</v>
      </c>
      <c r="E22" s="101" t="str">
        <f>Total!E1579</f>
        <v>Obra Civil</v>
      </c>
      <c r="F22" s="96" t="str">
        <f>Total!F1579</f>
        <v>Control de Qualitat</v>
      </c>
      <c r="G22" s="112" t="str">
        <f>Total!G1579</f>
        <v>CQ.MB-15055</v>
      </c>
      <c r="H22" s="112" t="str">
        <f>Total!H1579</f>
        <v>Control qualitat obres proj. constructiu millora local. Seg. viària. Millora característiques superficials del ferm i reestudi de la secció transversal. Ctra. C-55, del PK 11,400 al 18,500, i C-58, PK 37,790 al 38,1455. Tram: Collbató-Castellbell i el V.</v>
      </c>
      <c r="I22" s="157">
        <f>Total!I1579</f>
        <v>55407.71</v>
      </c>
    </row>
    <row r="23" spans="1:9" x14ac:dyDescent="0.2">
      <c r="A23" s="8">
        <v>22</v>
      </c>
      <c r="B23" s="101">
        <f>Total!B1580</f>
        <v>43119</v>
      </c>
      <c r="C23" s="101">
        <f>Total!C1580</f>
        <v>43136</v>
      </c>
      <c r="D23" s="112" t="s">
        <v>1092</v>
      </c>
      <c r="E23" s="101" t="str">
        <f>Total!E1580</f>
        <v>Obra Civil</v>
      </c>
      <c r="F23" s="96" t="str">
        <f>Total!F1580</f>
        <v>Direcció d'obra</v>
      </c>
      <c r="G23" s="112" t="str">
        <f>Total!G1580</f>
        <v>DO.MB-15055</v>
      </c>
      <c r="H23" s="112" t="str">
        <f>Total!H1580</f>
        <v>Dir. obres proj. constructiu millora local. Seg. viària. Millora característiques superf.  ferm i reestudi de la secció transversal. Ctra. C-55, del PK 11+400 al 18+500, i C-58, del PK 37+790 al 39+145. Tram: Collbató – Castellbell i el Vilar.</v>
      </c>
      <c r="I23" s="157">
        <f>Total!I1580</f>
        <v>146761.10999999999</v>
      </c>
    </row>
    <row r="24" spans="1:9" x14ac:dyDescent="0.2">
      <c r="A24" s="8">
        <v>23</v>
      </c>
      <c r="B24" s="101">
        <f>Total!B1581</f>
        <v>43119</v>
      </c>
      <c r="C24" s="101">
        <f>Total!C1581</f>
        <v>43136</v>
      </c>
      <c r="D24" s="112" t="s">
        <v>1092</v>
      </c>
      <c r="E24" s="101" t="str">
        <f>Total!E1581</f>
        <v>Edificació</v>
      </c>
      <c r="F24" s="96" t="str">
        <f>Total!F1581</f>
        <v>Direccions d'Execució</v>
      </c>
      <c r="G24" s="112" t="str">
        <f>Total!G1581</f>
        <v>CSS. GET-14308.4</v>
      </c>
      <c r="H24" s="112" t="str">
        <f>Total!H1581</f>
        <v>Coordinació de seguretat i salut de les obres del: Nou Poliesportiu a la Zona Esportiva de Camp Clar, a Tarragona. Instal·lacions específiques pels Jocs.</v>
      </c>
      <c r="I24" s="157">
        <f>Total!I1581</f>
        <v>9920</v>
      </c>
    </row>
    <row r="25" spans="1:9" x14ac:dyDescent="0.2">
      <c r="A25" s="8">
        <v>24</v>
      </c>
      <c r="B25" s="101">
        <f>Total!B1582</f>
        <v>43119</v>
      </c>
      <c r="C25" s="101">
        <f>Total!C1582</f>
        <v>43171</v>
      </c>
      <c r="D25" s="112" t="s">
        <v>1092</v>
      </c>
      <c r="E25" s="101" t="str">
        <f>Total!E1582</f>
        <v>Edificació</v>
      </c>
      <c r="F25" s="96" t="str">
        <f>Total!F1582</f>
        <v>Projectes</v>
      </c>
      <c r="G25" s="112" t="str">
        <f>Total!G1582</f>
        <v>PB. B-TX-15282 / PC. TX-15282</v>
      </c>
      <c r="H25" s="112" t="str">
        <f>Total!H1582</f>
        <v>Redacció del projecte bàsic i del projecte constructiu: Nova Estació Intermodal del Baix Llobregat al Prat de Llobregat.</v>
      </c>
      <c r="I25" s="157">
        <f>Total!I1582</f>
        <v>363000</v>
      </c>
    </row>
    <row r="26" spans="1:9" x14ac:dyDescent="0.2">
      <c r="A26" s="8">
        <v>25</v>
      </c>
      <c r="B26" s="101">
        <f>Total!B1583</f>
        <v>43129</v>
      </c>
      <c r="C26" s="101">
        <f>Total!C1583</f>
        <v>43145</v>
      </c>
      <c r="D26" s="112" t="s">
        <v>1092</v>
      </c>
      <c r="E26" s="101" t="str">
        <f>Total!E1583</f>
        <v>Obra Civil</v>
      </c>
      <c r="F26" s="96" t="str">
        <f>Total!F1583</f>
        <v>Direcció d'obra</v>
      </c>
      <c r="G26" s="112" t="str">
        <f>Total!G1583</f>
        <v>DO. MT-09081</v>
      </c>
      <c r="H26" s="112" t="str">
        <f>Total!H1583</f>
        <v>Direcció de les obres del projecte constructiu de millora local. Millora de nus. Rotonda a la carretera TP-2002, pk 1,660, intersecció amb les carreteres TP-2003 i TV-2004. Tram: Vila-rodona.</v>
      </c>
      <c r="I26" s="157">
        <f>Total!I1583</f>
        <v>12888.89</v>
      </c>
    </row>
    <row r="27" spans="1:9" x14ac:dyDescent="0.2">
      <c r="A27" s="8">
        <v>26</v>
      </c>
      <c r="B27" s="101">
        <f>Total!B1584</f>
        <v>43129</v>
      </c>
      <c r="C27" s="101">
        <f>Total!C1584</f>
        <v>43145</v>
      </c>
      <c r="D27" s="112" t="s">
        <v>1092</v>
      </c>
      <c r="E27" s="101" t="str">
        <f>Total!E1584</f>
        <v>Obra Civil</v>
      </c>
      <c r="F27" s="96" t="str">
        <f>Total!F1584</f>
        <v>Projectes</v>
      </c>
      <c r="G27" s="112" t="str">
        <f>Total!G1584</f>
        <v>EV. AE-MB-15055</v>
      </c>
      <c r="H27" s="112" t="str">
        <f>Total!H1584</f>
        <v>Redacció de l'estudi Auditoria de seguretat viària de les obres de millora de les característiques superficials del ferm i reestudi de la secció transversal. Ctra. C-55, del pk 11,400 al 18,500, i C-58, del pk 37,790 al 39,145. Tram: Collbató-Castellbell.</v>
      </c>
      <c r="I27" s="157">
        <f>Total!I1584</f>
        <v>13365</v>
      </c>
    </row>
    <row r="28" spans="1:9" x14ac:dyDescent="0.2">
      <c r="A28" s="8">
        <v>27</v>
      </c>
      <c r="B28" s="101">
        <f>Total!B1585</f>
        <v>43130</v>
      </c>
      <c r="C28" s="101">
        <f>Total!C1585</f>
        <v>43150</v>
      </c>
      <c r="D28" s="112" t="s">
        <v>1092</v>
      </c>
      <c r="E28" s="101" t="str">
        <f>Total!E1585</f>
        <v>Obra Civil</v>
      </c>
      <c r="F28" s="96" t="str">
        <f>Total!F1585</f>
        <v>Projectes</v>
      </c>
      <c r="G28" s="112" t="str">
        <f>Total!G1585</f>
        <v>EA-UPA-17285</v>
      </c>
      <c r="H28" s="112" t="str">
        <f>Total!H1585</f>
        <v>Redacció de l'estudi ambiental, millora connectivitat. Estudi de migració dels efectes sobre les poblacions d'avifauna en els ctres. C-31 entre el pk 319,000 i el pk 320,600 a Sta. Cristina d'Aro i de la C-65 entre el pk 4,000 i el pk 312,000 de la C-31..</v>
      </c>
      <c r="I28" s="157">
        <f>Total!I1585</f>
        <v>22000</v>
      </c>
    </row>
    <row r="29" spans="1:9" x14ac:dyDescent="0.2">
      <c r="I29" s="126">
        <f>SUM(I2:I28)</f>
        <v>2020211.5799999998</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52"/>
  <sheetViews>
    <sheetView topLeftCell="A16" workbookViewId="0">
      <selection activeCell="I52" sqref="I52"/>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Total!B1507</f>
        <v>43070</v>
      </c>
      <c r="C2" s="101">
        <f>Total!C1507</f>
        <v>43088</v>
      </c>
      <c r="D2" s="112" t="s">
        <v>1092</v>
      </c>
      <c r="E2" s="101" t="str">
        <f>Total!E1507</f>
        <v>Edificació</v>
      </c>
      <c r="F2" s="96" t="str">
        <f>Total!F1507</f>
        <v>Projectes i Direccions Facultatives</v>
      </c>
      <c r="G2" s="112" t="str">
        <f>Total!G1507</f>
        <v>PE+DF. XMG-18521</v>
      </c>
      <c r="H2" s="112" t="str">
        <f>Total!H1507</f>
        <v>Redacció del projecte executiu i l'estudi de seguretat i salut i la posterior direcció facultativa de les obres RAM 2018 als Serveis Territorials a Girona I. Escola Joan Maragall (Santa Pau).</v>
      </c>
      <c r="I2" s="157">
        <f>Total!I1507</f>
        <v>47933.88</v>
      </c>
    </row>
    <row r="3" spans="1:9" x14ac:dyDescent="0.2">
      <c r="A3" s="8">
        <v>2</v>
      </c>
      <c r="B3" s="101">
        <f>Total!B1508</f>
        <v>43070</v>
      </c>
      <c r="C3" s="101">
        <f>Total!C1508</f>
        <v>43088</v>
      </c>
      <c r="D3" s="112" t="s">
        <v>1092</v>
      </c>
      <c r="E3" s="101" t="str">
        <f>Total!E1508</f>
        <v>Edificació</v>
      </c>
      <c r="F3" s="96" t="str">
        <f>Total!F1508</f>
        <v>Projectes i Direccions Facultatives</v>
      </c>
      <c r="G3" s="112" t="str">
        <f>Total!G1508</f>
        <v>PE+DF. XMV-18519</v>
      </c>
      <c r="H3" s="112" t="str">
        <f>Total!H1508</f>
        <v>Red. proj. exec. i est. s.s. i la posterior dir. facultativa obres RAM 2018 als Serveis Territorials al Vallès Occidental II: Institut La Serra (Sabadell), Institut Pau Vila (Sabadell) i Institut Castellarnau (Sabadell).</v>
      </c>
      <c r="I3" s="157">
        <f>Total!I1508</f>
        <v>61714.23</v>
      </c>
    </row>
    <row r="4" spans="1:9" x14ac:dyDescent="0.2">
      <c r="A4" s="8">
        <v>3</v>
      </c>
      <c r="B4" s="101">
        <f>Total!B1509</f>
        <v>43070</v>
      </c>
      <c r="C4" s="101">
        <f>Total!C1509</f>
        <v>43088</v>
      </c>
      <c r="D4" s="112" t="s">
        <v>1092</v>
      </c>
      <c r="E4" s="101" t="str">
        <f>Total!E1509</f>
        <v>Edificació</v>
      </c>
      <c r="F4" s="96" t="str">
        <f>Total!F1509</f>
        <v>Projectes i Direccions Facultatives</v>
      </c>
      <c r="G4" s="112" t="str">
        <f>Total!G1509</f>
        <v>PE+DF. XMV-18518</v>
      </c>
      <c r="H4" s="112" t="str">
        <f>Total!H1509</f>
        <v>Redacció del projecte executiu i l'estudi de seguretat i salut i la posterior direcció facultativa de les obres RAM 2018 als Serveis Territorials a Vallès Occidental I: Institut Can Planes (Barberà del Vallès), Institut La Ribera (Montcada i Reixac).</v>
      </c>
      <c r="I4" s="157">
        <f>Total!I1509</f>
        <v>52727.27</v>
      </c>
    </row>
    <row r="5" spans="1:9" x14ac:dyDescent="0.2">
      <c r="A5" s="8">
        <v>4</v>
      </c>
      <c r="B5" s="101">
        <f>Total!B1510</f>
        <v>43070</v>
      </c>
      <c r="C5" s="101">
        <f>Total!C1510</f>
        <v>43088</v>
      </c>
      <c r="D5" s="112" t="s">
        <v>1092</v>
      </c>
      <c r="E5" s="101" t="str">
        <f>Total!E1510</f>
        <v>Edificació</v>
      </c>
      <c r="F5" s="96" t="str">
        <f>Total!F1510</f>
        <v>Projectes i Direccions Facultatives</v>
      </c>
      <c r="G5" s="112" t="str">
        <f>Total!G1510</f>
        <v>PE+DF. XME-18530</v>
      </c>
      <c r="H5" s="112" t="str">
        <f>Total!H1510</f>
        <v>Red. proj. exec. i est. s.s. i posterior direc. facultativa de les obres RAM 2018 als Serveis Territorials Terres Ebre: Escola El Marjal (Les Cases d'Alcanar), Institut Ramon Berenguer IV (Amposta) i Escola Lluis Viñas Viñoles (Móra d'Ebre).</v>
      </c>
      <c r="I5" s="157">
        <f>Total!I1510</f>
        <v>71900.820000000007</v>
      </c>
    </row>
    <row r="6" spans="1:9" x14ac:dyDescent="0.2">
      <c r="A6" s="8">
        <v>5</v>
      </c>
      <c r="B6" s="101">
        <f>Total!B1511</f>
        <v>43070</v>
      </c>
      <c r="C6" s="101">
        <f>Total!C1511</f>
        <v>43117</v>
      </c>
      <c r="D6" s="112" t="s">
        <v>1092</v>
      </c>
      <c r="E6" s="101" t="str">
        <f>Total!E1511</f>
        <v>Edificació</v>
      </c>
      <c r="F6" s="96" t="str">
        <f>Total!F1511</f>
        <v>Direccions d'Execució</v>
      </c>
      <c r="G6" s="112" t="str">
        <f>Total!G1511</f>
        <v>DE. ECO-17219</v>
      </c>
      <c r="H6" s="112" t="str">
        <f>Total!H1511</f>
        <v>Verificació de l'assegurament de la qualitat proj. exec. i dir. exec. obres de distribució dels espais interiors i les seves instal·lacions per a la implantació del nou complex al districte administratiu de la Generalitat de Catalunya Fase 1 a Barcelona.</v>
      </c>
      <c r="I6" s="157">
        <f>Total!I1511</f>
        <v>465000</v>
      </c>
    </row>
    <row r="7" spans="1:9" x14ac:dyDescent="0.2">
      <c r="A7" s="8">
        <v>6</v>
      </c>
      <c r="B7" s="101">
        <f>Total!B1512</f>
        <v>43070</v>
      </c>
      <c r="C7" s="101">
        <f>Total!C1512</f>
        <v>43088</v>
      </c>
      <c r="D7" s="112" t="s">
        <v>1092</v>
      </c>
      <c r="E7" s="101" t="str">
        <f>Total!E1512</f>
        <v>Edificació</v>
      </c>
      <c r="F7" s="96" t="str">
        <f>Total!F1512</f>
        <v>Projectes i Direccions Facultatives</v>
      </c>
      <c r="G7" s="112" t="str">
        <f>Total!G1512</f>
        <v>PE+DF. XMG-18523</v>
      </c>
      <c r="H7" s="112" t="str">
        <f>Total!H1512</f>
        <v>Redacció del projecte executiu i l'estudi de seguretat i salut i la posterior direcció facultativa de les obres RAM 2018 als Serveis Territorials Serveis territorials Girona III. Institut Escola d'Art (Olot).</v>
      </c>
      <c r="I7" s="157">
        <f>Total!I1512</f>
        <v>29958.68</v>
      </c>
    </row>
    <row r="8" spans="1:9" x14ac:dyDescent="0.2">
      <c r="A8" s="8">
        <v>7</v>
      </c>
      <c r="B8" s="101">
        <f>Total!B1513</f>
        <v>43070</v>
      </c>
      <c r="C8" s="101">
        <f>Total!C1513</f>
        <v>43088</v>
      </c>
      <c r="D8" s="112" t="s">
        <v>1092</v>
      </c>
      <c r="E8" s="101" t="str">
        <f>Total!E1513</f>
        <v>Edificació</v>
      </c>
      <c r="F8" s="96" t="str">
        <f>Total!F1513</f>
        <v>Projectes i Direccions Facultatives</v>
      </c>
      <c r="G8" s="112" t="str">
        <f>Total!G1513</f>
        <v>PE+DF. XMC-18529</v>
      </c>
      <c r="H8" s="112" t="str">
        <f>Total!H1513</f>
        <v>Red. proj. i est. s.s. i posterior direcció facultativa de les obres RAM 2018 als Serveis Territorials Barcelona comarques VI: Institut Joaquim Mir (Vilanova i la Geltrú),Escola Canigó (Vilanova i la Geltrú) i Escola Cossetània (Vilanova i la Geltrú).</v>
      </c>
      <c r="I8" s="157">
        <f>Total!I1513</f>
        <v>52727.27</v>
      </c>
    </row>
    <row r="9" spans="1:9" x14ac:dyDescent="0.2">
      <c r="A9" s="8">
        <v>8</v>
      </c>
      <c r="B9" s="101">
        <f>Total!B1514</f>
        <v>43073</v>
      </c>
      <c r="C9" s="101">
        <f>Total!C1514</f>
        <v>43115</v>
      </c>
      <c r="D9" s="112" t="s">
        <v>1092</v>
      </c>
      <c r="E9" s="101" t="str">
        <f>Total!E1514</f>
        <v>Obra Civil</v>
      </c>
      <c r="F9" s="96" t="str">
        <f>Total!F1514</f>
        <v>Projecte</v>
      </c>
      <c r="G9" s="112" t="str">
        <f>Total!G1514</f>
        <v>PC-ANL-17088</v>
      </c>
      <c r="H9" s="112" t="str">
        <f>Total!H1514</f>
        <v>Redacció del projecte constructiu Nova estació d'autobusos. Tàrrega.</v>
      </c>
      <c r="I9" s="157">
        <f>Total!I1514</f>
        <v>48000</v>
      </c>
    </row>
    <row r="10" spans="1:9" x14ac:dyDescent="0.2">
      <c r="A10" s="8">
        <v>9</v>
      </c>
      <c r="B10" s="101">
        <f>Total!B1515</f>
        <v>43073</v>
      </c>
      <c r="C10" s="101">
        <f>Total!C1515</f>
        <v>43089</v>
      </c>
      <c r="D10" s="112" t="s">
        <v>1092</v>
      </c>
      <c r="E10" s="101" t="str">
        <f>Total!E1515</f>
        <v>Obra Civil</v>
      </c>
      <c r="F10" s="96" t="str">
        <f>Total!F1515</f>
        <v>Projecte</v>
      </c>
      <c r="G10" s="112" t="str">
        <f>Total!G1515</f>
        <v>EV. EP-XNC-17091</v>
      </c>
      <c r="H10" s="112" t="str">
        <f>Total!H1515</f>
        <v>Redacció de l'estudi previ: Noves estacions ferroviàries: Terrassa - Can Boada, Terrassa Sud, Sabadell - Can Llong, Girona Sud i Girona Nord.</v>
      </c>
      <c r="I10" s="157">
        <f>Total!I1515</f>
        <v>100000</v>
      </c>
    </row>
    <row r="11" spans="1:9" x14ac:dyDescent="0.2">
      <c r="A11" s="8">
        <v>10</v>
      </c>
      <c r="B11" s="101">
        <f>Total!B1516</f>
        <v>43073</v>
      </c>
      <c r="C11" s="101">
        <f>Total!C1516</f>
        <v>43089</v>
      </c>
      <c r="D11" s="112" t="s">
        <v>1092</v>
      </c>
      <c r="E11" s="101" t="str">
        <f>Total!E1516</f>
        <v>Obra Civil</v>
      </c>
      <c r="F11" s="96" t="str">
        <f>Total!F1516</f>
        <v>Projecte</v>
      </c>
      <c r="G11" s="112" t="str">
        <f>Total!G1516</f>
        <v>PM. XC-10020.1-M1</v>
      </c>
      <c r="H11" s="112" t="str">
        <f>Total!H1516</f>
        <v>Redacció del projecte modificat núm. 1 de les obres de la via ciclista del Ter. Del PK 203+200 de la C-26 al Camí el Pont del Reixac. Tram: Sant Joan de les Abadesses.</v>
      </c>
      <c r="I11" s="157">
        <f>Total!I1516</f>
        <v>19000</v>
      </c>
    </row>
    <row r="12" spans="1:9" x14ac:dyDescent="0.2">
      <c r="A12" s="8">
        <v>11</v>
      </c>
      <c r="B12" s="101">
        <f>Total!B1517</f>
        <v>43073</v>
      </c>
      <c r="C12" s="101">
        <f>Total!C1517</f>
        <v>43087</v>
      </c>
      <c r="D12" s="112" t="s">
        <v>1092</v>
      </c>
      <c r="E12" s="101" t="str">
        <f>Total!E1517</f>
        <v>Obra Civil</v>
      </c>
      <c r="F12" s="96" t="str">
        <f>Total!F1517</f>
        <v>Projecte</v>
      </c>
      <c r="G12" s="112" t="str">
        <f>Total!G1517</f>
        <v>PC. AG-05087.2</v>
      </c>
      <c r="H12" s="112" t="str">
        <f>Total!H1517</f>
        <v>Redacció del projecte constructiu: Millora general. Condicionament de les carreteres GI-633, del pk 9,180 al 10,480, i GI-634, del pk 6,308 al 0,470. Tram: Colomers Verges.</v>
      </c>
      <c r="I12" s="157">
        <f>Total!I1517</f>
        <v>131500</v>
      </c>
    </row>
    <row r="13" spans="1:9" x14ac:dyDescent="0.2">
      <c r="A13" s="8">
        <v>12</v>
      </c>
      <c r="B13" s="101">
        <f>Total!B1518</f>
        <v>43073</v>
      </c>
      <c r="C13" s="101">
        <f>Total!C1518</f>
        <v>43082</v>
      </c>
      <c r="D13" s="112" t="s">
        <v>1092</v>
      </c>
      <c r="E13" s="101" t="str">
        <f>Total!E1518</f>
        <v>Obra Civil</v>
      </c>
      <c r="F13" s="96" t="str">
        <f>Total!F1518</f>
        <v>Projecte</v>
      </c>
      <c r="G13" s="112" t="str">
        <f>Total!G1518</f>
        <v>PC. XC-10020.3</v>
      </c>
      <c r="H13" s="112" t="str">
        <f>Total!H1518</f>
        <v>Redacció del projecte constructiu: Via ciclista del Ter. Tram: Llanars-Vilallonga de Ter.</v>
      </c>
      <c r="I13" s="157">
        <f>Total!I1518</f>
        <v>38500</v>
      </c>
    </row>
    <row r="14" spans="1:9" x14ac:dyDescent="0.2">
      <c r="A14" s="8">
        <v>13</v>
      </c>
      <c r="B14" s="101">
        <f>Total!B1519</f>
        <v>43080</v>
      </c>
      <c r="C14" s="101">
        <f>Total!C1519</f>
        <v>43108</v>
      </c>
      <c r="D14" s="112" t="s">
        <v>1092</v>
      </c>
      <c r="E14" s="101" t="str">
        <f>Total!E1519</f>
        <v>Edificació</v>
      </c>
      <c r="F14" s="96" t="str">
        <f>Total!F1519</f>
        <v>Direccions d'Obra</v>
      </c>
      <c r="G14" s="112" t="str">
        <f>Total!G1519</f>
        <v>DO. CAP-09398</v>
      </c>
      <c r="H14" s="112" t="str">
        <f>Total!H1519</f>
        <v>Direcció de les obres per al Nou CAP Can Roca, de Terrassa.</v>
      </c>
      <c r="I14" s="157">
        <f>Total!I1519</f>
        <v>90314.07</v>
      </c>
    </row>
    <row r="15" spans="1:9" x14ac:dyDescent="0.2">
      <c r="A15" s="8">
        <v>14</v>
      </c>
      <c r="B15" s="101">
        <f>Total!B1520</f>
        <v>43080</v>
      </c>
      <c r="C15" s="101">
        <f>Total!C1520</f>
        <v>43108</v>
      </c>
      <c r="D15" s="112" t="s">
        <v>1092</v>
      </c>
      <c r="E15" s="101" t="str">
        <f>Total!E1520</f>
        <v>Obra Civil</v>
      </c>
      <c r="F15" s="96" t="str">
        <f>Total!F1520</f>
        <v>Projectes</v>
      </c>
      <c r="G15" s="112" t="str">
        <f>Total!G1520</f>
        <v>PC. PC-CMB-17023</v>
      </c>
      <c r="H15" s="112" t="str">
        <f>Total!H1520</f>
        <v>Red. proj constructiu: Millora local. Seg. viària. Implantació passos de fauna, tanques cinegètiques i senyal. específica. Ctra. C-58 del PK 25,360 al 37,790, C-55 del PK 18,500 al 26,500 i C-16 del PK 97,138 al 117,350. Tram: Viladecavalls - Bagà.</v>
      </c>
      <c r="I15" s="157">
        <f>Total!I1520</f>
        <v>28500</v>
      </c>
    </row>
    <row r="16" spans="1:9" x14ac:dyDescent="0.2">
      <c r="A16" s="8">
        <v>15</v>
      </c>
      <c r="B16" s="101">
        <f>Total!B1521</f>
        <v>43080</v>
      </c>
      <c r="C16" s="101">
        <f>Total!C1521</f>
        <v>43108</v>
      </c>
      <c r="D16" s="112" t="s">
        <v>1092</v>
      </c>
      <c r="E16" s="101" t="str">
        <f>Total!E1521</f>
        <v>Obra Civil</v>
      </c>
      <c r="F16" s="96" t="str">
        <f>Total!F1521</f>
        <v>Projectes</v>
      </c>
      <c r="G16" s="112" t="str">
        <f>Total!G1521</f>
        <v>IA-CNG-17036</v>
      </c>
      <c r="H16" s="112" t="str">
        <f>Total!H1521</f>
        <v>Redacció de l’estudi d’impacte ambiental del Nou Vial de connexió sobre el riu Fluvià entre la carretera GIV-6303 i la carretera GIV-6216 a Sant Pere Pescador. Tram: Sant Pere Pescador.</v>
      </c>
      <c r="I16" s="157">
        <f>Total!I1521</f>
        <v>23400</v>
      </c>
    </row>
    <row r="17" spans="1:9" x14ac:dyDescent="0.2">
      <c r="A17" s="8">
        <v>16</v>
      </c>
      <c r="B17" s="101">
        <f>Total!B1522</f>
        <v>43080</v>
      </c>
      <c r="C17" s="101">
        <f>Total!C1522</f>
        <v>43087</v>
      </c>
      <c r="D17" s="112" t="s">
        <v>1092</v>
      </c>
      <c r="E17" s="101" t="str">
        <f>Total!E1522</f>
        <v>Obra Civil</v>
      </c>
      <c r="F17" s="96" t="str">
        <f>Total!F1522</f>
        <v>Projectes</v>
      </c>
      <c r="G17" s="112" t="str">
        <f>Total!G1522</f>
        <v>IA-VG-05143-A2</v>
      </c>
      <c r="H17" s="112" t="str">
        <f>Total!H1522</f>
        <v>Redacció de l'estudi d'impacte ambiental de la Millora general. Variant de Torroella de Montgrí. Carretera c-31, PK 348+500 al 353+500. Tram: Gualta ¿ La Tallada d'Empordà.</v>
      </c>
      <c r="I17" s="157">
        <f>Total!I1522</f>
        <v>42100</v>
      </c>
    </row>
    <row r="18" spans="1:9" x14ac:dyDescent="0.2">
      <c r="A18" s="8">
        <v>17</v>
      </c>
      <c r="B18" s="101">
        <f>Total!B1523</f>
        <v>43080</v>
      </c>
      <c r="C18" s="101">
        <f>Total!C1523</f>
        <v>43115</v>
      </c>
      <c r="D18" s="112" t="s">
        <v>1092</v>
      </c>
      <c r="E18" s="101" t="str">
        <f>Total!E1523</f>
        <v>Obra Civil</v>
      </c>
      <c r="F18" s="96" t="str">
        <f>Total!F1523</f>
        <v>Projectes</v>
      </c>
      <c r="G18" s="112" t="str">
        <f>Total!G1523</f>
        <v>EI. EI-VG-05143-A2</v>
      </c>
      <c r="H18" s="112" t="str">
        <f>Total!H1523</f>
        <v>Redacció de l'estudi informatiu: Millora general. Variant de Torroella de Montgrí. Carretera C-31, PK 348+500 al 353+500. Tram: Gualta - la Tallada d'Empordà.</v>
      </c>
      <c r="I18" s="157">
        <f>Total!I1523</f>
        <v>123000</v>
      </c>
    </row>
    <row r="19" spans="1:9" x14ac:dyDescent="0.2">
      <c r="A19" s="8">
        <v>18</v>
      </c>
      <c r="B19" s="101">
        <f>Total!B1524</f>
        <v>43081</v>
      </c>
      <c r="C19" s="101">
        <f>Total!C1524</f>
        <v>43129</v>
      </c>
      <c r="D19" s="112" t="s">
        <v>1092</v>
      </c>
      <c r="E19" s="101" t="str">
        <f>Total!E1524</f>
        <v>Edificació</v>
      </c>
      <c r="F19" s="96" t="str">
        <f>Total!F1524</f>
        <v>Projectes i Direccions d'Obra</v>
      </c>
      <c r="G19" s="112" t="str">
        <f>Total!G1524</f>
        <v>PE+DO. HLL-17273 (1v)</v>
      </c>
      <c r="H19" s="112" t="str">
        <f>Total!H1524</f>
        <v>Redacció del projecte d'instal·lacions i la posterior direcció de les obres de l'ampliació i reforma del Bloc quirúrgic de l'Hospital Arnau de Vilanova de Lleida.</v>
      </c>
      <c r="I19" s="157">
        <f>Total!I1524</f>
        <v>291179.09999999998</v>
      </c>
    </row>
    <row r="20" spans="1:9" x14ac:dyDescent="0.2">
      <c r="A20" s="8">
        <v>19</v>
      </c>
      <c r="B20" s="101">
        <f>Total!B1525</f>
        <v>43081</v>
      </c>
      <c r="C20" s="101">
        <f>Total!C1525</f>
        <v>43129</v>
      </c>
      <c r="D20" s="112" t="s">
        <v>1092</v>
      </c>
      <c r="E20" s="101" t="str">
        <f>Total!E1525</f>
        <v>Edificació</v>
      </c>
      <c r="F20" s="96" t="str">
        <f>Total!F1525</f>
        <v>Projectes i Direccions d'Obra</v>
      </c>
      <c r="G20" s="112" t="str">
        <f>Total!G1525</f>
        <v>PE+DO. HLL-14319 (1v)</v>
      </c>
      <c r="H20" s="112" t="str">
        <f>Total!H1525</f>
        <v>Redacció del projecte bàsic i executiu i la posterior direcció de les obres d'ampliació i reforma del Bloc Quirúrgic de l'Hospital Arnau de Vilanova, de Lleida.</v>
      </c>
      <c r="I20" s="157">
        <f>Total!I1525</f>
        <v>554653.9</v>
      </c>
    </row>
    <row r="21" spans="1:9" x14ac:dyDescent="0.2">
      <c r="A21" s="8">
        <v>21</v>
      </c>
      <c r="B21" s="101">
        <f>Total!B1527</f>
        <v>43082</v>
      </c>
      <c r="C21" s="101">
        <f>Total!C1527</f>
        <v>43108</v>
      </c>
      <c r="D21" s="112" t="s">
        <v>1092</v>
      </c>
      <c r="E21" s="101" t="str">
        <f>Total!E1527</f>
        <v>Obra Civil</v>
      </c>
      <c r="F21" s="96" t="str">
        <f>Total!F1527</f>
        <v>Projectes</v>
      </c>
      <c r="G21" s="112" t="str">
        <f>Total!G1527</f>
        <v>EV-MA-18900</v>
      </c>
      <c r="H21" s="112" t="str">
        <f>Total!H1527</f>
        <v>Assistència tècnica pel seguiments dels treballs de millora de l’habitat estepari. Mesures compensatòries del regadiu del sistema Segarra-Garrigues. Campanya 2018-2019</v>
      </c>
      <c r="I21" s="157">
        <f>Total!I1527</f>
        <v>126500</v>
      </c>
    </row>
    <row r="22" spans="1:9" x14ac:dyDescent="0.2">
      <c r="A22" s="8">
        <v>22</v>
      </c>
      <c r="B22" s="101">
        <f>Total!B1528</f>
        <v>43082</v>
      </c>
      <c r="C22" s="101">
        <f>Total!C1528</f>
        <v>43108</v>
      </c>
      <c r="D22" s="112" t="s">
        <v>1092</v>
      </c>
      <c r="E22" s="101" t="str">
        <f>Total!E1528</f>
        <v>Obra Civil</v>
      </c>
      <c r="F22" s="96" t="str">
        <f>Total!F1528</f>
        <v>Control de Qualitat</v>
      </c>
      <c r="G22" s="112" t="str">
        <f>Total!G1528</f>
        <v>CQ. MG-15015.2</v>
      </c>
      <c r="H22" s="112" t="str">
        <f>Total!H1528</f>
        <v>Control de qualitat de les obres del projecte constructiu de millora local. Seguretat viària. Millora de seguretat i reestudi de la secció transversal. Carretera C-66, PK 50+450 al PK 55+800. Tram: Serinyà – Sant Ferriol.</v>
      </c>
      <c r="I22" s="157">
        <f>Total!I1528</f>
        <v>52868.85</v>
      </c>
    </row>
    <row r="23" spans="1:9" x14ac:dyDescent="0.2">
      <c r="A23" s="8">
        <v>23</v>
      </c>
      <c r="B23" s="101">
        <f>Total!B1529</f>
        <v>43083</v>
      </c>
      <c r="C23" s="101">
        <f>Total!C1529</f>
        <v>43122</v>
      </c>
      <c r="D23" s="112" t="s">
        <v>1092</v>
      </c>
      <c r="E23" s="101" t="str">
        <f>Total!E1529</f>
        <v>Edificació</v>
      </c>
      <c r="F23" s="96" t="str">
        <f>Total!F1529</f>
        <v>Direccions d'Execució</v>
      </c>
      <c r="G23" s="112" t="str">
        <f>Total!G1529</f>
        <v>DE. HHB-15356</v>
      </c>
      <c r="H23" s="112" t="str">
        <f>Total!H1529</f>
        <v>Direcció d'execució de les obres del nou accés ambulatori i reforma de la planta soterrani per a Consultes Externes de l'Àrea MaternoInfantil del'Hospital Vall d'Hebrón de Barcelona.</v>
      </c>
      <c r="I23" s="157">
        <f>Total!I1529</f>
        <v>75029</v>
      </c>
    </row>
    <row r="24" spans="1:9" x14ac:dyDescent="0.2">
      <c r="A24" s="8">
        <v>24</v>
      </c>
      <c r="B24" s="101">
        <f>Total!B1530</f>
        <v>43083</v>
      </c>
      <c r="C24" s="101">
        <f>Total!C1530</f>
        <v>43108</v>
      </c>
      <c r="D24" s="112" t="s">
        <v>1092</v>
      </c>
      <c r="E24" s="101" t="str">
        <f>Total!E1530</f>
        <v>Obra Civil</v>
      </c>
      <c r="F24" s="96" t="str">
        <f>Total!F1530</f>
        <v>Projectes</v>
      </c>
      <c r="G24" s="112" t="str">
        <f>Total!G1530</f>
        <v>EV. AE-XC-10020.3</v>
      </c>
      <c r="H24" s="112" t="str">
        <f>Total!H1530</f>
        <v>Redacció de l'estudi complementari de traçat de la via ciclista del Ter. Tram: Vilallonga de Ter - Setcases.</v>
      </c>
      <c r="I24" s="157">
        <f>Total!I1530</f>
        <v>11700</v>
      </c>
    </row>
    <row r="25" spans="1:9" x14ac:dyDescent="0.2">
      <c r="A25" s="8">
        <v>25</v>
      </c>
      <c r="B25" s="101">
        <f>Total!B1531</f>
        <v>43083</v>
      </c>
      <c r="C25" s="101">
        <f>Total!C1531</f>
        <v>43124</v>
      </c>
      <c r="D25" s="112" t="s">
        <v>1092</v>
      </c>
      <c r="E25" s="101" t="str">
        <f>Total!E1531</f>
        <v>Obra Civil</v>
      </c>
      <c r="F25" s="96" t="str">
        <f>Total!F1531</f>
        <v>Projectes</v>
      </c>
      <c r="G25" s="112" t="str">
        <f>Total!G1531</f>
        <v>PM. NB-07078.1-F1-M1</v>
      </c>
      <c r="H25" s="112" t="str">
        <f>Total!H1531</f>
        <v>Redac. proj. modif. núm. 1 de les obres de millora general. Nova carretera. Millora de l'accessibilitat a la vialitat urbana de Badalona. Calçada lateral a la C-31 sentit Barcelona, del PK 212+650 al 213+800. Fase 1 (trams 2 i 3). Tram: Badalona.</v>
      </c>
      <c r="I25" s="157">
        <f>Total!I1531</f>
        <v>28000</v>
      </c>
    </row>
    <row r="26" spans="1:9" x14ac:dyDescent="0.2">
      <c r="A26" s="8">
        <v>26</v>
      </c>
      <c r="B26" s="101">
        <f>Total!B1532</f>
        <v>43083</v>
      </c>
      <c r="C26" s="101">
        <f>Total!C1532</f>
        <v>43108</v>
      </c>
      <c r="D26" s="112" t="s">
        <v>1092</v>
      </c>
      <c r="E26" s="101" t="str">
        <f>Total!E1532</f>
        <v>Obra Civil</v>
      </c>
      <c r="F26" s="96" t="str">
        <f>Total!F1532</f>
        <v>Projectes</v>
      </c>
      <c r="G26" s="112" t="str">
        <f>Total!G1532</f>
        <v>PC. PC-CMB-17037</v>
      </c>
      <c r="H26" s="112" t="str">
        <f>Total!H1532</f>
        <v>Redacció del projecte constructiu: Millora local. Millora de nus. Rotonda a la carretera BV-5105, PK 0+745. Tram: La Roca del Vallès (Santa Agnès de Malanyanes).</v>
      </c>
      <c r="I26" s="157">
        <f>Total!I1532</f>
        <v>25500</v>
      </c>
    </row>
    <row r="27" spans="1:9" x14ac:dyDescent="0.2">
      <c r="A27" s="8">
        <v>27</v>
      </c>
      <c r="B27" s="101">
        <f>Total!B1534</f>
        <v>43084</v>
      </c>
      <c r="C27" s="101">
        <f>Total!C1534</f>
        <v>43136</v>
      </c>
      <c r="D27" s="112" t="s">
        <v>1092</v>
      </c>
      <c r="E27" s="101" t="str">
        <f>Total!E1534</f>
        <v>Obra Civil</v>
      </c>
      <c r="F27" s="96" t="str">
        <f>Total!F1534</f>
        <v>Projectes</v>
      </c>
      <c r="G27" s="112" t="str">
        <f>Total!G1534</f>
        <v>TA. TA-CMB-17063 / PC. CMB-17063</v>
      </c>
      <c r="H27" s="112" t="str">
        <f>Total!H1534</f>
        <v>Redacció del projecte de traçat i del projecte constructiu de millora local. Millora de nus. Millora d´accessibilitat a Mollet. Enllaç de Mollet del Vallès - Pol. Ind. de Martorelles. Carretera C-17 al PK 12+000. Tram: Mollet del Vallès.</v>
      </c>
      <c r="I27" s="157">
        <f>Total!I1534</f>
        <v>89400</v>
      </c>
    </row>
    <row r="28" spans="1:9" x14ac:dyDescent="0.2">
      <c r="A28" s="8">
        <v>28</v>
      </c>
      <c r="B28" s="101">
        <f>Total!B1535</f>
        <v>43084</v>
      </c>
      <c r="C28" s="101">
        <f>Total!C1535</f>
        <v>43136</v>
      </c>
      <c r="D28" s="112" t="s">
        <v>1092</v>
      </c>
      <c r="E28" s="101" t="str">
        <f>Total!E1535</f>
        <v>Obra Civil</v>
      </c>
      <c r="F28" s="96" t="str">
        <f>Total!F1535</f>
        <v>Projectes</v>
      </c>
      <c r="G28" s="112" t="str">
        <f>Total!G1535</f>
        <v>EI. EI-CVB-17034</v>
      </c>
      <c r="H28" s="112" t="str">
        <f>Total!H1535</f>
        <v>Redacció de l'estudi informatiu de Millora general. Variant sud-oest de la Ronda de Ter del PK 4+000 de la carretera C-153 al PK 2+000 de la carretera BV-5222. Tram: Gurb - les Masies de Roda.</v>
      </c>
      <c r="I28" s="157">
        <f>Total!I1535</f>
        <v>88100</v>
      </c>
    </row>
    <row r="29" spans="1:9" x14ac:dyDescent="0.2">
      <c r="A29" s="8">
        <v>29</v>
      </c>
      <c r="B29" s="101">
        <f>Total!B1536</f>
        <v>43084</v>
      </c>
      <c r="C29" s="101">
        <f>Total!C1536</f>
        <v>43115</v>
      </c>
      <c r="D29" s="112" t="s">
        <v>1092</v>
      </c>
      <c r="E29" s="101" t="str">
        <f>Total!E1536</f>
        <v>Obra Civil</v>
      </c>
      <c r="F29" s="96" t="str">
        <f>Total!F1536</f>
        <v>Projectes</v>
      </c>
      <c r="G29" s="112" t="str">
        <f>Total!G1536</f>
        <v>PC. PC-CXG-17032</v>
      </c>
      <c r="H29" s="112" t="str">
        <f>Total!H1536</f>
        <v>Redacció del projecte constructiu de portada d'aigües a la finca Sant Mateu. Carretera C-37, PK 168+000, marge esquerre. Tram: La Vall d'en Bas.</v>
      </c>
      <c r="I29" s="157">
        <f>Total!I1536</f>
        <v>19000</v>
      </c>
    </row>
    <row r="30" spans="1:9" x14ac:dyDescent="0.2">
      <c r="A30" s="8">
        <v>30</v>
      </c>
      <c r="B30" s="101">
        <f>Total!B1537</f>
        <v>43084</v>
      </c>
      <c r="C30" s="101">
        <f>Total!C1537</f>
        <v>43110</v>
      </c>
      <c r="D30" s="112" t="s">
        <v>1092</v>
      </c>
      <c r="E30" s="101" t="str">
        <f>Total!E1537</f>
        <v>Edificació</v>
      </c>
      <c r="F30" s="96" t="str">
        <f>Total!F1537</f>
        <v>Control de Qualitat</v>
      </c>
      <c r="G30" s="112" t="str">
        <f>Total!G1537</f>
        <v>CQ. INL-10083</v>
      </c>
      <c r="H30" s="112" t="str">
        <f>Total!H1537</f>
        <v>Control de qualitat de les obres de nova construcció 4/2 línies de l'Institut Joan Solà de Torrefarrera.</v>
      </c>
      <c r="I30" s="157">
        <f>Total!I1537</f>
        <v>53698.06</v>
      </c>
    </row>
    <row r="31" spans="1:9" x14ac:dyDescent="0.2">
      <c r="A31" s="8">
        <v>31</v>
      </c>
      <c r="B31" s="101">
        <f>Total!B1538</f>
        <v>43084</v>
      </c>
      <c r="C31" s="101">
        <f>Total!C1538</f>
        <v>43125</v>
      </c>
      <c r="D31" s="112" t="s">
        <v>1092</v>
      </c>
      <c r="E31" s="101" t="str">
        <f>Total!E1538</f>
        <v>Edificació</v>
      </c>
      <c r="F31" s="96" t="str">
        <f>Total!F1538</f>
        <v>Direccions d'Execució</v>
      </c>
      <c r="G31" s="112" t="str">
        <f>Total!G1538</f>
        <v>CSS. HHB-15356</v>
      </c>
      <c r="H31" s="112" t="str">
        <f>Total!H1538</f>
        <v>Coordinació de seguretat i salut per l'execució de les obres del nou accés ambulatori i reforma de la planta soterrani per a Consultes Externes de l'Àrea MaternoInfantil de l'Hospital Vall d'Hebrón de Barcelona.</v>
      </c>
      <c r="I31" s="157">
        <f>Total!I1538</f>
        <v>18757</v>
      </c>
    </row>
    <row r="32" spans="1:9" x14ac:dyDescent="0.2">
      <c r="A32" s="8">
        <v>32</v>
      </c>
      <c r="B32" s="101">
        <f>Total!B1539</f>
        <v>43084</v>
      </c>
      <c r="C32" s="101">
        <f>Total!C1539</f>
        <v>43115</v>
      </c>
      <c r="D32" s="112" t="s">
        <v>1092</v>
      </c>
      <c r="E32" s="101" t="str">
        <f>Total!E1539</f>
        <v>Obra Civil</v>
      </c>
      <c r="F32" s="96" t="str">
        <f>Total!F1539</f>
        <v>Projectes</v>
      </c>
      <c r="G32" s="112" t="str">
        <f>Total!G1539</f>
        <v>TA. TA-CAB-17038</v>
      </c>
      <c r="H32" s="112" t="str">
        <f>Total!H1539</f>
        <v>Redacció del projecte de traçat: Millora general. Condicionament. Tercer carril a l'autopista C-16, del PK 22+000 al 23+800. Tram: Terrassa.</v>
      </c>
      <c r="I32" s="157">
        <f>Total!I1539</f>
        <v>97200</v>
      </c>
    </row>
    <row r="33" spans="1:9" x14ac:dyDescent="0.2">
      <c r="A33" s="8">
        <v>33</v>
      </c>
      <c r="B33" s="101">
        <f>Total!B1540</f>
        <v>43084</v>
      </c>
      <c r="C33" s="101">
        <f>Total!C1540</f>
        <v>43110</v>
      </c>
      <c r="D33" s="112" t="s">
        <v>1092</v>
      </c>
      <c r="E33" s="101" t="str">
        <f>Total!E1540</f>
        <v>Obra Civil</v>
      </c>
      <c r="F33" s="96" t="str">
        <f>Total!F1540</f>
        <v>Direccions d'Obra</v>
      </c>
      <c r="G33" s="112" t="str">
        <f>Total!G1540</f>
        <v>CSS. MB-15055</v>
      </c>
      <c r="H33" s="112" t="str">
        <f>Total!H1540</f>
        <v>Coord. s.s. exec. obres proj. constructiu millora local. Seg. viària. Millora característiques superficials ferm i reestudi de la sec.transversal. C-55, del PK 11+400 al 18+500, i C-58, del PK 37+790 al 39+145. Tram: Collbató – Castellbell i el Vilar.</v>
      </c>
      <c r="I33" s="157">
        <f>Total!I1540</f>
        <v>14400</v>
      </c>
    </row>
    <row r="34" spans="1:9" x14ac:dyDescent="0.2">
      <c r="A34" s="8">
        <v>34</v>
      </c>
      <c r="B34" s="101">
        <f>Total!B1541</f>
        <v>43084</v>
      </c>
      <c r="C34" s="101">
        <f>Total!C1541</f>
        <v>43110</v>
      </c>
      <c r="D34" s="112" t="s">
        <v>1092</v>
      </c>
      <c r="E34" s="101" t="str">
        <f>Total!E1541</f>
        <v>Edificació</v>
      </c>
      <c r="F34" s="96" t="str">
        <f>Total!F1541</f>
        <v>Direccions d'Execució</v>
      </c>
      <c r="G34" s="112" t="str">
        <f>Total!G1541</f>
        <v>CSS. PNL-07357.A</v>
      </c>
      <c r="H34" s="112" t="str">
        <f>Total!H1541</f>
        <v>Coordinació de seguretat i salut de les obres de la nova Construcció Escola 1,5 L (sense gimnàs) a l'Escola d'Almenar.</v>
      </c>
      <c r="I34" s="157">
        <f>Total!I1541</f>
        <v>15900</v>
      </c>
    </row>
    <row r="35" spans="1:9" x14ac:dyDescent="0.2">
      <c r="A35" s="8">
        <v>35</v>
      </c>
      <c r="B35" s="101">
        <f>Total!B1542</f>
        <v>43087</v>
      </c>
      <c r="C35" s="101">
        <f>Total!C1542</f>
        <v>43117</v>
      </c>
      <c r="D35" s="112" t="s">
        <v>1092</v>
      </c>
      <c r="E35" s="101" t="str">
        <f>Total!E1542</f>
        <v>Edificació</v>
      </c>
      <c r="F35" s="96" t="str">
        <f>Total!F1542</f>
        <v>Projectes i Direccions d'Obra</v>
      </c>
      <c r="G35" s="112" t="str">
        <f>Total!G1542</f>
        <v>PE+DO. CAP-17268 (1v)</v>
      </c>
      <c r="H35" s="112" t="str">
        <f>Total!H1542</f>
        <v>Redacció del projecte bàsic i executiu i la posterior direcció de les obres d'ampliació del Centre d'Atenció Primària Roquetes, de Sant Pere de Ribes.</v>
      </c>
      <c r="I35" s="157">
        <f>Total!I1542</f>
        <v>131187</v>
      </c>
    </row>
    <row r="36" spans="1:9" x14ac:dyDescent="0.2">
      <c r="A36" s="8">
        <v>36</v>
      </c>
      <c r="B36" s="101">
        <f>Total!B1543</f>
        <v>43087</v>
      </c>
      <c r="C36" s="101">
        <f>Total!C1543</f>
        <v>43110</v>
      </c>
      <c r="D36" s="112" t="s">
        <v>1092</v>
      </c>
      <c r="E36" s="101" t="str">
        <f>Total!E1543</f>
        <v>Edificació</v>
      </c>
      <c r="F36" s="96" t="str">
        <f>Total!F1543</f>
        <v>Direccions d'Execució</v>
      </c>
      <c r="G36" s="112" t="str">
        <f>Total!G1543</f>
        <v>CSS. INL-10083</v>
      </c>
      <c r="H36" s="112" t="str">
        <f>Total!H1543</f>
        <v>Coordinació de seguretat i salut de l'execució de les obres de Nova construcció 4/2 línies de l'Institut Joan Solà de Torrefarrera.</v>
      </c>
      <c r="I36" s="157">
        <f>Total!I1543</f>
        <v>32000</v>
      </c>
    </row>
    <row r="37" spans="1:9" x14ac:dyDescent="0.2">
      <c r="A37" s="8">
        <v>37</v>
      </c>
      <c r="B37" s="101">
        <f>Total!B1544</f>
        <v>43088</v>
      </c>
      <c r="C37" s="101">
        <f>Total!C1544</f>
        <v>43110</v>
      </c>
      <c r="D37" s="112" t="s">
        <v>1092</v>
      </c>
      <c r="E37" s="101" t="str">
        <f>Total!E1544</f>
        <v>Obra Civil</v>
      </c>
      <c r="F37" s="96" t="str">
        <f>Total!F1544</f>
        <v>Direccions d'Obra</v>
      </c>
      <c r="G37" s="112" t="str">
        <f>Total!G1544</f>
        <v>CSS. MA-15901</v>
      </c>
      <c r="H37" s="112" t="str">
        <f>Total!H1544</f>
        <v>Coord. S.S obres. Proj recuperació dels sist. naturals de l'àmbit fluvial dels rius Ondara i Cercavins: TM de Granyanella, Tàrrega i Verdú. Mesures correctores i compens atòries del regadiu del sistema Segarra-Garrigues. Dec. Imp. Ambiental 2010</v>
      </c>
      <c r="I37" s="157">
        <f>Total!I1544</f>
        <v>4800</v>
      </c>
    </row>
    <row r="38" spans="1:9" x14ac:dyDescent="0.2">
      <c r="A38" s="8">
        <v>38</v>
      </c>
      <c r="B38" s="101">
        <f>Total!B1545</f>
        <v>43088</v>
      </c>
      <c r="C38" s="101">
        <f>Total!C1545</f>
        <v>43108</v>
      </c>
      <c r="D38" s="112" t="s">
        <v>1092</v>
      </c>
      <c r="E38" s="101" t="str">
        <f>Total!E1545</f>
        <v>Edificació</v>
      </c>
      <c r="F38" s="96" t="str">
        <f>Total!F1545</f>
        <v>Projectes i Direccions d'Obra</v>
      </c>
      <c r="G38" s="112" t="str">
        <f>Total!G1545</f>
        <v>PE+DO. HGG-17216 (1v)</v>
      </c>
      <c r="H38" s="112" t="str">
        <f>Total!H1545</f>
        <v>Redacció del projecte d'instal·lacions i posterior direcció de les obres de l'ampliació del Bloc Quirúrgic de l'Hospital de Blanes.</v>
      </c>
      <c r="I38" s="157">
        <f>Total!I1545</f>
        <v>118613.8</v>
      </c>
    </row>
    <row r="39" spans="1:9" x14ac:dyDescent="0.2">
      <c r="A39" s="8">
        <v>39</v>
      </c>
      <c r="B39" s="101">
        <f>Total!B1546</f>
        <v>43090</v>
      </c>
      <c r="C39" s="101">
        <f>Total!C1546</f>
        <v>43178</v>
      </c>
      <c r="D39" s="112" t="s">
        <v>1092</v>
      </c>
      <c r="E39" s="101" t="str">
        <f>Total!E1546</f>
        <v>Edificació</v>
      </c>
      <c r="F39" s="96" t="str">
        <f>Total!F1546</f>
        <v>Projectes i Direccions d'Obra</v>
      </c>
      <c r="G39" s="112" t="str">
        <f>Total!G1546</f>
        <v>PE+DO. HGG-17270 (1v)</v>
      </c>
      <c r="H39" s="112" t="str">
        <f>Total!H1546</f>
        <v>Redacció del projecte bàsic i executiu i la posterior direcció de les obres d'adequació de la UCI pediàtrica i de neonatologia de l'Hospital Universitari Doctor Josep Trueta, de Girona.</v>
      </c>
      <c r="I39" s="157">
        <f>Total!I1546</f>
        <v>234323</v>
      </c>
    </row>
    <row r="40" spans="1:9" x14ac:dyDescent="0.2">
      <c r="A40" s="8">
        <v>40</v>
      </c>
      <c r="B40" s="101">
        <f>Total!B1547</f>
        <v>43089</v>
      </c>
      <c r="C40" s="101">
        <f>Total!C1547</f>
        <v>43121</v>
      </c>
      <c r="D40" s="112" t="s">
        <v>1092</v>
      </c>
      <c r="E40" s="101" t="str">
        <f>Total!E1547</f>
        <v>Edificació</v>
      </c>
      <c r="F40" s="96" t="str">
        <f>Total!F1547</f>
        <v>Direccions d'Execució</v>
      </c>
      <c r="G40" s="112" t="str">
        <f>Total!G1547</f>
        <v>DE. INM-10090</v>
      </c>
      <c r="H40" s="112" t="str">
        <f>Total!H1547</f>
        <v>Direcció d'execució de les obres de nova construcció Institut 2/0 línies a l'Institut Can Record de Sant Esteve Palautordera.</v>
      </c>
      <c r="I40" s="157">
        <f>Total!I1547</f>
        <v>88000</v>
      </c>
    </row>
    <row r="41" spans="1:9" x14ac:dyDescent="0.2">
      <c r="A41" s="8">
        <v>41</v>
      </c>
      <c r="B41" s="101">
        <f>Total!B1548</f>
        <v>43089</v>
      </c>
      <c r="C41" s="101">
        <f>Total!C1548</f>
        <v>43117</v>
      </c>
      <c r="D41" s="112" t="s">
        <v>1092</v>
      </c>
      <c r="E41" s="101" t="str">
        <f>Total!E1548</f>
        <v>Obra Civil</v>
      </c>
      <c r="F41" s="96" t="str">
        <f>Total!F1548</f>
        <v>Projectes</v>
      </c>
      <c r="G41" s="112" t="str">
        <f>Total!G1548</f>
        <v>PC. TX-14327.F2, F3 i F4</v>
      </c>
      <c r="H41" s="112" t="str">
        <f>Total!H1548</f>
        <v>Redacció del projecte constructiu: Via cicloturística Intercatalunya. Fase 2: Cervera – Manresa. Fase 3: Manresa – Vic. Fase 4: Vic – Girona.</v>
      </c>
      <c r="I41" s="157">
        <f>Total!I1548</f>
        <v>45600</v>
      </c>
    </row>
    <row r="42" spans="1:9" x14ac:dyDescent="0.2">
      <c r="A42" s="8">
        <v>42</v>
      </c>
      <c r="B42" s="101">
        <f>Total!B1549</f>
        <v>43090</v>
      </c>
      <c r="C42" s="101">
        <f>Total!C1549</f>
        <v>43137</v>
      </c>
      <c r="D42" s="112" t="s">
        <v>1092</v>
      </c>
      <c r="E42" s="101" t="str">
        <f>Total!E1549</f>
        <v>Edificació</v>
      </c>
      <c r="F42" s="96" t="str">
        <f>Total!F1549</f>
        <v>Projectes i Direccions d'Obra</v>
      </c>
      <c r="G42" s="112" t="str">
        <f>Total!G1549</f>
        <v>PE+DO. HTT-16283 (2v)</v>
      </c>
      <c r="H42" s="112" t="str">
        <f>Total!H1549</f>
        <v>Redacció del projecte bàsic i executiu i la posterior direcció de les obres del nou edifici d'aparcament i reserva de futur creixement de l'Hospital Verge de la Cinta de Tortosa.</v>
      </c>
      <c r="I42" s="157">
        <f>Total!I1549</f>
        <v>788284</v>
      </c>
    </row>
    <row r="43" spans="1:9" x14ac:dyDescent="0.2">
      <c r="A43" s="8">
        <v>43</v>
      </c>
      <c r="B43" s="101">
        <f>Total!B1550</f>
        <v>43097</v>
      </c>
      <c r="C43" s="101">
        <f>Total!C1550</f>
        <v>43117</v>
      </c>
      <c r="D43" s="112" t="s">
        <v>1092</v>
      </c>
      <c r="E43" s="101" t="str">
        <f>Total!E1550</f>
        <v>Edificació</v>
      </c>
      <c r="F43" s="96" t="str">
        <f>Total!F1550</f>
        <v>Direccions d'Execució</v>
      </c>
      <c r="G43" s="112" t="str">
        <f>Total!G1550</f>
        <v>DE. PNL-07357.A</v>
      </c>
      <c r="H43" s="112" t="str">
        <f>Total!H1550</f>
        <v>Direcció d'execució de les obres de la nova construcció Escola 1,5L(sense gimnàs) a l'Escola d'Almenar.</v>
      </c>
      <c r="I43" s="157">
        <f>Total!I1550</f>
        <v>79546.44</v>
      </c>
    </row>
    <row r="44" spans="1:9" x14ac:dyDescent="0.2">
      <c r="A44" s="8">
        <v>44</v>
      </c>
      <c r="B44" s="101">
        <f>Total!B1551</f>
        <v>43097</v>
      </c>
      <c r="C44" s="101">
        <f>Total!C1551</f>
        <v>43122</v>
      </c>
      <c r="D44" s="112" t="s">
        <v>1092</v>
      </c>
      <c r="E44" s="101" t="str">
        <f>Total!E1551</f>
        <v>Obra Civil</v>
      </c>
      <c r="F44" s="96" t="str">
        <f>Total!F1551</f>
        <v>Projectes</v>
      </c>
      <c r="G44" s="112" t="str">
        <f>Total!G1551</f>
        <v>PC. PC-CML-17071</v>
      </c>
      <c r="H44" s="112" t="str">
        <f>Total!H1551</f>
        <v>Redacció del projecte constructiu Millora local. Millora de drenatge de la OD 92.1. Carretera C-25, pk 92,100. Tram: Estaràs.</v>
      </c>
      <c r="I44" s="157">
        <f>Total!I1551</f>
        <v>19000</v>
      </c>
    </row>
    <row r="45" spans="1:9" x14ac:dyDescent="0.2">
      <c r="A45" s="8">
        <v>45</v>
      </c>
      <c r="B45" s="101">
        <f>Total!B1552</f>
        <v>43097</v>
      </c>
      <c r="C45" s="101">
        <f>Total!C1552</f>
        <v>43122</v>
      </c>
      <c r="D45" s="112" t="s">
        <v>1092</v>
      </c>
      <c r="E45" s="101" t="str">
        <f>Total!E1552</f>
        <v>Obra Civil</v>
      </c>
      <c r="F45" s="96" t="str">
        <f>Total!F1552</f>
        <v>Projectes</v>
      </c>
      <c r="G45" s="112" t="str">
        <f>Total!G1552</f>
        <v>PC. MT-15024</v>
      </c>
      <c r="H45" s="112" t="str">
        <f>Total!H1552</f>
        <v>Redacció del projecte construcció Millora local. Seguretat viària. Condicionament urbà de la carretera C-31, del pk 143,600 al 146,640. Tram: Cunit.</v>
      </c>
      <c r="I45" s="157">
        <f>Total!I1552</f>
        <v>57500</v>
      </c>
    </row>
    <row r="46" spans="1:9" x14ac:dyDescent="0.2">
      <c r="A46" s="8">
        <v>46</v>
      </c>
      <c r="B46" s="101">
        <f>Total!B1553</f>
        <v>43096</v>
      </c>
      <c r="C46" s="101">
        <f>Total!C1553</f>
        <v>43115</v>
      </c>
      <c r="D46" s="112" t="s">
        <v>1092</v>
      </c>
      <c r="E46" s="101" t="str">
        <f>Total!E1553</f>
        <v>Obra Civil</v>
      </c>
      <c r="F46" s="96" t="str">
        <f>Total!F1553</f>
        <v>Direccions d'obra</v>
      </c>
      <c r="G46" s="112" t="str">
        <f>Total!G1553</f>
        <v>DO. TM-11018.A+TF-02676.11</v>
      </c>
      <c r="H46" s="112" t="str">
        <f>Total!H1553</f>
        <v>Direcció conjunta de les obres del: proj. actuacions millora evacuació i accessibilitat de l'estació Vallcarca de la línia 3 FMB. Fase A i condicionament túnel i estacions entre Sabadell Estació (prov.) i Sabadell Rambla.</v>
      </c>
      <c r="I46" s="157">
        <f>Total!I1553</f>
        <v>112444.44</v>
      </c>
    </row>
    <row r="47" spans="1:9" x14ac:dyDescent="0.2">
      <c r="A47" s="8">
        <v>47</v>
      </c>
      <c r="B47" s="101">
        <f>Total!B1554</f>
        <v>43096</v>
      </c>
      <c r="C47" s="101">
        <f>Total!C1554</f>
        <v>43117</v>
      </c>
      <c r="D47" s="112" t="s">
        <v>1092</v>
      </c>
      <c r="E47" s="101" t="str">
        <f>Total!E1554</f>
        <v>Obra Civil</v>
      </c>
      <c r="F47" s="96" t="str">
        <f>Total!F1554</f>
        <v>Projectes</v>
      </c>
      <c r="G47" s="112" t="str">
        <f>Total!G1554</f>
        <v>PC. MAB-17077</v>
      </c>
      <c r="H47" s="112" t="str">
        <f>Total!H1554</f>
        <v>Redacció del projecte constructiu: renovació dels enclavaments de relés a les estacions de Sagrada Família, Passeig de Gràcia i Paral·lel a la línia 2 de FMB. Barcelona.</v>
      </c>
      <c r="I47" s="157">
        <f>Total!I1554</f>
        <v>60000</v>
      </c>
    </row>
    <row r="48" spans="1:9" x14ac:dyDescent="0.2">
      <c r="A48" s="8">
        <v>48</v>
      </c>
      <c r="B48" s="101">
        <f>Total!B1555</f>
        <v>43091</v>
      </c>
      <c r="C48" s="101">
        <f>Total!C1555</f>
        <v>43129</v>
      </c>
      <c r="D48" s="112" t="s">
        <v>1092</v>
      </c>
      <c r="E48" s="101" t="str">
        <f>Total!E1555</f>
        <v>Obra Civil</v>
      </c>
      <c r="F48" s="96" t="str">
        <f>Total!F1555</f>
        <v>Projectes</v>
      </c>
      <c r="G48" s="112" t="str">
        <f>Total!G1555</f>
        <v>PC. PC-CMB-17031</v>
      </c>
      <c r="H48" s="112" t="str">
        <f>Total!H1555</f>
        <v>Redacció del projecte constructiu millora local. Millora de talussos a les carreteres N-141b i M-141g. Tram: Aguilar de Segarra.</v>
      </c>
      <c r="I48" s="157">
        <f>Total!I1555</f>
        <v>25500</v>
      </c>
    </row>
    <row r="49" spans="1:9" x14ac:dyDescent="0.2">
      <c r="A49" s="8">
        <v>49</v>
      </c>
      <c r="B49" s="101">
        <f>Total!B1556</f>
        <v>43098</v>
      </c>
      <c r="C49" s="101">
        <f>Total!C1556</f>
        <v>43129</v>
      </c>
      <c r="D49" s="112" t="s">
        <v>1092</v>
      </c>
      <c r="E49" s="101" t="str">
        <f>Total!E1556</f>
        <v>Obra Civil</v>
      </c>
      <c r="F49" s="96" t="str">
        <f>Total!F1556</f>
        <v>Projectes</v>
      </c>
      <c r="G49" s="112" t="str">
        <f>Total!G1556</f>
        <v>PC. CML-17081</v>
      </c>
      <c r="H49" s="112" t="str">
        <f>Total!H1556</f>
        <v>Redacció del projecte constructiu: Millora local. Millora de nus a la ctra. C-13, pk 87,126. Tram: Tremp.</v>
      </c>
      <c r="I49" s="157">
        <f>Total!I1556</f>
        <v>33300</v>
      </c>
    </row>
    <row r="50" spans="1:9" x14ac:dyDescent="0.2">
      <c r="A50" s="8">
        <v>50</v>
      </c>
      <c r="B50" s="101">
        <f>Total!B1557</f>
        <v>43091</v>
      </c>
      <c r="C50" s="101">
        <f>Total!C1557</f>
        <v>43110</v>
      </c>
      <c r="D50" s="112" t="s">
        <v>1092</v>
      </c>
      <c r="E50" s="101" t="str">
        <f>Total!E1557</f>
        <v>Edificació</v>
      </c>
      <c r="F50" s="96" t="str">
        <f>Total!F1557</f>
        <v>Projectes i Direccions d'Obra</v>
      </c>
      <c r="G50" s="112" t="str">
        <f>Total!G1557</f>
        <v>PE+DO. CAP-17263</v>
      </c>
      <c r="H50" s="112" t="str">
        <f>Total!H1557</f>
        <v>Redacció del projecte bàsic i executiu i la posterior direcció de les obres de la nova construcció del Centre d'Atenció Primària de Navarcles.</v>
      </c>
      <c r="I50" s="157">
        <f>Total!I1557</f>
        <v>163696</v>
      </c>
    </row>
    <row r="51" spans="1:9" x14ac:dyDescent="0.2">
      <c r="A51" s="8">
        <v>51</v>
      </c>
      <c r="B51" s="101">
        <f>Total!B1558</f>
        <v>43091</v>
      </c>
      <c r="C51" s="101">
        <f>Total!C1558</f>
        <v>43110</v>
      </c>
      <c r="D51" s="112" t="s">
        <v>1092</v>
      </c>
      <c r="E51" s="101" t="str">
        <f>Total!E1558</f>
        <v>Edificació</v>
      </c>
      <c r="F51" s="96" t="str">
        <f>Total!F1558</f>
        <v>Projectes i Direccions d'Obra</v>
      </c>
      <c r="G51" s="112" t="str">
        <f>Total!G1558</f>
        <v>PE+DO. CAP-17240</v>
      </c>
      <c r="H51" s="112" t="str">
        <f>Total!H1558</f>
        <v>Redacció del projecte bàsic i executiu i la posterior direcció de les obres de la nova construcció del Centre d'Atenció Primària Can Llong, a Sabadell.</v>
      </c>
      <c r="I51" s="157">
        <f>Total!I1558</f>
        <v>145786</v>
      </c>
    </row>
    <row r="52" spans="1:9" x14ac:dyDescent="0.2">
      <c r="I52" s="126">
        <f>SUM(I2:I51)</f>
        <v>5127742.8100000005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CDC98-3B72-46A8-9321-76DA167397D4}">
  <dimension ref="A1:I43"/>
  <sheetViews>
    <sheetView topLeftCell="A7" workbookViewId="0">
      <selection activeCell="I44" sqref="I44"/>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Total!B3607</f>
        <v>45019</v>
      </c>
      <c r="C2" s="101">
        <f>Total!C3607</f>
        <v>45040</v>
      </c>
      <c r="D2" s="112" t="s">
        <v>1092</v>
      </c>
      <c r="E2" s="332" t="str">
        <f>Total!E3607</f>
        <v>Obra Civil</v>
      </c>
      <c r="F2" s="96" t="str">
        <f>Total!F3607</f>
        <v>Control de Qualitat</v>
      </c>
      <c r="G2" s="112" t="str">
        <f>Total!G3607</f>
        <v>CQ. PC-BNC-18128.2</v>
      </c>
      <c r="H2" s="112" t="str">
        <f>Total!H3607</f>
        <v>Serv. per a A.T.a de C.Q. de les obres de les obres de la Via ciclista paral·lela a la C-35 i GI-552 entre St. Celoni i Riells i Viabrea, i millora de ferm i reestudi de la secció transversal de la C-35 del PK 57+600 al 61+985. St. Celoni-Gualba-Riells i</v>
      </c>
      <c r="I2" s="157">
        <f>Total!I3607</f>
        <v>98269.4</v>
      </c>
    </row>
    <row r="3" spans="1:9" x14ac:dyDescent="0.2">
      <c r="A3" s="8">
        <v>2</v>
      </c>
      <c r="B3" s="101">
        <f>Total!B3608</f>
        <v>45021</v>
      </c>
      <c r="C3" s="101">
        <f>Total!C3608</f>
        <v>45042</v>
      </c>
      <c r="D3" s="112" t="s">
        <v>1092</v>
      </c>
      <c r="E3" s="332" t="str">
        <f>Total!E3608</f>
        <v>Obra Civil</v>
      </c>
      <c r="F3" s="96" t="str">
        <f>Total!F3608</f>
        <v>Projectes</v>
      </c>
      <c r="G3" s="112" t="str">
        <f>Total!G3608</f>
        <v>ES-BNC-18128.2</v>
      </c>
      <c r="H3" s="112" t="str">
        <f>Total!H3608</f>
        <v>Assist. tèc. redacció de l'estudi Auditoria de seguretat viària d'obra. Via ciclista paral·lela a la C-35 i GI-552 entre Sant Celoni i Riells i Viabrea, i millora de ferm i reestudi de la secció transversal de la C-35 del pk 57,600 al 61,985. S. Celoni-..</v>
      </c>
      <c r="I3" s="157">
        <f>Total!I3608</f>
        <v>14000</v>
      </c>
    </row>
    <row r="4" spans="1:9" x14ac:dyDescent="0.2">
      <c r="A4" s="8">
        <v>3</v>
      </c>
      <c r="B4" s="101">
        <f>Total!B3609</f>
        <v>45021</v>
      </c>
      <c r="C4" s="101">
        <f>Total!C3609</f>
        <v>45042</v>
      </c>
      <c r="D4" s="112" t="s">
        <v>1092</v>
      </c>
      <c r="E4" s="332" t="str">
        <f>Total!E3609</f>
        <v>Obra Civil</v>
      </c>
      <c r="F4" s="96" t="str">
        <f>Total!F3609</f>
        <v>Direccions d'Obra</v>
      </c>
      <c r="G4" s="112" t="str">
        <f>Total!G3609</f>
        <v>CSS-PC-BNC-18128.2</v>
      </c>
      <c r="H4" s="112" t="str">
        <f>Total!H3609</f>
        <v>Coord. S.S. de les obres del projecte constructiu de la Via ciclista paral·lela a la C-35 i GI-552 entre Sant Celoni i Riells i Viabrea, i millora de ferm i reestudi de la secció transversal de la C-35 del pk 57,600 al 61,985. S. Celoni-Gualba-Riells i ..</v>
      </c>
      <c r="I4" s="157">
        <f>Total!I3609</f>
        <v>27284.2</v>
      </c>
    </row>
    <row r="5" spans="1:9" x14ac:dyDescent="0.2">
      <c r="A5" s="8">
        <v>4</v>
      </c>
      <c r="B5" s="101">
        <f>Total!B3610</f>
        <v>45022</v>
      </c>
      <c r="C5" s="101">
        <f>Total!C3610</f>
        <v>45040</v>
      </c>
      <c r="D5" s="112" t="s">
        <v>1092</v>
      </c>
      <c r="E5" s="332" t="str">
        <f>Total!E3610</f>
        <v>Obra Civil</v>
      </c>
      <c r="F5" s="96" t="str">
        <f>Total!F3610</f>
        <v>Direccions d'Obra</v>
      </c>
      <c r="G5" s="112" t="str">
        <f>Total!G3610</f>
        <v>DO. XC-10020.2.3.F2</v>
      </c>
      <c r="H5" s="112" t="str">
        <f>Total!H3610</f>
        <v>Contracte de serveis per a la direcció de les obres d'adequació del pas de la via ciclista del Ter sota nou pont a la C-38 del pk 4,700 al 5,160. Sant Pau de Segúries - Camprodon.</v>
      </c>
      <c r="I5" s="157">
        <f>Total!I3610</f>
        <v>11338.34</v>
      </c>
    </row>
    <row r="6" spans="1:9" x14ac:dyDescent="0.2">
      <c r="A6" s="8">
        <v>5</v>
      </c>
      <c r="B6" s="101">
        <f>Total!B3611</f>
        <v>45022</v>
      </c>
      <c r="C6" s="101">
        <f>Total!C3611</f>
        <v>45061</v>
      </c>
      <c r="D6" s="112" t="s">
        <v>1092</v>
      </c>
      <c r="E6" s="332" t="str">
        <f>Total!E3611</f>
        <v>Obra Civil</v>
      </c>
      <c r="F6" s="96" t="str">
        <f>Total!F3611</f>
        <v>Direccions d'Obra</v>
      </c>
      <c r="G6" s="112" t="str">
        <f>Total!G3611</f>
        <v>DO. PC-BNC-18128.2</v>
      </c>
      <c r="H6" s="112" t="str">
        <f>Total!H3611</f>
        <v>Direcció de les obres de la "Via Ciclista paral·lela a la C-35 i GI-552 entre Sant Celoni i Riells i Viabrea, i millora de ferm i reestudi de la secció transversal de la C-35 del pk 57,600 al 61,985. Sant Celoni-Gualba-Riells i Viabrea.</v>
      </c>
      <c r="I6" s="157">
        <f>Total!I3611</f>
        <v>229223.64</v>
      </c>
    </row>
    <row r="7" spans="1:9" x14ac:dyDescent="0.2">
      <c r="A7" s="8">
        <v>6</v>
      </c>
      <c r="B7" s="101">
        <f>Total!B3612</f>
        <v>45029</v>
      </c>
      <c r="C7" s="101">
        <f>Total!C3612</f>
        <v>45049</v>
      </c>
      <c r="D7" s="112" t="s">
        <v>1092</v>
      </c>
      <c r="E7" s="332" t="str">
        <f>Total!E3612</f>
        <v>Obra Civil</v>
      </c>
      <c r="F7" s="96" t="str">
        <f>Total!F3612</f>
        <v>Projectes</v>
      </c>
      <c r="G7" s="112" t="str">
        <f>Total!G3612</f>
        <v>PC. PAE-23206</v>
      </c>
      <c r="H7" s="112" t="str">
        <f>Total!H3612</f>
        <v>Contracte de serveis per a l'assistència tècnica per a la redacció del projecte constructiu de soterrament de la línia elèctrica al Parc Natural dels Aiguamolls de l'Empordà. Rec Madral.</v>
      </c>
      <c r="I7" s="157">
        <f>Total!I3612</f>
        <v>47924.24</v>
      </c>
    </row>
    <row r="8" spans="1:9" x14ac:dyDescent="0.2">
      <c r="A8" s="8">
        <v>7</v>
      </c>
      <c r="B8" s="101">
        <f>Total!B3613</f>
        <v>45029</v>
      </c>
      <c r="C8" s="101">
        <f>Total!C3613</f>
        <v>45049</v>
      </c>
      <c r="D8" s="112" t="s">
        <v>1092</v>
      </c>
      <c r="E8" s="332" t="str">
        <f>Total!E3613</f>
        <v>Obra Civil</v>
      </c>
      <c r="F8" s="96" t="str">
        <f>Total!F3613</f>
        <v>Projectes</v>
      </c>
      <c r="G8" s="112" t="str">
        <f>Total!G3613</f>
        <v>PC. PAE-23205</v>
      </c>
      <c r="H8" s="112" t="str">
        <f>Total!H3613</f>
        <v>Contracte de serveis per a l'assistència tècnica per a la redacció del projecte constructiu de soterrament de la línia elèctrica al Parc Natural dels Aiguamolls de l'Empordà. Camí del Cortalet.</v>
      </c>
      <c r="I8" s="157">
        <f>Total!I3613</f>
        <v>34924.239999999998</v>
      </c>
    </row>
    <row r="9" spans="1:9" x14ac:dyDescent="0.2">
      <c r="A9" s="8">
        <v>8</v>
      </c>
      <c r="B9" s="101">
        <f>Total!B3614</f>
        <v>45034</v>
      </c>
      <c r="C9" s="101">
        <f>Total!C3614</f>
        <v>45054</v>
      </c>
      <c r="D9" s="112" t="s">
        <v>1092</v>
      </c>
      <c r="E9" s="332" t="str">
        <f>Total!E3614</f>
        <v>Obra Civil</v>
      </c>
      <c r="F9" s="96" t="str">
        <f>Total!F3614</f>
        <v>Direccions d'Obra</v>
      </c>
      <c r="G9" s="112" t="str">
        <f>Total!G3614</f>
        <v>CSS. XC-10020.2.3-F2</v>
      </c>
      <c r="H9" s="112" t="str">
        <f>Total!H3614</f>
        <v>Contracte de serveis per a l'assistència tècnica de coordinació de seguretat i salut de les obres del projecte constructiu d'adequació del pas de la via ciclista del Ter sota nou pont a la C-38 del pk 4,70 al 5-160. Sant Pau de Segúries-Camprodon.</v>
      </c>
      <c r="I9" s="157">
        <f>Total!I3614</f>
        <v>2300.15</v>
      </c>
    </row>
    <row r="10" spans="1:9" x14ac:dyDescent="0.2">
      <c r="A10" s="8">
        <v>9</v>
      </c>
      <c r="B10" s="101">
        <f>Total!B3615</f>
        <v>45034</v>
      </c>
      <c r="C10" s="101">
        <f>Total!C3615</f>
        <v>45054</v>
      </c>
      <c r="D10" s="112" t="s">
        <v>1092</v>
      </c>
      <c r="E10" s="332" t="str">
        <f>Total!E3615</f>
        <v>Obra Civil</v>
      </c>
      <c r="F10" s="96" t="str">
        <f>Total!F3615</f>
        <v>Direccions d'Obra</v>
      </c>
      <c r="G10" s="112" t="str">
        <f>Total!G3615</f>
        <v>PC. PMM-22373</v>
      </c>
      <c r="H10" s="112" t="str">
        <f>Total!H3615</f>
        <v>Contracte de serveis per a l'assistència tècnica per a la redacció del projecte constructiu d'instal·lacions dels itineraris de patrimoni històric submergit al Parc Natural del Montgrí, les Illes Medes i el Baix Ter.</v>
      </c>
      <c r="I10" s="157">
        <f>Total!I3615</f>
        <v>49300</v>
      </c>
    </row>
    <row r="11" spans="1:9" x14ac:dyDescent="0.2">
      <c r="A11" s="8">
        <v>10</v>
      </c>
      <c r="B11" s="101">
        <f>Total!B3616</f>
        <v>45036</v>
      </c>
      <c r="C11" s="101">
        <f>Total!C3616</f>
        <v>45056</v>
      </c>
      <c r="D11" s="112" t="s">
        <v>1092</v>
      </c>
      <c r="E11" s="332" t="str">
        <f>Total!E3616</f>
        <v>Obra Civil</v>
      </c>
      <c r="F11" s="96" t="str">
        <f>Total!F3616</f>
        <v>Direccions d'Obra</v>
      </c>
      <c r="G11" s="112" t="str">
        <f>Total!G3616</f>
        <v>ATAM. PC-BNC-18128.2</v>
      </c>
      <c r="H11" s="112" t="str">
        <f>Total!H3616</f>
        <v>Serv. assit. tècnica ambiental obres projecte constructiu Via ciclista paral·lela a la C-35 i GI-552 entre S. Celoni i Riells i Viabrea, i millora de ferm i reestudi de la secció transversal de la C-35 del pk 57,600 al 61,985. Sant Celoni-Gualba-Riells i</v>
      </c>
      <c r="I11" s="157">
        <f>Total!I3616</f>
        <v>25635.05</v>
      </c>
    </row>
    <row r="12" spans="1:9" x14ac:dyDescent="0.2">
      <c r="A12" s="8">
        <v>11</v>
      </c>
      <c r="B12" s="101">
        <f>Total!B3617</f>
        <v>45036</v>
      </c>
      <c r="C12" s="101">
        <f>Total!C3617</f>
        <v>45056</v>
      </c>
      <c r="D12" s="112" t="s">
        <v>1092</v>
      </c>
      <c r="E12" s="332" t="str">
        <f>Total!E3617</f>
        <v>Obra Civil</v>
      </c>
      <c r="F12" s="96" t="str">
        <f>Total!F3617</f>
        <v>Projectes</v>
      </c>
      <c r="G12" s="112" t="str">
        <f>Total!G3617</f>
        <v>PC. PCR-23204</v>
      </c>
      <c r="H12" s="112" t="str">
        <f>Total!H3617</f>
        <v>Contracte de serveis per a l'assistència tècnica per a la redacció del projecte constructiu. Soterrament de la línia elèctrica al Parc Natural del Cap de Creus per la Crta. de Cadaqués al Far de Cap de Creus.</v>
      </c>
      <c r="I12" s="157">
        <f>Total!I3617</f>
        <v>49352.160000000003</v>
      </c>
    </row>
    <row r="13" spans="1:9" x14ac:dyDescent="0.2">
      <c r="A13" s="8">
        <v>12</v>
      </c>
      <c r="B13" s="101">
        <f>Total!B3618</f>
        <v>45036</v>
      </c>
      <c r="C13" s="101">
        <f>Total!C3618</f>
        <v>45054</v>
      </c>
      <c r="D13" s="112" t="s">
        <v>1092</v>
      </c>
      <c r="E13" s="332" t="str">
        <f>Total!E3618</f>
        <v>Obra Civil</v>
      </c>
      <c r="F13" s="96" t="str">
        <f>Total!F3618</f>
        <v>Control de Qualitat</v>
      </c>
      <c r="G13" s="112" t="str">
        <f>Total!G3618</f>
        <v>CQ. XC-10020.2.3.F2</v>
      </c>
      <c r="H13" s="112" t="str">
        <f>Total!H3618</f>
        <v>Contracte de serveis per a l'assistència tècnica de control de qualitat de les obres d'adequació del pas de la via ciclista del Ter sota nou pont a la C-38 del PK 4+700 al 5+160. Sant Pau de Segúries – Camprodon.</v>
      </c>
      <c r="I13" s="157">
        <f>Total!I3618</f>
        <v>3310.54</v>
      </c>
    </row>
    <row r="14" spans="1:9" x14ac:dyDescent="0.2">
      <c r="A14" s="8">
        <v>13</v>
      </c>
      <c r="B14" s="101">
        <f>Total!B3619</f>
        <v>45037</v>
      </c>
      <c r="C14" s="101">
        <f>Total!C3619</f>
        <v>45056</v>
      </c>
      <c r="D14" s="112" t="s">
        <v>1092</v>
      </c>
      <c r="E14" s="332" t="str">
        <f>Total!E3619</f>
        <v>Obra Civil</v>
      </c>
      <c r="F14" s="96" t="str">
        <f>Total!F3619</f>
        <v>Direccions d'Obra</v>
      </c>
      <c r="G14" s="112" t="str">
        <f>Total!G3619</f>
        <v>DO. PC-XIE-19014</v>
      </c>
      <c r="H14" s="112" t="str">
        <f>Total!H3619</f>
        <v>Contracte de serveis per a la direcció de les obres de l‘Adaptació a PMR de la passarel·la de vianants situada al PK 18+280 de la C-12. Tortosa.</v>
      </c>
      <c r="I14" s="157">
        <f>Total!I3619</f>
        <v>18865.330000000002</v>
      </c>
    </row>
    <row r="15" spans="1:9" x14ac:dyDescent="0.2">
      <c r="A15" s="8">
        <v>14</v>
      </c>
      <c r="B15" s="101">
        <f>Total!B3620</f>
        <v>45037</v>
      </c>
      <c r="C15" s="101">
        <f>Total!C3620</f>
        <v>45056</v>
      </c>
      <c r="D15" s="112" t="s">
        <v>1092</v>
      </c>
      <c r="E15" s="332" t="str">
        <f>Total!E3620</f>
        <v>Obra Civil</v>
      </c>
      <c r="F15" s="96" t="str">
        <f>Total!F3620</f>
        <v>Direccions d'Obra</v>
      </c>
      <c r="G15" s="112" t="str">
        <f>Total!G3620</f>
        <v>CSS. PC.XIE-19014</v>
      </c>
      <c r="H15" s="112" t="str">
        <f>Total!H3620</f>
        <v>Contracte de serveis per a l'assistència tècnica de coordinació de seguretat i salut de les obres de l‘Adaptació a PMR de la passarel·la de vianants situada al PK 18+280 de la C-12. Tortosa.</v>
      </c>
      <c r="I15" s="157">
        <f>Total!I3620</f>
        <v>3480</v>
      </c>
    </row>
    <row r="16" spans="1:9" x14ac:dyDescent="0.2">
      <c r="A16" s="8">
        <v>15</v>
      </c>
      <c r="B16" s="101">
        <f>Total!B3621</f>
        <v>45037</v>
      </c>
      <c r="C16" s="101">
        <f>Total!C3621</f>
        <v>45056</v>
      </c>
      <c r="D16" s="112" t="s">
        <v>1092</v>
      </c>
      <c r="E16" s="332" t="str">
        <f>Total!E3621</f>
        <v>Obra Civil</v>
      </c>
      <c r="F16" s="96" t="str">
        <f>Total!F3621</f>
        <v>Control de Qualitat</v>
      </c>
      <c r="G16" s="112" t="str">
        <f>Total!G3621</f>
        <v>CQ. PC-XIE-19014</v>
      </c>
      <c r="H16" s="112" t="str">
        <f>Total!H3621</f>
        <v>Contracte de serveis per a l'assistència tècnica de control de qualitat de les obres del projecte constructiu "Adaptació a PMR de la passarel·la de vianants situada al PK 18+280 de la C-12. Tortosa".</v>
      </c>
      <c r="I16" s="157">
        <f>Total!I3621</f>
        <v>3511.36</v>
      </c>
    </row>
    <row r="17" spans="1:9" x14ac:dyDescent="0.2">
      <c r="A17" s="8">
        <v>16</v>
      </c>
      <c r="B17" s="101">
        <f>Total!B3622</f>
        <v>45037</v>
      </c>
      <c r="C17" s="101">
        <f>Total!C3622</f>
        <v>45056</v>
      </c>
      <c r="D17" s="112" t="s">
        <v>1092</v>
      </c>
      <c r="E17" s="332" t="str">
        <f>Total!E3622</f>
        <v>Obra Civil</v>
      </c>
      <c r="F17" s="96" t="str">
        <f>Total!F3622</f>
        <v>Projectes</v>
      </c>
      <c r="G17" s="112" t="str">
        <f>Total!G3622</f>
        <v>PC. PC-CFT-22040</v>
      </c>
      <c r="H17" s="112" t="str">
        <f>Total!H3622</f>
        <v>Contracte de serveis per a l'assistència tècnica per a la redacció del projecte constructiu. Millora de les característiques superficials del ferm a la C-242 del PK 34+220 al 44+850. Ulldemolins - Cornudella de Montsant.</v>
      </c>
      <c r="I17" s="157">
        <f>Total!I3622</f>
        <v>79100</v>
      </c>
    </row>
    <row r="18" spans="1:9" x14ac:dyDescent="0.2">
      <c r="A18" s="8">
        <v>17</v>
      </c>
      <c r="B18" s="101">
        <f>Total!B3623</f>
        <v>45037</v>
      </c>
      <c r="C18" s="101">
        <f>Total!C3623</f>
        <v>45068</v>
      </c>
      <c r="D18" s="112" t="s">
        <v>1092</v>
      </c>
      <c r="E18" s="332" t="str">
        <f>Total!E3623</f>
        <v>Edificació</v>
      </c>
      <c r="F18" s="96" t="str">
        <f>Total!F3623</f>
        <v>Projectes i Direccions d'Obra</v>
      </c>
      <c r="G18" s="112" t="str">
        <f>Total!G3623</f>
        <v>PE+DO. SNB-21252</v>
      </c>
      <c r="H18" s="112" t="str">
        <f>Total!H3623</f>
        <v>Concurs de projectes per a la redacció del projecte bàsic i executiu i la posterior direcció de les obres de nova construcció Institut Escola 2L 30 Passos a Barcelona.</v>
      </c>
      <c r="I18" s="157">
        <f>Total!I3623</f>
        <v>759095.34</v>
      </c>
    </row>
    <row r="19" spans="1:9" x14ac:dyDescent="0.2">
      <c r="A19" s="8">
        <v>18</v>
      </c>
      <c r="B19" s="101">
        <f>Total!B3624</f>
        <v>45037</v>
      </c>
      <c r="C19" s="101">
        <f>Total!C3624</f>
        <v>45068</v>
      </c>
      <c r="D19" s="112" t="s">
        <v>1092</v>
      </c>
      <c r="E19" s="332" t="str">
        <f>Total!E3624</f>
        <v>Obra Civil</v>
      </c>
      <c r="F19" s="96" t="str">
        <f>Total!F3624</f>
        <v>Direccions d'Obra</v>
      </c>
      <c r="G19" s="112" t="str">
        <f>Total!G3624</f>
        <v>DO.TM-04310.1-AA+TM-16202.F1</v>
      </c>
      <c r="H19" s="112" t="str">
        <f>Total!H3624</f>
        <v>Direc. conjunta obres "Millora accessibilitat i adaptació normativa intercanviador estació Clot (L1 i L2 FMB i RENFE). Fase1" i "Millora accessibilitat intercanviadors Sants-Estació (L3 i L5 FMB - línies ADIF), Pg. Gràcia (L2, L3 i L4 FMB) i Catalunya ...</v>
      </c>
      <c r="I19" s="157">
        <f>Total!I3624</f>
        <v>507361.8</v>
      </c>
    </row>
    <row r="20" spans="1:9" x14ac:dyDescent="0.2">
      <c r="A20" s="8">
        <v>19</v>
      </c>
      <c r="B20" s="101">
        <f>Total!B3625</f>
        <v>45037</v>
      </c>
      <c r="C20" s="101">
        <f>Total!C3625</f>
        <v>45056</v>
      </c>
      <c r="D20" s="112" t="s">
        <v>1092</v>
      </c>
      <c r="E20" s="332" t="str">
        <f>Total!E3625</f>
        <v>Edificació</v>
      </c>
      <c r="F20" s="96" t="str">
        <f>Total!F3625</f>
        <v>Projectes</v>
      </c>
      <c r="G20" s="112" t="str">
        <f>Total!G3625</f>
        <v>E1. DXB-22333</v>
      </c>
      <c r="H20" s="112" t="str">
        <f>Total!H3625</f>
        <v>Contracte de serveis per a l'assistència tècnica per a la redacció del Pla Director de les actuacions de Reforma per l'adequació de l'edifici Pavelló Ave Maria, dins el Complex de Maternitat.</v>
      </c>
      <c r="I20" s="157">
        <f>Total!I3625</f>
        <v>25000</v>
      </c>
    </row>
    <row r="21" spans="1:9" x14ac:dyDescent="0.2">
      <c r="A21" s="8">
        <v>20</v>
      </c>
      <c r="B21" s="101">
        <f>Total!B3626</f>
        <v>45040</v>
      </c>
      <c r="C21" s="101">
        <f>Total!C3626</f>
        <v>45068</v>
      </c>
      <c r="D21" s="112" t="s">
        <v>1092</v>
      </c>
      <c r="E21" s="332" t="str">
        <f>Total!E3626</f>
        <v>Edificació</v>
      </c>
      <c r="F21" s="96" t="str">
        <f>Total!F3626</f>
        <v>Projectes i Direccions d'Obra</v>
      </c>
      <c r="G21" s="112" t="str">
        <f>Total!G3626</f>
        <v>PE+DO. CAP-22229</v>
      </c>
      <c r="H21" s="112" t="str">
        <f>Total!H3626</f>
        <v>Concurs de projectes per a la redacció del projecte bàsic i executiu i la posterior direcció de les obres d'ampliació i reforma del Centre d'Atenció Primària Doctor Josep Alsina i Bofill a Palafrugell.</v>
      </c>
      <c r="I21" s="157">
        <f>Total!I3626</f>
        <v>328800.61</v>
      </c>
    </row>
    <row r="22" spans="1:9" x14ac:dyDescent="0.2">
      <c r="A22" s="8">
        <v>21</v>
      </c>
      <c r="B22" s="101">
        <f>Total!B3627</f>
        <v>45040</v>
      </c>
      <c r="C22" s="101">
        <f>Total!C3627</f>
        <v>45061</v>
      </c>
      <c r="D22" s="112" t="s">
        <v>1092</v>
      </c>
      <c r="E22" s="332" t="str">
        <f>Total!E3627</f>
        <v>Edificació</v>
      </c>
      <c r="F22" s="96" t="str">
        <f>Total!F3627</f>
        <v>Control de Qualitat</v>
      </c>
      <c r="G22" s="112" t="str">
        <f>Total!G3627</f>
        <v>CQ. PSE-19406</v>
      </c>
      <c r="H22" s="112" t="str">
        <f>Total!H3627</f>
        <v>Contracte de serveis per a l'assistència tècnica de Control de Qualitat de les obres de Restauració ambiental de la finca la "Guixera" al terme municipal de Castellserà.</v>
      </c>
      <c r="I22" s="157">
        <f>Total!I3627</f>
        <v>7042.4</v>
      </c>
    </row>
    <row r="23" spans="1:9" x14ac:dyDescent="0.2">
      <c r="A23" s="8">
        <v>22</v>
      </c>
      <c r="B23" s="101">
        <f>Total!B3628</f>
        <v>45040</v>
      </c>
      <c r="C23" s="101">
        <f>Total!C3628</f>
        <v>45061</v>
      </c>
      <c r="D23" s="112" t="s">
        <v>1092</v>
      </c>
      <c r="E23" s="332" t="str">
        <f>Total!E3628</f>
        <v>Edificació</v>
      </c>
      <c r="F23" s="96" t="str">
        <f>Total!F3628</f>
        <v>Direccions d'Obra</v>
      </c>
      <c r="G23" s="112" t="str">
        <f>Total!G3628</f>
        <v>DO. PSE-19406</v>
      </c>
      <c r="H23" s="112" t="str">
        <f>Total!H3628</f>
        <v>Contracte de serveis per a la direcció de les obres de Restauració ambiental de la finca la "Guixera" al terme municipal de Castellserà.</v>
      </c>
      <c r="I23" s="157">
        <f>Total!I3628</f>
        <v>27252.1</v>
      </c>
    </row>
    <row r="24" spans="1:9" x14ac:dyDescent="0.2">
      <c r="A24" s="8">
        <v>23</v>
      </c>
      <c r="B24" s="101">
        <f>Total!B3629</f>
        <v>45041</v>
      </c>
      <c r="C24" s="101">
        <f>Total!C3629</f>
        <v>45061</v>
      </c>
      <c r="D24" s="112" t="s">
        <v>1092</v>
      </c>
      <c r="E24" s="332" t="str">
        <f>Total!E3629</f>
        <v>Edificació</v>
      </c>
      <c r="F24" s="96" t="str">
        <f>Total!F3629</f>
        <v>Direccions d'Execució</v>
      </c>
      <c r="G24" s="112" t="str">
        <f>Total!G3629</f>
        <v>CSS. PSE-19406</v>
      </c>
      <c r="H24" s="112" t="str">
        <f>Total!H3629</f>
        <v>Contracte de serveis per a l'assistència tècnica de coordinació de seguretat i salut de les obres de Restauració ambiental de la finca la "Guixera" al terme municipal de Castellserà.</v>
      </c>
      <c r="I24" s="157">
        <f>Total!I3629</f>
        <v>5155.49</v>
      </c>
    </row>
    <row r="25" spans="1:9" x14ac:dyDescent="0.2">
      <c r="A25" s="8">
        <v>24</v>
      </c>
      <c r="B25" s="101">
        <f>Total!B3630</f>
        <v>45042</v>
      </c>
      <c r="C25" s="101">
        <f>Total!C3630</f>
        <v>45063</v>
      </c>
      <c r="D25" s="112" t="s">
        <v>1092</v>
      </c>
      <c r="E25" s="332" t="str">
        <f>Total!E3630</f>
        <v>Obra Civil</v>
      </c>
      <c r="F25" s="96" t="str">
        <f>Total!F3630</f>
        <v>Direccions d'Obra</v>
      </c>
      <c r="G25" s="112" t="str">
        <f>Total!G3630</f>
        <v>CSS. ML-13028.1-AA</v>
      </c>
      <c r="H25" s="112" t="str">
        <f>Total!H3630</f>
        <v>Coordinació de seguretat i salut de les obres del projecte constructiu de la millora local. Talussos. Estudi i estabilització de vessants. Carretera C-14. PK 148+513 al 149+150 i PK 149+950 al 150+249. Tram: Peramola.</v>
      </c>
      <c r="I25" s="157">
        <f>Total!I3630</f>
        <v>8997.0400000000009</v>
      </c>
    </row>
    <row r="26" spans="1:9" x14ac:dyDescent="0.2">
      <c r="A26" s="8">
        <v>25</v>
      </c>
      <c r="B26" s="101">
        <f>Total!B3631</f>
        <v>45042</v>
      </c>
      <c r="C26" s="101">
        <f>Total!C3631</f>
        <v>45063</v>
      </c>
      <c r="D26" s="112" t="s">
        <v>1092</v>
      </c>
      <c r="E26" s="332" t="str">
        <f>Total!E3631</f>
        <v>Obra Civil</v>
      </c>
      <c r="F26" s="96" t="str">
        <f>Total!F3631</f>
        <v>Control de Qualitat</v>
      </c>
      <c r="G26" s="112" t="str">
        <f>Total!G3631</f>
        <v>CQ. ML-13028.1-AA</v>
      </c>
      <c r="H26" s="112" t="str">
        <f>Total!H3631</f>
        <v>Control de Qualitat de les obres del projecte constructiu de la millora local. Talussos. Estudi i estabilització de vessants. Carretera C-14. PK 148+513 al 149+150 i PK 149+950 al 150+249. Tram: Peramola.</v>
      </c>
      <c r="I26" s="157">
        <f>Total!I3631</f>
        <v>29780.61</v>
      </c>
    </row>
    <row r="27" spans="1:9" x14ac:dyDescent="0.2">
      <c r="A27" s="8">
        <v>26</v>
      </c>
      <c r="B27" s="101">
        <f>Total!B3632</f>
        <v>45042</v>
      </c>
      <c r="C27" s="101">
        <f>Total!C3632</f>
        <v>45063</v>
      </c>
      <c r="D27" s="112" t="s">
        <v>1092</v>
      </c>
      <c r="E27" s="332" t="str">
        <f>Total!E3632</f>
        <v>Obra Civil</v>
      </c>
      <c r="F27" s="96" t="str">
        <f>Total!F3632</f>
        <v>Direccions d'Obra</v>
      </c>
      <c r="G27" s="112" t="str">
        <f>Total!G3632</f>
        <v>DO. ML-13028.1-AA</v>
      </c>
      <c r="H27" s="112" t="str">
        <f>Total!H3632</f>
        <v>Contracte de serveis per a la direcció de les obres del projecte constructiu de la millora local. Talussos. Estudi i estabilització de vessants. Carretera C-14. PK 148+513 al 149+150 i PK 149+950 al 150+249. Tram: Peramola.</v>
      </c>
      <c r="I27" s="157">
        <f>Total!I3632</f>
        <v>125539.46</v>
      </c>
    </row>
    <row r="28" spans="1:9" x14ac:dyDescent="0.2">
      <c r="A28" s="8">
        <v>27</v>
      </c>
      <c r="B28" s="101">
        <f>Total!B3633</f>
        <v>45043</v>
      </c>
      <c r="C28" s="101">
        <f>Total!C3633</f>
        <v>45061</v>
      </c>
      <c r="D28" s="112" t="s">
        <v>1092</v>
      </c>
      <c r="E28" s="332" t="str">
        <f>Total!E3633</f>
        <v>Edificació</v>
      </c>
      <c r="F28" s="96" t="str">
        <f>Total!F3633</f>
        <v>Control de Qualitat</v>
      </c>
      <c r="G28" s="112" t="str">
        <f>Total!G3633</f>
        <v>CQ. R0-22354</v>
      </c>
      <c r="H28" s="112" t="str">
        <f>Total!H3633</f>
        <v>Contracte de serveis per a l'assistència tècnica de control de qualitat de les obres de rehabilitació de la coberta dels trallers de la Zona Franca de l'L9 de Metro de Barcelona. Clau: R0-22354.</v>
      </c>
      <c r="I28" s="157">
        <f>Total!I3633</f>
        <v>7816.52</v>
      </c>
    </row>
    <row r="29" spans="1:9" x14ac:dyDescent="0.2">
      <c r="A29" s="8">
        <v>28</v>
      </c>
      <c r="B29" s="101">
        <f>Total!B3634</f>
        <v>45043</v>
      </c>
      <c r="C29" s="101">
        <f>Total!C3634</f>
        <v>45061</v>
      </c>
      <c r="D29" s="112" t="s">
        <v>1092</v>
      </c>
      <c r="E29" s="332" t="str">
        <f>Total!E3634</f>
        <v>Edificació</v>
      </c>
      <c r="F29" s="96" t="str">
        <f>Total!F3634</f>
        <v>Direccions d'Obra</v>
      </c>
      <c r="G29" s="112" t="str">
        <f>Total!G3634</f>
        <v>DO. R0-22354</v>
      </c>
      <c r="H29" s="112" t="str">
        <f>Total!H3634</f>
        <v>Contracte de serveis per a la direcció de les obres de rehabilitació de la coberta dels tallers de la Zona Franca de l'L9 de Metro de Barcelona. Clau: R0-22354.</v>
      </c>
      <c r="I29" s="157">
        <f>Total!I3634</f>
        <v>51480</v>
      </c>
    </row>
    <row r="30" spans="1:9" x14ac:dyDescent="0.2">
      <c r="A30" s="8">
        <v>29</v>
      </c>
      <c r="B30" s="101">
        <f>Total!B3635</f>
        <v>45043</v>
      </c>
      <c r="C30" s="101">
        <f>Total!C3635</f>
        <v>45061</v>
      </c>
      <c r="D30" s="112" t="s">
        <v>1092</v>
      </c>
      <c r="E30" s="332" t="str">
        <f>Total!E3635</f>
        <v>Edificació</v>
      </c>
      <c r="F30" s="96" t="str">
        <f>Total!F3635</f>
        <v>Direccions d'Execució</v>
      </c>
      <c r="G30" s="112" t="str">
        <f>Total!G3635</f>
        <v>CSS. R0-22354</v>
      </c>
      <c r="H30" s="112" t="str">
        <f>Total!H3635</f>
        <v>Contracte de serveis per a l'assistència tècnica de coordinació de seguretat i salut de les obres del projecte constructiu de rehabilitació de la coberta dels tallers de la Zona Franca de l'L9 de metro de Barcelona. Clau: R0-22354.</v>
      </c>
      <c r="I30" s="157">
        <f>Total!I3635</f>
        <v>6110.24</v>
      </c>
    </row>
    <row r="31" spans="1:9" x14ac:dyDescent="0.2">
      <c r="A31" s="8">
        <v>30</v>
      </c>
      <c r="B31" s="101">
        <f>Total!B3636</f>
        <v>45043</v>
      </c>
      <c r="C31" s="101">
        <f>Total!C3636</f>
        <v>45061</v>
      </c>
      <c r="D31" s="112" t="s">
        <v>1092</v>
      </c>
      <c r="E31" s="332" t="str">
        <f>Total!E3636</f>
        <v>Obra Civil</v>
      </c>
      <c r="F31" s="96" t="str">
        <f>Total!F3636</f>
        <v>Direccions d'Obra</v>
      </c>
      <c r="G31" s="112" t="str">
        <f>Total!G3636</f>
        <v>DO. MG-08008.1</v>
      </c>
      <c r="H31" s="112" t="str">
        <f>Total!H3636</f>
        <v>Contracte de serveis per a la direcció de les obres d'ordenació d'accessos i millora del ferm a la C-63 del PK 5+300 al 8+850. Vidreres. Clau: MG-08008.1</v>
      </c>
      <c r="I31" s="157">
        <f>Total!I3636</f>
        <v>178616.95999999999</v>
      </c>
    </row>
    <row r="32" spans="1:9" x14ac:dyDescent="0.2">
      <c r="A32" s="8">
        <v>31</v>
      </c>
      <c r="B32" s="101">
        <f>Total!B3637</f>
        <v>45043</v>
      </c>
      <c r="C32" s="101">
        <f>Total!C3637</f>
        <v>45061</v>
      </c>
      <c r="D32" s="112" t="s">
        <v>1092</v>
      </c>
      <c r="E32" s="332" t="str">
        <f>Total!E3637</f>
        <v>Obra Civil</v>
      </c>
      <c r="F32" s="96" t="str">
        <f>Total!F3637</f>
        <v>Control de Qualitat</v>
      </c>
      <c r="G32" s="112" t="str">
        <f>Total!G3637</f>
        <v>CQ. MG-08008.1</v>
      </c>
      <c r="H32" s="112" t="str">
        <f>Total!H3637</f>
        <v>Contracte de serveis per a l'assistència tècnica de control de qualitat de les obres d'ordenació d'accessos i millora del ferm a la C-63 del PK 5+300 al 8+850. Vidreres. Clau: MG-08008.1</v>
      </c>
      <c r="I32" s="157">
        <f>Total!I3637</f>
        <v>48354.98</v>
      </c>
    </row>
    <row r="33" spans="1:9" x14ac:dyDescent="0.2">
      <c r="A33" s="8">
        <v>32</v>
      </c>
      <c r="B33" s="101">
        <f>Total!B3638</f>
        <v>45043</v>
      </c>
      <c r="C33" s="101">
        <f>Total!C3638</f>
        <v>45061</v>
      </c>
      <c r="D33" s="112" t="s">
        <v>1092</v>
      </c>
      <c r="E33" s="332" t="str">
        <f>Total!E3638</f>
        <v>Obra Civil</v>
      </c>
      <c r="F33" s="96" t="str">
        <f>Total!F3638</f>
        <v>Direccions d'Obra</v>
      </c>
      <c r="G33" s="112" t="str">
        <f>Total!G3638</f>
        <v>CSS. MG-08008.1</v>
      </c>
      <c r="H33" s="112" t="str">
        <f>Total!H3638</f>
        <v>Contracte de serveis per a l'assistència tècnica de coordinació de seguretat i salut de les obres del projecte constructiu d'ordenació d'accessos i millora del ferm a la C-63 del PK 5+300 al 8+850. Vidreres. Clau: MG-08008.1</v>
      </c>
      <c r="I33" s="157">
        <f>Total!I3638</f>
        <v>19464.89</v>
      </c>
    </row>
    <row r="34" spans="1:9" x14ac:dyDescent="0.2">
      <c r="A34" s="8">
        <v>33</v>
      </c>
      <c r="B34" s="101">
        <f>Total!B3639</f>
        <v>45043</v>
      </c>
      <c r="C34" s="101">
        <f>Total!C3639</f>
        <v>45061</v>
      </c>
      <c r="D34" s="112" t="s">
        <v>1092</v>
      </c>
      <c r="E34" s="332" t="str">
        <f>Total!E3639</f>
        <v>Obra Civil</v>
      </c>
      <c r="F34" s="96" t="str">
        <f>Total!F3639</f>
        <v>Direccions d'Obra</v>
      </c>
      <c r="G34" s="112" t="str">
        <f>Total!G3639</f>
        <v>PC. MG-15015.4</v>
      </c>
      <c r="H34" s="112" t="str">
        <f>Total!H3639</f>
        <v>Contracte de serveis per a l'assistència tècnica per a la redacció del projecte constructiu: "Millores de seguretat a la C-66 del PK 53+450 al 55+520. Serinyà-Sant Ferriol. Clau: MG-15015.4”</v>
      </c>
      <c r="I34" s="157">
        <f>Total!I3639</f>
        <v>182750</v>
      </c>
    </row>
    <row r="35" spans="1:9" x14ac:dyDescent="0.2">
      <c r="A35" s="8">
        <v>34</v>
      </c>
      <c r="B35" s="101">
        <f>Total!B3640</f>
        <v>45043</v>
      </c>
      <c r="C35" s="101">
        <f>Total!C3640</f>
        <v>45061</v>
      </c>
      <c r="D35" s="112" t="s">
        <v>1092</v>
      </c>
      <c r="E35" s="332" t="str">
        <f>Total!E3640</f>
        <v>Obra Civil</v>
      </c>
      <c r="F35" s="96" t="str">
        <f>Total!F3640</f>
        <v>Projectes</v>
      </c>
      <c r="G35" s="112" t="str">
        <f>Total!G3640</f>
        <v>PC. PC-CGC-22061</v>
      </c>
      <c r="H35" s="112" t="str">
        <f>Total!H3640</f>
        <v>Redacció del projecte constructiu: "Millora de l'eficiència energètica, reducció d'emissions i autogeneració d'energia solar del túnel de Bracons a la C-37 del PK 155+500 al 171+000. St. Pere de Torelló-La Vall d'en Bas''.</v>
      </c>
      <c r="I35" s="157">
        <f>Total!I3640</f>
        <v>84500</v>
      </c>
    </row>
    <row r="36" spans="1:9" x14ac:dyDescent="0.2">
      <c r="A36" s="8">
        <v>35</v>
      </c>
      <c r="B36" s="101">
        <f>Total!B3641</f>
        <v>45044</v>
      </c>
      <c r="C36" s="101">
        <f>Total!C3641</f>
        <v>45068</v>
      </c>
      <c r="D36" s="112" t="s">
        <v>1092</v>
      </c>
      <c r="E36" s="332" t="str">
        <f>Total!E3641</f>
        <v>Edificació</v>
      </c>
      <c r="F36" s="96" t="str">
        <f>Total!F3641</f>
        <v>Projectes i Direccions d'Obra</v>
      </c>
      <c r="G36" s="112" t="str">
        <f>Total!G3641</f>
        <v>PE+DO. VA-21276</v>
      </c>
      <c r="H36" s="112" t="str">
        <f>Total!H3641</f>
        <v>Contracte de serveis per a A.T. per a la redacció del projecte bàsic i executiu i la posterior D.O. de Distribució de la instal·lació hidràulica de climatització a l'edifici seu del Departament d'Acció Climàtica, Alimentació i Agenda Rural.</v>
      </c>
      <c r="I36" s="157">
        <f>Total!I3641</f>
        <v>78099.64</v>
      </c>
    </row>
    <row r="37" spans="1:9" x14ac:dyDescent="0.2">
      <c r="A37" s="8">
        <v>36</v>
      </c>
      <c r="B37" s="101">
        <f>Total!B3642</f>
        <v>45044</v>
      </c>
      <c r="C37" s="101">
        <f>Total!C3642</f>
        <v>45068</v>
      </c>
      <c r="D37" s="112" t="s">
        <v>1092</v>
      </c>
      <c r="E37" s="332" t="str">
        <f>Total!E3642</f>
        <v>Obra Civil</v>
      </c>
      <c r="F37" s="96" t="str">
        <f>Total!F3642</f>
        <v>Direccions d'Obra</v>
      </c>
      <c r="G37" s="112" t="str">
        <f>Total!G3642</f>
        <v>CSS. VB-06102-AA</v>
      </c>
      <c r="H37" s="112" t="str">
        <f>Total!H3642</f>
        <v>Contracte de serveis per a l'assistència tècnica de coordinació de seguretat i salut de les obres de la Millora general. Variant. Pr olongació de la variant d'Artés, des de la carretera BV-4512, PK 0+960, fins la carretera B-431, PK 41+000. Tram: Artés.</v>
      </c>
      <c r="I37" s="157">
        <f>Total!I3642</f>
        <v>13403.59</v>
      </c>
    </row>
    <row r="38" spans="1:9" x14ac:dyDescent="0.2">
      <c r="A38" s="8">
        <v>37</v>
      </c>
      <c r="B38" s="101">
        <f>Total!B3643</f>
        <v>45044</v>
      </c>
      <c r="C38" s="101">
        <f>Total!C3643</f>
        <v>45068</v>
      </c>
      <c r="D38" s="112" t="s">
        <v>1092</v>
      </c>
      <c r="E38" s="332" t="str">
        <f>Total!E3643</f>
        <v>Obra Civil</v>
      </c>
      <c r="F38" s="96" t="str">
        <f>Total!F3643</f>
        <v>Control de Qualitat</v>
      </c>
      <c r="G38" s="112" t="str">
        <f>Total!G3643</f>
        <v>CQ. VB-06102-AA</v>
      </c>
      <c r="H38" s="112" t="str">
        <f>Total!H3643</f>
        <v>Contracte de serveis per a l'assistència tècnica de Control de Qualitat de les obres de la Millora general. Variant. Prolongació de la variant d'Artés, des de la carretera BV-4512, PK 0+960, fins la carretera B-431, PK 41+000. Tram: Artés.</v>
      </c>
      <c r="I38" s="157">
        <f>Total!I3643</f>
        <v>33645.68</v>
      </c>
    </row>
    <row r="39" spans="1:9" x14ac:dyDescent="0.2">
      <c r="A39" s="8">
        <v>38</v>
      </c>
      <c r="B39" s="101">
        <f>Total!B3644</f>
        <v>45044</v>
      </c>
      <c r="C39" s="101">
        <f>Total!C3644</f>
        <v>45068</v>
      </c>
      <c r="D39" s="112" t="s">
        <v>1092</v>
      </c>
      <c r="E39" s="332" t="str">
        <f>Total!E3644</f>
        <v>Obra Civil</v>
      </c>
      <c r="F39" s="96" t="str">
        <f>Total!F3644</f>
        <v>Direccions d'Obra</v>
      </c>
      <c r="G39" s="112" t="str">
        <f>Total!G3644</f>
        <v>ATAM. VB-06102-AA</v>
      </c>
      <c r="H39" s="112" t="str">
        <f>Total!H3644</f>
        <v>Contracte de serveis per a l'assistència tècnica ambiental de les obres de la Millora general. Variant. Prolongació de la variant d'Artés, des de la carretera BV-4512, PK 0+960, fins la carretera B-431, PK 41+000. Tram: Artés. Clau: VB-06102-AA</v>
      </c>
      <c r="I39" s="157">
        <f>Total!I3644</f>
        <v>23406.16</v>
      </c>
    </row>
    <row r="40" spans="1:9" x14ac:dyDescent="0.2">
      <c r="A40" s="8">
        <v>39</v>
      </c>
      <c r="B40" s="101">
        <f>Total!B3645</f>
        <v>45044</v>
      </c>
      <c r="C40" s="101">
        <f>Total!C3645</f>
        <v>45068</v>
      </c>
      <c r="D40" s="112" t="s">
        <v>1092</v>
      </c>
      <c r="E40" s="332" t="str">
        <f>Total!E3645</f>
        <v>Obra Civil</v>
      </c>
      <c r="F40" s="96" t="str">
        <f>Total!F3645</f>
        <v>Direccions d'Obra</v>
      </c>
      <c r="G40" s="112" t="str">
        <f>Total!G3645</f>
        <v>DO. VB-06102-AA</v>
      </c>
      <c r="H40" s="112" t="str">
        <f>Total!H3645</f>
        <v>Contracte de serveis per a la direcció de les obres de la Millora general. Variant. Prolongació de la variant d'Artés, des de la carretera BV-4512, PK 0+960, fins la carretera B-431, PK 41+000. Tram: Artés. Clau: VB-06102-AA</v>
      </c>
      <c r="I40" s="157">
        <f>Total!I3645</f>
        <v>156558.72</v>
      </c>
    </row>
    <row r="41" spans="1:9" x14ac:dyDescent="0.2">
      <c r="A41" s="8">
        <v>40</v>
      </c>
      <c r="B41" s="101">
        <f>Total!B3646</f>
        <v>45044</v>
      </c>
      <c r="C41" s="101">
        <f>Total!C3646</f>
        <v>45068</v>
      </c>
      <c r="D41" s="112" t="s">
        <v>1092</v>
      </c>
      <c r="E41" s="332" t="str">
        <f>Total!E3646</f>
        <v>Obra Civil</v>
      </c>
      <c r="F41" s="96" t="str">
        <f>Total!F3646</f>
        <v>Projectes</v>
      </c>
      <c r="G41" s="112" t="str">
        <f>Total!G3646</f>
        <v>AG-07040.2.A1</v>
      </c>
      <c r="H41" s="112" t="str">
        <f>Total!H3646</f>
        <v>Contracte de serveis per a l'assistència tècnica per a la redacció del projecte constructiu. Condicionament de la GI-643 del PK 4+550 al 7+882. Serra de Daró - Parlavà. Clau: AG-07040.2-A1</v>
      </c>
      <c r="I41" s="157">
        <f>Total!I3646</f>
        <v>151400</v>
      </c>
    </row>
    <row r="42" spans="1:9" x14ac:dyDescent="0.2">
      <c r="A42" s="8">
        <v>41</v>
      </c>
      <c r="B42" s="101">
        <f>Total!B3647</f>
        <v>45044</v>
      </c>
      <c r="C42" s="101">
        <f>Total!C3647</f>
        <v>45077</v>
      </c>
      <c r="D42" s="112" t="s">
        <v>1092</v>
      </c>
      <c r="E42" s="332" t="str">
        <f>Total!E3647</f>
        <v>Obra Civil</v>
      </c>
      <c r="F42" s="96" t="str">
        <f>Total!F3647</f>
        <v>Direccions d'Obra</v>
      </c>
      <c r="G42" s="112" t="str">
        <f>Total!G3647</f>
        <v>DO. VB-01055-AA</v>
      </c>
      <c r="H42" s="112" t="str">
        <f>Total!H3647</f>
        <v>Contracte de serveis per a la direcció de les obres del projecte constructiu més el seu annex d'actualització de "Variant de Sagàs a la C-62 del PK 23+000 al 25+600. Santa Maria de Merlès – Sagàs". Clau: VB-01055 i VB-01055-AA</v>
      </c>
      <c r="I42" s="157">
        <f>Total!I3647</f>
        <v>234588.6</v>
      </c>
    </row>
    <row r="43" spans="1:9" x14ac:dyDescent="0.2">
      <c r="I43" s="126">
        <f>SUM(I2:I42)</f>
        <v>3792039.4800000009</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92"/>
  <sheetViews>
    <sheetView topLeftCell="A61" zoomScaleNormal="100" workbookViewId="0">
      <selection activeCell="A92" sqref="A92"/>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Total!B1417</f>
        <v>43041</v>
      </c>
      <c r="C2" s="101">
        <f>Total!C1417</f>
        <v>43068</v>
      </c>
      <c r="D2" s="112" t="s">
        <v>1092</v>
      </c>
      <c r="E2" s="101" t="str">
        <f>Total!E1417</f>
        <v>Obra Civil</v>
      </c>
      <c r="F2" s="96" t="str">
        <f>Total!F1417</f>
        <v>Projectes</v>
      </c>
      <c r="G2" s="112" t="str">
        <f>Total!G1417</f>
        <v>PC. R0-17220</v>
      </c>
      <c r="H2" s="112" t="str">
        <f>Total!H1417</f>
        <v>Redacció dels projectes constructius i dels plecs de bases per licitació en l'àmbit dels subsistemes de telecomunicacions de la L9 del metro de Barcelona segons actuacions definides en el Pla General d'Obsolescència 2016.</v>
      </c>
      <c r="I2" s="157">
        <f>Total!I1417</f>
        <v>189000</v>
      </c>
    </row>
    <row r="3" spans="1:9" x14ac:dyDescent="0.2">
      <c r="A3" s="8">
        <v>2</v>
      </c>
      <c r="B3" s="101">
        <f>Total!B1418</f>
        <v>43041</v>
      </c>
      <c r="C3" s="101">
        <f>Total!C1418</f>
        <v>43059</v>
      </c>
      <c r="D3" s="112" t="s">
        <v>1092</v>
      </c>
      <c r="E3" s="101" t="str">
        <f>Total!E1418</f>
        <v>Obra Civil</v>
      </c>
      <c r="F3" s="96" t="str">
        <f>Total!F1418</f>
        <v>Control de Qualitat</v>
      </c>
      <c r="G3" s="112" t="str">
        <f>Total!G1418</f>
        <v>CQ. MT-09081</v>
      </c>
      <c r="H3" s="112" t="str">
        <f>Total!H1418</f>
        <v>Control de qualitat de les obres del projecte constructiu de millora local. Millora de nus. Rotonda a la carretera TP-2002, pk 1,660, intersecció amb les carreteres TP-2003 i TV-2004. Tram: Vila-rodona.</v>
      </c>
      <c r="I3" s="157">
        <f>Total!I1418</f>
        <v>4246.24</v>
      </c>
    </row>
    <row r="4" spans="1:9" x14ac:dyDescent="0.2">
      <c r="A4" s="8">
        <v>3</v>
      </c>
      <c r="B4" s="101">
        <f>Total!B1419</f>
        <v>43041</v>
      </c>
      <c r="C4" s="101">
        <f>Total!C1419</f>
        <v>43059</v>
      </c>
      <c r="D4" s="112" t="s">
        <v>1092</v>
      </c>
      <c r="E4" s="101" t="str">
        <f>Total!E1419</f>
        <v>Obra Civil</v>
      </c>
      <c r="F4" s="96" t="str">
        <f>Total!F1419</f>
        <v>Projectes</v>
      </c>
      <c r="G4" s="112" t="str">
        <f>Total!G1419</f>
        <v>PC. PC-CMT-17003</v>
      </c>
      <c r="H4" s="112" t="str">
        <f>Total!H1419</f>
        <v>Redacció del projecte constructiu de millora local. Seguretat viària. Eixamplament de vorera pel marge esquerra de la carretera C-14, del pk 45,920 al 46,120. Tram: Solivella.</v>
      </c>
      <c r="I4" s="157">
        <f>Total!I1419</f>
        <v>19000</v>
      </c>
    </row>
    <row r="5" spans="1:9" x14ac:dyDescent="0.2">
      <c r="A5" s="8">
        <v>4</v>
      </c>
      <c r="B5" s="101">
        <f>Total!B1420</f>
        <v>43042</v>
      </c>
      <c r="C5" s="101">
        <f>Total!C1420</f>
        <v>43061</v>
      </c>
      <c r="D5" s="112" t="s">
        <v>1092</v>
      </c>
      <c r="E5" s="101" t="str">
        <f>Total!E1420</f>
        <v>Obra Civil</v>
      </c>
      <c r="F5" s="96" t="str">
        <f>Total!F1420</f>
        <v>Projectes</v>
      </c>
      <c r="G5" s="112" t="str">
        <f>Total!G1420</f>
        <v>PC. R0-17266</v>
      </c>
      <c r="H5" s="112" t="str">
        <f>Total!H1420</f>
        <v>Redacció del projecte de millora de la rigidesa de la via superior per la reducció del nivell de vibracions existents a la L9/L10 del Metro de Barcelona. Zones de Collblanc i de Bon Pastor.</v>
      </c>
      <c r="I5" s="157">
        <f>Total!I1420</f>
        <v>25000</v>
      </c>
    </row>
    <row r="6" spans="1:9" x14ac:dyDescent="0.2">
      <c r="A6" s="8">
        <v>5</v>
      </c>
      <c r="B6" s="101">
        <f>Total!B1421</f>
        <v>43042</v>
      </c>
      <c r="C6" s="101">
        <f>Total!C1421</f>
        <v>43059</v>
      </c>
      <c r="D6" s="112" t="s">
        <v>1092</v>
      </c>
      <c r="E6" s="101" t="str">
        <f>Total!E1421</f>
        <v>Edificació</v>
      </c>
      <c r="F6" s="96" t="str">
        <f>Total!F1421</f>
        <v>Control de Qualitat</v>
      </c>
      <c r="G6" s="112" t="str">
        <f>Total!G1421</f>
        <v>CQ. PGM-15354</v>
      </c>
      <c r="H6" s="112" t="str">
        <f>Total!H1421</f>
        <v>Control de qualitat de les obres d'adequació d'espais per al trasllat de la Sala de Control d'Emergències de Girona a l'edifici Santa Caterina.</v>
      </c>
      <c r="I6" s="157">
        <f>Total!I1421</f>
        <v>5613.3</v>
      </c>
    </row>
    <row r="7" spans="1:9" x14ac:dyDescent="0.2">
      <c r="A7" s="8">
        <v>6</v>
      </c>
      <c r="B7" s="101">
        <f>Total!B1422</f>
        <v>43042</v>
      </c>
      <c r="C7" s="101">
        <f>Total!C1422</f>
        <v>43059</v>
      </c>
      <c r="D7" s="112" t="s">
        <v>1092</v>
      </c>
      <c r="E7" s="101" t="str">
        <f>Total!E1422</f>
        <v>Obra Civil</v>
      </c>
      <c r="F7" s="96" t="str">
        <f>Total!F1422</f>
        <v>Control de Qualitat</v>
      </c>
      <c r="G7" s="112" t="str">
        <f>Total!G1422</f>
        <v>CQ. ML-14045.1</v>
      </c>
      <c r="H7" s="112" t="str">
        <f>Total!H1422</f>
        <v>Control de qualitat de les obres del projecte constructiu de millora local. Seguretat viària. Viseres antiallaus a la carretera C-28, PK 39+550 (RUDA14). Tram: Baquèira - Vall de Ruda (Naut Aran).</v>
      </c>
      <c r="I7" s="157">
        <f>Total!I1422</f>
        <v>23171.85</v>
      </c>
    </row>
    <row r="8" spans="1:9" x14ac:dyDescent="0.2">
      <c r="A8" s="8">
        <v>7</v>
      </c>
      <c r="B8" s="101">
        <f>Total!B1423</f>
        <v>43045</v>
      </c>
      <c r="C8" s="101">
        <f>Total!C1423</f>
        <v>43061</v>
      </c>
      <c r="D8" s="112" t="s">
        <v>1092</v>
      </c>
      <c r="E8" s="101" t="str">
        <f>Total!E1423</f>
        <v>Obra Civil</v>
      </c>
      <c r="F8" s="96" t="str">
        <f>Total!F1423</f>
        <v>Projectes i Direccions d'Obra</v>
      </c>
      <c r="G8" s="112" t="str">
        <f>Total!G1423</f>
        <v>CSS MG-15015.2</v>
      </c>
      <c r="H8" s="112" t="str">
        <f>Total!H1423</f>
        <v>Assistència tècnica per la Coordinació de seguretat i salut per l'execució de les obres de millora local. Seguretat viària. Millores de seguretat i reestudi de la secció transversal. Carretera C-66, PK 50+450 al 55+800. Tram: Serinyà – Sant Ferriol.</v>
      </c>
      <c r="I8" s="157">
        <f>Total!I1423</f>
        <v>48000</v>
      </c>
    </row>
    <row r="9" spans="1:9" x14ac:dyDescent="0.2">
      <c r="A9" s="8">
        <v>8</v>
      </c>
      <c r="B9" s="101">
        <f>Total!B1424</f>
        <v>43045</v>
      </c>
      <c r="C9" s="101">
        <f>Total!C1424</f>
        <v>43061</v>
      </c>
      <c r="D9" s="112" t="s">
        <v>1092</v>
      </c>
      <c r="E9" s="101" t="str">
        <f>Total!E1424</f>
        <v>Obra Civil</v>
      </c>
      <c r="F9" s="96" t="str">
        <f>Total!F1424</f>
        <v>Projectes</v>
      </c>
      <c r="G9" s="112" t="str">
        <f>Total!G1424</f>
        <v>EI. EI-CNG-17036</v>
      </c>
      <c r="H9" s="112" t="str">
        <f>Total!H1424</f>
        <v>Assistència tècnica per a la redacció de l´estudi informatiu: Nou vial de connexió sobre el riu Fluvià entre la carretera GIV-6303 i la carretera GIV-6216 a Sant Pere Pescador. Tram: Sant Pere Pescador.</v>
      </c>
      <c r="I9" s="157">
        <f>Total!I1424</f>
        <v>61600</v>
      </c>
    </row>
    <row r="10" spans="1:9" x14ac:dyDescent="0.2">
      <c r="A10" s="8">
        <v>9</v>
      </c>
      <c r="B10" s="101">
        <f>Total!B1425</f>
        <v>43047</v>
      </c>
      <c r="C10" s="101">
        <f>Total!C1425</f>
        <v>43066</v>
      </c>
      <c r="D10" s="112" t="s">
        <v>1092</v>
      </c>
      <c r="E10" s="101" t="str">
        <f>Total!E1425</f>
        <v>Obra Civil</v>
      </c>
      <c r="F10" s="96" t="str">
        <f>Total!F1425</f>
        <v>Projectes</v>
      </c>
      <c r="G10" s="112" t="str">
        <f>Total!G1425</f>
        <v>PC. PC-CMB-17022</v>
      </c>
      <c r="H10" s="112" t="str">
        <f>Total!H1425</f>
        <v>Redacció del projecte constructiu: Millora local. Seguretat viària. Implantació d'un tercer carril. Ctra. C-55 pk 20,800 al 22,070. Tram: Sant Vicenç de Castellet-Castellgalí.</v>
      </c>
      <c r="I10" s="157">
        <f>Total!I1425</f>
        <v>37100</v>
      </c>
    </row>
    <row r="11" spans="1:9" x14ac:dyDescent="0.2">
      <c r="A11" s="8">
        <v>10</v>
      </c>
      <c r="B11" s="101">
        <f>Total!B1426</f>
        <v>43048</v>
      </c>
      <c r="C11" s="101">
        <f>Total!C1426</f>
        <v>43066</v>
      </c>
      <c r="D11" s="112" t="s">
        <v>1092</v>
      </c>
      <c r="E11" s="101" t="str">
        <f>Total!E1426</f>
        <v>Obra Civil</v>
      </c>
      <c r="F11" s="96" t="str">
        <f>Total!F1426</f>
        <v>Direccions d'Obra</v>
      </c>
      <c r="G11" s="112" t="str">
        <f>Total!G1426</f>
        <v>CSS. MT-09081</v>
      </c>
      <c r="H11" s="112" t="str">
        <f>Total!H1426</f>
        <v>Coordinació de seguretat i salut de les obres del projecte constructiu de millora local. Millora de nus. Rotonda a la carretera TP-2002, PK 1+660, intersecció amb les carretera TP-2003 i TV-2004. Tram: Vila-rodona.</v>
      </c>
      <c r="I11" s="157">
        <f>Total!I1426</f>
        <v>4400</v>
      </c>
    </row>
    <row r="12" spans="1:9" x14ac:dyDescent="0.2">
      <c r="A12" s="8">
        <v>11</v>
      </c>
      <c r="B12" s="101">
        <f>Total!B1427</f>
        <v>43048</v>
      </c>
      <c r="C12" s="101">
        <f>Total!C1427</f>
        <v>43066</v>
      </c>
      <c r="D12" s="112" t="s">
        <v>1092</v>
      </c>
      <c r="E12" s="101" t="str">
        <f>Total!E1427</f>
        <v>Obra Civil</v>
      </c>
      <c r="F12" s="96" t="str">
        <f>Total!F1427</f>
        <v>Control de Qualitat</v>
      </c>
      <c r="G12" s="112" t="str">
        <f>Total!G1427</f>
        <v>CQ. RE-13061.1</v>
      </c>
      <c r="H12" s="112" t="str">
        <f>Total!H1427</f>
        <v>Control de qualitat de les obres de ferm. Reforçament del ferm a la carretera C-12, del PK 19+600 al 23+500. Tram: Tortosa - Aldover.</v>
      </c>
      <c r="I12" s="157">
        <f>Total!I1427</f>
        <v>14135.18</v>
      </c>
    </row>
    <row r="13" spans="1:9" x14ac:dyDescent="0.2">
      <c r="A13" s="8">
        <v>12</v>
      </c>
      <c r="B13" s="101">
        <f>Total!B1428</f>
        <v>43048</v>
      </c>
      <c r="C13" s="101">
        <f>Total!C1428</f>
        <v>43066</v>
      </c>
      <c r="D13" s="112" t="s">
        <v>1092</v>
      </c>
      <c r="E13" s="101" t="str">
        <f>Total!E1428</f>
        <v>Obra Civil</v>
      </c>
      <c r="F13" s="96" t="str">
        <f>Total!F1428</f>
        <v>Direccions d'Obra</v>
      </c>
      <c r="G13" s="112" t="str">
        <f>Total!G1428</f>
        <v>DO. XG-15036 (Lots 1 i 2)</v>
      </c>
      <c r="H13" s="112" t="str">
        <f>Total!H1428</f>
        <v>Direcció de les obres del projecte constructiu de millora local. Via verda. Via ciclista de l’estacióde Riells i Viabrea – Breda al nucli de Breda per la carretera GI-552, del PK 2+000 al 4+000. Tram: Riells i Viabrea – Breda.</v>
      </c>
      <c r="I13" s="157">
        <f>Total!I1428</f>
        <v>23077.78</v>
      </c>
    </row>
    <row r="14" spans="1:9" x14ac:dyDescent="0.2">
      <c r="A14" s="8">
        <v>13</v>
      </c>
      <c r="B14" s="101">
        <f>Total!B1429</f>
        <v>43048</v>
      </c>
      <c r="C14" s="101">
        <f>Total!C1429</f>
        <v>43066</v>
      </c>
      <c r="D14" s="112" t="s">
        <v>1092</v>
      </c>
      <c r="E14" s="101" t="str">
        <f>Total!E1429</f>
        <v>Edificació</v>
      </c>
      <c r="F14" s="96" t="str">
        <f>Total!F1429</f>
        <v>Direccions d'Execució</v>
      </c>
      <c r="G14" s="112" t="str">
        <f>Total!G1429</f>
        <v>CSS. CAP-13320</v>
      </c>
      <c r="H14" s="112" t="str">
        <f>Total!H1429</f>
        <v>Assistència tècnica de coordinació de seguretat i salut de les obres de construcció del nou Centre de Salut. Servei d'Urgències i CMA, a Granollers.</v>
      </c>
      <c r="I14" s="157">
        <f>Total!I1429</f>
        <v>69600</v>
      </c>
    </row>
    <row r="15" spans="1:9" x14ac:dyDescent="0.2">
      <c r="A15" s="8">
        <v>14</v>
      </c>
      <c r="B15" s="101">
        <f>Total!B1430</f>
        <v>43048</v>
      </c>
      <c r="C15" s="101">
        <f>Total!C1430</f>
        <v>43066</v>
      </c>
      <c r="D15" s="112" t="s">
        <v>1092</v>
      </c>
      <c r="E15" s="101" t="str">
        <f>Total!E1430</f>
        <v>Obra Civil</v>
      </c>
      <c r="F15" s="96" t="str">
        <f>Total!F1430</f>
        <v>Direccions d'Obra</v>
      </c>
      <c r="G15" s="112" t="str">
        <f>Total!G1430</f>
        <v>DO. AT-00164.1-C1</v>
      </c>
      <c r="H15" s="112" t="str">
        <f>Total!H1430</f>
        <v>Direcció de les obres del projecte complementari núm. 1. Intervenció arqueològica al Jaciment de Vilardida. C-51. Tram: Vila-rodona- Montferri.</v>
      </c>
      <c r="I15" s="157">
        <f>Total!I1430</f>
        <v>28488.89</v>
      </c>
    </row>
    <row r="16" spans="1:9" x14ac:dyDescent="0.2">
      <c r="A16" s="8">
        <v>15</v>
      </c>
      <c r="B16" s="101">
        <f>Total!B1431</f>
        <v>43048</v>
      </c>
      <c r="C16" s="101">
        <f>Total!C1431</f>
        <v>43066</v>
      </c>
      <c r="D16" s="112" t="s">
        <v>1092</v>
      </c>
      <c r="E16" s="101" t="str">
        <f>Total!E1431</f>
        <v>Obra Civil</v>
      </c>
      <c r="F16" s="96" t="str">
        <f>Total!F1431</f>
        <v>Projectes</v>
      </c>
      <c r="G16" s="112" t="str">
        <f>Total!G1431</f>
        <v>PC. UG-01528-A1</v>
      </c>
      <c r="H16" s="112" t="str">
        <f>Total!H1431</f>
        <v>Redacció del projecte constructiu: Projecte actualitzat. Camí de ronda entre la Platja de Fenals i la Platja de Lloret, al terme municipal de Lloret de Mar.</v>
      </c>
      <c r="I16" s="157">
        <f>Total!I1431</f>
        <v>29250</v>
      </c>
    </row>
    <row r="17" spans="1:9" x14ac:dyDescent="0.2">
      <c r="A17" s="8">
        <v>16</v>
      </c>
      <c r="B17" s="101">
        <f>Total!B1432</f>
        <v>43048</v>
      </c>
      <c r="C17" s="101">
        <f>Total!C1432</f>
        <v>43066</v>
      </c>
      <c r="D17" s="112" t="s">
        <v>1092</v>
      </c>
      <c r="E17" s="101" t="str">
        <f>Total!E1432</f>
        <v>Obra Civil</v>
      </c>
      <c r="F17" s="96" t="str">
        <f>Total!F1432</f>
        <v>Direccions d'Obra</v>
      </c>
      <c r="G17" s="112" t="str">
        <f>Total!G1432</f>
        <v>CSS. ML-14045.1</v>
      </c>
      <c r="H17" s="112" t="str">
        <f>Total!H1432</f>
        <v>Coordinació de seguretat i salut de les obres del projecte constructiu de millora local. Seguretat viària. Viseres antiallaus a la carretera C-28, PK 39+550 (RUDA14). Tram: Baquèira - Vall de Ruda (Naut Aran).</v>
      </c>
      <c r="I17" s="157">
        <f>Total!I1432</f>
        <v>11000</v>
      </c>
    </row>
    <row r="18" spans="1:9" x14ac:dyDescent="0.2">
      <c r="A18" s="8">
        <v>17</v>
      </c>
      <c r="B18" s="101">
        <f>Total!B1433</f>
        <v>43049</v>
      </c>
      <c r="C18" s="101">
        <f>Total!C1433</f>
        <v>43066</v>
      </c>
      <c r="D18" s="112" t="s">
        <v>1092</v>
      </c>
      <c r="E18" s="101" t="str">
        <f>Total!E1433</f>
        <v>Obra Civil</v>
      </c>
      <c r="F18" s="96" t="str">
        <f>Total!F1433</f>
        <v>Projectes</v>
      </c>
      <c r="G18" s="112" t="str">
        <f>Total!G1433</f>
        <v>PC. MB-10067.F1</v>
      </c>
      <c r="H18" s="112" t="str">
        <f>Total!H1433</f>
        <v>Redacció del projecte constructiu de millora local. Seguretat viària. Reordenació dels accessos a la C-243c, pk 8,600. Accés a Ca n'Amat. Tram: Ullastrell.</v>
      </c>
      <c r="I18" s="157">
        <f>Total!I1433</f>
        <v>12000</v>
      </c>
    </row>
    <row r="19" spans="1:9" x14ac:dyDescent="0.2">
      <c r="A19" s="8">
        <v>18</v>
      </c>
      <c r="B19" s="101">
        <f>Total!B1434</f>
        <v>43049</v>
      </c>
      <c r="C19" s="101">
        <f>Total!C1434</f>
        <v>43068</v>
      </c>
      <c r="D19" s="112" t="s">
        <v>1092</v>
      </c>
      <c r="E19" s="101" t="str">
        <f>Total!E1434</f>
        <v>Obra Civil</v>
      </c>
      <c r="F19" s="96" t="str">
        <f>Total!F1434</f>
        <v>Direccions d'Obra</v>
      </c>
      <c r="G19" s="112" t="str">
        <f>Total!G1434</f>
        <v>DO. ML-14045.1</v>
      </c>
      <c r="H19" s="112" t="str">
        <f>Total!H1434</f>
        <v>Direcció de les obres del projecte constructiu de millora local. Seguretat viària. Viseres antiallaus a la carretera C-28, pk 39,550 (RUDA14). Tram: Baquèira-Vall de Ruda (Naut Aran).</v>
      </c>
      <c r="I19" s="157">
        <f>Total!I1434</f>
        <v>46244.44</v>
      </c>
    </row>
    <row r="20" spans="1:9" x14ac:dyDescent="0.2">
      <c r="A20" s="8">
        <v>19</v>
      </c>
      <c r="B20" s="101">
        <f>Total!B1435</f>
        <v>43052</v>
      </c>
      <c r="C20" s="101">
        <f>Total!C1435</f>
        <v>43068</v>
      </c>
      <c r="D20" s="112" t="s">
        <v>1092</v>
      </c>
      <c r="E20" s="101" t="str">
        <f>Total!E1435</f>
        <v>Obra Civil</v>
      </c>
      <c r="F20" s="96" t="str">
        <f>Total!F1435</f>
        <v>Direccions d'Obra</v>
      </c>
      <c r="G20" s="112" t="str">
        <f>Total!G1435</f>
        <v>DO. XL-04084</v>
      </c>
      <c r="H20" s="112" t="str">
        <f>Total!H1435</f>
        <v>Direcció de les obres del projecte constructiu de millora general. Condicionament i eixamplament. Carretera LP-3322 del PK 10+600 al 14+500. Tram: Linyola - Bellcaire d'Urgell.</v>
      </c>
      <c r="I20" s="157">
        <f>Total!I1435</f>
        <v>137933.32999999999</v>
      </c>
    </row>
    <row r="21" spans="1:9" x14ac:dyDescent="0.2">
      <c r="A21" s="8">
        <v>20</v>
      </c>
      <c r="B21" s="101">
        <f>Total!B1436</f>
        <v>43052</v>
      </c>
      <c r="C21" s="101">
        <f>Total!C1436</f>
        <v>43068</v>
      </c>
      <c r="D21" s="112" t="s">
        <v>1092</v>
      </c>
      <c r="E21" s="101" t="str">
        <f>Total!E1436</f>
        <v>Obra Civil</v>
      </c>
      <c r="F21" s="96" t="str">
        <f>Total!F1436</f>
        <v>Projectes</v>
      </c>
      <c r="G21" s="112" t="str">
        <f>Total!G1436</f>
        <v>PC.TF-08272-C1</v>
      </c>
      <c r="H21" s="112" t="str">
        <f>Total!H1436</f>
        <v>Redacció del projecte complementari núm. 1 del pas inferior de la carretera GIV-5217 sota les vies del tren cremallera de FGC a Queralbs. Mesures d'estabilització del desguàs del drenatge del pas inferior. Tram: Queralbs.</v>
      </c>
      <c r="I21" s="157">
        <f>Total!I1436</f>
        <v>19000</v>
      </c>
    </row>
    <row r="22" spans="1:9" x14ac:dyDescent="0.2">
      <c r="A22" s="8">
        <v>21</v>
      </c>
      <c r="B22" s="101">
        <f>Total!B1437</f>
        <v>43052</v>
      </c>
      <c r="C22" s="101">
        <f>Total!C1437</f>
        <v>43068</v>
      </c>
      <c r="D22" s="112" t="s">
        <v>1092</v>
      </c>
      <c r="E22" s="101" t="str">
        <f>Total!E1437</f>
        <v>Edificació</v>
      </c>
      <c r="F22" s="96" t="str">
        <f>Total!F1437</f>
        <v>Control de Qualitat</v>
      </c>
      <c r="G22" s="112" t="str">
        <f>Total!G1437</f>
        <v>CQ. CAP-17212</v>
      </c>
      <c r="H22" s="112" t="str">
        <f>Total!H1437</f>
        <v>Control de qualitat de les obres RAM d'actuació de reparació dels despreniments a la façana del Centre d'Atenció Primària de Canet de Mar.</v>
      </c>
      <c r="I22" s="157">
        <f>Total!I1437</f>
        <v>361.92</v>
      </c>
    </row>
    <row r="23" spans="1:9" x14ac:dyDescent="0.2">
      <c r="A23" s="8">
        <v>22</v>
      </c>
      <c r="B23" s="101">
        <f>Total!B1438</f>
        <v>43052</v>
      </c>
      <c r="C23" s="101">
        <f>Total!C1438</f>
        <v>43068</v>
      </c>
      <c r="D23" s="112" t="s">
        <v>1092</v>
      </c>
      <c r="E23" s="101" t="str">
        <f>Total!E1438</f>
        <v>Edificació</v>
      </c>
      <c r="F23" s="96" t="str">
        <f>Total!F1438</f>
        <v>Control de Qualitat</v>
      </c>
      <c r="G23" s="112" t="str">
        <f>Total!G1438</f>
        <v>CQ. CAP-13320</v>
      </c>
      <c r="H23" s="112" t="str">
        <f>Total!H1438</f>
        <v>Control de qualitat de les obres de construcció del nou Centre de Salut. Servei d'Urgències i CMA, a Granollers.</v>
      </c>
      <c r="I23" s="157">
        <f>Total!I1438</f>
        <v>109527</v>
      </c>
    </row>
    <row r="24" spans="1:9" x14ac:dyDescent="0.2">
      <c r="A24" s="8">
        <v>23</v>
      </c>
      <c r="B24" s="101">
        <f>Total!B1439</f>
        <v>43053</v>
      </c>
      <c r="C24" s="101">
        <f>Total!C1439</f>
        <v>43080</v>
      </c>
      <c r="D24" s="112" t="s">
        <v>1092</v>
      </c>
      <c r="E24" s="101" t="str">
        <f>Total!E1439</f>
        <v>Obra Civil</v>
      </c>
      <c r="F24" s="96" t="str">
        <f>Total!F1439</f>
        <v>Control de Qualitat</v>
      </c>
      <c r="G24" s="112" t="str">
        <f>Total!G1439</f>
        <v>CQ.TF-02676.11</v>
      </c>
      <c r="H24" s="112" t="str">
        <f>Total!H1439</f>
        <v>Control de qualitat del projecte constructiu. Condicionament del túnel i estacions entre Sabadell Estació (provisional) i Sabadell Rambla.</v>
      </c>
      <c r="I24" s="157">
        <f>Total!I1439</f>
        <v>7932.1</v>
      </c>
    </row>
    <row r="25" spans="1:9" x14ac:dyDescent="0.2">
      <c r="A25" s="8">
        <v>24</v>
      </c>
      <c r="B25" s="101">
        <f>Total!B1440</f>
        <v>43053</v>
      </c>
      <c r="C25" s="101">
        <f>Total!C1440</f>
        <v>43080</v>
      </c>
      <c r="D25" s="112" t="s">
        <v>1092</v>
      </c>
      <c r="E25" s="101" t="str">
        <f>Total!E1440</f>
        <v>Obra Civil</v>
      </c>
      <c r="F25" s="96" t="str">
        <f>Total!F1440</f>
        <v>Control de Qualitat</v>
      </c>
      <c r="G25" s="112" t="str">
        <f>Total!G1440</f>
        <v>CQ. XL-04084</v>
      </c>
      <c r="H25" s="112" t="str">
        <f>Total!H1440</f>
        <v>Control de qualitat de les obres del projecte constructiu de millora general. Condicionament i eixamplament. Carretera LP-3322 del PK 10+600 al 14+500. Tram: Linyola - Bellcaire d'Urgell.</v>
      </c>
      <c r="I25" s="157">
        <f>Total!I1440</f>
        <v>56058.85</v>
      </c>
    </row>
    <row r="26" spans="1:9" x14ac:dyDescent="0.2">
      <c r="A26" s="8">
        <v>25</v>
      </c>
      <c r="B26" s="101">
        <f>Total!B1441</f>
        <v>43053</v>
      </c>
      <c r="C26" s="101">
        <f>Total!C1441</f>
        <v>43073</v>
      </c>
      <c r="D26" s="112" t="s">
        <v>1092</v>
      </c>
      <c r="E26" s="101" t="str">
        <f>Total!E1441</f>
        <v>Obra Civil</v>
      </c>
      <c r="F26" s="96" t="str">
        <f>Total!F1441</f>
        <v>Direccions d'Obra</v>
      </c>
      <c r="G26" s="112" t="str">
        <f>Total!G1441</f>
        <v>CSS. RE-13061.1</v>
      </c>
      <c r="H26" s="112" t="str">
        <f>Total!H1441</f>
        <v>Coordinació de seguretat i salut de les obres "Projecte constructiu de ferm. Reforçament del ferm a la carretera C-12, del PK 19+600 al 23+500. Tram: Tortosa-Aldover.</v>
      </c>
      <c r="I26" s="157">
        <f>Total!I1441</f>
        <v>5600</v>
      </c>
    </row>
    <row r="27" spans="1:9" x14ac:dyDescent="0.2">
      <c r="A27" s="8">
        <v>26</v>
      </c>
      <c r="B27" s="101">
        <f>Total!B1442</f>
        <v>43053</v>
      </c>
      <c r="C27" s="101">
        <f>Total!C1442</f>
        <v>43073</v>
      </c>
      <c r="D27" s="112" t="s">
        <v>1092</v>
      </c>
      <c r="E27" s="101" t="str">
        <f>Total!E1442</f>
        <v>Obra Civil</v>
      </c>
      <c r="F27" s="96" t="str">
        <f>Total!F1442</f>
        <v>Direccions d'Obra</v>
      </c>
      <c r="G27" s="112" t="str">
        <f>Total!G1442</f>
        <v>DO. RE-13061.1</v>
      </c>
      <c r="H27" s="112" t="str">
        <f>Total!H1442</f>
        <v>Direcció de les obres del projecte constructiu de ferm. Reforçament del ferm a la carretera C-12, del PK 19+600 al 23+500. Tram: Tortosa - Aldover.</v>
      </c>
      <c r="I27" s="157">
        <f>Total!I1442</f>
        <v>28577.78</v>
      </c>
    </row>
    <row r="28" spans="1:9" x14ac:dyDescent="0.2">
      <c r="A28" s="8">
        <v>27</v>
      </c>
      <c r="B28" s="101">
        <f>Total!B1443</f>
        <v>43053</v>
      </c>
      <c r="C28" s="101">
        <f>Total!C1443</f>
        <v>43073</v>
      </c>
      <c r="D28" s="112" t="s">
        <v>1092</v>
      </c>
      <c r="E28" s="101" t="str">
        <f>Total!E1443</f>
        <v>Obra Civil</v>
      </c>
      <c r="F28" s="96" t="str">
        <f>Total!F1443</f>
        <v>Direccions d'Obra</v>
      </c>
      <c r="G28" s="112" t="str">
        <f>Total!G1443</f>
        <v>CSS. MB-15056+MB-13013.C1+MB-13015-C1</v>
      </c>
      <c r="H28" s="112" t="str">
        <f>Total!H1443</f>
        <v>Coord. S.S conjunta obres del "Proj. constructiu millora local. Millora de nus. Rotonda ctra. BV-2244, PK 1,320. Tram: Sant Sadurní Anoia. Proj. compl. 1 millora seg. viària. Millora local… Ctra. C-58. Tram: Vacarisses-Castellbell i el Vilar i ….</v>
      </c>
      <c r="I28" s="157">
        <f>Total!I1443</f>
        <v>7700</v>
      </c>
    </row>
    <row r="29" spans="1:9" x14ac:dyDescent="0.2">
      <c r="A29" s="8">
        <v>28</v>
      </c>
      <c r="B29" s="101">
        <f>Total!B1444</f>
        <v>43053</v>
      </c>
      <c r="C29" s="101">
        <f>Total!C1444</f>
        <v>43073</v>
      </c>
      <c r="D29" s="112" t="s">
        <v>1092</v>
      </c>
      <c r="E29" s="101" t="str">
        <f>Total!E1444</f>
        <v>Obra Civil</v>
      </c>
      <c r="F29" s="96" t="str">
        <f>Total!F1444</f>
        <v>Projectes</v>
      </c>
      <c r="G29" s="112" t="str">
        <f>Total!G1444</f>
        <v>PC. CB-16061</v>
      </c>
      <c r="H29" s="112" t="str">
        <f>Total!H1444</f>
        <v>Redacció del projecte constructiu de conservació extraordinària. Ponts i estructures. Rehabilitació d'obres de fàbrica a la C-155, PK 6+900, a la BV-5303, PK 10+870, i a la BV-5105, PK 2+300. Tram: Palau-solità i Plegamans, Seva i la Roca del Vallès.</v>
      </c>
      <c r="I29" s="157">
        <f>Total!I1444</f>
        <v>29400</v>
      </c>
    </row>
    <row r="30" spans="1:9" x14ac:dyDescent="0.2">
      <c r="A30" s="8">
        <v>29</v>
      </c>
      <c r="B30" s="101">
        <f>Total!B1445</f>
        <v>43053</v>
      </c>
      <c r="C30" s="101">
        <f>Total!C1445</f>
        <v>43073</v>
      </c>
      <c r="D30" s="112" t="s">
        <v>1092</v>
      </c>
      <c r="E30" s="101" t="str">
        <f>Total!E1445</f>
        <v>Obra Civil</v>
      </c>
      <c r="F30" s="96" t="str">
        <f>Total!F1445</f>
        <v>Projectes</v>
      </c>
      <c r="G30" s="112" t="str">
        <f>Total!G1445</f>
        <v>PC. CB-16060</v>
      </c>
      <c r="H30" s="112" t="str">
        <f>Total!H1445</f>
        <v>Redacció del projecte constructiu de conservació extraordinària. Ponts i estructures. Rehabilitació d'obres de fàbrica a la N-II, PK 644+120, i a la C-1413a, PK 2+480. Tram: Mataró i el Papiol.</v>
      </c>
      <c r="I30" s="157">
        <f>Total!I1445</f>
        <v>25500</v>
      </c>
    </row>
    <row r="31" spans="1:9" x14ac:dyDescent="0.2">
      <c r="A31" s="8">
        <v>30</v>
      </c>
      <c r="B31" s="101">
        <f>Total!B1446</f>
        <v>43053</v>
      </c>
      <c r="C31" s="101">
        <f>Total!C1446</f>
        <v>43073</v>
      </c>
      <c r="D31" s="112" t="s">
        <v>1092</v>
      </c>
      <c r="E31" s="101" t="str">
        <f>Total!E1446</f>
        <v>Obra Civil</v>
      </c>
      <c r="F31" s="96" t="str">
        <f>Total!F1446</f>
        <v>Projectes</v>
      </c>
      <c r="G31" s="112" t="str">
        <f>Total!G1446</f>
        <v>PC. PC-CMB-17024</v>
      </c>
      <c r="H31" s="112" t="str">
        <f>Total!H1446</f>
        <v>Redacció del projecte constructiu de millora local. Millora de nus. Millora de la capacitat a la rotonda de la carretera C-1415b, PK 7+050. Tram: Lliça d'Amunt.</v>
      </c>
      <c r="I31" s="157">
        <f>Total!I1446</f>
        <v>19000</v>
      </c>
    </row>
    <row r="32" spans="1:9" x14ac:dyDescent="0.2">
      <c r="A32" s="8">
        <v>31</v>
      </c>
      <c r="B32" s="101">
        <f>Total!B1447</f>
        <v>43053</v>
      </c>
      <c r="C32" s="101">
        <f>Total!C1447</f>
        <v>43073</v>
      </c>
      <c r="D32" s="112" t="s">
        <v>1092</v>
      </c>
      <c r="E32" s="101" t="str">
        <f>Total!E1447</f>
        <v>Obra Civil</v>
      </c>
      <c r="F32" s="96" t="str">
        <f>Total!F1447</f>
        <v>Projectes</v>
      </c>
      <c r="G32" s="112" t="str">
        <f>Total!G1447</f>
        <v>PC.TM-00509.53.2</v>
      </c>
      <c r="H32" s="112" t="str">
        <f>Total!H1447</f>
        <v>Redacció del Projecte de millora dels llocs de treball dels Tallers i cotxeres de la Línia 9 de Metro de Barcelona. Fase 2.</v>
      </c>
      <c r="I32" s="157">
        <f>Total!I1447</f>
        <v>15000</v>
      </c>
    </row>
    <row r="33" spans="1:9" x14ac:dyDescent="0.2">
      <c r="A33" s="8">
        <v>32</v>
      </c>
      <c r="B33" s="101">
        <f>Total!B1448</f>
        <v>43053</v>
      </c>
      <c r="C33" s="101">
        <f>Total!C1448</f>
        <v>43073</v>
      </c>
      <c r="D33" s="112" t="s">
        <v>1092</v>
      </c>
      <c r="E33" s="101" t="str">
        <f>Total!E1448</f>
        <v>Edificació</v>
      </c>
      <c r="F33" s="96" t="str">
        <f>Total!F1448</f>
        <v>Control de Qualitat</v>
      </c>
      <c r="G33" s="112" t="str">
        <f>Total!G1448</f>
        <v>CQ. JJB-15301</v>
      </c>
      <c r="H33" s="112" t="str">
        <f>Total!H1448</f>
        <v>Control de qualitat de les obres RAM reforma interior de l'edifici judicial del carrer Prim a Badalona.</v>
      </c>
      <c r="I33" s="157">
        <f>Total!I1448</f>
        <v>25396.07</v>
      </c>
    </row>
    <row r="34" spans="1:9" x14ac:dyDescent="0.2">
      <c r="A34" s="8">
        <v>33</v>
      </c>
      <c r="B34" s="101">
        <f>Total!B1449</f>
        <v>43053</v>
      </c>
      <c r="C34" s="101">
        <f>Total!C1449</f>
        <v>43073</v>
      </c>
      <c r="D34" s="112" t="s">
        <v>1092</v>
      </c>
      <c r="E34" s="101" t="str">
        <f>Total!E1449</f>
        <v>Edificació</v>
      </c>
      <c r="F34" s="96" t="str">
        <f>Total!F1449</f>
        <v>Direccions d'Execució</v>
      </c>
      <c r="G34" s="112" t="str">
        <f>Total!G1449</f>
        <v>CSS. JJB-15301</v>
      </c>
      <c r="H34" s="112" t="str">
        <f>Total!H1449</f>
        <v>Coordinació de seguretat i salut de l'execució de les obres RAM reforma interior de l'edifici judicial del carrer Prim a Badalona.</v>
      </c>
      <c r="I34" s="157">
        <f>Total!I1449</f>
        <v>16800</v>
      </c>
    </row>
    <row r="35" spans="1:9" x14ac:dyDescent="0.2">
      <c r="A35" s="8">
        <v>34</v>
      </c>
      <c r="B35" s="101">
        <f>Total!B1450</f>
        <v>43054</v>
      </c>
      <c r="C35" s="101">
        <f>Total!C1450</f>
        <v>43073</v>
      </c>
      <c r="D35" s="112" t="s">
        <v>1092</v>
      </c>
      <c r="E35" s="101" t="str">
        <f>Total!E1450</f>
        <v>Obra Civil</v>
      </c>
      <c r="F35" s="96" t="str">
        <f>Total!F1450</f>
        <v>Control de Qualitat</v>
      </c>
      <c r="G35" s="112" t="str">
        <f>Total!G1450</f>
        <v>CQ. XG-15036 (Lots 1 i 2)</v>
      </c>
      <c r="H35" s="112" t="str">
        <f>Total!H1450</f>
        <v>Control de qualitat de les obres del projecte constructiu de millora local. Via verda. Via ciclista de l’estació de Riells i Viabrea - Breda al nucli de Breda per la carretera GI-552, del PK 2+000 al 4+000. Tram: Riells i Viabrea - Breda.</v>
      </c>
      <c r="I35" s="157">
        <f>Total!I1450</f>
        <v>9526.52</v>
      </c>
    </row>
    <row r="36" spans="1:9" x14ac:dyDescent="0.2">
      <c r="A36" s="8">
        <v>35</v>
      </c>
      <c r="B36" s="101">
        <f>Total!B1451</f>
        <v>43054</v>
      </c>
      <c r="C36" s="101">
        <f>Total!C1451</f>
        <v>43080</v>
      </c>
      <c r="D36" s="112" t="s">
        <v>1092</v>
      </c>
      <c r="E36" s="101" t="str">
        <f>Total!E1451</f>
        <v>Obra Civil</v>
      </c>
      <c r="F36" s="96" t="str">
        <f>Total!F1451</f>
        <v>Direccions d'obra</v>
      </c>
      <c r="G36" s="112" t="str">
        <f>Total!G1451</f>
        <v>DO. ML-14030</v>
      </c>
      <c r="H36" s="112" t="str">
        <f>Total!H1451</f>
        <v>Direcció de les obres del projecte constructiu de millora local. Millora de nus. Carretera C-14, del PK 142+390 al 142+420. Tram: Oliana.</v>
      </c>
      <c r="I36" s="157">
        <f>Total!I1451</f>
        <v>15055.56</v>
      </c>
    </row>
    <row r="37" spans="1:9" x14ac:dyDescent="0.2">
      <c r="A37" s="8">
        <v>36</v>
      </c>
      <c r="B37" s="101">
        <f>Total!B1452</f>
        <v>43054</v>
      </c>
      <c r="C37" s="101">
        <f>Total!C1452</f>
        <v>43080</v>
      </c>
      <c r="D37" s="112" t="s">
        <v>1092</v>
      </c>
      <c r="E37" s="101" t="str">
        <f>Total!E1452</f>
        <v>Obra Civil</v>
      </c>
      <c r="F37" s="96" t="str">
        <f>Total!F1452</f>
        <v>Control de Qualitat</v>
      </c>
      <c r="G37" s="112" t="str">
        <f>Total!G1452</f>
        <v>CQ. XA-16237</v>
      </c>
      <c r="H37" s="112" t="str">
        <f>Total!H1452</f>
        <v>Control de qualitat de les obres del projecte de condicionament i millora del camí de servei del canal Xerta Sénia i actuacions complementàries. TTMM de Xerta, Aldover, Tortosa i Roquetes (Baix Ebre).</v>
      </c>
      <c r="I37" s="157">
        <f>Total!I1452</f>
        <v>1422.31</v>
      </c>
    </row>
    <row r="38" spans="1:9" x14ac:dyDescent="0.2">
      <c r="A38" s="8">
        <v>37</v>
      </c>
      <c r="B38" s="101">
        <f>Total!B1453</f>
        <v>43054</v>
      </c>
      <c r="C38" s="101">
        <f>Total!C1453</f>
        <v>43080</v>
      </c>
      <c r="D38" s="112" t="s">
        <v>1092</v>
      </c>
      <c r="E38" s="101" t="str">
        <f>Total!E1453</f>
        <v>Obra Civil</v>
      </c>
      <c r="F38" s="96" t="str">
        <f>Total!F1453</f>
        <v>Control de Qualitat</v>
      </c>
      <c r="G38" s="112" t="str">
        <f>Total!G1453</f>
        <v>CQ. MB-15056</v>
      </c>
      <c r="H38" s="112" t="str">
        <f>Total!H1453</f>
        <v>Control de qualitat de les obres del projecte constructiu de millora local. Millora de nus. Rotonda a la carretera BV-2244, PK 1+320. Tram: Sant Sadurní d´Anoia.</v>
      </c>
      <c r="I38" s="157">
        <f>Total!I1453</f>
        <v>3023.42</v>
      </c>
    </row>
    <row r="39" spans="1:9" x14ac:dyDescent="0.2">
      <c r="A39" s="8">
        <v>38</v>
      </c>
      <c r="B39" s="101">
        <f>Total!B1454</f>
        <v>43054</v>
      </c>
      <c r="C39" s="101">
        <f>Total!C1454</f>
        <v>43080</v>
      </c>
      <c r="D39" s="112" t="s">
        <v>1092</v>
      </c>
      <c r="E39" s="101" t="str">
        <f>Total!E1454</f>
        <v>Obra Civil</v>
      </c>
      <c r="F39" s="96" t="str">
        <f>Total!F1454</f>
        <v>Control de Qualitat</v>
      </c>
      <c r="G39" s="112" t="str">
        <f>Total!G1454</f>
        <v>CQ. MB-13015-C1</v>
      </c>
      <c r="H39" s="112" t="str">
        <f>Total!H1454</f>
        <v>Control de qualitat obres del projecte compl. núm. 1 de millora de la seg. viària. Millora de les característiques superficials del ferm i reestudi de la secció transversal. Ctra. C-55. PK 18+500 al 26+500. Tram: Castellbell i el Vilar - Manresa.</v>
      </c>
      <c r="I39" s="157">
        <f>Total!I1454</f>
        <v>6291.94</v>
      </c>
    </row>
    <row r="40" spans="1:9" x14ac:dyDescent="0.2">
      <c r="A40" s="8">
        <v>39</v>
      </c>
      <c r="B40" s="101">
        <f>Total!B1455</f>
        <v>43054</v>
      </c>
      <c r="C40" s="101">
        <f>Total!C1455</f>
        <v>43080</v>
      </c>
      <c r="D40" s="112" t="s">
        <v>1092</v>
      </c>
      <c r="E40" s="101" t="str">
        <f>Total!E1455</f>
        <v>Obra Civil</v>
      </c>
      <c r="F40" s="96" t="str">
        <f>Total!F1455</f>
        <v>Projectes</v>
      </c>
      <c r="G40" s="112" t="str">
        <f>Total!G1455</f>
        <v>PC.MAB-17078</v>
      </c>
      <c r="H40" s="112" t="str">
        <f>Total!H1455</f>
        <v>Redacció del projecte constructiu de la renovació de l'enclavament del Triangle Ferroviari de les línies 2,4 i 9 de FMB. Barcelona.</v>
      </c>
      <c r="I40" s="157">
        <f>Total!I1455</f>
        <v>60000</v>
      </c>
    </row>
    <row r="41" spans="1:9" x14ac:dyDescent="0.2">
      <c r="A41" s="8">
        <v>40</v>
      </c>
      <c r="B41" s="101">
        <f>Total!B1456</f>
        <v>43054</v>
      </c>
      <c r="C41" s="101">
        <f>Total!C1456</f>
        <v>43080</v>
      </c>
      <c r="D41" s="112" t="s">
        <v>1092</v>
      </c>
      <c r="E41" s="101" t="str">
        <f>Total!E1456</f>
        <v>Obra Civil</v>
      </c>
      <c r="F41" s="96" t="str">
        <f>Total!F1456</f>
        <v>Control de Qualitat</v>
      </c>
      <c r="G41" s="112" t="str">
        <f>Total!G1456</f>
        <v>CQ. ML-14030</v>
      </c>
      <c r="H41" s="112" t="str">
        <f>Total!H1456</f>
        <v>Control de qualitat de les obres del projecte constructiu de millora local. Millora de nus. Carretera C-14 del PK 142+390 al 142+420.</v>
      </c>
      <c r="I41" s="157">
        <f>Total!I1456</f>
        <v>5491.56</v>
      </c>
    </row>
    <row r="42" spans="1:9" x14ac:dyDescent="0.2">
      <c r="A42" s="8">
        <v>41</v>
      </c>
      <c r="B42" s="101">
        <f>Total!B1457</f>
        <v>43054</v>
      </c>
      <c r="C42" s="101">
        <f>Total!C1457</f>
        <v>43073</v>
      </c>
      <c r="D42" s="112" t="s">
        <v>1092</v>
      </c>
      <c r="E42" s="101" t="str">
        <f>Total!E1457</f>
        <v>Obra Civil</v>
      </c>
      <c r="F42" s="96" t="str">
        <f>Total!F1457</f>
        <v>Direccions d'obra</v>
      </c>
      <c r="G42" s="112" t="str">
        <f>Total!G1457</f>
        <v>DO. MG-15015.2</v>
      </c>
      <c r="H42" s="112" t="str">
        <f>Total!H1457</f>
        <v>Direcció de les obres del projecte constructiu de millora local. Seguretat viària. Millores de seguretat i reestudi de la secció transversal. Carretera C-66, PK 50+450 al 55+800. Tram: Serinyà – Sant Ferriol.</v>
      </c>
      <c r="I42" s="157">
        <f>Total!I1457</f>
        <v>194277.78</v>
      </c>
    </row>
    <row r="43" spans="1:9" x14ac:dyDescent="0.2">
      <c r="A43" s="8">
        <v>42</v>
      </c>
      <c r="B43" s="101">
        <f>Total!B1458</f>
        <v>43054</v>
      </c>
      <c r="C43" s="101">
        <f>Total!C1458</f>
        <v>43073</v>
      </c>
      <c r="D43" s="112" t="s">
        <v>1092</v>
      </c>
      <c r="E43" s="101" t="str">
        <f>Total!E1458</f>
        <v>Obra Civil</v>
      </c>
      <c r="F43" s="96" t="str">
        <f>Total!F1458</f>
        <v>Projectes</v>
      </c>
      <c r="G43" s="112" t="str">
        <f>Total!G1458</f>
        <v>EV. EA-CNB-17087</v>
      </c>
      <c r="H43" s="112" t="str">
        <f>Total!H1458</f>
        <v>Redacció de l'estudi d’alternatives de traçat de l'Estudi d'oportunitat de la Ronda sud de Vic.</v>
      </c>
      <c r="I43" s="157">
        <f>Total!I1458</f>
        <v>60000</v>
      </c>
    </row>
    <row r="44" spans="1:9" x14ac:dyDescent="0.2">
      <c r="A44" s="8">
        <v>43</v>
      </c>
      <c r="B44" s="101">
        <f>Total!B1459</f>
        <v>43054</v>
      </c>
      <c r="C44" s="101">
        <f>Total!C1459</f>
        <v>43073</v>
      </c>
      <c r="D44" s="112" t="s">
        <v>1092</v>
      </c>
      <c r="E44" s="101" t="str">
        <f>Total!E1459</f>
        <v>Obra Civil</v>
      </c>
      <c r="F44" s="96" t="str">
        <f>Total!F1459</f>
        <v>Projectes</v>
      </c>
      <c r="G44" s="112" t="str">
        <f>Total!G1459</f>
        <v>EV. EM-CNB-17087</v>
      </c>
      <c r="H44" s="112" t="str">
        <f>Total!H1459</f>
        <v>Redacció de l’estudi d’impacte sobre la mobilitat de l'Estudi d'oportunitat de la Ronda sud de Vic.</v>
      </c>
      <c r="I44" s="157">
        <f>Total!I1459</f>
        <v>46000</v>
      </c>
    </row>
    <row r="45" spans="1:9" x14ac:dyDescent="0.2">
      <c r="A45" s="8">
        <v>44</v>
      </c>
      <c r="B45" s="101">
        <f>Total!B1460</f>
        <v>43054</v>
      </c>
      <c r="C45" s="101">
        <f>Total!C1460</f>
        <v>43073</v>
      </c>
      <c r="D45" s="112" t="s">
        <v>1092</v>
      </c>
      <c r="E45" s="101" t="str">
        <f>Total!E1460</f>
        <v>Obra Civil</v>
      </c>
      <c r="F45" s="96" t="str">
        <f>Total!F1460</f>
        <v>Direccions d'obra</v>
      </c>
      <c r="G45" s="112" t="str">
        <f>Total!G1460</f>
        <v>CSS. XG-15036 (Lot 1+ Lot 2)</v>
      </c>
      <c r="H45" s="112" t="str">
        <f>Total!H1460</f>
        <v>Coord. Seg. i Salut de l'execució de les obres del projecte constructiu de millora local. Via verda. Via ciclista de l’estació de Riells i Viabrea - Breda al nucli de Breda per la carretera GI-552, del PK 2+000 al 4+000. Tra m: Riells i Viabrea - Breda.</v>
      </c>
      <c r="I45" s="157">
        <f>Total!I1460</f>
        <v>5700</v>
      </c>
    </row>
    <row r="46" spans="1:9" x14ac:dyDescent="0.2">
      <c r="A46" s="8">
        <v>45</v>
      </c>
      <c r="B46" s="101">
        <f>Total!B1461</f>
        <v>43055</v>
      </c>
      <c r="C46" s="101">
        <f>Total!C1461</f>
        <v>43082</v>
      </c>
      <c r="D46" s="112" t="s">
        <v>1092</v>
      </c>
      <c r="E46" s="101" t="str">
        <f>Total!E1461</f>
        <v>Obra Civil</v>
      </c>
      <c r="F46" s="96" t="str">
        <f>Total!F1461</f>
        <v>Control de Qualitat</v>
      </c>
      <c r="G46" s="112" t="str">
        <f>Total!G1461</f>
        <v>CQ. MG-16049</v>
      </c>
      <c r="H46" s="112" t="str">
        <f>Total!H1461</f>
        <v>Control de qualitat de les obres del projecte constructiu de millora local. Millora de nus. Rotonda a la intersecció entre les carreteres C-31 i GI-632. PK 353+500 de la C-31 i PK 0+00 de la GI-632. Tram: Ullà - la Tallada d'Empordà.</v>
      </c>
      <c r="I46" s="157">
        <f>Total!I1461</f>
        <v>6510.67</v>
      </c>
    </row>
    <row r="47" spans="1:9" x14ac:dyDescent="0.2">
      <c r="A47" s="8">
        <v>46</v>
      </c>
      <c r="B47" s="101">
        <f>Total!B1462</f>
        <v>43055</v>
      </c>
      <c r="C47" s="101">
        <f>Total!C1462</f>
        <v>43080</v>
      </c>
      <c r="D47" s="112" t="s">
        <v>1092</v>
      </c>
      <c r="E47" s="101" t="str">
        <f>Total!E1462</f>
        <v>Obra Civil</v>
      </c>
      <c r="F47" s="96" t="str">
        <f>Total!F1462</f>
        <v>Projectes</v>
      </c>
      <c r="G47" s="112" t="str">
        <f>Total!G1462</f>
        <v>PC.MAB-17079</v>
      </c>
      <c r="H47" s="112" t="str">
        <f>Total!H1462</f>
        <v>Redacció del projecte constructiu: Renovació de l'enclavament de la cotxera i taller de Sant Genís de la línia 3 de FMB. Barcelona.</v>
      </c>
      <c r="I47" s="157">
        <f>Total!I1462</f>
        <v>65000</v>
      </c>
    </row>
    <row r="48" spans="1:9" x14ac:dyDescent="0.2">
      <c r="A48" s="8">
        <v>47</v>
      </c>
      <c r="B48" s="101">
        <f>Total!B1463</f>
        <v>43055</v>
      </c>
      <c r="C48" s="101">
        <f>Total!C1463</f>
        <v>43082</v>
      </c>
      <c r="D48" s="112" t="s">
        <v>1092</v>
      </c>
      <c r="E48" s="101" t="str">
        <f>Total!E1463</f>
        <v>Obra Civil</v>
      </c>
      <c r="F48" s="96" t="str">
        <f>Total!F1463</f>
        <v>Projectes</v>
      </c>
      <c r="G48" s="112" t="str">
        <f>Total!G1463</f>
        <v>PC. AG-07040.3</v>
      </c>
      <c r="H48" s="112" t="str">
        <f>Total!H1463</f>
        <v>Redacció del projecte constructiu de millora general. Condicionament de la carretera GI-642, del PK 0+000 al 3+512. Tram: La Pera - Parlavà.</v>
      </c>
      <c r="I48" s="157">
        <f>Total!I1463</f>
        <v>58500</v>
      </c>
    </row>
    <row r="49" spans="1:9" x14ac:dyDescent="0.2">
      <c r="A49" s="8">
        <v>48</v>
      </c>
      <c r="B49" s="101">
        <f>Total!B1464</f>
        <v>43055</v>
      </c>
      <c r="C49" s="101">
        <f>Total!C1464</f>
        <v>43082</v>
      </c>
      <c r="D49" s="112" t="s">
        <v>1092</v>
      </c>
      <c r="E49" s="101" t="str">
        <f>Total!E1464</f>
        <v>Obra Civil</v>
      </c>
      <c r="F49" s="96" t="str">
        <f>Total!F1464</f>
        <v>Projectes</v>
      </c>
      <c r="G49" s="112" t="str">
        <f>Total!G1464</f>
        <v>PC. AG-07040.2</v>
      </c>
      <c r="H49" s="112" t="str">
        <f>Total!H1464</f>
        <v>Redacció del projecte constructiu de millora general. Condicionament de la carretera GI-643, del PK 4+550 al 7+882. Tram: Serra de Daró - Parlavà.</v>
      </c>
      <c r="I49" s="157">
        <f>Total!I1464</f>
        <v>58500</v>
      </c>
    </row>
    <row r="50" spans="1:9" x14ac:dyDescent="0.2">
      <c r="A50" s="8">
        <v>49</v>
      </c>
      <c r="B50" s="101">
        <f>Total!B1465</f>
        <v>43055</v>
      </c>
      <c r="C50" s="101">
        <f>Total!C1465</f>
        <v>43082</v>
      </c>
      <c r="D50" s="112" t="s">
        <v>1092</v>
      </c>
      <c r="E50" s="101" t="str">
        <f>Total!E1465</f>
        <v>Obra Civil</v>
      </c>
      <c r="F50" s="96" t="str">
        <f>Total!F1465</f>
        <v>Projectes</v>
      </c>
      <c r="G50" s="112" t="str">
        <f>Total!G1465</f>
        <v>PC. MG-16069</v>
      </c>
      <c r="H50" s="112" t="str">
        <f>Total!H1465</f>
        <v>Redacció del projecte constructiu de millora local. Rotonda a la carretera GI-522, PK 2+200. Tram: Sant Joan les Fonts.</v>
      </c>
      <c r="I50" s="157">
        <f>Total!I1465</f>
        <v>29400</v>
      </c>
    </row>
    <row r="51" spans="1:9" x14ac:dyDescent="0.2">
      <c r="A51" s="8">
        <v>50</v>
      </c>
      <c r="B51" s="101">
        <f>Total!B1466</f>
        <v>43056</v>
      </c>
      <c r="C51" s="101">
        <f>Total!C1466</f>
        <v>43082</v>
      </c>
      <c r="D51" s="112" t="s">
        <v>1092</v>
      </c>
      <c r="E51" s="101" t="str">
        <f>Total!E1466</f>
        <v>Obra Civil</v>
      </c>
      <c r="F51" s="96" t="str">
        <f>Total!F1466</f>
        <v>Direccions d'Obra</v>
      </c>
      <c r="G51" s="112" t="str">
        <f>Total!G1466</f>
        <v>DO. MA-15901</v>
      </c>
      <c r="H51" s="112" t="str">
        <f>Total!H1466</f>
        <v>Direcció de les obres de recuperació dels sistemes naturals de l'àmbit fluvial dels rius Ondara i Cercavins. TTMM de Granyanella, Tàrrega i Verdú. Mesures correctores i compensatòries del regadiu del sist. Segarra-Garrigues. Declaració Imp. Ambiental 2010</v>
      </c>
      <c r="I51" s="157">
        <f>Total!I1466</f>
        <v>19188.89</v>
      </c>
    </row>
    <row r="52" spans="1:9" x14ac:dyDescent="0.2">
      <c r="A52" s="8">
        <v>51</v>
      </c>
      <c r="B52" s="101">
        <f>Total!B1467</f>
        <v>43056</v>
      </c>
      <c r="C52" s="101">
        <f>Total!C1467</f>
        <v>43150</v>
      </c>
      <c r="D52" s="112" t="s">
        <v>1092</v>
      </c>
      <c r="E52" s="101" t="str">
        <f>Total!E1467</f>
        <v>Obra Civil</v>
      </c>
      <c r="F52" s="96" t="str">
        <f>Total!F1467</f>
        <v>Control de Qualitat</v>
      </c>
      <c r="G52" s="112" t="str">
        <f>Total!G1467</f>
        <v>CQ. MA-15901</v>
      </c>
      <c r="H52" s="112" t="str">
        <f>Total!H1467</f>
        <v>Control de Qualitat obres de recuperació dels sist. naturals de l'àmbit fluvial dels rius Ondara i Cercavins. TTMM de Granyanella, Tàrrega i Verdú. Mesures correctores i compensatòries del regadiu del sist. Segarra-Garrigues. Declaració Imp. Amb. 2010.</v>
      </c>
      <c r="I52" s="157">
        <f>Total!I1467</f>
        <v>3224.95</v>
      </c>
    </row>
    <row r="53" spans="1:9" x14ac:dyDescent="0.2">
      <c r="A53" s="8">
        <v>52</v>
      </c>
      <c r="B53" s="101">
        <f>Total!B1468</f>
        <v>43056</v>
      </c>
      <c r="C53" s="101">
        <f>Total!C1468</f>
        <v>43087</v>
      </c>
      <c r="D53" s="112" t="s">
        <v>1092</v>
      </c>
      <c r="E53" s="101" t="str">
        <f>Total!E1468</f>
        <v>Obra Civil</v>
      </c>
      <c r="F53" s="96" t="str">
        <f>Total!F1468</f>
        <v>Projectes</v>
      </c>
      <c r="G53" s="112" t="str">
        <f>Total!G1468</f>
        <v>PC. AG-07040.1</v>
      </c>
      <c r="H53" s="112" t="str">
        <f>Total!H1468</f>
        <v>Redacció del projecte constructiu de millora general. Condicionament de la carretera GI-643, del PK 0+000 al 4+550. Tram: Gualta - Serra de Daró.</v>
      </c>
      <c r="I53" s="157">
        <f>Total!I1468</f>
        <v>82300</v>
      </c>
    </row>
    <row r="54" spans="1:9" x14ac:dyDescent="0.2">
      <c r="A54" s="8">
        <v>53</v>
      </c>
      <c r="B54" s="101">
        <f>Total!B1469</f>
        <v>43056</v>
      </c>
      <c r="C54" s="101">
        <f>Total!C1469</f>
        <v>43082</v>
      </c>
      <c r="D54" s="112" t="s">
        <v>1092</v>
      </c>
      <c r="E54" s="101" t="str">
        <f>Total!E1469</f>
        <v>Obra Civil</v>
      </c>
      <c r="F54" s="96" t="str">
        <f>Total!F1469</f>
        <v>Direccions d'obra</v>
      </c>
      <c r="G54" s="112" t="str">
        <f>Total!G1469</f>
        <v>DO. AB-14009.F2</v>
      </c>
      <c r="H54" s="112" t="str">
        <f>Total!H1469</f>
        <v>Dir. obres del proj. constructiu de millora general. Condicionament. Nous carrils de trenat a la calçada sentit Barcelona de l'autopista C-58, entre el nus de Sant Pau a Sabadell i l'autopista B-30, del PK 9+000 al 10+400. Tram: Badia del Vallès-Sabadell.</v>
      </c>
      <c r="I54" s="157">
        <f>Total!I1469</f>
        <v>206288.89</v>
      </c>
    </row>
    <row r="55" spans="1:9" x14ac:dyDescent="0.2">
      <c r="A55" s="8">
        <v>54</v>
      </c>
      <c r="B55" s="101">
        <f>Total!B1470</f>
        <v>43056</v>
      </c>
      <c r="C55" s="101">
        <f>Total!C1470</f>
        <v>43087</v>
      </c>
      <c r="D55" s="112" t="s">
        <v>1092</v>
      </c>
      <c r="E55" s="101" t="str">
        <f>Total!E1470</f>
        <v>Obra Civil</v>
      </c>
      <c r="F55" s="96" t="str">
        <f>Total!F1470</f>
        <v>Projectes</v>
      </c>
      <c r="G55" s="112" t="str">
        <f>Total!G1470</f>
        <v>PC.TA-16247</v>
      </c>
      <c r="H55" s="112" t="str">
        <f>Total!H1470</f>
        <v>Redacció del projecte constructiu. Nova estació d'autobusos de Palamós.</v>
      </c>
      <c r="I55" s="157">
        <f>Total!I1470</f>
        <v>70300</v>
      </c>
    </row>
    <row r="56" spans="1:9" x14ac:dyDescent="0.2">
      <c r="A56" s="8">
        <v>55</v>
      </c>
      <c r="B56" s="101">
        <f>Total!B1471</f>
        <v>43056</v>
      </c>
      <c r="C56" s="101">
        <f>Total!C1471</f>
        <v>43087</v>
      </c>
      <c r="D56" s="112" t="s">
        <v>1092</v>
      </c>
      <c r="E56" s="101" t="str">
        <f>Total!E1471</f>
        <v>Obra Civil</v>
      </c>
      <c r="F56" s="96" t="str">
        <f>Total!F1471</f>
        <v>Projectes</v>
      </c>
      <c r="G56" s="112" t="str">
        <f>Total!G1471</f>
        <v>PC. MB-06010-A1</v>
      </c>
      <c r="H56" s="112" t="str">
        <f>Total!H1471</f>
        <v>Redacció del projecte constructiu de millora local. Millora de nus. Seguretat viària. Carrils de canvi de velocitat a la carretera C-17, del PK 40+000 al 40+500. Tram: Tagamanent - Sant Martí de Centelles.</v>
      </c>
      <c r="I56" s="157">
        <f>Total!I1471</f>
        <v>45300</v>
      </c>
    </row>
    <row r="57" spans="1:9" x14ac:dyDescent="0.2">
      <c r="A57" s="8">
        <v>56</v>
      </c>
      <c r="B57" s="101">
        <f>Total!B1472</f>
        <v>43056</v>
      </c>
      <c r="C57" s="101">
        <f>Total!C1472</f>
        <v>43115</v>
      </c>
      <c r="D57" s="112" t="s">
        <v>1092</v>
      </c>
      <c r="E57" s="101" t="str">
        <f>Total!E1472</f>
        <v>Obra Civil</v>
      </c>
      <c r="F57" s="96" t="str">
        <f>Total!F1472</f>
        <v>Control de Qualitat</v>
      </c>
      <c r="G57" s="112" t="str">
        <f>Total!G1472</f>
        <v>CQ.TM-11018.FA</v>
      </c>
      <c r="H57" s="112" t="str">
        <f>Total!H1472</f>
        <v>Control de qualitat de les obres del projecte constructiu d'actuacions de millora de l'evacuació i de l'accessibilitat de l'estació de Vallcarca de la línia 3 de l'FMB. FASE A.</v>
      </c>
      <c r="I57" s="157">
        <f>Total!I1472</f>
        <v>27368.26</v>
      </c>
    </row>
    <row r="58" spans="1:9" x14ac:dyDescent="0.2">
      <c r="A58" s="8">
        <v>57</v>
      </c>
      <c r="B58" s="101">
        <f>Total!B1473</f>
        <v>43059</v>
      </c>
      <c r="C58" s="101">
        <f>Total!C1473</f>
        <v>43080</v>
      </c>
      <c r="D58" s="112" t="s">
        <v>1092</v>
      </c>
      <c r="E58" s="101" t="str">
        <f>Total!E1473</f>
        <v>Obra Civil</v>
      </c>
      <c r="F58" s="96" t="str">
        <f>Total!F1473</f>
        <v>Projectes</v>
      </c>
      <c r="G58" s="112" t="str">
        <f>Total!G1473</f>
        <v>IA. IA-CVB-17034</v>
      </c>
      <c r="H58" s="112" t="str">
        <f>Total!H1473</f>
        <v>Redacció de l'estudi d'impacte ambiental de millora general. Variant sud-oest de la Ronda de Ter del PK 4+000 de la carretera C-153 al PK 2+000 de la carretera BV-5222. Tram: Gurb-les Masies de Roda.</v>
      </c>
      <c r="I58" s="157">
        <f>Total!I1473</f>
        <v>31700</v>
      </c>
    </row>
    <row r="59" spans="1:9" x14ac:dyDescent="0.2">
      <c r="A59" s="8">
        <v>58</v>
      </c>
      <c r="B59" s="101">
        <f>Total!B1474</f>
        <v>43061</v>
      </c>
      <c r="C59" s="101">
        <f>Total!C1474</f>
        <v>43082</v>
      </c>
      <c r="D59" s="112" t="s">
        <v>1092</v>
      </c>
      <c r="E59" s="101" t="str">
        <f>Total!E1474</f>
        <v>Obra Civil</v>
      </c>
      <c r="F59" s="96" t="str">
        <f>Total!F1474</f>
        <v>Direccions d'obra</v>
      </c>
      <c r="G59" s="112" t="str">
        <f>Total!G1474</f>
        <v>CSS. MG-08007-A1+MG-16049</v>
      </c>
      <c r="H59" s="112" t="str">
        <f>Total!H1474</f>
        <v>Coord. seg. i salut conjunta obres proj. constructius:Millora local. Millora nus. Rotonda a la ctra GI-652 al PK 0+800. Tram: Torrent. Rotonda a la intersecció entre les carreteres C-31 i GI-632. PK 353+500 de la C-31 i PK 0+000 de la GI-632. Tram: Ullà..</v>
      </c>
      <c r="I59" s="157">
        <f>Total!I1474</f>
        <v>7400.39</v>
      </c>
    </row>
    <row r="60" spans="1:9" x14ac:dyDescent="0.2">
      <c r="A60" s="8">
        <v>59</v>
      </c>
      <c r="B60" s="101">
        <f>Total!B1475</f>
        <v>43061</v>
      </c>
      <c r="C60" s="101">
        <f>Total!C1475</f>
        <v>43087</v>
      </c>
      <c r="D60" s="112" t="s">
        <v>1092</v>
      </c>
      <c r="E60" s="101" t="str">
        <f>Total!E1475</f>
        <v>Obra Civil</v>
      </c>
      <c r="F60" s="96" t="str">
        <f>Total!F1475</f>
        <v>Direccions d'obra</v>
      </c>
      <c r="G60" s="112" t="str">
        <f>Total!G1475</f>
        <v>CSS. ML-14030</v>
      </c>
      <c r="H60" s="112" t="str">
        <f>Total!H1475</f>
        <v>Coordinació de seguretat i salut conjunta de l'execució de les obres del projecte constructiu de millora local. Millora de nus. Carretera C-14, del PK 142+390 al 142+420. Tram: Oliana.</v>
      </c>
      <c r="I60" s="157">
        <f>Total!I1475</f>
        <v>5800</v>
      </c>
    </row>
    <row r="61" spans="1:9" x14ac:dyDescent="0.2">
      <c r="A61" s="8">
        <v>60</v>
      </c>
      <c r="B61" s="101">
        <f>Total!B1476</f>
        <v>43061</v>
      </c>
      <c r="C61" s="101">
        <f>Total!C1476</f>
        <v>43082</v>
      </c>
      <c r="D61" s="112" t="s">
        <v>1092</v>
      </c>
      <c r="E61" s="101" t="str">
        <f>Total!E1476</f>
        <v>Obra Civil</v>
      </c>
      <c r="F61" s="96" t="str">
        <f>Total!F1476</f>
        <v>Direccions d'obra</v>
      </c>
      <c r="G61" s="112" t="str">
        <f>Total!G1476</f>
        <v>DO. MG-08007-A1+MG-16049</v>
      </c>
      <c r="H61" s="112" t="str">
        <f>Total!H1476</f>
        <v>Direcció conjunta obres proj. constructius:Millora local. Millora nus. Rotonda a la ctra GI-652 al PK 0+800. Tram: Torrent. Rotonda a la intersecció entre les carreteres C-31 i GI-632. PK 353+500 de la C-31 i PK 0+000 de la GI-632. Tram: Ullà-la Tallada.</v>
      </c>
      <c r="I61" s="157">
        <f>Total!I1476</f>
        <v>29666.67</v>
      </c>
    </row>
    <row r="62" spans="1:9" x14ac:dyDescent="0.2">
      <c r="A62" s="8">
        <v>61</v>
      </c>
      <c r="B62" s="101">
        <f>Total!B1477</f>
        <v>43063</v>
      </c>
      <c r="C62" s="101">
        <f>Total!C1477</f>
        <v>43115</v>
      </c>
      <c r="D62" s="112" t="s">
        <v>1092</v>
      </c>
      <c r="E62" s="101" t="str">
        <f>Total!E1477</f>
        <v>Edificació</v>
      </c>
      <c r="F62" s="96" t="str">
        <f>Total!F1477</f>
        <v>Control de Qualitat</v>
      </c>
      <c r="G62" s="112" t="str">
        <f>Total!G1477</f>
        <v>CQ. INM-10090</v>
      </c>
      <c r="H62" s="112" t="str">
        <f>Total!H1477</f>
        <v>Contracte de serveis per a l'assistència tècnica de control de les obres de nova construcció Institut 2/0 línies a l'Institut Can Record de Sant Esteve Palautordera.</v>
      </c>
      <c r="I62" s="157">
        <f>Total!I1477</f>
        <v>36433.89</v>
      </c>
    </row>
    <row r="63" spans="1:9" x14ac:dyDescent="0.2">
      <c r="A63" s="8">
        <v>62</v>
      </c>
      <c r="B63" s="101">
        <f>Total!B1478</f>
        <v>43066</v>
      </c>
      <c r="C63" s="101">
        <f>Total!C1478</f>
        <v>43087</v>
      </c>
      <c r="D63" s="112" t="s">
        <v>1092</v>
      </c>
      <c r="E63" s="101" t="str">
        <f>Total!E1478</f>
        <v>Edificació</v>
      </c>
      <c r="F63" s="96" t="str">
        <f>Total!F1478</f>
        <v>Control de Qualitat</v>
      </c>
      <c r="G63" s="112" t="str">
        <f>Total!G1478</f>
        <v>CQ. PNL-07357.A</v>
      </c>
      <c r="H63" s="112" t="str">
        <f>Total!H1478</f>
        <v>Contracte de serveis per a l'assistència tècnica de control de qualitat de les obres de la nova construcció Escola 1,5 L (sense gimnàs) a l'Escola de L'Almenar.</v>
      </c>
      <c r="I63" s="157">
        <f>Total!I1478</f>
        <v>28580.82</v>
      </c>
    </row>
    <row r="64" spans="1:9" x14ac:dyDescent="0.2">
      <c r="A64" s="8">
        <v>63</v>
      </c>
      <c r="B64" s="101">
        <f>Total!B1479</f>
        <v>43069</v>
      </c>
      <c r="C64" s="101">
        <f>Total!C1479</f>
        <v>43088</v>
      </c>
      <c r="D64" s="112" t="s">
        <v>1092</v>
      </c>
      <c r="E64" s="101" t="str">
        <f>Total!E1479</f>
        <v>Edificació</v>
      </c>
      <c r="F64" s="96" t="str">
        <f>Total!F1479</f>
        <v>Projectes i Direccions Facultatives</v>
      </c>
      <c r="G64" s="112" t="str">
        <f>Total!G1479</f>
        <v>PE+DF. XMT-18517</v>
      </c>
      <c r="H64" s="112" t="str">
        <f>Total!H1479</f>
        <v>Redacció del projecte executiu i l'estudi de seguretat i salut i la posterior direcció facultativa de les obres RAM 2018 als Serveis Territorials a Tarragona IV. Institut Camí de Mar (Calafell).</v>
      </c>
      <c r="I64" s="157">
        <f>Total!I1479</f>
        <v>29958.68</v>
      </c>
    </row>
    <row r="65" spans="1:9" x14ac:dyDescent="0.2">
      <c r="A65" s="8">
        <v>64</v>
      </c>
      <c r="B65" s="101">
        <f>Total!B1480</f>
        <v>43069</v>
      </c>
      <c r="C65" s="101">
        <f>Total!C1480</f>
        <v>43088</v>
      </c>
      <c r="D65" s="112" t="s">
        <v>1092</v>
      </c>
      <c r="E65" s="101" t="str">
        <f>Total!E1480</f>
        <v>Edificació</v>
      </c>
      <c r="F65" s="96" t="str">
        <f>Total!F1480</f>
        <v>Projectes i Direccions Facultatives</v>
      </c>
      <c r="G65" s="112" t="str">
        <f>Total!G1480</f>
        <v>PE+DF. XMT-18516</v>
      </c>
      <c r="H65" s="112" t="str">
        <f>Total!H1480</f>
        <v>Redacció del projecte executiu i l'estudi de seguretat i salut i la posterior direcció facultativa de les obres RAM 2018 als Serveis Territorials a Tarragona III. Institut Pere Martell (Tarragona).</v>
      </c>
      <c r="I65" s="157">
        <f>Total!I1480</f>
        <v>36612.5</v>
      </c>
    </row>
    <row r="66" spans="1:9" x14ac:dyDescent="0.2">
      <c r="A66" s="8">
        <v>65</v>
      </c>
      <c r="B66" s="101">
        <f>Total!B1481</f>
        <v>43069</v>
      </c>
      <c r="C66" s="101">
        <f>Total!C1481</f>
        <v>43088</v>
      </c>
      <c r="D66" s="112" t="s">
        <v>1092</v>
      </c>
      <c r="E66" s="101" t="str">
        <f>Total!E1481</f>
        <v>Edificació</v>
      </c>
      <c r="F66" s="96" t="str">
        <f>Total!F1481</f>
        <v>Projectes i Direccions Facultatives</v>
      </c>
      <c r="G66" s="112" t="str">
        <f>Total!G1481</f>
        <v>PE+DF. XMT-18515</v>
      </c>
      <c r="H66" s="112" t="str">
        <f>Total!H1481</f>
        <v>Redacció del projecte executiu i l'estudi de seguretat i salut i la posterior direcció facultativa de les obres RAM 2018 als Serveis Territorials a Tarragona II. Institut Jaume Huguet (Valls).</v>
      </c>
      <c r="I66" s="157">
        <f>Total!I1481</f>
        <v>17917.689999999999</v>
      </c>
    </row>
    <row r="67" spans="1:9" x14ac:dyDescent="0.2">
      <c r="A67" s="8">
        <v>66</v>
      </c>
      <c r="B67" s="101">
        <f>Total!B1482</f>
        <v>43069</v>
      </c>
      <c r="C67" s="101">
        <f>Total!C1482</f>
        <v>43088</v>
      </c>
      <c r="D67" s="112" t="s">
        <v>1092</v>
      </c>
      <c r="E67" s="101" t="str">
        <f>Total!E1482</f>
        <v>Edificació</v>
      </c>
      <c r="F67" s="96" t="str">
        <f>Total!F1482</f>
        <v>Projectes i Direccions Facultatives</v>
      </c>
      <c r="G67" s="112" t="str">
        <f>Total!G1482</f>
        <v>PE+DF. XMT-18514</v>
      </c>
      <c r="H67" s="112" t="str">
        <f>Total!H1482</f>
        <v>Redacció del projecte executiu i l'estudi de seguretat i salut i la posterior direcció facultativa de les obres RAM 2018 als Serveis Territorials a Tarragona I: CEE Font del Lleó (Reus), Institut Josep Tapiró (Reus) i Institut Salvador Vilaseca (Reus).</v>
      </c>
      <c r="I67" s="157">
        <f>Total!I1482</f>
        <v>65909.08</v>
      </c>
    </row>
    <row r="68" spans="1:9" x14ac:dyDescent="0.2">
      <c r="A68" s="8">
        <v>67</v>
      </c>
      <c r="B68" s="101">
        <f>Total!B1483</f>
        <v>43069</v>
      </c>
      <c r="C68" s="101">
        <f>Total!C1483</f>
        <v>43088</v>
      </c>
      <c r="D68" s="112" t="s">
        <v>1092</v>
      </c>
      <c r="E68" s="101" t="str">
        <f>Total!E1483</f>
        <v>Edificació</v>
      </c>
      <c r="F68" s="96" t="str">
        <f>Total!F1483</f>
        <v>Projectes i Direccions Facultatives</v>
      </c>
      <c r="G68" s="112" t="str">
        <f>Total!G1483</f>
        <v>PE+DF. XMA-18507</v>
      </c>
      <c r="H68" s="112" t="str">
        <f>Total!H1483</f>
        <v>Redacció del projecte executiu i l'estudi de seguretat i salut i la posterior direcció facultativa de les obres RAM 2018 als Serveis Territorials a Baix Llobregat IV: Institut Josefina Castellví (Viladecans) i Escola Jaume March (Gavà).</v>
      </c>
      <c r="I68" s="157">
        <f>Total!I1483</f>
        <v>20371.91</v>
      </c>
    </row>
    <row r="69" spans="1:9" x14ac:dyDescent="0.2">
      <c r="A69" s="8">
        <v>68</v>
      </c>
      <c r="B69" s="101">
        <f>Total!B1484</f>
        <v>43069</v>
      </c>
      <c r="C69" s="101">
        <f>Total!C1484</f>
        <v>43088</v>
      </c>
      <c r="D69" s="112" t="s">
        <v>1092</v>
      </c>
      <c r="E69" s="101" t="str">
        <f>Total!E1484</f>
        <v>Edificació</v>
      </c>
      <c r="F69" s="96" t="str">
        <f>Total!F1484</f>
        <v>Projectes i Direccions Facultatives</v>
      </c>
      <c r="G69" s="112" t="str">
        <f>Total!G1484</f>
        <v>PE+DF. XMM-18509</v>
      </c>
      <c r="H69" s="112" t="str">
        <f>Total!H1484</f>
        <v>Red. proj. exec. i estud. s.s. i la posterior direcció facultativa de les obres RAM 2018 als Serveis Territorials a Maresme-Vallès Oriental I: Institut Marta Estrada (Granollers), Escola La Muntanya (Aiguafreda) i Escola l'Estelada (Cànoves i Samalús).</v>
      </c>
      <c r="I69" s="157">
        <f>Total!I1484</f>
        <v>50570.25</v>
      </c>
    </row>
    <row r="70" spans="1:9" x14ac:dyDescent="0.2">
      <c r="A70" s="8">
        <v>69</v>
      </c>
      <c r="B70" s="101">
        <f>Total!B1485</f>
        <v>43069</v>
      </c>
      <c r="C70" s="101">
        <f>Total!C1485</f>
        <v>43088</v>
      </c>
      <c r="D70" s="112" t="s">
        <v>1092</v>
      </c>
      <c r="E70" s="101" t="str">
        <f>Total!E1485</f>
        <v>Edificació</v>
      </c>
      <c r="F70" s="96" t="str">
        <f>Total!F1485</f>
        <v>Projectes i Direccions Facultatives</v>
      </c>
      <c r="G70" s="112" t="str">
        <f>Total!G1485</f>
        <v>PE+DF. XMC-18528</v>
      </c>
      <c r="H70" s="112" t="str">
        <f>Total!H1485</f>
        <v>Red. proj. exec. i estud. s.s. i post. dir. facult. ob. RAM 2018 als Serv. Territ. BCN comarques V: Inst. Ca L'Arnús (Badalona), Esc. Ferran de Sagarra, Inst. Les Vinyes, Esc.Riera Alta, E. Sagrada Família, Inst. Ramon Berenguer IV de Sta. Coloma Gramenet</v>
      </c>
      <c r="I70" s="157">
        <f>Total!I1485</f>
        <v>70702.48</v>
      </c>
    </row>
    <row r="71" spans="1:9" x14ac:dyDescent="0.2">
      <c r="A71" s="8">
        <v>70</v>
      </c>
      <c r="B71" s="101">
        <f>Total!B1486</f>
        <v>43069</v>
      </c>
      <c r="C71" s="101">
        <f>Total!C1486</f>
        <v>43088</v>
      </c>
      <c r="D71" s="112" t="s">
        <v>1092</v>
      </c>
      <c r="E71" s="101" t="str">
        <f>Total!E1486</f>
        <v>Edificació</v>
      </c>
      <c r="F71" s="96" t="str">
        <f>Total!F1486</f>
        <v>Projectes i Direccions Facultatives</v>
      </c>
      <c r="G71" s="112" t="str">
        <f>Total!G1486</f>
        <v>PE+DF. XMM-18511</v>
      </c>
      <c r="H71" s="112" t="str">
        <f>Total!H1486</f>
        <v>Red. proj. exec. i estud. s.s. i post. dir. facultativa obres RAM 2018 als Serveis Territorials a Maresme-Vallès Oriental III: Institut de Sant Pol de Mar (Sant Pol de Mar), Institut Bisbe Sivilla (Calella) i Institut de Tiana (Tiana).</v>
      </c>
      <c r="I71" s="157">
        <f>Total!I1486</f>
        <v>45537.2</v>
      </c>
    </row>
    <row r="72" spans="1:9" x14ac:dyDescent="0.2">
      <c r="A72" s="8">
        <v>71</v>
      </c>
      <c r="B72" s="101">
        <f>Total!B1487</f>
        <v>43069</v>
      </c>
      <c r="C72" s="101">
        <f>Total!C1487</f>
        <v>43088</v>
      </c>
      <c r="D72" s="112" t="s">
        <v>1092</v>
      </c>
      <c r="E72" s="101" t="str">
        <f>Total!E1487</f>
        <v>Edificació</v>
      </c>
      <c r="F72" s="96" t="str">
        <f>Total!F1487</f>
        <v>Projectes i Direccions Facultatives</v>
      </c>
      <c r="G72" s="112" t="str">
        <f>Total!G1487</f>
        <v>PE+DF. XMH-18503</v>
      </c>
      <c r="H72" s="112" t="str">
        <f>Total!H1487</f>
        <v>Red. proj. exec. i est. s.s. i la posterior direcció facultativa de les obres RAM 2018 als Serveis Territorials a Catalunya Central IV: Institut Pere Vives i Vich (Igualada) i Institut Pla de les Moreres (Vilanova del Camí).</v>
      </c>
      <c r="I72" s="157">
        <f>Total!I1487</f>
        <v>26363.65</v>
      </c>
    </row>
    <row r="73" spans="1:9" x14ac:dyDescent="0.2">
      <c r="A73" s="8">
        <v>72</v>
      </c>
      <c r="B73" s="101">
        <f>Total!B1488</f>
        <v>43069</v>
      </c>
      <c r="C73" s="101">
        <f>Total!C1488</f>
        <v>43088</v>
      </c>
      <c r="D73" s="112" t="s">
        <v>1092</v>
      </c>
      <c r="E73" s="101" t="str">
        <f>Total!E1488</f>
        <v>Edificació</v>
      </c>
      <c r="F73" s="96" t="str">
        <f>Total!F1488</f>
        <v>Projectes i Direccions Facultatives</v>
      </c>
      <c r="G73" s="112" t="str">
        <f>Total!G1488</f>
        <v>PE+DF. XMC-18527</v>
      </c>
      <c r="H73" s="112" t="str">
        <f>Total!H1488</f>
        <v>Red. proj. exec.  i l'estudi de seguretat i salut i la posterior direcció facultativa de les obres RAM 2018 als Serveis Territorials Barcelona comarques IV: Institut Can Puig (Sant Pere de Ribes), Institut Cubelles (Cubelles) i Escola Montcau (Gelida).</v>
      </c>
      <c r="I73" s="157">
        <f>Total!I1488</f>
        <v>31300.83</v>
      </c>
    </row>
    <row r="74" spans="1:9" x14ac:dyDescent="0.2">
      <c r="A74" s="8">
        <v>73</v>
      </c>
      <c r="B74" s="101">
        <f>Total!B1489</f>
        <v>43069</v>
      </c>
      <c r="C74" s="101">
        <f>Total!C1489</f>
        <v>43088</v>
      </c>
      <c r="D74" s="112" t="s">
        <v>1092</v>
      </c>
      <c r="E74" s="101" t="str">
        <f>Total!E1489</f>
        <v>Edificació</v>
      </c>
      <c r="F74" s="96" t="str">
        <f>Total!F1489</f>
        <v>Projectes i Direccions Facultatives</v>
      </c>
      <c r="G74" s="112" t="str">
        <f>Total!G1489</f>
        <v>PE+DF. XMA-18506</v>
      </c>
      <c r="H74" s="112" t="str">
        <f>Total!H1489</f>
        <v>Red. proj. exec. i est. de seguretat i salut i la posterior direcció facultativa de les obres RAM 2018 als Serveis Territorials a Baix Llobregat III: Institut Joan Oró (Martorell), Institut Torrelles (Torrelles Llobregat) i Escola Angel Guimerà (Pallejà).</v>
      </c>
      <c r="I74" s="157">
        <f>Total!I1489</f>
        <v>33553.72</v>
      </c>
    </row>
    <row r="75" spans="1:9" x14ac:dyDescent="0.2">
      <c r="A75" s="8">
        <v>74</v>
      </c>
      <c r="B75" s="101">
        <f>Total!B1490</f>
        <v>43069</v>
      </c>
      <c r="C75" s="101">
        <f>Total!C1490</f>
        <v>43088</v>
      </c>
      <c r="D75" s="112" t="s">
        <v>1092</v>
      </c>
      <c r="E75" s="101" t="str">
        <f>Total!E1490</f>
        <v>Edificació</v>
      </c>
      <c r="F75" s="96" t="str">
        <f>Total!F1490</f>
        <v>Projectes i Direccions Facultatives</v>
      </c>
      <c r="G75" s="112" t="str">
        <f>Total!G1490</f>
        <v>PE+DF. XML-18513</v>
      </c>
      <c r="H75" s="112" t="str">
        <f>Total!H1490</f>
        <v>Redacció del projecte executiu i l'estudi de seguretat i salut i la posterior direcció facultativa de les obres RAM 2018 als Serveis Territorials a Lleida II: Escola R. Estadella (Guissona), Institut (La Granadella) i Escola (Vilanova de Meià).</v>
      </c>
      <c r="I75" s="157">
        <f>Total!I1490</f>
        <v>28760.33</v>
      </c>
    </row>
    <row r="76" spans="1:9" x14ac:dyDescent="0.2">
      <c r="A76" s="8">
        <v>75</v>
      </c>
      <c r="B76" s="101">
        <f>Total!B1491</f>
        <v>43069</v>
      </c>
      <c r="C76" s="101">
        <f>Total!C1491</f>
        <v>43088</v>
      </c>
      <c r="D76" s="112" t="s">
        <v>1092</v>
      </c>
      <c r="E76" s="101" t="str">
        <f>Total!E1491</f>
        <v>Edificació</v>
      </c>
      <c r="F76" s="96" t="str">
        <f>Total!F1491</f>
        <v>Projectes i Direccions Facultatives</v>
      </c>
      <c r="G76" s="112" t="str">
        <f>Total!G1491</f>
        <v>PE+DF. XML-18512</v>
      </c>
      <c r="H76" s="112" t="str">
        <f>Total!H1491</f>
        <v>Redacció del projecte executiu i l'estudi de seguretat i salut i la posterior direcció facultativa de les obres RAM 2018 als Serveis Territorials a Lleida I: Escola (Els Alamus) i Institut Màrius Torres (Lleida).</v>
      </c>
      <c r="I76" s="157">
        <f>Total!I1491</f>
        <v>43140.49</v>
      </c>
    </row>
    <row r="77" spans="1:9" x14ac:dyDescent="0.2">
      <c r="A77" s="8">
        <v>76</v>
      </c>
      <c r="B77" s="101">
        <f>Total!B1492</f>
        <v>43069</v>
      </c>
      <c r="C77" s="101">
        <f>Total!C1492</f>
        <v>43088</v>
      </c>
      <c r="D77" s="112" t="s">
        <v>1092</v>
      </c>
      <c r="E77" s="101" t="str">
        <f>Total!E1492</f>
        <v>Edificació</v>
      </c>
      <c r="F77" s="96" t="str">
        <f>Total!F1492</f>
        <v>Projectes i Direccions Facultatives</v>
      </c>
      <c r="G77" s="112" t="str">
        <f>Total!G1492</f>
        <v>PE+DF. XMC-18526</v>
      </c>
      <c r="H77" s="112" t="str">
        <f>Total!H1492</f>
        <v>Red. proj. exec. i l'estudi s.s. i  post. direcció facultativa de les obres RAM 2018 als Serveis Territorials Barcelona comarques III: Escola Joaquim Ruyra (L'Hospitalet de Llobregat) i Institut Apel·les Mestres (L'Hospitalet de Llobregat).</v>
      </c>
      <c r="I77" s="157">
        <f>Total!I1492</f>
        <v>57520.67</v>
      </c>
    </row>
    <row r="78" spans="1:9" x14ac:dyDescent="0.2">
      <c r="A78" s="8">
        <v>77</v>
      </c>
      <c r="B78" s="101">
        <f>Total!B1493</f>
        <v>43069</v>
      </c>
      <c r="C78" s="101">
        <f>Total!C1493</f>
        <v>43088</v>
      </c>
      <c r="D78" s="112" t="s">
        <v>1092</v>
      </c>
      <c r="E78" s="101" t="str">
        <f>Total!E1493</f>
        <v>Edificació</v>
      </c>
      <c r="F78" s="96" t="str">
        <f>Total!F1493</f>
        <v>Projectes i Direccions Facultatives</v>
      </c>
      <c r="G78" s="112" t="str">
        <f>Total!G1493</f>
        <v>PE+DF. XMM-18510</v>
      </c>
      <c r="H78" s="112" t="str">
        <f>Total!H1493</f>
        <v>Red. proj. exec. i est. s.s. i post. dir. facult. obr RAM 2018 als Serveis Territorials a Maresme-Vallès Oriental II: Escola Àngela Bransuela (Mataró), Escola Tomàs Viñas (Mataró), Institut les Cinc Sènies (Mataró) i Institut Alexandre Satorras (Mataró).</v>
      </c>
      <c r="I78" s="157">
        <f>Total!I1493</f>
        <v>52727.27</v>
      </c>
    </row>
    <row r="79" spans="1:9" x14ac:dyDescent="0.2">
      <c r="A79" s="8">
        <v>78</v>
      </c>
      <c r="B79" s="101">
        <f>Total!B1494</f>
        <v>43069</v>
      </c>
      <c r="C79" s="101">
        <f>Total!C1494</f>
        <v>43088</v>
      </c>
      <c r="D79" s="112" t="s">
        <v>1092</v>
      </c>
      <c r="E79" s="101" t="str">
        <f>Total!E1494</f>
        <v>Edificació</v>
      </c>
      <c r="F79" s="96" t="str">
        <f>Total!F1494</f>
        <v>Projectes i Direccions Facultatives</v>
      </c>
      <c r="G79" s="112" t="str">
        <f>Total!G1494</f>
        <v>PE+DF. XMG-18522</v>
      </c>
      <c r="H79" s="112" t="str">
        <f>Total!H1494</f>
        <v>Redacció del projecte executiu i l'estudi de seguretat i salut i la posterior direcció facultativa de les obres RAM 2018 als Serveis Territorials Serveis territorials a Girona II. Escola Puig i Segalar (Viladamat).</v>
      </c>
      <c r="I79" s="157">
        <f>Total!I1494</f>
        <v>33553.72</v>
      </c>
    </row>
    <row r="80" spans="1:9" x14ac:dyDescent="0.2">
      <c r="A80" s="8">
        <v>79</v>
      </c>
      <c r="B80" s="101">
        <f>Total!B1495</f>
        <v>43069</v>
      </c>
      <c r="C80" s="101">
        <f>Total!C1495</f>
        <v>43088</v>
      </c>
      <c r="D80" s="112" t="s">
        <v>1092</v>
      </c>
      <c r="E80" s="101" t="str">
        <f>Total!E1495</f>
        <v>Edificació</v>
      </c>
      <c r="F80" s="96" t="str">
        <f>Total!F1495</f>
        <v>Projectes i Direccions Facultatives</v>
      </c>
      <c r="G80" s="112" t="str">
        <f>Total!G1495</f>
        <v>PE+DF. XMA-18508</v>
      </c>
      <c r="H80" s="112" t="str">
        <f>Total!H1495</f>
        <v>Redacció del projecte executiu i l'estudi de seguretat i salut i la posterior direcció facultativa de les obres RAM 2018 als Serveis Territorials a Baix Llobregat V: Institut Severo Ochoa (Esplugues Llobregat) i Escola Pau Casals (St. Joan Despí).</v>
      </c>
      <c r="I80" s="157">
        <f>Total!I1495</f>
        <v>57520.67</v>
      </c>
    </row>
    <row r="81" spans="1:9" x14ac:dyDescent="0.2">
      <c r="A81" s="8">
        <v>80</v>
      </c>
      <c r="B81" s="101">
        <f>Total!B1496</f>
        <v>43069</v>
      </c>
      <c r="C81" s="101">
        <f>Total!C1496</f>
        <v>43088</v>
      </c>
      <c r="D81" s="112" t="s">
        <v>1092</v>
      </c>
      <c r="E81" s="101" t="str">
        <f>Total!E1496</f>
        <v>Edificació</v>
      </c>
      <c r="F81" s="96" t="str">
        <f>Total!F1496</f>
        <v>Projectes i Direccions Facultatives</v>
      </c>
      <c r="G81" s="112" t="str">
        <f>Total!G1496</f>
        <v>PE+DF. XMC-18525</v>
      </c>
      <c r="H81" s="112" t="str">
        <f>Total!H1496</f>
        <v>Redacció del projecte i l'estudi de seguretat i salut i la posterior direcció facultativa de les obres RAM 2018 als Serveis Territorials Barcelona comarques II. Escola Bernat Metge (L'Hospitalet de Llobregat).</v>
      </c>
      <c r="I81" s="157">
        <f>Total!I1496</f>
        <v>17975.21</v>
      </c>
    </row>
    <row r="82" spans="1:9" x14ac:dyDescent="0.2">
      <c r="A82" s="8">
        <v>81</v>
      </c>
      <c r="B82" s="101">
        <f>Total!B1497</f>
        <v>43069</v>
      </c>
      <c r="C82" s="101">
        <f>Total!C1497</f>
        <v>43088</v>
      </c>
      <c r="D82" s="112" t="s">
        <v>1092</v>
      </c>
      <c r="E82" s="101" t="str">
        <f>Total!E1497</f>
        <v>Edificació</v>
      </c>
      <c r="F82" s="96" t="str">
        <f>Total!F1497</f>
        <v>Projectes i Direccions Facultatives</v>
      </c>
      <c r="G82" s="112" t="str">
        <f>Total!G1497</f>
        <v>PE+DF. XMH-18501</v>
      </c>
      <c r="H82" s="112" t="str">
        <f>Total!H1497</f>
        <v>Redacció del projecte executiu i l'estudi de seguretat i salut i la posterior direcció facultativa de les obres RAM 2018 als Serveis Territorials a Catalunya Central II, Escola Vall de Nèspola-Zer Moianès (Mura) i Institut Francesc Ribalta (Solsona).</v>
      </c>
      <c r="I82" s="157">
        <f>Total!I1497</f>
        <v>43140.49</v>
      </c>
    </row>
    <row r="83" spans="1:9" x14ac:dyDescent="0.2">
      <c r="A83" s="8">
        <v>82</v>
      </c>
      <c r="B83" s="101">
        <f>Total!B1498</f>
        <v>43069</v>
      </c>
      <c r="C83" s="101">
        <f>Total!C1498</f>
        <v>43088</v>
      </c>
      <c r="D83" s="112" t="s">
        <v>1092</v>
      </c>
      <c r="E83" s="101" t="str">
        <f>Total!E1498</f>
        <v>Edificació</v>
      </c>
      <c r="F83" s="96" t="str">
        <f>Total!F1498</f>
        <v>Projectes i Direccions Facultatives</v>
      </c>
      <c r="G83" s="112" t="str">
        <f>Total!G1498</f>
        <v>PE+DF. XMV-18520</v>
      </c>
      <c r="H83" s="112" t="str">
        <f>Total!H1498</f>
        <v>Redacció del projecte i l'estudi de seguretat i salut i la posterior direcció facultativa de les obres RAM 2018 als Serveis Territorials a Vallès Occidental III. Institut Torre del Palau (Terrassa).</v>
      </c>
      <c r="I83" s="157">
        <f>Total!I1498</f>
        <v>28760.33</v>
      </c>
    </row>
    <row r="84" spans="1:9" x14ac:dyDescent="0.2">
      <c r="A84" s="8">
        <v>83</v>
      </c>
      <c r="B84" s="101">
        <f>Total!B1499</f>
        <v>43069</v>
      </c>
      <c r="C84" s="101">
        <f>Total!C1499</f>
        <v>43088</v>
      </c>
      <c r="D84" s="112" t="s">
        <v>1092</v>
      </c>
      <c r="E84" s="101" t="str">
        <f>Total!E1499</f>
        <v>Edificació</v>
      </c>
      <c r="F84" s="96" t="str">
        <f>Total!F1499</f>
        <v>Projectes i Direccions Facultatives</v>
      </c>
      <c r="G84" s="112" t="str">
        <f>Total!G1499</f>
        <v>PE+DF. XMH-18502</v>
      </c>
      <c r="H84" s="112" t="str">
        <f>Total!H1499</f>
        <v>Red. proj. exec. i l'estudi de s.s. i la post. direc. facult. de les obres RAM 2018 als Serveis Territorials a Catalunya Central III: Institut Pere Barnils (Centelles), Institut Escola Marta Mata (Torelló) i Escola Abat Oliba (Sant Hipòlit de Voltregà).</v>
      </c>
      <c r="I84" s="157">
        <f>Total!I1499</f>
        <v>49731.41</v>
      </c>
    </row>
    <row r="85" spans="1:9" x14ac:dyDescent="0.2">
      <c r="A85" s="8">
        <v>84</v>
      </c>
      <c r="B85" s="101">
        <f>Total!B1500</f>
        <v>43069</v>
      </c>
      <c r="C85" s="101">
        <f>Total!C1500</f>
        <v>43088</v>
      </c>
      <c r="D85" s="112" t="s">
        <v>1092</v>
      </c>
      <c r="E85" s="101" t="str">
        <f>Total!E1500</f>
        <v>Edificació</v>
      </c>
      <c r="F85" s="96" t="str">
        <f>Total!F1500</f>
        <v>Projectes i Direccions Facultatives</v>
      </c>
      <c r="G85" s="112" t="str">
        <f>Total!G1500</f>
        <v>PE+DF. XMC-18524</v>
      </c>
      <c r="H85" s="112" t="str">
        <f>Total!H1500</f>
        <v>Red. proj. exec. i est. s.s. ob. RAM 2018 als Serv. Territ. a BCN comarques I: Inst. Eugeni d'Ors, Inst. Margarida Xirgu, Esc. Frederic Mistral, Esc. Busquets i Punset, Esc. Milagros Consarnau, Inst. Bellvitge i Inst. Rubió i Ors de l'Hospitalet de Llob.</v>
      </c>
      <c r="I85" s="157">
        <f>Total!I1500</f>
        <v>49132.22</v>
      </c>
    </row>
    <row r="86" spans="1:9" x14ac:dyDescent="0.2">
      <c r="A86" s="8">
        <v>85</v>
      </c>
      <c r="B86" s="101">
        <f>Total!B1501</f>
        <v>43069</v>
      </c>
      <c r="C86" s="101">
        <f>Total!C1501</f>
        <v>43088</v>
      </c>
      <c r="D86" s="112" t="s">
        <v>1092</v>
      </c>
      <c r="E86" s="101" t="str">
        <f>Total!E1501</f>
        <v>Edificació</v>
      </c>
      <c r="F86" s="96" t="str">
        <f>Total!F1501</f>
        <v>Projectes i Direccions Facultatives</v>
      </c>
      <c r="G86" s="112" t="str">
        <f>Total!G1501</f>
        <v>PE+DF. XMH-18500</v>
      </c>
      <c r="H86" s="112" t="str">
        <f>Total!H1501</f>
        <v>Redacció del projecte executiu i l'estudi de seguretat i salut i la posterior direcció facultativa de les obres RAM 2018 als Serveis Territorials a Catalunya Central I, Institut Manresa Sis (Manresa) i Escola Muntanya del Drac (Manresa).</v>
      </c>
      <c r="I86" s="157">
        <f>Total!I1501</f>
        <v>57520.67</v>
      </c>
    </row>
    <row r="87" spans="1:9" x14ac:dyDescent="0.2">
      <c r="A87" s="8">
        <v>86</v>
      </c>
      <c r="B87" s="101">
        <f>Total!B1502</f>
        <v>43069</v>
      </c>
      <c r="C87" s="101">
        <f>Total!C1502</f>
        <v>43088</v>
      </c>
      <c r="D87" s="112" t="s">
        <v>1092</v>
      </c>
      <c r="E87" s="101" t="str">
        <f>Total!E1502</f>
        <v>Edificació</v>
      </c>
      <c r="F87" s="96" t="str">
        <f>Total!F1502</f>
        <v>Projectes i Direccions Facultatives</v>
      </c>
      <c r="G87" s="112" t="str">
        <f>Total!G1502</f>
        <v>PE+DF. XMA-18504</v>
      </c>
      <c r="H87" s="112" t="str">
        <f>Total!H1502</f>
        <v>Redacció del projecte executiu i l'estudi de seguretat i salut i la posterior direcció facultativa de les obres RAM 2018 als Serveis Territorials a Baix LLobregat I: Institut Cornellà (Cornellà Llobregat) i Institut Esteve Terrades (Cornellà Llobregat).</v>
      </c>
      <c r="I87" s="157">
        <f>Total!I1502</f>
        <v>45681.53</v>
      </c>
    </row>
    <row r="88" spans="1:9" x14ac:dyDescent="0.2">
      <c r="A88" s="8">
        <v>87</v>
      </c>
      <c r="B88" s="101">
        <f>Total!B1503</f>
        <v>43069</v>
      </c>
      <c r="C88" s="101">
        <f>Total!C1503</f>
        <v>43088</v>
      </c>
      <c r="D88" s="112" t="s">
        <v>1092</v>
      </c>
      <c r="E88" s="101" t="str">
        <f>Total!E1503</f>
        <v>Edificació</v>
      </c>
      <c r="F88" s="96" t="str">
        <f>Total!F1503</f>
        <v>Projectes i Direccions Facultatives</v>
      </c>
      <c r="G88" s="112" t="str">
        <f>Total!G1503</f>
        <v>PE+DF. XMA-18505</v>
      </c>
      <c r="H88" s="112" t="str">
        <f>Total!H1503</f>
        <v>Redacció del projecte executiu i l'estudi de seguretat i salut i la posterior direcció facultativa de les obres RAM 2018 als Serveis Territorials a Baix LLobregat II: Institut Olorda (Sant Feliu Llobregat) i Escola Montserrat (Sant Just Desvern).</v>
      </c>
      <c r="I88" s="157">
        <f>Total!I1503</f>
        <v>38490.910000000003</v>
      </c>
    </row>
    <row r="89" spans="1:9" x14ac:dyDescent="0.2">
      <c r="A89" s="8">
        <v>88</v>
      </c>
      <c r="B89" s="101">
        <f>Total!B1504</f>
        <v>43066</v>
      </c>
      <c r="C89" s="101">
        <f>Total!C1504</f>
        <v>43087</v>
      </c>
      <c r="D89" s="112" t="s">
        <v>1092</v>
      </c>
      <c r="E89" s="101" t="str">
        <f>Total!E1504</f>
        <v>Obra Civil</v>
      </c>
      <c r="F89" s="96" t="str">
        <f>Total!F1504</f>
        <v>Projectes</v>
      </c>
      <c r="G89" s="112" t="str">
        <f>Total!G1504</f>
        <v>PC-CCB-17025</v>
      </c>
      <c r="H89" s="112" t="str">
        <f>Total!H1504</f>
        <v>Redacció del projecte constructiu de conservació extraordinària. Reubicació del cablejat de les instal·lacions de seguretat del túnel d'Amadeu Torner. Ctra. C-31 del pk 198,080 al 198,453. Tram: L'Hospitalet de Llobregat.</v>
      </c>
      <c r="I89" s="157">
        <f>Total!I1504</f>
        <v>33300</v>
      </c>
    </row>
    <row r="90" spans="1:9" x14ac:dyDescent="0.2">
      <c r="A90" s="8">
        <v>89</v>
      </c>
      <c r="B90" s="101">
        <f>Total!B1505</f>
        <v>43066</v>
      </c>
      <c r="C90" s="101">
        <f>Total!C1505</f>
        <v>43108</v>
      </c>
      <c r="D90" s="112" t="s">
        <v>1092</v>
      </c>
      <c r="E90" s="101" t="str">
        <f>Total!E1505</f>
        <v>Obra Civil</v>
      </c>
      <c r="F90" s="96" t="str">
        <f>Total!F1505</f>
        <v>Direccions d'Obra</v>
      </c>
      <c r="G90" s="112" t="str">
        <f>Total!G1505</f>
        <v>CSS. INF-17910</v>
      </c>
      <c r="H90" s="112" t="str">
        <f>Total!H1505</f>
        <v>Serveis per a l'assistència tècnica de coordinació de seguretat i salut de treballs de reparació a executar en el període de garantia de les obres. 2 lots.</v>
      </c>
      <c r="I90" s="157">
        <f>Total!I1505</f>
        <v>80000</v>
      </c>
    </row>
    <row r="91" spans="1:9" x14ac:dyDescent="0.2">
      <c r="A91" s="8">
        <v>89</v>
      </c>
      <c r="B91" s="101">
        <f>Total!B1506</f>
        <v>43067</v>
      </c>
      <c r="C91" s="101">
        <f>Total!C1506</f>
        <v>43108</v>
      </c>
      <c r="D91" s="112" t="s">
        <v>1092</v>
      </c>
      <c r="E91" s="101" t="str">
        <f>Total!E1506</f>
        <v>Edificació</v>
      </c>
      <c r="F91" s="96" t="str">
        <f>Total!F1506</f>
        <v>Projectes i Direccions Facultatives</v>
      </c>
      <c r="G91" s="112" t="str">
        <f>Total!G1506</f>
        <v>PE+DO. CGM-17249</v>
      </c>
      <c r="H91" s="112" t="str">
        <f>Total!H1506</f>
        <v>Redacció del projecte executiu i posterior direcció d'obra de les obres RAM d'actualització i homogeneització dels sistemes de control de persones i accessos a les comissaries.</v>
      </c>
      <c r="I91" s="157">
        <f>Total!I1506</f>
        <v>53983.68</v>
      </c>
    </row>
    <row r="92" spans="1:9" x14ac:dyDescent="0.2">
      <c r="I92" s="126">
        <f>SUM(I2:I91)</f>
        <v>3572704.8400000012</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5"/>
  <sheetViews>
    <sheetView topLeftCell="D1"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Total!B1414</f>
        <v>43038</v>
      </c>
      <c r="C2" s="101">
        <f>Total!C1414</f>
        <v>43054</v>
      </c>
      <c r="D2" s="112" t="s">
        <v>1092</v>
      </c>
      <c r="E2" s="101" t="str">
        <f>Total!E1414</f>
        <v>Obra Civil</v>
      </c>
      <c r="F2" s="96" t="str">
        <f>Total!F1414</f>
        <v xml:space="preserve">Projectes </v>
      </c>
      <c r="G2" s="112" t="str">
        <f>Total!G1414</f>
        <v>RO-17221</v>
      </c>
      <c r="H2" s="112" t="str">
        <f>Total!H1414</f>
        <v>Redacció dels projectes constructius i dels plecs de bases per a la licitació en els àmbits dels Subsistemes d'Energia Electromecànics de la Línia 9 de metro de Barcelona, segons actuacions definides en el Pla General d'Obsolescència 2016.</v>
      </c>
      <c r="I2" s="157">
        <f>Total!I1414</f>
        <v>76000</v>
      </c>
    </row>
    <row r="3" spans="1:9" x14ac:dyDescent="0.2">
      <c r="A3" s="8">
        <v>2</v>
      </c>
      <c r="B3" s="101">
        <f>Total!B1415</f>
        <v>43038</v>
      </c>
      <c r="C3" s="101">
        <f>Total!C1415</f>
        <v>43054</v>
      </c>
      <c r="D3" s="112" t="s">
        <v>1092</v>
      </c>
      <c r="E3" s="101" t="str">
        <f>Total!E1415</f>
        <v>Obra Civil</v>
      </c>
      <c r="F3" s="96" t="str">
        <f>Total!F1415</f>
        <v xml:space="preserve">Projectes </v>
      </c>
      <c r="G3" s="112" t="str">
        <f>Total!G1415</f>
        <v>PC. TM-09294.A2</v>
      </c>
      <c r="H3" s="112" t="str">
        <f>Total!H1415</f>
        <v>Redacció del projecte constructiu Nova estació entre Collblanc i Pubilla Casas de la línia 5 de l'FMB. Arquitectura i instal·lacions. Projecte actualitzat.</v>
      </c>
      <c r="I3" s="157">
        <f>Total!I1415</f>
        <v>124000</v>
      </c>
    </row>
    <row r="4" spans="1:9" x14ac:dyDescent="0.2">
      <c r="A4" s="8">
        <v>3</v>
      </c>
      <c r="B4" s="101">
        <f>Total!B1416</f>
        <v>43039</v>
      </c>
      <c r="C4" s="101">
        <f>Total!C1416</f>
        <v>43061</v>
      </c>
      <c r="D4" s="112" t="s">
        <v>1092</v>
      </c>
      <c r="E4" s="101" t="str">
        <f>Total!E1416</f>
        <v>Obra Civil</v>
      </c>
      <c r="F4" s="96" t="str">
        <f>Total!F1416</f>
        <v>Direccions d'Obra</v>
      </c>
      <c r="G4" s="112" t="str">
        <f>Total!G1416</f>
        <v>CSS XL-04084</v>
      </c>
      <c r="H4" s="112" t="str">
        <f>Total!H1416</f>
        <v>Coordinació de segureta i salut de les obres del projecte constructiu de millora general. Condicionament i eixamplament. Ctra. LP-3322 del pk 10,600 al 14,500. Tram: Linyola-Bellcaire d'Urgell.</v>
      </c>
      <c r="I4" s="157">
        <f>Total!I1416</f>
        <v>34000</v>
      </c>
    </row>
    <row r="5" spans="1:9" x14ac:dyDescent="0.2">
      <c r="I5" s="126">
        <f>SUM(I2:I4)</f>
        <v>234000</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0"/>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Total!B1386</f>
        <v>42979</v>
      </c>
      <c r="C2" s="101">
        <f>Total!C1386</f>
        <v>43033</v>
      </c>
      <c r="D2" s="112" t="s">
        <v>1092</v>
      </c>
      <c r="E2" s="101" t="str">
        <f>Total!E1386</f>
        <v>Obra Civil</v>
      </c>
      <c r="F2" s="96" t="str">
        <f>Total!F1386</f>
        <v>Projectes</v>
      </c>
      <c r="G2" s="112" t="str">
        <f>Total!G1386</f>
        <v>PC. AB-15032.F2</v>
      </c>
      <c r="H2" s="112" t="str">
        <f>Total!H1386</f>
        <v>Redacció del projecte constructiu millora general. Tercer carril calçada sentit nord en la ctra. C-17, del pk 15,100 al 18,700. Tram: Parets del Vallès-Granollers.</v>
      </c>
      <c r="I2" s="157">
        <f>Total!I1386</f>
        <v>357950</v>
      </c>
    </row>
    <row r="3" spans="1:9" x14ac:dyDescent="0.2">
      <c r="A3" s="8">
        <v>2</v>
      </c>
      <c r="B3" s="101">
        <f>Total!B1387</f>
        <v>42979</v>
      </c>
      <c r="C3" s="101">
        <f>Total!C1387</f>
        <v>43033</v>
      </c>
      <c r="D3" s="112" t="s">
        <v>1092</v>
      </c>
      <c r="E3" s="101" t="str">
        <f>Total!E1387</f>
        <v>Obra Civil</v>
      </c>
      <c r="F3" s="96" t="str">
        <f>Total!F1387</f>
        <v>Projectes</v>
      </c>
      <c r="G3" s="112" t="str">
        <f>Total!G1387</f>
        <v>PC. AB-15032.F3</v>
      </c>
      <c r="H3" s="112" t="str">
        <f>Total!H1387</f>
        <v>Redacció del projecte constructiu millora general. Tercer carril calçada sentit sur en la ctra. C-17, del pk 14,700 al 18,700. Tram: Parets del Vallès-Granollers.</v>
      </c>
      <c r="I3" s="157">
        <f>Total!I1387</f>
        <v>256500</v>
      </c>
    </row>
    <row r="4" spans="1:9" x14ac:dyDescent="0.2">
      <c r="A4" s="8">
        <v>3</v>
      </c>
      <c r="B4" s="101">
        <f>Total!B1388</f>
        <v>42982</v>
      </c>
      <c r="C4" s="101">
        <f>Total!C1388</f>
        <v>42998</v>
      </c>
      <c r="D4" s="112" t="s">
        <v>1092</v>
      </c>
      <c r="E4" s="101" t="str">
        <f>Total!E1388</f>
        <v>Obra Civil</v>
      </c>
      <c r="F4" s="96" t="str">
        <f>Total!F1388</f>
        <v>Direccions d'Obra</v>
      </c>
      <c r="G4" s="112" t="str">
        <f>Total!G1388</f>
        <v>CSS. TX-14327.F1</v>
      </c>
      <c r="H4" s="112" t="str">
        <f>Total!H1388</f>
        <v>Contracte de serveis per a l'assistència tècnica de Coordinació de seguretat i salut de les obres del projecte constructiu Via cicloturística Intercatalunya. Estudi de corredors i traçat: Lleida - Girona. Fase 1: Lleida - Cervera.</v>
      </c>
      <c r="I4" s="157">
        <f>Total!I1388</f>
        <v>610</v>
      </c>
    </row>
    <row r="5" spans="1:9" x14ac:dyDescent="0.2">
      <c r="A5" s="8">
        <v>4</v>
      </c>
      <c r="B5" s="101">
        <f>Total!B1389</f>
        <v>42982</v>
      </c>
      <c r="C5" s="101">
        <f>Total!C1389</f>
        <v>42998</v>
      </c>
      <c r="D5" s="112" t="s">
        <v>1092</v>
      </c>
      <c r="E5" s="101" t="str">
        <f>Total!E1389</f>
        <v>Obra Civil</v>
      </c>
      <c r="F5" s="96" t="str">
        <f>Total!F1389</f>
        <v>Control de Qualitat</v>
      </c>
      <c r="G5" s="112" t="str">
        <f>Total!G1389</f>
        <v>CQ. TX-14327.F1</v>
      </c>
      <c r="H5" s="112" t="str">
        <f>Total!H1389</f>
        <v>Contracte de serveis per a l'assistència tècnica de control de qualitat de les obres del projecte constructiu Via cicloturística Intercatalunya. Estudi de corredors i traçat: Lleida - Girona. Fase 1: Lleida - Cervera.</v>
      </c>
      <c r="I5" s="157">
        <f>Total!I1389</f>
        <v>578.39</v>
      </c>
    </row>
    <row r="6" spans="1:9" x14ac:dyDescent="0.2">
      <c r="A6" s="8">
        <v>5</v>
      </c>
      <c r="B6" s="101">
        <f>Total!B1390</f>
        <v>42982</v>
      </c>
      <c r="C6" s="101">
        <f>Total!C1390</f>
        <v>42998</v>
      </c>
      <c r="D6" s="112" t="s">
        <v>1092</v>
      </c>
      <c r="E6" s="101" t="str">
        <f>Total!E1390</f>
        <v>Obra Civil</v>
      </c>
      <c r="F6" s="96" t="str">
        <f>Total!F1390</f>
        <v>Direccions d'Obra</v>
      </c>
      <c r="G6" s="112" t="str">
        <f>Total!G1390</f>
        <v>DO. TX-14327.F1</v>
      </c>
      <c r="H6" s="112" t="str">
        <f>Total!H1390</f>
        <v>Contracte de serveis per a la direcció de les obres del projecte constructiu Via cicloturística Intercatalunya. Estudi de corredors i traçat: Lleida - Girona. Fase 1: Lleida - Cervera.</v>
      </c>
      <c r="I6" s="157">
        <f>Total!I1390</f>
        <v>2409</v>
      </c>
    </row>
    <row r="7" spans="1:9" x14ac:dyDescent="0.2">
      <c r="A7" s="8">
        <v>6</v>
      </c>
      <c r="B7" s="101">
        <f>Total!B1391</f>
        <v>42983</v>
      </c>
      <c r="C7" s="101">
        <f>Total!C1391</f>
        <v>43005</v>
      </c>
      <c r="D7" s="112" t="s">
        <v>1092</v>
      </c>
      <c r="E7" s="101" t="str">
        <f>Total!E1391</f>
        <v>Obra Civil</v>
      </c>
      <c r="F7" s="96" t="str">
        <f>Total!F1391</f>
        <v>Projectes</v>
      </c>
      <c r="G7" s="112" t="str">
        <f>Total!G1391</f>
        <v>PC. CB-16025</v>
      </c>
      <c r="H7" s="112" t="str">
        <f>Total!H1391</f>
        <v>Redacció del projecte constructiu: Conservació extraordinària. Ponts i estructures. Rehabilitació d'obres de fàbrica a la carretera C-16, PK 115+130,la B-400,PK 10+300,la C-55,PK 38+170 i 39+970. Tram: Guardiola de Berguedà, Saldes i S. Joan Vilatorrada.</v>
      </c>
      <c r="I7" s="157">
        <f>Total!I1391</f>
        <v>33300</v>
      </c>
    </row>
    <row r="8" spans="1:9" x14ac:dyDescent="0.2">
      <c r="A8" s="8">
        <v>7</v>
      </c>
      <c r="B8" s="101">
        <f>Total!B1392</f>
        <v>42983</v>
      </c>
      <c r="C8" s="101">
        <f>Total!C1392</f>
        <v>43005</v>
      </c>
      <c r="D8" s="112" t="s">
        <v>1092</v>
      </c>
      <c r="E8" s="101" t="str">
        <f>Total!E1392</f>
        <v>Obra Civil</v>
      </c>
      <c r="F8" s="96" t="str">
        <f>Total!F1392</f>
        <v>Projectes</v>
      </c>
      <c r="G8" s="112" t="str">
        <f>Total!G1392</f>
        <v>PC. MB-16056</v>
      </c>
      <c r="H8" s="112" t="str">
        <f>Total!H1392</f>
        <v>Redacció del projecte constructiu Millora local. Apantallament acústic a la carretera C-17, al PK 21+200 (Cal Pastor) i PK 22+600 (Can Duran). Tram: Granollers - Canovelles.</v>
      </c>
      <c r="I8" s="157">
        <f>Total!I1392</f>
        <v>25500</v>
      </c>
    </row>
    <row r="9" spans="1:9" x14ac:dyDescent="0.2">
      <c r="A9" s="8">
        <v>8</v>
      </c>
      <c r="B9" s="101">
        <f>Total!B1393</f>
        <v>42984</v>
      </c>
      <c r="C9" s="101">
        <f>Total!C1393</f>
        <v>43003</v>
      </c>
      <c r="D9" s="112" t="s">
        <v>1092</v>
      </c>
      <c r="E9" s="101" t="str">
        <f>Total!E1393</f>
        <v>Edificació</v>
      </c>
      <c r="F9" s="96" t="str">
        <f>Total!F1393</f>
        <v>Control de Qualitat</v>
      </c>
      <c r="G9" s="112" t="str">
        <f>Total!G1393</f>
        <v>CQ. PNT-14334</v>
      </c>
      <c r="H9" s="112" t="str">
        <f>Total!H1393</f>
        <v>Control de qualitat de les obres de  nova construcció Escola d'Arrabassada, 2L a Tarragona.</v>
      </c>
      <c r="I9" s="157">
        <f>Total!I1393</f>
        <v>40214.33</v>
      </c>
    </row>
    <row r="10" spans="1:9" x14ac:dyDescent="0.2">
      <c r="A10" s="8">
        <v>9</v>
      </c>
      <c r="B10" s="101">
        <f>Total!B1394</f>
        <v>42984</v>
      </c>
      <c r="C10" s="101">
        <f>Total!C1394</f>
        <v>43010</v>
      </c>
      <c r="D10" s="112" t="s">
        <v>1092</v>
      </c>
      <c r="E10" s="101" t="str">
        <f>Total!E1394</f>
        <v>Obra Civil</v>
      </c>
      <c r="F10" s="96" t="str">
        <f>Total!F1394</f>
        <v>Projectes</v>
      </c>
      <c r="G10" s="112" t="str">
        <f>Total!G1394</f>
        <v>PC. MA-14901</v>
      </c>
      <c r="H10" s="112" t="str">
        <f>Total!H1394</f>
        <v>Redacció del projecte de mesures correctores de la concentració parcel·laria del TM d'Alfés. Mesures correctores i compensatòries del regadiu del sistema Segarra-Garrigues. DIA 2010.</v>
      </c>
      <c r="I10" s="157">
        <f>Total!I1394</f>
        <v>15712.15</v>
      </c>
    </row>
    <row r="11" spans="1:9" x14ac:dyDescent="0.2">
      <c r="A11" s="8">
        <v>10</v>
      </c>
      <c r="B11" s="101">
        <f>Total!B1395</f>
        <v>42984</v>
      </c>
      <c r="C11" s="101">
        <f>Total!C1395</f>
        <v>43010</v>
      </c>
      <c r="D11" s="112" t="s">
        <v>1092</v>
      </c>
      <c r="E11" s="101" t="str">
        <f>Total!E1395</f>
        <v>Obra Civil</v>
      </c>
      <c r="F11" s="96" t="str">
        <f>Total!F1395</f>
        <v>Projectes</v>
      </c>
      <c r="G11" s="112" t="str">
        <f>Total!G1395</f>
        <v>PC. MA-17905</v>
      </c>
      <c r="H11" s="112" t="str">
        <f>Total!H1395</f>
        <v>Redacció del projecte de naturalització i recuperació dels sistemes naturals a l'embassament de l'Albagés. Mesures correctores i compensatòries del regadiu del sistema Segarra-Garrigues. DIA 2010.</v>
      </c>
      <c r="I11" s="157">
        <f>Total!I1395</f>
        <v>26367.57</v>
      </c>
    </row>
    <row r="12" spans="1:9" x14ac:dyDescent="0.2">
      <c r="A12" s="8">
        <v>11</v>
      </c>
      <c r="B12" s="101">
        <f>Total!B1396</f>
        <v>42984</v>
      </c>
      <c r="C12" s="101">
        <f>Total!C1396</f>
        <v>43010</v>
      </c>
      <c r="D12" s="112" t="s">
        <v>1092</v>
      </c>
      <c r="E12" s="101" t="str">
        <f>Total!E1396</f>
        <v>Obra Civil</v>
      </c>
      <c r="F12" s="96" t="str">
        <f>Total!F1396</f>
        <v>Direccions d'Obra</v>
      </c>
      <c r="G12" s="112" t="str">
        <f>Total!G1396</f>
        <v>CSS. AT-00164.1-C1</v>
      </c>
      <c r="H12" s="112" t="str">
        <f>Total!H1396</f>
        <v>Coordinació de seguretat i salut de les obres "Projecte complementari núm. 1. Intervenció arqueològica al Jaciment de Vilardia. C-51. Tram: Vila-rodona-Montferri.</v>
      </c>
      <c r="I12" s="157">
        <f>Total!I1396</f>
        <v>7900</v>
      </c>
    </row>
    <row r="13" spans="1:9" x14ac:dyDescent="0.2">
      <c r="A13" s="8">
        <v>12</v>
      </c>
      <c r="B13" s="101">
        <f>Total!B1397</f>
        <v>42984</v>
      </c>
      <c r="C13" s="101">
        <f>Total!C1397</f>
        <v>43005</v>
      </c>
      <c r="D13" s="112" t="s">
        <v>1092</v>
      </c>
      <c r="E13" s="101" t="str">
        <f>Total!E1397</f>
        <v>Obra Civil</v>
      </c>
      <c r="F13" s="96" t="str">
        <f>Total!F1397</f>
        <v>Projectes</v>
      </c>
      <c r="G13" s="112" t="str">
        <f>Total!G1397</f>
        <v>TA. TA-CMB-17035</v>
      </c>
      <c r="H13" s="112" t="str">
        <f>Total!H1397</f>
        <v>Red. proj. traçat. Millora local. Millora de nus. Millora d'accessibilitat a Montmeló. Noves connexions al ramal de sortida de la C-17 sentit Granollers, PK 14+600, i al ramal de sortida de l'A P-7 (sortida 14), al PK 136+200, sentit BCN. Tram: Parets V.</v>
      </c>
      <c r="I13" s="157">
        <f>Total!I1397</f>
        <v>25500</v>
      </c>
    </row>
    <row r="14" spans="1:9" x14ac:dyDescent="0.2">
      <c r="A14" s="8">
        <v>13</v>
      </c>
      <c r="B14" s="101">
        <f>Total!B1398</f>
        <v>42984</v>
      </c>
      <c r="C14" s="101">
        <f>Total!C1398</f>
        <v>43005</v>
      </c>
      <c r="D14" s="112" t="s">
        <v>1092</v>
      </c>
      <c r="E14" s="101" t="str">
        <f>Total!E1398</f>
        <v>Obra Civil</v>
      </c>
      <c r="F14" s="96" t="str">
        <f>Total!F1398</f>
        <v>Projectes</v>
      </c>
      <c r="G14" s="112" t="str">
        <f>Total!G1398</f>
        <v>PC. MB-16066</v>
      </c>
      <c r="H14" s="112" t="str">
        <f>Total!H1398</f>
        <v>Redacció del projecte constructiu Millora local. Ponts i estructures. Ampliació vorera de la BV-1225 al pas superior de la carretera C-55 (Ronda de Manresa). PK 28+530. Tram: Manresa.</v>
      </c>
      <c r="I14" s="157">
        <f>Total!I1398</f>
        <v>19000</v>
      </c>
    </row>
    <row r="15" spans="1:9" x14ac:dyDescent="0.2">
      <c r="A15" s="8">
        <v>14</v>
      </c>
      <c r="B15" s="101">
        <f>Total!B1399</f>
        <v>42985</v>
      </c>
      <c r="C15" s="101">
        <f>Total!C1399</f>
        <v>43005</v>
      </c>
      <c r="D15" s="112" t="s">
        <v>1092</v>
      </c>
      <c r="E15" s="101" t="str">
        <f>Total!E1399</f>
        <v>Obra Civil</v>
      </c>
      <c r="F15" s="96" t="str">
        <f>Total!F1399</f>
        <v>Direccions d'Obra</v>
      </c>
      <c r="G15" s="112" t="str">
        <f>Total!G1399</f>
        <v>CSS. TM-02609.23.1-M2</v>
      </c>
      <c r="H15" s="112" t="str">
        <f>Total!H1399</f>
        <v>Coordinació de seg. i salut de les obres del projecte modificat núm. 2 d'escales mecàniques. Estacions del Prat, Ciutat Aeroportuària, Motors, Torrassa, Collblanc, Campus Sud i Gomal, corresponents als trams I i II de la L9 de Metro de Barcelona.</v>
      </c>
      <c r="I15" s="157">
        <f>Total!I1399</f>
        <v>14500</v>
      </c>
    </row>
    <row r="16" spans="1:9" x14ac:dyDescent="0.2">
      <c r="A16" s="8">
        <v>15</v>
      </c>
      <c r="B16" s="101">
        <f>Total!B1400</f>
        <v>42985</v>
      </c>
      <c r="C16" s="101">
        <f>Total!C1400</f>
        <v>43005</v>
      </c>
      <c r="D16" s="112" t="s">
        <v>1092</v>
      </c>
      <c r="E16" s="101" t="str">
        <f>Total!E1400</f>
        <v>Obra Civil</v>
      </c>
      <c r="F16" s="96" t="str">
        <f>Total!F1400</f>
        <v>Direccions d'Obra</v>
      </c>
      <c r="G16" s="112" t="str">
        <f>Total!G1400</f>
        <v>DO. MB-13013-C1</v>
      </c>
      <c r="H16" s="112" t="str">
        <f>Total!H1400</f>
        <v>Direcció de les obres del projecte complementari núm. 1de millora local. Seguretat viària. Millora de les característiques superficials del ferm i reestudi de la secció transversal. Ctra. C-58. pk 30,635 al 37,790. Tram: Vacarisses-Castellbell i el Vilar.</v>
      </c>
      <c r="I16" s="157">
        <f>Total!I1400</f>
        <v>4988.8900000000003</v>
      </c>
    </row>
    <row r="17" spans="1:9" x14ac:dyDescent="0.2">
      <c r="A17" s="8">
        <v>16</v>
      </c>
      <c r="B17" s="101">
        <f>Total!B1401</f>
        <v>42985</v>
      </c>
      <c r="C17" s="101">
        <f>Total!C1401</f>
        <v>43005</v>
      </c>
      <c r="D17" s="112" t="s">
        <v>1092</v>
      </c>
      <c r="E17" s="101" t="str">
        <f>Total!E1401</f>
        <v>Obra Civil</v>
      </c>
      <c r="F17" s="96" t="str">
        <f>Total!F1401</f>
        <v>Direccions d'Obra</v>
      </c>
      <c r="G17" s="112" t="str">
        <f>Total!G1401</f>
        <v>DO. MB-13015</v>
      </c>
      <c r="H17" s="112" t="str">
        <f>Total!H1401</f>
        <v>Direcció de les obres  del projecte complementari núm.1 millora de la seguretat viària. Millora de les característiques superficials del ferm i reestudi de la secció transversal. Carretera C-55. pk 18,500 al 26,500. Tram: Castellbell i el Vilar - Manresa.</v>
      </c>
      <c r="I17" s="157">
        <f>Total!I1401</f>
        <v>12844.44</v>
      </c>
    </row>
    <row r="18" spans="1:9" x14ac:dyDescent="0.2">
      <c r="A18" s="8">
        <v>17</v>
      </c>
      <c r="B18" s="101">
        <f>Total!B1402</f>
        <v>42985</v>
      </c>
      <c r="C18" s="101">
        <f>Total!C1402</f>
        <v>43005</v>
      </c>
      <c r="D18" s="112" t="s">
        <v>1092</v>
      </c>
      <c r="E18" s="101" t="str">
        <f>Total!E1402</f>
        <v>Obra Civil</v>
      </c>
      <c r="F18" s="96" t="str">
        <f>Total!F1402</f>
        <v>Direccions d'Obra</v>
      </c>
      <c r="G18" s="112" t="str">
        <f>Total!G1402</f>
        <v>CSS. MG-08128.2 + MG-06136.1</v>
      </c>
      <c r="H18" s="112" t="str">
        <f>Total!H1402</f>
        <v>Coord seg. i salut de les obres del proj. millora local. Eixamplament i reforç del ferm. Ctra. C-25, del pk 240,100 al 242,100. tram: Riudellots de la Selva-Campllong. i millora nus. Nou vial urbà de connexió entre C-25 pk 239,190 i c/ Major.</v>
      </c>
      <c r="I18" s="157">
        <f>Total!I1402</f>
        <v>13900</v>
      </c>
    </row>
    <row r="19" spans="1:9" x14ac:dyDescent="0.2">
      <c r="A19" s="8">
        <v>18</v>
      </c>
      <c r="B19" s="101">
        <f>Total!B1403</f>
        <v>42985</v>
      </c>
      <c r="C19" s="101">
        <f>Total!C1403</f>
        <v>43005</v>
      </c>
      <c r="D19" s="112" t="s">
        <v>1092</v>
      </c>
      <c r="E19" s="101" t="str">
        <f>Total!E1403</f>
        <v>Obra Civil</v>
      </c>
      <c r="F19" s="96" t="str">
        <f>Total!F1403</f>
        <v>Direccions d'Obra</v>
      </c>
      <c r="G19" s="112" t="str">
        <f>Total!G1403</f>
        <v>DO. MB-15056</v>
      </c>
      <c r="H19" s="112" t="str">
        <f>Total!H1403</f>
        <v>Direcció de les obres del projecte constructiu de millora local. Millora de nus. Rotonda a la carretera BV-2244, pk 1,320. Tram: Sant Sadurní d'Anoia.</v>
      </c>
      <c r="I19" s="157">
        <f>Total!I1403</f>
        <v>9911.11</v>
      </c>
    </row>
    <row r="20" spans="1:9" x14ac:dyDescent="0.2">
      <c r="A20" s="8">
        <v>19</v>
      </c>
      <c r="B20" s="101">
        <f>Total!B1404</f>
        <v>42990</v>
      </c>
      <c r="C20" s="101">
        <f>Total!C1404</f>
        <v>43010</v>
      </c>
      <c r="D20" s="112" t="s">
        <v>1092</v>
      </c>
      <c r="E20" s="101" t="str">
        <f>Total!E1404</f>
        <v>Edificació</v>
      </c>
      <c r="F20" s="96" t="str">
        <f>Total!F1404</f>
        <v>Direccions d'Execució</v>
      </c>
      <c r="G20" s="112" t="str">
        <f>Total!G1404</f>
        <v>CSS. HVB-15345+ HVB-16220</v>
      </c>
      <c r="H20" s="112" t="str">
        <f>Total!H1404</f>
        <v>Coordinació de seguretat i salut de les obres: "Ampliació i reforma de l'Hospital de Viladecans. Instal·lacions de la reforma i ampliació de l'Hospital de Viladecans.</v>
      </c>
      <c r="I20" s="157">
        <f>Total!I1404</f>
        <v>150760</v>
      </c>
    </row>
    <row r="21" spans="1:9" x14ac:dyDescent="0.2">
      <c r="A21" s="8">
        <v>20</v>
      </c>
      <c r="B21" s="101">
        <f>Total!B1405</f>
        <v>42990</v>
      </c>
      <c r="C21" s="101">
        <f>Total!C1405</f>
        <v>43010</v>
      </c>
      <c r="D21" s="112" t="s">
        <v>1092</v>
      </c>
      <c r="E21" s="101" t="str">
        <f>Total!E1405</f>
        <v>Obra Civil</v>
      </c>
      <c r="F21" s="96" t="str">
        <f>Total!F1405</f>
        <v>Control de Qualitat</v>
      </c>
      <c r="G21" s="112" t="str">
        <f>Total!G1405</f>
        <v>CQ. AB-14009.F2</v>
      </c>
      <c r="H21" s="112" t="str">
        <f>Total!H1405</f>
        <v>Control qualitat obres proj. constr. millora general. Condicionament. Nous carrils de trenat a la calçada sentit Barcelona de l'autopista C-58 entre el nus de Sant Pau a Sabadell i l'autopista B-30,del PK 9+000 al 10+400. Tram: Badia del Vallès - Sabadell</v>
      </c>
      <c r="I21" s="157">
        <f>Total!I1405</f>
        <v>73112.67</v>
      </c>
    </row>
    <row r="22" spans="1:9" x14ac:dyDescent="0.2">
      <c r="A22" s="8">
        <v>21</v>
      </c>
      <c r="B22" s="101">
        <f>Total!B1406</f>
        <v>42992</v>
      </c>
      <c r="C22" s="101">
        <f>Total!C1406</f>
        <v>43010</v>
      </c>
      <c r="D22" s="112" t="s">
        <v>1092</v>
      </c>
      <c r="E22" s="101" t="str">
        <f>Total!E1406</f>
        <v>Obra Civil</v>
      </c>
      <c r="F22" s="96" t="str">
        <f>Total!F1406</f>
        <v>Direccions d'Obra</v>
      </c>
      <c r="G22" s="112" t="str">
        <f>Total!G1406</f>
        <v>CSS. AB-14009.F2</v>
      </c>
      <c r="H22" s="112" t="str">
        <f>Total!H1406</f>
        <v>Coord. S.S. obres proj. constr. millora general. Condicionament. Nous carrils de trenat a la calçada sentit Barcelona de l'autopista C-58 entre el nus de Sant Pau a Sabadell i l'autopista B-30,del PK 9+000 al 10+400. Tram: Badia del Vallès - Sabadell</v>
      </c>
      <c r="I22" s="157">
        <f>Total!I1406</f>
        <v>23000</v>
      </c>
    </row>
    <row r="23" spans="1:9" x14ac:dyDescent="0.2">
      <c r="A23" s="8">
        <v>22</v>
      </c>
      <c r="B23" s="101">
        <f>Total!B1407</f>
        <v>42992</v>
      </c>
      <c r="C23" s="101">
        <f>Total!C1407</f>
        <v>43010</v>
      </c>
      <c r="D23" s="112" t="s">
        <v>1092</v>
      </c>
      <c r="E23" s="101" t="str">
        <f>Total!E1407</f>
        <v>Obra Civil</v>
      </c>
      <c r="F23" s="96" t="str">
        <f>Total!F1407</f>
        <v>Direccions d'Obra</v>
      </c>
      <c r="G23" s="112" t="str">
        <f>Total!G1407</f>
        <v>CSS. AB-14009.F1</v>
      </c>
      <c r="H23" s="112" t="str">
        <f>Total!H1407</f>
        <v>Coordinació de seguretat i salut de les obres del projecte de millora general. Condicionament. Ampliació a 3 carrils de l'autopista C-58, sentit Barcelona, del pk 12,600 al 16,750. Tram: Sant Quirze del Vallès-Terrassa.</v>
      </c>
      <c r="I23" s="157">
        <f>Total!I1407</f>
        <v>28000</v>
      </c>
    </row>
    <row r="24" spans="1:9" x14ac:dyDescent="0.2">
      <c r="A24" s="8">
        <v>23</v>
      </c>
      <c r="B24" s="101">
        <f>Total!B1408</f>
        <v>42992</v>
      </c>
      <c r="C24" s="101">
        <f>Total!C1408</f>
        <v>43010</v>
      </c>
      <c r="D24" s="112" t="s">
        <v>1092</v>
      </c>
      <c r="E24" s="101" t="str">
        <f>Total!E1408</f>
        <v>Edificació</v>
      </c>
      <c r="F24" s="96" t="str">
        <f>Total!F1408</f>
        <v>Projectes i Direccions d'Obra</v>
      </c>
      <c r="G24" s="112" t="str">
        <f>Total!G1408</f>
        <v>PE+DO. PSL-17236</v>
      </c>
      <c r="H24" s="112" t="str">
        <f>Total!H1408</f>
        <v>Assistència tècnica per a la redacció del projecte bàsic i executiu i la posterior direcció de les obres de la reforma i ampliació del Parc de Bombers de Solsona. (2 voltes).</v>
      </c>
      <c r="I24" s="157">
        <f>Total!I1408</f>
        <v>144891</v>
      </c>
    </row>
    <row r="25" spans="1:9" x14ac:dyDescent="0.2">
      <c r="A25" s="8">
        <v>24</v>
      </c>
      <c r="B25" s="101">
        <f>Total!B1409</f>
        <v>42992</v>
      </c>
      <c r="C25" s="101">
        <f>Total!C1409</f>
        <v>43010</v>
      </c>
      <c r="D25" s="112" t="s">
        <v>1092</v>
      </c>
      <c r="E25" s="101" t="str">
        <f>Total!E1409</f>
        <v>Edificació</v>
      </c>
      <c r="F25" s="96" t="str">
        <f>Total!F1409</f>
        <v>Direccions d'Execució</v>
      </c>
      <c r="G25" s="112" t="str">
        <f>Total!G1409</f>
        <v>CSS. PNT-14334</v>
      </c>
      <c r="H25" s="112" t="str">
        <f>Total!H1409</f>
        <v>Assistència tècnica de cood. de S. S.  de les obres de  nova construcció Escola d'Arrabassada, 2L a Tarragona.</v>
      </c>
      <c r="I25" s="157">
        <f>Total!I1409</f>
        <v>34850</v>
      </c>
    </row>
    <row r="26" spans="1:9" x14ac:dyDescent="0.2">
      <c r="A26" s="8">
        <v>25</v>
      </c>
      <c r="B26" s="101">
        <f>Total!B1410</f>
        <v>42992</v>
      </c>
      <c r="C26" s="101">
        <f>Total!C1410</f>
        <v>43010</v>
      </c>
      <c r="D26" s="112" t="s">
        <v>1092</v>
      </c>
      <c r="E26" s="101" t="str">
        <f>Total!E1410</f>
        <v>Edificació</v>
      </c>
      <c r="F26" s="96" t="str">
        <f>Total!F1410</f>
        <v>Direccions d'Execució</v>
      </c>
      <c r="G26" s="112" t="str">
        <f>Total!G1410</f>
        <v>DE. PNT-14334</v>
      </c>
      <c r="H26" s="112" t="str">
        <f>Total!H1410</f>
        <v>Direcció d'execució de les obres de  nova construcció Escola d'Arrabassada, 2L a Tarragona.</v>
      </c>
      <c r="I26" s="157">
        <f>Total!I1410</f>
        <v>115000</v>
      </c>
    </row>
    <row r="27" spans="1:9" x14ac:dyDescent="0.2">
      <c r="A27" s="8">
        <v>26</v>
      </c>
      <c r="B27" s="101">
        <f>Total!B1411</f>
        <v>42997</v>
      </c>
      <c r="C27" s="101">
        <f>Total!C1411</f>
        <v>43045</v>
      </c>
      <c r="D27" s="112" t="s">
        <v>1092</v>
      </c>
      <c r="E27" s="101" t="str">
        <f>Total!E1411</f>
        <v>Edificació</v>
      </c>
      <c r="F27" s="96" t="str">
        <f>Total!F1411</f>
        <v>Projectes i Direccions d'Obra</v>
      </c>
      <c r="G27" s="112" t="str">
        <f>Total!G1411</f>
        <v>PE+DO. PNC-17258</v>
      </c>
      <c r="H27" s="112" t="str">
        <f>Total!H1411</f>
        <v>Redacción del proyecto básico y de ejecución y la posterior dirección de las obras de la nueva construcción Escuela 1 línea Jacint Verdaguer, a la Granada.</v>
      </c>
      <c r="I27" s="157">
        <f>Total!I1411</f>
        <v>255301</v>
      </c>
    </row>
    <row r="28" spans="1:9" x14ac:dyDescent="0.2">
      <c r="A28" s="8">
        <v>27</v>
      </c>
      <c r="B28" s="101">
        <f>Total!B1412</f>
        <v>42997</v>
      </c>
      <c r="C28" s="101">
        <f>Total!C1412</f>
        <v>43045</v>
      </c>
      <c r="D28" s="112" t="s">
        <v>1092</v>
      </c>
      <c r="E28" s="101" t="str">
        <f>Total!E1412</f>
        <v>Edificació</v>
      </c>
      <c r="F28" s="96" t="str">
        <f>Total!F1412</f>
        <v>Projectes i Direccions d'Obra</v>
      </c>
      <c r="G28" s="112" t="str">
        <f>Total!G1412</f>
        <v>PE+DO. INH-17232</v>
      </c>
      <c r="H28" s="112" t="str">
        <f>Total!H1412</f>
        <v>Redacción del proyecto básico y de ejecución y la posterior dirección de obra de la nueva construcción del Instituto 3/0, en Gurb.</v>
      </c>
      <c r="I28" s="157">
        <f>Total!I1412</f>
        <v>300717</v>
      </c>
    </row>
    <row r="29" spans="1:9" x14ac:dyDescent="0.2">
      <c r="A29" s="8">
        <v>28</v>
      </c>
      <c r="B29" s="101">
        <f>Total!B1413</f>
        <v>42998</v>
      </c>
      <c r="C29" s="101">
        <f>Total!C1413</f>
        <v>43045</v>
      </c>
      <c r="D29" s="112" t="s">
        <v>1092</v>
      </c>
      <c r="E29" s="101" t="str">
        <f>Total!E1413</f>
        <v>Edificació</v>
      </c>
      <c r="F29" s="96" t="str">
        <f>Total!F1413</f>
        <v>Projectes i Direccions d'Obra</v>
      </c>
      <c r="G29" s="112" t="str">
        <f>Total!G1413</f>
        <v>PE+DO. CCT-17215</v>
      </c>
      <c r="H29" s="112" t="str">
        <f>Total!H1413</f>
        <v>Contracte de serveis per a l'assistència tècnica per a la redacció del projecte bàsic i executiu i postrior direcció de les obres de la nova contrucció d'una comissaria de districte de la Policia de la Generalitat-Mossos d'Esquadra a Torredembarra.</v>
      </c>
      <c r="I29" s="157">
        <f>Total!I1413</f>
        <v>231106</v>
      </c>
    </row>
    <row r="30" spans="1:9" x14ac:dyDescent="0.2">
      <c r="I30" s="126">
        <f>SUM(I2:I29)</f>
        <v>2224423.5499999998</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7"/>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Total!B1371</f>
        <v>42957</v>
      </c>
      <c r="C2" s="101">
        <f>Total!C1371</f>
        <v>43005</v>
      </c>
      <c r="D2" s="112" t="s">
        <v>1092</v>
      </c>
      <c r="E2" s="101" t="str">
        <f>Total!E1371</f>
        <v>Obra Civil</v>
      </c>
      <c r="F2" s="96" t="str">
        <f>Total!F1371</f>
        <v>Direccions d'obra</v>
      </c>
      <c r="G2" s="112" t="str">
        <f>Total!G1371</f>
        <v>DO. TF-09408.A1</v>
      </c>
      <c r="H2" s="112" t="str">
        <f>Total!H1371</f>
        <v>Direcció de les obres del projecte actualitzat. Perllongament del soterrament de la línia d'FGC a Sabadell des de la Rambla Ibèria fins al passeig de Can Feu.</v>
      </c>
      <c r="I2" s="157">
        <f>Total!I1371</f>
        <v>1020222.22</v>
      </c>
    </row>
    <row r="3" spans="1:9" x14ac:dyDescent="0.2">
      <c r="A3" s="8">
        <v>2</v>
      </c>
      <c r="B3" s="101">
        <f>Total!B1372</f>
        <v>42957</v>
      </c>
      <c r="C3" s="101">
        <f>Total!C1372</f>
        <v>43005</v>
      </c>
      <c r="D3" s="112" t="s">
        <v>1092</v>
      </c>
      <c r="E3" s="101" t="str">
        <f>Total!E1372</f>
        <v>Obra Civil</v>
      </c>
      <c r="F3" s="96" t="str">
        <f>Total!F1372</f>
        <v>Control de Qualitat</v>
      </c>
      <c r="G3" s="112" t="str">
        <f>Total!G1372</f>
        <v>CQ. TF-09408.A1</v>
      </c>
      <c r="H3" s="112" t="str">
        <f>Total!H1372</f>
        <v>Control de qualitat de les obres del projecte actualitzat. Perllongament del soterrament de la línia d'FGC a Sabadell des de la Rambla Ibèria fins al passeig de Can Feu.</v>
      </c>
      <c r="I3" s="157">
        <f>Total!I1372</f>
        <v>230668.27</v>
      </c>
    </row>
    <row r="4" spans="1:9" x14ac:dyDescent="0.2">
      <c r="A4" s="8">
        <v>3</v>
      </c>
      <c r="B4" s="101">
        <f>Total!B1373</f>
        <v>42957</v>
      </c>
      <c r="C4" s="101">
        <f>Total!C1373</f>
        <v>42991</v>
      </c>
      <c r="D4" s="112" t="s">
        <v>1092</v>
      </c>
      <c r="E4" s="101" t="str">
        <f>Total!E1373</f>
        <v>Obra Civil</v>
      </c>
      <c r="F4" s="96" t="str">
        <f>Total!F1373</f>
        <v>Projectes</v>
      </c>
      <c r="G4" s="112" t="str">
        <f>Total!G1373</f>
        <v>CP. PAR-1701</v>
      </c>
      <c r="H4" s="112" t="str">
        <f>Total!H1373</f>
        <v>Assistència tècnica i suport al tancament dels procediments de concentració parcel·lària en l'àmbit Segarra-Garrigues i altres. Actes de reorganització de la propietat, actes complentàries i tramitació de modificacions d'expedients.</v>
      </c>
      <c r="I4" s="157">
        <f>Total!I1373</f>
        <v>122044.16</v>
      </c>
    </row>
    <row r="5" spans="1:9" x14ac:dyDescent="0.2">
      <c r="A5" s="8">
        <v>4</v>
      </c>
      <c r="B5" s="101">
        <f>Total!B1374</f>
        <v>42957</v>
      </c>
      <c r="C5" s="101">
        <f>Total!C1374</f>
        <v>42991</v>
      </c>
      <c r="D5" s="112" t="s">
        <v>1092</v>
      </c>
      <c r="E5" s="101" t="str">
        <f>Total!E1374</f>
        <v>Obra Civil</v>
      </c>
      <c r="F5" s="96" t="str">
        <f>Total!F1374</f>
        <v>Control de Qualitat</v>
      </c>
      <c r="G5" s="112" t="str">
        <f>Total!G1374</f>
        <v>CQ. TX-15358</v>
      </c>
      <c r="H5" s="112" t="str">
        <f>Total!H1374</f>
        <v>Controld e qualitat de les obres del projecte constructiu de millora local. Via peatonal i ciclista a la carretera GI-524, del pk 3,400 (Can Blanc) al pk 6,500 (àrea d'aparcament del volcà de Santa Margarida). Tram: Santa Pau.</v>
      </c>
      <c r="I5" s="157">
        <f>Total!I1374</f>
        <v>8800.0400000000009</v>
      </c>
    </row>
    <row r="6" spans="1:9" x14ac:dyDescent="0.2">
      <c r="A6" s="8">
        <v>5</v>
      </c>
      <c r="B6" s="101">
        <f>Total!B1375</f>
        <v>42957</v>
      </c>
      <c r="C6" s="101">
        <f>Total!C1375</f>
        <v>42984</v>
      </c>
      <c r="D6" s="112" t="s">
        <v>1092</v>
      </c>
      <c r="E6" s="101" t="str">
        <f>Total!E1375</f>
        <v>Obra Civil</v>
      </c>
      <c r="F6" s="96" t="str">
        <f>Total!F1375</f>
        <v>Projectes</v>
      </c>
      <c r="G6" s="112" t="str">
        <f>Total!G1375</f>
        <v>PC. MB-16067</v>
      </c>
      <c r="H6" s="112" t="str">
        <f>Total!H1375</f>
        <v>Redacció del projecte constructiu de millora local. Seguretat viària. Estudi i implementació de millores en seguretat viària per a motoristes a la xarxa de carreteres de la Generalitat a la provincia de Barcelona. Any 2016.</v>
      </c>
      <c r="I6" s="157">
        <f>Total!I1375</f>
        <v>55000</v>
      </c>
    </row>
    <row r="7" spans="1:9" x14ac:dyDescent="0.2">
      <c r="A7" s="8">
        <v>6</v>
      </c>
      <c r="B7" s="101">
        <f>Total!B1376</f>
        <v>42956</v>
      </c>
      <c r="C7" s="101">
        <f>Total!C1376</f>
        <v>42991</v>
      </c>
      <c r="D7" s="112" t="s">
        <v>1092</v>
      </c>
      <c r="E7" s="101" t="str">
        <f>Total!E1376</f>
        <v>Obra Civil</v>
      </c>
      <c r="F7" s="96" t="str">
        <f>Total!F1376</f>
        <v>Direccions d'obra</v>
      </c>
      <c r="G7" s="112" t="str">
        <f>Total!G1376</f>
        <v>ATAM. TF-09408.A1 + MB-15055</v>
      </c>
      <c r="H7" s="112" t="str">
        <f>Total!H1376</f>
        <v>Assist. tèc. ambiental conjunta de les obres "Perllongament del soterrament de la línia d'FGC a Sabadell des de la Ramba Ibèria fins al Passeig Can Feu. i Millora carac. superficials ferm i reestudi sec. transversal. Ctra. C-55. Collbató-Castellbell.</v>
      </c>
      <c r="I7" s="157">
        <f>Total!I1376</f>
        <v>153792</v>
      </c>
    </row>
    <row r="8" spans="1:9" x14ac:dyDescent="0.2">
      <c r="A8" s="8">
        <v>7</v>
      </c>
      <c r="B8" s="101">
        <f>Total!B1377</f>
        <v>42956</v>
      </c>
      <c r="C8" s="101">
        <f>Total!C1377</f>
        <v>42991</v>
      </c>
      <c r="D8" s="112" t="s">
        <v>1092</v>
      </c>
      <c r="E8" s="101" t="str">
        <f>Total!E1377</f>
        <v>Obra Civil</v>
      </c>
      <c r="F8" s="96" t="str">
        <f>Total!F1377</f>
        <v>Direccions d'obra</v>
      </c>
      <c r="G8" s="112" t="str">
        <f>Total!G1377</f>
        <v>CSS. TF-09408.A1</v>
      </c>
      <c r="H8" s="112" t="str">
        <f>Total!H1377</f>
        <v>Coordinació de Seguretat i Salut de les obres del projecte actualitzat. Perllongament del soterrament de la línia d'FGC a Sabadell des de la Rambla Ibèria fins al passeig de Can Feu.</v>
      </c>
      <c r="I8" s="157">
        <f>Total!I1377</f>
        <v>140000</v>
      </c>
    </row>
    <row r="9" spans="1:9" x14ac:dyDescent="0.2">
      <c r="A9" s="8">
        <v>8</v>
      </c>
      <c r="B9" s="101">
        <f>Total!B1378</f>
        <v>42956</v>
      </c>
      <c r="C9" s="101">
        <f>Total!C1378</f>
        <v>42991</v>
      </c>
      <c r="D9" s="112" t="s">
        <v>1092</v>
      </c>
      <c r="E9" s="101" t="str">
        <f>Total!E1378</f>
        <v>Obra Civil</v>
      </c>
      <c r="F9" s="96" t="str">
        <f>Total!F1378</f>
        <v>Direccions d'obra</v>
      </c>
      <c r="G9" s="112" t="str">
        <f>Total!G1378</f>
        <v>CSS. UPA-15003</v>
      </c>
      <c r="H9" s="112" t="str">
        <f>Total!H1378</f>
        <v>Coordinació de Seguretat i Salut de les obres de millora ambiental. Recuperació dels sistemes dunars a l'Empordà.</v>
      </c>
      <c r="I9" s="157">
        <f>Total!I1378</f>
        <v>4100</v>
      </c>
    </row>
    <row r="10" spans="1:9" x14ac:dyDescent="0.2">
      <c r="A10" s="8">
        <v>9</v>
      </c>
      <c r="B10" s="101">
        <f>Total!B1379</f>
        <v>42956</v>
      </c>
      <c r="C10" s="101">
        <f>Total!C1379</f>
        <v>42991</v>
      </c>
      <c r="D10" s="112" t="s">
        <v>1092</v>
      </c>
      <c r="E10" s="101" t="str">
        <f>Total!E1379</f>
        <v>Obra Civil</v>
      </c>
      <c r="F10" s="96" t="str">
        <f>Total!F1379</f>
        <v>Direccions d'obra</v>
      </c>
      <c r="G10" s="112" t="str">
        <f>Total!G1379</f>
        <v>CSS. TX-15358</v>
      </c>
      <c r="H10" s="112" t="str">
        <f>Total!H1379</f>
        <v>Coordinació de seguretat i salut de les obres del projecte constructiu de millora local. Via peatonal i ciclista a la carretera GI-524, del pk 3,400 (Can Blanc) al pk 6,500 (àrea d'aparcament del volcà de Santa Margarida). Tram: Santa Pau.</v>
      </c>
      <c r="I10" s="157">
        <f>Total!I1379</f>
        <v>6975</v>
      </c>
    </row>
    <row r="11" spans="1:9" x14ac:dyDescent="0.2">
      <c r="A11" s="8">
        <v>10</v>
      </c>
      <c r="B11" s="101">
        <f>Total!B1380</f>
        <v>42956</v>
      </c>
      <c r="C11" s="101">
        <f>Total!C1380</f>
        <v>42991</v>
      </c>
      <c r="D11" s="112" t="s">
        <v>1092</v>
      </c>
      <c r="E11" s="101" t="str">
        <f>Total!E1380</f>
        <v>Obra Civil</v>
      </c>
      <c r="F11" s="96" t="str">
        <f>Total!F1380</f>
        <v>Direccions d'obra</v>
      </c>
      <c r="G11" s="112" t="str">
        <f>Total!G1380</f>
        <v>DO. TX-15358</v>
      </c>
      <c r="H11" s="112" t="str">
        <f>Total!H1380</f>
        <v>Direcció de les obres del projecte constructiu de millora local. Via peatonal i ciclista a la carretera GI-524, del pk 3,400 (Can Blanc) al pk 6,500 (àrea d'aparcament del volcà de Santa Margarida). Tram: Santa Pau.</v>
      </c>
      <c r="I11" s="157">
        <f>Total!I1380</f>
        <v>26033.33</v>
      </c>
    </row>
    <row r="12" spans="1:9" x14ac:dyDescent="0.2">
      <c r="A12" s="8">
        <v>11</v>
      </c>
      <c r="B12" s="101">
        <f>Total!B1381</f>
        <v>42956</v>
      </c>
      <c r="C12" s="101">
        <f>Total!C1381</f>
        <v>42991</v>
      </c>
      <c r="D12" s="112" t="s">
        <v>1092</v>
      </c>
      <c r="E12" s="101" t="str">
        <f>Total!E1381</f>
        <v>Obra Civil</v>
      </c>
      <c r="F12" s="96" t="str">
        <f>Total!F1381</f>
        <v>Direccions d'obra</v>
      </c>
      <c r="G12" s="112" t="str">
        <f>Total!G1381</f>
        <v>IN. TF-09408.A1</v>
      </c>
      <c r="H12" s="112" t="str">
        <f>Total!H1381</f>
        <v>Inspecció prèvia d'edificis del projecte actualitzat. Perllongament del soterrament de la línia d'FGC a Sabadell des de la Rambla Ibèria fins al passeig de Can Feu.</v>
      </c>
      <c r="I12" s="157">
        <f>Total!I1381</f>
        <v>54950</v>
      </c>
    </row>
    <row r="13" spans="1:9" x14ac:dyDescent="0.2">
      <c r="A13" s="8">
        <v>12</v>
      </c>
      <c r="B13" s="101">
        <f>Total!B1382</f>
        <v>42958</v>
      </c>
      <c r="C13" s="101">
        <f>Total!C1382</f>
        <v>43005</v>
      </c>
      <c r="D13" s="112" t="s">
        <v>1092</v>
      </c>
      <c r="E13" s="101" t="str">
        <f>Total!E1382</f>
        <v>Obra Civil</v>
      </c>
      <c r="F13" s="96" t="str">
        <f>Total!F1382</f>
        <v>Direccions d'obra</v>
      </c>
      <c r="G13" s="112" t="str">
        <f>Total!G1382</f>
        <v>UASPO. TM-08402.2</v>
      </c>
      <c r="H13" s="112" t="str">
        <f>Total!H1382</f>
        <v>Unitat i supervisió de projectes i obra (UASPO). Concessió. Estacions i determinades infraestructures del tram 2 de la línia 9 del Metro de Barcelona.</v>
      </c>
      <c r="I13" s="157">
        <f>Total!I1382</f>
        <v>916875</v>
      </c>
    </row>
    <row r="14" spans="1:9" x14ac:dyDescent="0.2">
      <c r="A14" s="8">
        <v>13</v>
      </c>
      <c r="B14" s="101">
        <f>Total!B1383</f>
        <v>42958</v>
      </c>
      <c r="C14" s="101">
        <f>Total!C1383</f>
        <v>43005</v>
      </c>
      <c r="D14" s="112" t="s">
        <v>1092</v>
      </c>
      <c r="E14" s="101" t="str">
        <f>Total!E1383</f>
        <v>Edificació</v>
      </c>
      <c r="F14" s="96" t="str">
        <f>Total!F1383</f>
        <v>Projectes i Direccions d'Obra</v>
      </c>
      <c r="G14" s="112" t="str">
        <f>Total!G1383</f>
        <v>PE+DO. ECO-17219 (2V)</v>
      </c>
      <c r="H14" s="112" t="str">
        <f>Total!H1383</f>
        <v>Redacció del projecte bàsic i executiu i la posterior direcció de les obres de la implantació de les oficines de l'Edifici del Districte administratiu de la Generalitat de Catalunya.</v>
      </c>
      <c r="I14" s="157">
        <f>Total!I1383</f>
        <v>1218509</v>
      </c>
    </row>
    <row r="15" spans="1:9" x14ac:dyDescent="0.2">
      <c r="A15" s="8">
        <v>14</v>
      </c>
      <c r="B15" s="101">
        <f>Total!B1384</f>
        <v>42972</v>
      </c>
      <c r="C15" s="101">
        <f>Total!C1384</f>
        <v>42996</v>
      </c>
      <c r="D15" s="112" t="s">
        <v>1092</v>
      </c>
      <c r="E15" s="101" t="str">
        <f>Total!E1384</f>
        <v>Obra Civil</v>
      </c>
      <c r="F15" s="96" t="str">
        <f>Total!F1384</f>
        <v>Projectes</v>
      </c>
      <c r="G15" s="112" t="str">
        <f>Total!G1384</f>
        <v>PC. AB-15032.F4</v>
      </c>
      <c r="H15" s="112" t="str">
        <f>Total!H1384</f>
        <v>Redacció del projecte constructiu millora general. Ordenació d'accessos a la ctra. C-17 del pk 18,700 al 21,000 i nou enllaç al pk 19,700. Tram: Granollers-Lliçà d'Amunt.</v>
      </c>
      <c r="I15" s="157">
        <f>Total!I1384</f>
        <v>102700</v>
      </c>
    </row>
    <row r="16" spans="1:9" x14ac:dyDescent="0.2">
      <c r="A16" s="8">
        <v>15</v>
      </c>
      <c r="B16" s="101">
        <f>Total!B1385</f>
        <v>42972</v>
      </c>
      <c r="C16" s="101">
        <f>Total!C1385</f>
        <v>42996</v>
      </c>
      <c r="D16" s="112" t="s">
        <v>1092</v>
      </c>
      <c r="E16" s="101" t="str">
        <f>Total!E1385</f>
        <v>Obra Civil</v>
      </c>
      <c r="F16" s="96" t="str">
        <f>Total!F1385</f>
        <v>Projectes</v>
      </c>
      <c r="G16" s="112" t="str">
        <f>Total!G1385</f>
        <v>PC. AB-15032.F1</v>
      </c>
      <c r="H16" s="112" t="str">
        <f>Total!H1385</f>
        <v>Redacció del projecte constructiu millora general. Nou ramal d'enllaç de la C-17 al pk 14,800 amb l'AP-7 al pk 137,000, sentit Barcelona. Tram: Parets del Vallés-Mollet del Vallés.</v>
      </c>
      <c r="I16" s="157">
        <f>Total!I1385</f>
        <v>188700</v>
      </c>
    </row>
    <row r="17" spans="9:9" x14ac:dyDescent="0.2">
      <c r="I17" s="126">
        <f>SUM(I2:I16)</f>
        <v>4249369.0199999996</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29"/>
  <sheetViews>
    <sheetView workbookViewId="0">
      <selection activeCell="D42" sqref="D42:D43"/>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Total!B1343</f>
        <v>42919</v>
      </c>
      <c r="C2" s="101">
        <f>Total!C1343</f>
        <v>42935</v>
      </c>
      <c r="D2" s="112" t="s">
        <v>1092</v>
      </c>
      <c r="E2" s="101" t="str">
        <f>Total!E1343</f>
        <v>Obra Civil</v>
      </c>
      <c r="F2" s="96" t="str">
        <f>Total!F1343</f>
        <v>Control de Qualitat</v>
      </c>
      <c r="G2" s="112" t="str">
        <f>Total!G1343</f>
        <v>CQ. AB-06081.A1-F1</v>
      </c>
      <c r="H2" s="112" t="str">
        <f>Total!H1343</f>
        <v>Control de qualitat de les obres del projecte constructiu de millora general. Condicionament. Reestudi de la secció transversal. Ctra. C-352. pk 20,640 al 22,740. Tram: La Roca del Vallès-Les Franqueses del Vallès.</v>
      </c>
      <c r="I2" s="157">
        <f>Total!I1343</f>
        <v>20380.39</v>
      </c>
    </row>
    <row r="3" spans="1:9" x14ac:dyDescent="0.2">
      <c r="A3" s="8">
        <v>2</v>
      </c>
      <c r="B3" s="101">
        <f>Total!B1344</f>
        <v>42920</v>
      </c>
      <c r="C3" s="101">
        <f>Total!C1344</f>
        <v>42942</v>
      </c>
      <c r="D3" s="112" t="s">
        <v>1092</v>
      </c>
      <c r="E3" s="101" t="str">
        <f>Total!E1344</f>
        <v>Edificació</v>
      </c>
      <c r="F3" s="96" t="str">
        <f>Total!F1344</f>
        <v>Control de Qualitat</v>
      </c>
      <c r="G3" s="112" t="str">
        <f>Total!G1344</f>
        <v>CQ. CAP-16236</v>
      </c>
      <c r="H3" s="112" t="str">
        <f>Total!H1344</f>
        <v>Control de qualitat de les obres RAM del Centre d'Atenció Primària Sant Pere i Sant Pau, de Tarragona.</v>
      </c>
      <c r="I3" s="157">
        <f>Total!I1344</f>
        <v>1928.01</v>
      </c>
    </row>
    <row r="4" spans="1:9" x14ac:dyDescent="0.2">
      <c r="A4" s="8">
        <v>3</v>
      </c>
      <c r="B4" s="101">
        <f>Total!B1345</f>
        <v>42920</v>
      </c>
      <c r="C4" s="101">
        <f>Total!C1345</f>
        <v>42935</v>
      </c>
      <c r="D4" s="112" t="s">
        <v>1092</v>
      </c>
      <c r="E4" s="101" t="str">
        <f>Total!E1345</f>
        <v>Obra Civil</v>
      </c>
      <c r="F4" s="96" t="str">
        <f>Total!F1345</f>
        <v>Projectes</v>
      </c>
      <c r="G4" s="112" t="str">
        <f>Total!G1345</f>
        <v>PC. AG-03020.3.1</v>
      </c>
      <c r="H4" s="112" t="str">
        <f>Total!H1345</f>
        <v>Redacció del projecte constructiu Millora general. Condicionament. Corredor Brugent - Ter. Variant d'Anglès. De la ctra. C-63, pk 38,000 a la ctra. N-141e, pk 101,150. Tram: Anglès.</v>
      </c>
      <c r="I4" s="157">
        <f>Total!I1345</f>
        <v>103600</v>
      </c>
    </row>
    <row r="5" spans="1:9" x14ac:dyDescent="0.2">
      <c r="A5" s="8">
        <v>4</v>
      </c>
      <c r="B5" s="101">
        <f>Total!B1346</f>
        <v>42921</v>
      </c>
      <c r="C5" s="101">
        <f>Total!C1346</f>
        <v>42940</v>
      </c>
      <c r="D5" s="112" t="s">
        <v>1092</v>
      </c>
      <c r="E5" s="101" t="str">
        <f>Total!E1346</f>
        <v>Obra Civil</v>
      </c>
      <c r="F5" s="96" t="str">
        <f>Total!F1346</f>
        <v>Projectes</v>
      </c>
      <c r="G5" s="112" t="str">
        <f>Total!G1346</f>
        <v>EG. E1-XA-08344.1</v>
      </c>
      <c r="H5" s="112" t="str">
        <f>Total!H1346</f>
        <v>Redacció de l'estudi geotècnic del projecte de millora del ferm i del drenatge del camí de Castelltallat a Salo. TM de Sant Mateu de Bages.</v>
      </c>
      <c r="I5" s="157">
        <f>Total!I1346</f>
        <v>10082.65</v>
      </c>
    </row>
    <row r="6" spans="1:9" x14ac:dyDescent="0.2">
      <c r="A6" s="8">
        <v>5</v>
      </c>
      <c r="B6" s="101">
        <f>Total!B1347</f>
        <v>42921</v>
      </c>
      <c r="C6" s="101">
        <f>Total!C1347</f>
        <v>42940</v>
      </c>
      <c r="D6" s="112" t="s">
        <v>1092</v>
      </c>
      <c r="E6" s="101" t="str">
        <f>Total!E1347</f>
        <v>Obra Civil</v>
      </c>
      <c r="F6" s="96" t="str">
        <f>Total!F1347</f>
        <v>Direccions d'Obra</v>
      </c>
      <c r="G6" s="112" t="str">
        <f>Total!G1347</f>
        <v>CSS. NL-15007</v>
      </c>
      <c r="H6" s="112" t="str">
        <f>Total!H1347</f>
        <v>Coordinació de seguretat i salut de les obres del projecte constructiu de millora general. Nova carretera. Prolongació. Eixamplament i millora del ferm de la carretera L-311b. Tram: Cervera.</v>
      </c>
      <c r="I6" s="157">
        <f>Total!I1347</f>
        <v>8000</v>
      </c>
    </row>
    <row r="7" spans="1:9" x14ac:dyDescent="0.2">
      <c r="A7" s="8">
        <v>6</v>
      </c>
      <c r="B7" s="101">
        <f>Total!B1348</f>
        <v>42921</v>
      </c>
      <c r="C7" s="101">
        <f>Total!C1348</f>
        <v>42940</v>
      </c>
      <c r="D7" s="112" t="s">
        <v>1092</v>
      </c>
      <c r="E7" s="101" t="str">
        <f>Total!E1348</f>
        <v>Obra Civil</v>
      </c>
      <c r="F7" s="96" t="str">
        <f>Total!F1348</f>
        <v>Projectes</v>
      </c>
      <c r="G7" s="112" t="str">
        <f>Total!G1348</f>
        <v>EV. E3-ER-14300</v>
      </c>
      <c r="H7" s="112" t="str">
        <f>Total!H1348</f>
        <v>Redacció de la memòria ambiental del projecte complementari núm. 1 de la xarxa de regadiu del pantà de Guiamets al TM de Tivissa.</v>
      </c>
      <c r="I7" s="157">
        <f>Total!I1348</f>
        <v>12000</v>
      </c>
    </row>
    <row r="8" spans="1:9" x14ac:dyDescent="0.2">
      <c r="A8" s="8">
        <v>7</v>
      </c>
      <c r="B8" s="101">
        <f>Total!B1349</f>
        <v>42921</v>
      </c>
      <c r="C8" s="101">
        <f>Total!C1349</f>
        <v>42982</v>
      </c>
      <c r="D8" s="112" t="s">
        <v>1092</v>
      </c>
      <c r="E8" s="101" t="str">
        <f>Total!E1349</f>
        <v>Edificació</v>
      </c>
      <c r="F8" s="96" t="str">
        <f>Total!F1349</f>
        <v>Direccions d'Execució</v>
      </c>
      <c r="G8" s="112" t="str">
        <f>Total!G1349</f>
        <v>CSS. CLT-12915</v>
      </c>
      <c r="H8" s="112" t="str">
        <f>Total!H1349</f>
        <v>Coordinació de seguretat i salut de les obres del projecte execució de les bores de construcció del nou Consultori Local Els Pallaresos.</v>
      </c>
      <c r="I8" s="157">
        <f>Total!I1349</f>
        <v>7438.01</v>
      </c>
    </row>
    <row r="9" spans="1:9" x14ac:dyDescent="0.2">
      <c r="A9" s="8">
        <v>8</v>
      </c>
      <c r="B9" s="101">
        <f>Total!B1350</f>
        <v>42921</v>
      </c>
      <c r="C9" s="101">
        <f>Total!C1350</f>
        <v>42982</v>
      </c>
      <c r="D9" s="112" t="s">
        <v>1092</v>
      </c>
      <c r="E9" s="101" t="str">
        <f>Total!E1350</f>
        <v>Edificació</v>
      </c>
      <c r="F9" s="96" t="str">
        <f>Total!F1350</f>
        <v>Direccions d'Execució</v>
      </c>
      <c r="G9" s="112" t="str">
        <f>Total!G1350</f>
        <v>CSS. CAP-09398</v>
      </c>
      <c r="H9" s="112" t="str">
        <f>Total!H1350</f>
        <v>Coordinació de seguretat i salut de les obres per al Nou Centre d'Atenció Primària Can Roca, de Terrassa.</v>
      </c>
      <c r="I9" s="157">
        <f>Total!I1350</f>
        <v>12750</v>
      </c>
    </row>
    <row r="10" spans="1:9" x14ac:dyDescent="0.2">
      <c r="A10" s="8">
        <v>9</v>
      </c>
      <c r="B10" s="101">
        <f>Total!B1351</f>
        <v>42922</v>
      </c>
      <c r="C10" s="101">
        <f>Total!C1351</f>
        <v>42940</v>
      </c>
      <c r="D10" s="112" t="s">
        <v>1092</v>
      </c>
      <c r="E10" s="101" t="str">
        <f>Total!E1351</f>
        <v>Obra Civil</v>
      </c>
      <c r="F10" s="96" t="str">
        <f>Total!F1351</f>
        <v>Control de Qualitat</v>
      </c>
      <c r="G10" s="112" t="str">
        <f>Total!G1351</f>
        <v>CQ. UPA-15001</v>
      </c>
      <c r="H10" s="112" t="str">
        <f>Total!H1351</f>
        <v>Control de qualitat de les obres per a la restitució del Tractament Terciari tou de les aigües residuals tractades a l'EDAR de Tordera.</v>
      </c>
      <c r="I10" s="157">
        <f>Total!I1351</f>
        <v>2048.5</v>
      </c>
    </row>
    <row r="11" spans="1:9" x14ac:dyDescent="0.2">
      <c r="A11" s="8">
        <v>10</v>
      </c>
      <c r="B11" s="101">
        <f>Total!B1352</f>
        <v>42922</v>
      </c>
      <c r="C11" s="101">
        <f>Total!C1352</f>
        <v>46594</v>
      </c>
      <c r="D11" s="112" t="s">
        <v>1092</v>
      </c>
      <c r="E11" s="101" t="str">
        <f>Total!E1352</f>
        <v>Obra Civil</v>
      </c>
      <c r="F11" s="96" t="str">
        <f>Total!F1352</f>
        <v>Projectes</v>
      </c>
      <c r="G11" s="112" t="str">
        <f>Total!G1352</f>
        <v>PC. MB-16065</v>
      </c>
      <c r="H11" s="112" t="str">
        <f>Total!H1352</f>
        <v>Redacció del projecte constructiu de millora local. Seguretat viària. Revisió dels límits de velocitat, millora dels accessos a camins i finques i talussos. Ctra. C-58, pk 25,360 al 37,790. Tram: Viladecavalls-Castellbell i el Vilar.</v>
      </c>
      <c r="I11" s="157">
        <f>Total!I1352</f>
        <v>25000</v>
      </c>
    </row>
    <row r="12" spans="1:9" x14ac:dyDescent="0.2">
      <c r="A12" s="8">
        <v>11</v>
      </c>
      <c r="B12" s="101">
        <f>Total!B1353</f>
        <v>42923</v>
      </c>
      <c r="C12" s="101">
        <f>Total!C1353</f>
        <v>42940</v>
      </c>
      <c r="D12" s="112" t="s">
        <v>1092</v>
      </c>
      <c r="E12" s="101" t="str">
        <f>Total!E1353</f>
        <v>Obra Civil</v>
      </c>
      <c r="F12" s="96" t="str">
        <f>Total!F1353</f>
        <v>Projectes</v>
      </c>
      <c r="G12" s="112" t="str">
        <f>Total!G1353</f>
        <v>EV. AE-MC-16057</v>
      </c>
      <c r="H12" s="112" t="str">
        <f>Total!H1353</f>
        <v>Redacció de l'estudi de millora local. Seguretat viària. Estudi d'identificació dels Trams de Concentració d'Accidents 2012-2016 de la xarxa de carreteres de la Generalitat de Catalunya.</v>
      </c>
      <c r="I12" s="157">
        <f>Total!I1353</f>
        <v>30000</v>
      </c>
    </row>
    <row r="13" spans="1:9" x14ac:dyDescent="0.2">
      <c r="A13" s="8">
        <v>12</v>
      </c>
      <c r="B13" s="101">
        <f>Total!B1354</f>
        <v>42928</v>
      </c>
      <c r="C13" s="101">
        <f>Total!C1354</f>
        <v>42947</v>
      </c>
      <c r="D13" s="112" t="s">
        <v>1092</v>
      </c>
      <c r="E13" s="101" t="str">
        <f>Total!E1354</f>
        <v>Edificació</v>
      </c>
      <c r="F13" s="96" t="str">
        <f>Total!F1354</f>
        <v>Projectes</v>
      </c>
      <c r="G13" s="112" t="str">
        <f>Total!G1354</f>
        <v>PM.PNG-10091-M1</v>
      </c>
      <c r="H13" s="112" t="str">
        <f>Total!H1354</f>
        <v>Redacció del projecte modificat núm. 1 de les obres de la Nova construcció de l'Escola Pirineu de Campdevànol.</v>
      </c>
      <c r="I13" s="157">
        <f>Total!I1354</f>
        <v>15000</v>
      </c>
    </row>
    <row r="14" spans="1:9" x14ac:dyDescent="0.2">
      <c r="A14" s="8">
        <v>14</v>
      </c>
      <c r="B14" s="101">
        <f>Total!B1356</f>
        <v>42929</v>
      </c>
      <c r="C14" s="101">
        <f>Total!C1356</f>
        <v>42947</v>
      </c>
      <c r="D14" s="112" t="s">
        <v>1092</v>
      </c>
      <c r="E14" s="101" t="str">
        <f>Total!E1356</f>
        <v>Edificació</v>
      </c>
      <c r="F14" s="96" t="str">
        <f>Total!F1356</f>
        <v>Projectes i Direccions d'Obra</v>
      </c>
      <c r="G14" s="112" t="str">
        <f>Total!G1356</f>
        <v>PE+DO. XMV-17573</v>
      </c>
      <c r="H14" s="112" t="str">
        <f>Total!H1356</f>
        <v>Redacció del projecte i posterior direcció de les obres RAM 2017 als Serveis Territorials del Vallès Occidental XII. Adequació espais ESO, 3a i 4a fase de la conversió d'una part de l'edif. Escola Elisa de Barberà del Vallès en Int. Bitàcola 2/0 lín.</v>
      </c>
      <c r="I14" s="157">
        <f>Total!I1356</f>
        <v>73801</v>
      </c>
    </row>
    <row r="15" spans="1:9" x14ac:dyDescent="0.2">
      <c r="A15" s="8">
        <v>15</v>
      </c>
      <c r="B15" s="101">
        <f>Total!B1357</f>
        <v>42930</v>
      </c>
      <c r="C15" s="101">
        <f>Total!C1357</f>
        <v>42947</v>
      </c>
      <c r="D15" s="112" t="s">
        <v>1092</v>
      </c>
      <c r="E15" s="101" t="str">
        <f>Total!E1357</f>
        <v>Edificació</v>
      </c>
      <c r="F15" s="96" t="str">
        <f>Total!F1357</f>
        <v>Projectes i Direccions d'Obra</v>
      </c>
      <c r="G15" s="112" t="str">
        <f>Total!G1357</f>
        <v>PE+DO. BSV-15315.A</v>
      </c>
      <c r="H15" s="112" t="str">
        <f>Total!H1357</f>
        <v>Redacció del projecte bàsic i executiu i la posterior direcció de les obres de reofrma de la cuina i magatzems de la residència per a gent gran Els Arcs, a Figueres.</v>
      </c>
      <c r="I15" s="157">
        <f>Total!I1357</f>
        <v>8889</v>
      </c>
    </row>
    <row r="16" spans="1:9" x14ac:dyDescent="0.2">
      <c r="A16" s="8">
        <v>16</v>
      </c>
      <c r="B16" s="101">
        <f>Total!B1358</f>
        <v>42930</v>
      </c>
      <c r="C16" s="101">
        <f>Total!C1358</f>
        <v>42947</v>
      </c>
      <c r="D16" s="112" t="s">
        <v>1092</v>
      </c>
      <c r="E16" s="101" t="str">
        <f>Total!E1358</f>
        <v>Obra Civil</v>
      </c>
      <c r="F16" s="96" t="str">
        <f>Total!F1358</f>
        <v>Projectes</v>
      </c>
      <c r="G16" s="112" t="str">
        <f>Total!G1358</f>
        <v>PM. AT-07039.F1-M1</v>
      </c>
      <c r="H16" s="112" t="str">
        <f>Total!H1358</f>
        <v>Redacció del projecte modificat núm. 1 de les obres de millora general. Condicionament i reordenació dels accessos a la carretera TV-3141 del pk 0,000 al 7,000. Fase 1. Reordenació d'accessos. Tram: Cambrils-Reus.</v>
      </c>
      <c r="I16" s="157">
        <f>Total!I1358</f>
        <v>12000</v>
      </c>
    </row>
    <row r="17" spans="1:9" x14ac:dyDescent="0.2">
      <c r="A17" s="8">
        <v>17</v>
      </c>
      <c r="B17" s="101">
        <f>Total!B1359</f>
        <v>42936</v>
      </c>
      <c r="C17" s="101">
        <f>Total!C1359</f>
        <v>42983</v>
      </c>
      <c r="D17" s="112" t="s">
        <v>1092</v>
      </c>
      <c r="E17" s="101" t="str">
        <f>Total!E1359</f>
        <v>Edificació</v>
      </c>
      <c r="F17" s="96" t="str">
        <f>Total!F1359</f>
        <v>Projectes i Direccions d'Obra</v>
      </c>
      <c r="G17" s="112" t="str">
        <f>Total!G1359</f>
        <v xml:space="preserve">PE+DO. PNH-17246 </v>
      </c>
      <c r="H17" s="112" t="str">
        <f>Total!H1359</f>
        <v>Redacció del projecte bàsic i executiu i la posterior direcció de les obres de nova construcció Escola La Serreta de Santpedor (1 línia).</v>
      </c>
      <c r="I17" s="157">
        <f>Total!I1359</f>
        <v>245556</v>
      </c>
    </row>
    <row r="18" spans="1:9" x14ac:dyDescent="0.2">
      <c r="A18" s="8">
        <v>18</v>
      </c>
      <c r="B18" s="101">
        <f>Total!B1360</f>
        <v>42942</v>
      </c>
      <c r="C18" s="101">
        <f>Total!C1360</f>
        <v>42982</v>
      </c>
      <c r="D18" s="112" t="s">
        <v>1092</v>
      </c>
      <c r="E18" s="101" t="str">
        <f>Total!E1360</f>
        <v>Obra Civil</v>
      </c>
      <c r="F18" s="96" t="str">
        <f>Total!F1360</f>
        <v>Direccions d'Obra</v>
      </c>
      <c r="G18" s="112" t="str">
        <f>Total!G1360</f>
        <v>CSS. MB-14052</v>
      </c>
      <c r="H18" s="112" t="str">
        <f>Total!H1360</f>
        <v>Coordinació de seg. i salut de les obres del proj. constructiu de millora local. Ponts i estructures. Ampliació i condicionament del marge dret del viaducte de la C-31 sobre el riu Llobregat, pk 195,100 al 195,285. Tram: el Prat de Ll.-Hospitalet Ll.</v>
      </c>
      <c r="I18" s="157">
        <f>Total!I1360</f>
        <v>3256</v>
      </c>
    </row>
    <row r="19" spans="1:9" x14ac:dyDescent="0.2">
      <c r="A19" s="8">
        <v>19</v>
      </c>
      <c r="B19" s="101">
        <f>Total!B1361</f>
        <v>42942</v>
      </c>
      <c r="C19" s="101">
        <f>Total!C1361</f>
        <v>42984</v>
      </c>
      <c r="D19" s="112" t="s">
        <v>1092</v>
      </c>
      <c r="E19" s="101" t="str">
        <f>Total!E1361</f>
        <v>Edificació</v>
      </c>
      <c r="F19" s="96" t="str">
        <f>Total!F1361</f>
        <v>Projectes i Direccions Facultatives</v>
      </c>
      <c r="G19" s="112" t="str">
        <f>Total!G1361</f>
        <v>PR+DF. IAC-10037-C1</v>
      </c>
      <c r="H19" s="112" t="str">
        <f>Total!H1361</f>
        <v>Redacció del projecte bàsic i executiu i la posterior direcció facultativa de les obres del projecte complementari núm. 1 a l'Institut La Llauna, a Badalona.</v>
      </c>
      <c r="I19" s="157">
        <f>Total!I1361</f>
        <v>18484.849999999999</v>
      </c>
    </row>
    <row r="20" spans="1:9" x14ac:dyDescent="0.2">
      <c r="A20" s="8">
        <v>20</v>
      </c>
      <c r="B20" s="101">
        <f>Total!B1362</f>
        <v>42944</v>
      </c>
      <c r="C20" s="101">
        <f>Total!C1362</f>
        <v>43005</v>
      </c>
      <c r="D20" s="112" t="s">
        <v>1092</v>
      </c>
      <c r="E20" s="101" t="str">
        <f>Total!E1362</f>
        <v>Edificació</v>
      </c>
      <c r="F20" s="96" t="str">
        <f>Total!F1362</f>
        <v>Control de Qualitat</v>
      </c>
      <c r="G20" s="112" t="str">
        <f>Total!G1362</f>
        <v>CQ. HVB-15345</v>
      </c>
      <c r="H20" s="112" t="str">
        <f>Total!H1362</f>
        <v>Control de qualitat de les obres d'arquitectura de l'ampliació i reforma de l'Hospital de Viladecans.</v>
      </c>
      <c r="I20" s="157">
        <f>Total!I1362</f>
        <v>347594.44</v>
      </c>
    </row>
    <row r="21" spans="1:9" x14ac:dyDescent="0.2">
      <c r="A21" s="8">
        <v>21</v>
      </c>
      <c r="B21" s="101">
        <f>Total!B1363</f>
        <v>42943</v>
      </c>
      <c r="C21" s="101">
        <f>Total!C1363</f>
        <v>42996</v>
      </c>
      <c r="D21" s="112" t="s">
        <v>1092</v>
      </c>
      <c r="E21" s="101" t="str">
        <f>Total!E1363</f>
        <v>Obra Civil</v>
      </c>
      <c r="F21" s="96" t="str">
        <f>Total!F1363</f>
        <v>Control de Qualitat</v>
      </c>
      <c r="G21" s="112" t="str">
        <f>Total!G1363</f>
        <v>CQ. UPA-15003</v>
      </c>
      <c r="H21" s="112" t="str">
        <f>Total!H1363</f>
        <v>Control de qualitat de les obres de millora ambiental. Recuperació dels sistemes dunars a l'Empordà.</v>
      </c>
      <c r="I21" s="157">
        <f>Total!I1363</f>
        <v>2070.84</v>
      </c>
    </row>
    <row r="22" spans="1:9" x14ac:dyDescent="0.2">
      <c r="A22" s="8">
        <v>22</v>
      </c>
      <c r="B22" s="101">
        <f>Total!B1364</f>
        <v>42943</v>
      </c>
      <c r="C22" s="101">
        <f>Total!C1364</f>
        <v>42996</v>
      </c>
      <c r="D22" s="112" t="s">
        <v>1092</v>
      </c>
      <c r="E22" s="101" t="str">
        <f>Total!E1364</f>
        <v>Obra Civil</v>
      </c>
      <c r="F22" s="96" t="str">
        <f>Total!F1364</f>
        <v>Direcció d'obra</v>
      </c>
      <c r="G22" s="112" t="str">
        <f>Total!G1364</f>
        <v>DO. UPA-15003</v>
      </c>
      <c r="H22" s="112" t="str">
        <f>Total!H1364</f>
        <v>Direcció de les obres de millora ambiental. Recuperació dels sistemes dunars a l'Empordà.</v>
      </c>
      <c r="I22" s="157">
        <f>Total!I1364</f>
        <v>19188.89</v>
      </c>
    </row>
    <row r="23" spans="1:9" x14ac:dyDescent="0.2">
      <c r="A23" s="8">
        <v>23</v>
      </c>
      <c r="B23" s="101">
        <f>Total!B1365</f>
        <v>42943</v>
      </c>
      <c r="C23" s="101">
        <f>Total!C1365</f>
        <v>42982</v>
      </c>
      <c r="D23" s="112" t="s">
        <v>1092</v>
      </c>
      <c r="E23" s="101" t="str">
        <f>Total!E1365</f>
        <v>Edificació</v>
      </c>
      <c r="F23" s="96" t="str">
        <f>Total!F1365</f>
        <v>Control de Qualitat</v>
      </c>
      <c r="G23" s="112" t="str">
        <f>Total!G1365</f>
        <v>CQ. MET-15L04</v>
      </c>
      <c r="H23" s="112" t="str">
        <f>Total!H1365</f>
        <v>Control de qualitat de les obres RAM de 6 comissaries de la policia de la Generalitat-Mossos d'Esquadra als TT.MM. d'Amposta, Gandesa, Tortosa, Valls, Momblanc i Cambrils.</v>
      </c>
      <c r="I23" s="157">
        <f>Total!I1365</f>
        <v>6636.9</v>
      </c>
    </row>
    <row r="24" spans="1:9" x14ac:dyDescent="0.2">
      <c r="A24" s="8">
        <v>24</v>
      </c>
      <c r="B24" s="101">
        <f>Total!B1366</f>
        <v>42944</v>
      </c>
      <c r="C24" s="101">
        <f>Total!C1366</f>
        <v>42984</v>
      </c>
      <c r="D24" s="112" t="s">
        <v>1092</v>
      </c>
      <c r="E24" s="101" t="str">
        <f>Total!E1366</f>
        <v>Obra Civil</v>
      </c>
      <c r="F24" s="96" t="str">
        <f>Total!F1366</f>
        <v>Direccions d'obra</v>
      </c>
      <c r="G24" s="112" t="str">
        <f>Total!G1366</f>
        <v>CSS. VT-08112. F1</v>
      </c>
      <c r="H24" s="112" t="str">
        <f>Total!H1366</f>
        <v>Coordinació de seguretat i salut de les obres del projecte constructiu de millora general. Variant de Sarral. Ctra. C-241d, del pk 7,700 a l'11,100. Fase 1. rotonda a la ctra. TP-2311, pk 10,100. Tram: Sarral.</v>
      </c>
      <c r="I24" s="157">
        <f>Total!I1366</f>
        <v>4600</v>
      </c>
    </row>
    <row r="25" spans="1:9" x14ac:dyDescent="0.2">
      <c r="A25" s="8">
        <v>25</v>
      </c>
      <c r="B25" s="101">
        <f>Total!B1367</f>
        <v>42944</v>
      </c>
      <c r="C25" s="101">
        <f>Total!C1367</f>
        <v>42982</v>
      </c>
      <c r="D25" s="112" t="s">
        <v>1092</v>
      </c>
      <c r="E25" s="101" t="str">
        <f>Total!E1367</f>
        <v>Obra Civil</v>
      </c>
      <c r="F25" s="96" t="str">
        <f>Total!F1367</f>
        <v>Projectes</v>
      </c>
      <c r="G25" s="112" t="str">
        <f>Total!G1367</f>
        <v>PR. AB-01055-C3</v>
      </c>
      <c r="H25" s="112" t="str">
        <f>Total!H1367</f>
        <v>Redacció del projecte constructiu millora local. Talussos. Estabilització de talussos. Ctra. C-62. pk 10,350 al 32,600. Fase. 2. Tram: Olost-Olvan.</v>
      </c>
      <c r="I25" s="157">
        <f>Total!I1367</f>
        <v>19000</v>
      </c>
    </row>
    <row r="26" spans="1:9" x14ac:dyDescent="0.2">
      <c r="A26" s="8">
        <v>26</v>
      </c>
      <c r="B26" s="101">
        <f>Total!B1368</f>
        <v>42944</v>
      </c>
      <c r="C26" s="101">
        <f>Total!C1368</f>
        <v>42982</v>
      </c>
      <c r="D26" s="112" t="s">
        <v>1092</v>
      </c>
      <c r="E26" s="101" t="str">
        <f>Total!E1368</f>
        <v>Obra Civil</v>
      </c>
      <c r="F26" s="96" t="str">
        <f>Total!F1368</f>
        <v>Direccions d'obra</v>
      </c>
      <c r="G26" s="112" t="str">
        <f>Total!G1368</f>
        <v>CSS. ML-08030-A1</v>
      </c>
      <c r="H26" s="112" t="str">
        <f>Total!H1368</f>
        <v>Coordinació de Seguretat i Salut de millora local. Millora de nus. Millora d'accessos a la població d'Alfés. Carretera C-12, pk 128,300 i 129,600. Tram: Alfés.</v>
      </c>
      <c r="I26" s="157">
        <f>Total!I1368</f>
        <v>5600</v>
      </c>
    </row>
    <row r="27" spans="1:9" x14ac:dyDescent="0.2">
      <c r="A27" s="8">
        <v>27</v>
      </c>
      <c r="B27" s="101">
        <f>Total!B1369</f>
        <v>42943</v>
      </c>
      <c r="C27" s="101">
        <f>Total!C1369</f>
        <v>42982</v>
      </c>
      <c r="D27" s="112" t="s">
        <v>1092</v>
      </c>
      <c r="E27" s="101" t="str">
        <f>Total!E1369</f>
        <v>Obra Civil</v>
      </c>
      <c r="F27" s="96" t="str">
        <f>Total!F1369</f>
        <v>Projectes</v>
      </c>
      <c r="G27" s="112" t="str">
        <f>Total!G1369</f>
        <v>PC. MG-15015.3</v>
      </c>
      <c r="H27" s="112" t="str">
        <f>Total!H1369</f>
        <v>Redacció del projecte constructiu de millora local. Seguretat viària. Eixamplament del pont sobre el riu Ser a la ctra. C-66, pk 53,200. Tram: Serinyà.</v>
      </c>
      <c r="I27" s="157">
        <f>Total!I1369</f>
        <v>31300</v>
      </c>
    </row>
    <row r="28" spans="1:9" x14ac:dyDescent="0.2">
      <c r="A28" s="8">
        <v>28</v>
      </c>
      <c r="B28" s="101">
        <f>Total!B1370</f>
        <v>42943</v>
      </c>
      <c r="C28" s="101">
        <f>Total!C1370</f>
        <v>42984</v>
      </c>
      <c r="D28" s="112" t="s">
        <v>1092</v>
      </c>
      <c r="E28" s="101" t="str">
        <f>Total!E1370</f>
        <v>Obra Civil</v>
      </c>
      <c r="F28" s="96" t="str">
        <f>Total!F1370</f>
        <v>Projectes</v>
      </c>
      <c r="G28" s="112" t="str">
        <f>Total!G1370</f>
        <v>PC. TM-02609.20.2</v>
      </c>
      <c r="H28" s="112" t="str">
        <f>Total!H1370</f>
        <v>Redacció del projecte de canvi de senyalèctica i de plafons de senyalització per adaptar la xarxa a la posada en servei de la Línia 10 Sud del metro de Barcelona.</v>
      </c>
      <c r="I28" s="157">
        <f>Total!I1370</f>
        <v>28000</v>
      </c>
    </row>
    <row r="29" spans="1:9" x14ac:dyDescent="0.2">
      <c r="I29" s="126">
        <f>SUM(I2:I28)</f>
        <v>1074205.48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42"/>
  <sheetViews>
    <sheetView topLeftCell="A10" workbookViewId="0">
      <selection activeCell="I42" sqref="I42"/>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171">
        <v>1</v>
      </c>
      <c r="B2" s="101">
        <f>Total!B1303</f>
        <v>42887</v>
      </c>
      <c r="C2" s="101">
        <f>Total!C1303</f>
        <v>42907</v>
      </c>
      <c r="D2" s="112" t="s">
        <v>1092</v>
      </c>
      <c r="E2" s="101" t="str">
        <f>Total!E1303</f>
        <v>Edificació</v>
      </c>
      <c r="F2" s="96" t="str">
        <f>Total!F1303</f>
        <v>Direccions d'Execució</v>
      </c>
      <c r="G2" s="112" t="str">
        <f>Total!G1303</f>
        <v>CSS. INA-11213.1</v>
      </c>
      <c r="H2" s="112" t="str">
        <f>Total!H1303</f>
        <v>Coordinació de seguretat i salut de les obres d'ampliació, adequació i reconversió de l'Escola Montpedrós a Institut 4/2 L (1a fase) a Santa Coloma de Cervelló.</v>
      </c>
      <c r="I2" s="157">
        <f>Total!I1303</f>
        <v>10000</v>
      </c>
    </row>
    <row r="3" spans="1:9" x14ac:dyDescent="0.2">
      <c r="A3" s="171">
        <v>2</v>
      </c>
      <c r="B3" s="101">
        <f>Total!B1304</f>
        <v>42892</v>
      </c>
      <c r="C3" s="101">
        <f>Total!C1304</f>
        <v>42912</v>
      </c>
      <c r="D3" s="112" t="s">
        <v>1092</v>
      </c>
      <c r="E3" s="101" t="str">
        <f>Total!E1304</f>
        <v>Obra Civil</v>
      </c>
      <c r="F3" s="96" t="str">
        <f>Total!F1304</f>
        <v>Direccions d'Obra</v>
      </c>
      <c r="G3" s="112" t="str">
        <f>Total!G1304</f>
        <v>DO. MB-14052</v>
      </c>
      <c r="H3" s="112" t="str">
        <f>Total!H1304</f>
        <v>Direcció de les obres de millora local. Ponjts i estructures. Ampliació i condicionament del marge dret del viaducte de la C-31 sobre el riu Llobregat., del pk 195,100 al 198,285. tram: El Prat de Llobregat-l'Hospitalet de LL.</v>
      </c>
      <c r="I3" s="157">
        <f>Total!I1304</f>
        <v>9744.44</v>
      </c>
    </row>
    <row r="4" spans="1:9" x14ac:dyDescent="0.2">
      <c r="A4" s="171">
        <v>3</v>
      </c>
      <c r="B4" s="101">
        <f>Total!B1305</f>
        <v>42888</v>
      </c>
      <c r="C4" s="101">
        <f>Total!C1305</f>
        <v>42905</v>
      </c>
      <c r="D4" s="112" t="s">
        <v>1092</v>
      </c>
      <c r="E4" s="101" t="str">
        <f>Total!E1305</f>
        <v>Obra Civil</v>
      </c>
      <c r="F4" s="96" t="str">
        <f>Total!F1305</f>
        <v>Control de Qualitat</v>
      </c>
      <c r="G4" s="112" t="str">
        <f>Total!G1305</f>
        <v>CQ. UPA-15002</v>
      </c>
      <c r="H4" s="112" t="str">
        <f>Total!H1305</f>
        <v>Control qualitat obres projecte constructiu millora ambiental. Millores de restauració de la connectivitat per l'herpetofauna de l'Estany de la Cardonera i de l'Estany d'en Pou amb la ctra. GI-602, pk 5,500 al pk 6,000 i del pk 9,500 al 10,000.</v>
      </c>
      <c r="I4" s="157">
        <f>Total!I1305</f>
        <v>1706.81</v>
      </c>
    </row>
    <row r="5" spans="1:9" x14ac:dyDescent="0.2">
      <c r="A5" s="171">
        <v>4</v>
      </c>
      <c r="B5" s="101">
        <f>Total!B1306</f>
        <v>42888</v>
      </c>
      <c r="C5" s="101">
        <f>Total!C1306</f>
        <v>42928</v>
      </c>
      <c r="D5" s="112" t="s">
        <v>1092</v>
      </c>
      <c r="E5" s="101" t="str">
        <f>Total!E1306</f>
        <v>Edificació</v>
      </c>
      <c r="F5" s="96" t="str">
        <f>Total!F1306</f>
        <v>Control de Qualitat</v>
      </c>
      <c r="G5" s="112" t="str">
        <f>Total!G1306</f>
        <v>CQ. HHB-16201</v>
      </c>
      <c r="H5" s="112" t="str">
        <f>Total!H1306</f>
        <v>Control de qualitat de les obres RAM d'actuació a l'anell d'alta tensió per cobrir les necessitats de l'àrea de laboratoris, microbiologia i edificis de suport de l'Hospital Vall d'Hebron, de Barcelona.</v>
      </c>
      <c r="I5" s="157">
        <f>Total!I1306</f>
        <v>11967.24</v>
      </c>
    </row>
    <row r="6" spans="1:9" x14ac:dyDescent="0.2">
      <c r="A6" s="171">
        <v>5</v>
      </c>
      <c r="B6" s="101">
        <f>Total!B1307</f>
        <v>42888</v>
      </c>
      <c r="C6" s="101">
        <f>Total!C1307</f>
        <v>42905</v>
      </c>
      <c r="D6" s="112" t="s">
        <v>1092</v>
      </c>
      <c r="E6" s="101" t="str">
        <f>Total!E1307</f>
        <v>Edificació</v>
      </c>
      <c r="F6" s="96" t="str">
        <f>Total!F1307</f>
        <v>Control de Qualitat</v>
      </c>
      <c r="G6" s="112" t="str">
        <f>Total!G1307</f>
        <v>CQ. S2-PNA-02455</v>
      </c>
      <c r="H6" s="112" t="str">
        <f>Total!H1307</f>
        <v>Control de qualitat de les actaucions per al condicionament de la coberta i els paraments exteriors del Centre d'educació infantil i primària Lluís Vives de castelldefels.</v>
      </c>
      <c r="I6" s="157">
        <f>Total!I1307</f>
        <v>1498.42</v>
      </c>
    </row>
    <row r="7" spans="1:9" x14ac:dyDescent="0.2">
      <c r="A7" s="171">
        <v>6</v>
      </c>
      <c r="B7" s="101">
        <f>Total!B1308</f>
        <v>42893</v>
      </c>
      <c r="C7" s="101">
        <f>Total!C1308</f>
        <v>42914</v>
      </c>
      <c r="D7" s="112" t="s">
        <v>1092</v>
      </c>
      <c r="E7" s="101" t="str">
        <f>Total!E1308</f>
        <v>Edificació</v>
      </c>
      <c r="F7" s="96" t="str">
        <f>Total!F1308</f>
        <v>Control de Qualitat</v>
      </c>
      <c r="G7" s="112" t="str">
        <f>Total!G1308</f>
        <v>CQ. S3-PNT-02551(VO1)</v>
      </c>
      <c r="H7" s="112" t="str">
        <f>Total!H1308</f>
        <v>Control de qualitat per a la resolució de les deficiències d'obra del CEIP Port-Rodó de Tortosa.</v>
      </c>
      <c r="I7" s="157">
        <f>Total!I1308</f>
        <v>3968.04</v>
      </c>
    </row>
    <row r="8" spans="1:9" x14ac:dyDescent="0.2">
      <c r="A8" s="171">
        <v>7</v>
      </c>
      <c r="B8" s="101">
        <f>Total!B1309</f>
        <v>42894</v>
      </c>
      <c r="C8" s="101">
        <f>Total!C1309</f>
        <v>42912</v>
      </c>
      <c r="D8" s="112" t="s">
        <v>1092</v>
      </c>
      <c r="E8" s="101" t="str">
        <f>Total!E1309</f>
        <v>Edificació</v>
      </c>
      <c r="F8" s="96" t="str">
        <f>Total!F1309</f>
        <v>Control de Qualitat</v>
      </c>
      <c r="G8" s="112" t="str">
        <f>Total!G1309</f>
        <v>CQ. MEB-16L01</v>
      </c>
      <c r="H8" s="112" t="str">
        <f>Total!H1309</f>
        <v>Control de qualitat de les obres de les actuacions pel condicionament de la coberta del CEIP El Garigot de Castelldefels; per al condicionament del drenatge de la pista esportiva del CEIP Miquel Martí i Pol de Sant Feliu de Llobregat i ....</v>
      </c>
      <c r="I8" s="157">
        <f>Total!I1309</f>
        <v>5692.64</v>
      </c>
    </row>
    <row r="9" spans="1:9" x14ac:dyDescent="0.2">
      <c r="A9" s="171">
        <v>8</v>
      </c>
      <c r="B9" s="101">
        <f>Total!B1310</f>
        <v>42894</v>
      </c>
      <c r="C9" s="101">
        <f>Total!C1310</f>
        <v>42912</v>
      </c>
      <c r="D9" s="112" t="s">
        <v>1092</v>
      </c>
      <c r="E9" s="101" t="str">
        <f>Total!E1310</f>
        <v>Edificació</v>
      </c>
      <c r="F9" s="96" t="str">
        <f>Total!F1310</f>
        <v>Control de Qualitat</v>
      </c>
      <c r="G9" s="112" t="str">
        <f>Total!G1310</f>
        <v>CQ. CAP-16205.1</v>
      </c>
      <c r="H9" s="112" t="str">
        <f>Total!H1310</f>
        <v>Control de qualitat de les obres RAM del Centre d'Atenció Primària Roger de Flor, de Barcelona.</v>
      </c>
      <c r="I9" s="157">
        <f>Total!I1310</f>
        <v>1797.28</v>
      </c>
    </row>
    <row r="10" spans="1:9" x14ac:dyDescent="0.2">
      <c r="A10" s="171">
        <v>9</v>
      </c>
      <c r="B10" s="101">
        <f>Total!B1311</f>
        <v>42895</v>
      </c>
      <c r="C10" s="101">
        <f>Total!C1311</f>
        <v>42919</v>
      </c>
      <c r="D10" s="112" t="s">
        <v>1092</v>
      </c>
      <c r="E10" s="101" t="str">
        <f>Total!E1311</f>
        <v>Obra Civil</v>
      </c>
      <c r="F10" s="96" t="str">
        <f>Total!F1311</f>
        <v>Control de Qualitat</v>
      </c>
      <c r="G10" s="112" t="str">
        <f>Total!G1311</f>
        <v>CQ. NL-15007</v>
      </c>
      <c r="H10" s="112" t="str">
        <f>Total!H1311</f>
        <v>Control qualitat obres del projecte constructiu de millora general. Nova ctra. Prolongació, eixamplament i millora del ferm de la ctra. L-311b, des de la rotonda de l'enllaç de l'A-2 (pk 520,000), fins al pk 0,950 de ka ctra, L-311b. Tram: Cervera.</v>
      </c>
      <c r="I10" s="157">
        <f>Total!I1311</f>
        <v>15249.53</v>
      </c>
    </row>
    <row r="11" spans="1:9" x14ac:dyDescent="0.2">
      <c r="A11" s="171">
        <v>10</v>
      </c>
      <c r="B11" s="101">
        <f>Total!B1312</f>
        <v>42895</v>
      </c>
      <c r="C11" s="101">
        <f>Total!C1312</f>
        <v>42912</v>
      </c>
      <c r="D11" s="112" t="s">
        <v>1092</v>
      </c>
      <c r="E11" s="101" t="str">
        <f>Total!E1312</f>
        <v>Edificació</v>
      </c>
      <c r="F11" s="96" t="str">
        <f>Total!F1312</f>
        <v>Control de Qualitat</v>
      </c>
      <c r="G11" s="112" t="str">
        <f>Total!G1312</f>
        <v>CQ. CAP-16205.2</v>
      </c>
      <c r="H11" s="112" t="str">
        <f>Total!H1312</f>
        <v>Control de qualitat de les obres RAM del Centre d'Atenció Primària Can Gibert del Pla, de Girona.</v>
      </c>
      <c r="I11" s="157">
        <f>Total!I1312</f>
        <v>566.70000000000005</v>
      </c>
    </row>
    <row r="12" spans="1:9" x14ac:dyDescent="0.2">
      <c r="A12" s="171">
        <v>11</v>
      </c>
      <c r="B12" s="101">
        <f>Total!B1313</f>
        <v>42895</v>
      </c>
      <c r="C12" s="101">
        <f>Total!C1313</f>
        <v>42928</v>
      </c>
      <c r="D12" s="112" t="s">
        <v>1092</v>
      </c>
      <c r="E12" s="101" t="str">
        <f>Total!E1313</f>
        <v>Edificació</v>
      </c>
      <c r="F12" s="96" t="str">
        <f>Total!F1313</f>
        <v>Control de Qualitat</v>
      </c>
      <c r="G12" s="112" t="str">
        <f>Total!G1313</f>
        <v>CQ. CAP-09398</v>
      </c>
      <c r="H12" s="112" t="str">
        <f>Total!H1313</f>
        <v>Control de Qualitat de les obres per al Nou Centre d'Atenció Primària Can Roca, de Terrassa.</v>
      </c>
      <c r="I12" s="157">
        <f>Total!I1313</f>
        <v>46413.42</v>
      </c>
    </row>
    <row r="13" spans="1:9" x14ac:dyDescent="0.2">
      <c r="A13" s="171">
        <v>12</v>
      </c>
      <c r="B13" s="101">
        <f>Total!B1314</f>
        <v>42895</v>
      </c>
      <c r="C13" s="101">
        <f>Total!C1314</f>
        <v>42912</v>
      </c>
      <c r="D13" s="112" t="s">
        <v>1092</v>
      </c>
      <c r="E13" s="101" t="str">
        <f>Total!E1314</f>
        <v>Edificació</v>
      </c>
      <c r="F13" s="96" t="str">
        <f>Total!F1314</f>
        <v>Control de Qualitat</v>
      </c>
      <c r="G13" s="112" t="str">
        <f>Total!G1314</f>
        <v>CQ. CAP-16235</v>
      </c>
      <c r="H13" s="112" t="str">
        <f>Total!H1314</f>
        <v>Control de qualitat de les obres RAM del Centre d'Atenció Primària Bages, de Manresa.</v>
      </c>
      <c r="I13" s="157">
        <f>Total!I1314</f>
        <v>1845.38</v>
      </c>
    </row>
    <row r="14" spans="1:9" x14ac:dyDescent="0.2">
      <c r="A14" s="171">
        <v>13</v>
      </c>
      <c r="B14" s="101">
        <f>Total!B1315</f>
        <v>42895</v>
      </c>
      <c r="C14" s="101">
        <f>Total!C1315</f>
        <v>42919</v>
      </c>
      <c r="D14" s="112" t="s">
        <v>1092</v>
      </c>
      <c r="E14" s="101" t="str">
        <f>Total!E1315</f>
        <v>Edificació</v>
      </c>
      <c r="F14" s="96" t="str">
        <f>Total!F1315</f>
        <v>Control de Qualitat</v>
      </c>
      <c r="G14" s="112" t="str">
        <f>Total!G1315</f>
        <v>CQ. S2-BSV-06427</v>
      </c>
      <c r="H14" s="112" t="str">
        <f>Total!H1315</f>
        <v>Control de qualitat de les actuacions per a la resolució de les incidències detectades per obtenir la llicència ambiental a la residència i centre de dia AC Sandino. Barcelona.</v>
      </c>
      <c r="I14" s="157">
        <f>Total!I1315</f>
        <v>2221.08</v>
      </c>
    </row>
    <row r="15" spans="1:9" x14ac:dyDescent="0.2">
      <c r="A15" s="171">
        <v>14</v>
      </c>
      <c r="B15" s="101">
        <f>Total!B1316</f>
        <v>42900</v>
      </c>
      <c r="C15" s="101">
        <f>Total!C1316</f>
        <v>42919</v>
      </c>
      <c r="D15" s="112" t="s">
        <v>1092</v>
      </c>
      <c r="E15" s="101" t="str">
        <f>Total!E1316</f>
        <v>Edificació</v>
      </c>
      <c r="F15" s="96" t="str">
        <f>Total!F1316</f>
        <v>Projectes i Direccions d'Obra</v>
      </c>
      <c r="G15" s="112" t="str">
        <f>Total!G1316</f>
        <v>PE+DO.CAP-17237</v>
      </c>
      <c r="H15" s="112" t="str">
        <f>Total!H1316</f>
        <v>Redacció del projecte bàsic i executiu i la posterior direcció de les obres de la construcció del Centre d'Atenció Primària de Riells i Viabrea.</v>
      </c>
      <c r="I15" s="157">
        <f>Total!I1316</f>
        <v>104536</v>
      </c>
    </row>
    <row r="16" spans="1:9" x14ac:dyDescent="0.2">
      <c r="A16" s="171">
        <v>15</v>
      </c>
      <c r="B16" s="101">
        <f>Total!B1317</f>
        <v>42900</v>
      </c>
      <c r="C16" s="101">
        <f>Total!C1317</f>
        <v>42919</v>
      </c>
      <c r="D16" s="112" t="s">
        <v>1092</v>
      </c>
      <c r="E16" s="101" t="str">
        <f>Total!E1317</f>
        <v>Edificació</v>
      </c>
      <c r="F16" s="96" t="str">
        <f>Total!F1317</f>
        <v>Control de Qualitat</v>
      </c>
      <c r="G16" s="112" t="str">
        <f>Total!G1317</f>
        <v>CQ. CAP-16210</v>
      </c>
      <c r="H16" s="112" t="str">
        <f>Total!H1317</f>
        <v>Control de qualiat de les obres RAM del Centre d'Atenció Primària Sant Miquel, de Granollers.</v>
      </c>
      <c r="I16" s="157">
        <f>Total!I1317</f>
        <v>1136.79</v>
      </c>
    </row>
    <row r="17" spans="1:9" x14ac:dyDescent="0.2">
      <c r="A17" s="171">
        <v>16</v>
      </c>
      <c r="B17" s="101">
        <f>Total!B1318</f>
        <v>42900</v>
      </c>
      <c r="C17" s="101">
        <f>Total!C1318</f>
        <v>42919</v>
      </c>
      <c r="D17" s="112" t="s">
        <v>1092</v>
      </c>
      <c r="E17" s="101" t="str">
        <f>Total!E1318</f>
        <v>Edificació</v>
      </c>
      <c r="F17" s="96" t="str">
        <f>Total!F1318</f>
        <v>Control de Qualitat</v>
      </c>
      <c r="G17" s="112" t="str">
        <f>Total!G1318</f>
        <v>CQ. BSV-16238</v>
      </c>
      <c r="H17" s="112" t="str">
        <f>Total!H1318</f>
        <v>Control de qualitat de les obres RAM de condicionament i millora del Casal de Gent Gran de Sant Ildefons a Cornellà de Llobregat.</v>
      </c>
      <c r="I17" s="157">
        <f>Total!I1318</f>
        <v>1595.41</v>
      </c>
    </row>
    <row r="18" spans="1:9" x14ac:dyDescent="0.2">
      <c r="A18" s="171">
        <v>17</v>
      </c>
      <c r="B18" s="101">
        <f>Total!B1319</f>
        <v>42900</v>
      </c>
      <c r="C18" s="101">
        <f>Total!C1319</f>
        <v>42919</v>
      </c>
      <c r="D18" s="112" t="s">
        <v>1092</v>
      </c>
      <c r="E18" s="101" t="str">
        <f>Total!E1319</f>
        <v>Obra Civil</v>
      </c>
      <c r="F18" s="96" t="str">
        <f>Total!F1319</f>
        <v>Control de Qualitat</v>
      </c>
      <c r="G18" s="112" t="str">
        <f>Total!G1319</f>
        <v>CQ. MB-14052</v>
      </c>
      <c r="H18" s="112" t="str">
        <f>Total!H1319</f>
        <v>Control de qualitat de les obres del projecte constructiu de millora local. Ponts i estructures. Ampliació i condicionament del marge dret del viaducte de la C-31 sobre el riu Llobregat, del pk 195,100 al 195,285. Tram: el Prat de Llobregat-Hospitale</v>
      </c>
      <c r="I18" s="157">
        <f>Total!I1319</f>
        <v>4513.74</v>
      </c>
    </row>
    <row r="19" spans="1:9" x14ac:dyDescent="0.2">
      <c r="A19" s="171">
        <v>18</v>
      </c>
      <c r="B19" s="101">
        <f>Total!B1320</f>
        <v>42901</v>
      </c>
      <c r="C19" s="101">
        <f>Total!C1320</f>
        <v>42919</v>
      </c>
      <c r="D19" s="112" t="s">
        <v>1092</v>
      </c>
      <c r="E19" s="101" t="str">
        <f>Total!E1320</f>
        <v>Obra Civil</v>
      </c>
      <c r="F19" s="96" t="str">
        <f>Total!F1320</f>
        <v>Direccions d'Obra</v>
      </c>
      <c r="G19" s="112" t="str">
        <f>Total!G1320</f>
        <v>DO. MB-14040</v>
      </c>
      <c r="H19" s="112" t="str">
        <f>Total!H1320</f>
        <v>Direcció de les obres del projecte constructiu de millora local. Mesures correctores. Reparació del tram de la C-17 entre el pk 43,050 i pk 43,550. Tram: Centelles-Seva.</v>
      </c>
      <c r="I19" s="157">
        <f>Total!I1320</f>
        <v>37444.44</v>
      </c>
    </row>
    <row r="20" spans="1:9" x14ac:dyDescent="0.2">
      <c r="A20" s="171">
        <v>19</v>
      </c>
      <c r="B20" s="101">
        <f>Total!B1321</f>
        <v>42901</v>
      </c>
      <c r="C20" s="101">
        <f>Total!C1321</f>
        <v>42933</v>
      </c>
      <c r="D20" s="112" t="s">
        <v>1092</v>
      </c>
      <c r="E20" s="101" t="str">
        <f>Total!E1321</f>
        <v>Obra Civil</v>
      </c>
      <c r="F20" s="96" t="str">
        <f>Total!F1321</f>
        <v>Direccions d'Obra</v>
      </c>
      <c r="G20" s="112" t="str">
        <f>Total!G1321</f>
        <v>CSS. UPA-15002</v>
      </c>
      <c r="H20" s="112" t="str">
        <f>Total!H1321</f>
        <v>Coordinació s.s.  obres projecte constructiu millora ambiental. Millores de restauració de la connectivitat per l'herpetofauna de l'Estany de la Cardonera i de l'Estany d'en Pou amb la ctra. GI-602, pk 5,500 al pk 6,000 i del pk 9,500 al 10,000.</v>
      </c>
      <c r="I20" s="157">
        <f>Total!I1321</f>
        <v>1400</v>
      </c>
    </row>
    <row r="21" spans="1:9" x14ac:dyDescent="0.2">
      <c r="A21" s="171">
        <v>20</v>
      </c>
      <c r="B21" s="101">
        <f>Total!B1322</f>
        <v>42901</v>
      </c>
      <c r="C21" s="101">
        <f>Total!C1322</f>
        <v>42919</v>
      </c>
      <c r="D21" s="112" t="s">
        <v>1092</v>
      </c>
      <c r="E21" s="101" t="str">
        <f>Total!E1322</f>
        <v>Obra Civil</v>
      </c>
      <c r="F21" s="96" t="str">
        <f>Total!F1322</f>
        <v>Direccions d'Obra</v>
      </c>
      <c r="G21" s="112" t="str">
        <f>Total!G1322</f>
        <v>DO. UPA-15002</v>
      </c>
      <c r="H21" s="112" t="str">
        <f>Total!H1322</f>
        <v>Direcció de les obres projecte constructiu millora ambiental. Millores de restauració de la connectivitat per l'herpetofauna de l'Estany de la Cardonera i de l'Estany d'en Pou amb la ctra. GI-602, pk 5,500 al pk 6,000 i del pk 9,500 al 10,000.</v>
      </c>
      <c r="I21" s="157">
        <f>Total!I1322</f>
        <v>5866.67</v>
      </c>
    </row>
    <row r="22" spans="1:9" x14ac:dyDescent="0.2">
      <c r="A22" s="171">
        <v>21</v>
      </c>
      <c r="B22" s="101">
        <f>Total!B1323</f>
        <v>42902</v>
      </c>
      <c r="C22" s="101">
        <f>Total!C1323</f>
        <v>42919</v>
      </c>
      <c r="D22" s="112" t="s">
        <v>1092</v>
      </c>
      <c r="E22" s="101" t="str">
        <f>Total!E1323</f>
        <v>Edificació</v>
      </c>
      <c r="F22" s="96" t="str">
        <f>Total!F1323</f>
        <v>Projectes</v>
      </c>
      <c r="G22" s="112" t="str">
        <f>Total!G1323</f>
        <v>PM. IAG-09265-M1</v>
      </c>
      <c r="H22" s="112" t="str">
        <f>Total!H1323</f>
        <v>Redacció del projecte modificat núm. 1  de les obres de reforma i ampliació d'institut a 3/2 línies mes cicles formatius a l'Institut Montsortiu d'Arbúcies.</v>
      </c>
      <c r="I22" s="157">
        <f>Total!I1323</f>
        <v>15000</v>
      </c>
    </row>
    <row r="23" spans="1:9" x14ac:dyDescent="0.2">
      <c r="A23" s="171">
        <v>22</v>
      </c>
      <c r="B23" s="101">
        <f>Total!B1324</f>
        <v>42902</v>
      </c>
      <c r="C23" s="101">
        <f>Total!C1324</f>
        <v>42919</v>
      </c>
      <c r="D23" s="112" t="s">
        <v>1092</v>
      </c>
      <c r="E23" s="101" t="str">
        <f>Total!E1324</f>
        <v>Obra Civil</v>
      </c>
      <c r="F23" s="96" t="str">
        <f>Total!F1324</f>
        <v>Control de Qualitat</v>
      </c>
      <c r="G23" s="112" t="str">
        <f>Total!G1324</f>
        <v>CQ. MB-14040</v>
      </c>
      <c r="H23" s="112" t="str">
        <f>Total!H1324</f>
        <v>Control de qualitat de les obres del projecte constructiu de millora local. Mesures correctores. Reparació del tram de la C-17 entre el pk 43,050 i pk 43,550. Tram: Centelles-Seva.</v>
      </c>
      <c r="I23" s="157">
        <f>Total!I1324</f>
        <v>11368.03</v>
      </c>
    </row>
    <row r="24" spans="1:9" x14ac:dyDescent="0.2">
      <c r="A24" s="171">
        <v>23</v>
      </c>
      <c r="B24" s="101">
        <f>Total!B1325</f>
        <v>42902</v>
      </c>
      <c r="C24" s="101">
        <f>Total!C1325</f>
        <v>42919</v>
      </c>
      <c r="D24" s="112" t="s">
        <v>1092</v>
      </c>
      <c r="E24" s="101" t="str">
        <f>Total!E1325</f>
        <v>Edificació</v>
      </c>
      <c r="F24" s="96" t="str">
        <f>Total!F1325</f>
        <v>Projectes i Direccions d'Obra</v>
      </c>
      <c r="G24" s="112" t="str">
        <f>Total!G1325</f>
        <v>PE+DO. CAP-17238</v>
      </c>
      <c r="H24" s="112" t="str">
        <f>Total!H1325</f>
        <v>Redacció del projecte bàsic i d'execució i la posterior direcció de les obres de construcció del CAP de Sant Feliu de Codines.</v>
      </c>
      <c r="I24" s="157">
        <f>Total!I1325</f>
        <v>112981</v>
      </c>
    </row>
    <row r="25" spans="1:9" x14ac:dyDescent="0.2">
      <c r="A25" s="171">
        <v>24</v>
      </c>
      <c r="B25" s="101">
        <f>Total!B1326</f>
        <v>42902</v>
      </c>
      <c r="C25" s="101">
        <f>Total!C1326</f>
        <v>42919</v>
      </c>
      <c r="D25" s="112" t="s">
        <v>1092</v>
      </c>
      <c r="E25" s="101" t="str">
        <f>Total!E1326</f>
        <v>Edificació</v>
      </c>
      <c r="F25" s="96" t="str">
        <f>Total!F1326</f>
        <v>Projectes i Direccions d'Obra</v>
      </c>
      <c r="G25" s="112" t="str">
        <f>Total!G1326</f>
        <v>PE+DO. HHB-16282</v>
      </c>
      <c r="H25" s="112" t="str">
        <f>Total!H1326</f>
        <v>Redacció del projecte bàsic i executiu i la posterior direcció de l'obra de la implantació d'heliport a la coberta de l'Àrea de Traumatologia de l'Hospital Vall d'Hebron, de Barcelona.</v>
      </c>
      <c r="I25" s="157">
        <f>Total!I1326</f>
        <v>198087</v>
      </c>
    </row>
    <row r="26" spans="1:9" x14ac:dyDescent="0.2">
      <c r="A26" s="171">
        <v>25</v>
      </c>
      <c r="B26" s="101">
        <f>Total!B1327</f>
        <v>42902</v>
      </c>
      <c r="C26" s="101">
        <f>Total!C1327</f>
        <v>42933</v>
      </c>
      <c r="D26" s="112" t="s">
        <v>1092</v>
      </c>
      <c r="E26" s="101" t="str">
        <f>Total!E1327</f>
        <v>Obra Civil</v>
      </c>
      <c r="F26" s="96" t="str">
        <f>Total!F1327</f>
        <v>Direccions d'Obra</v>
      </c>
      <c r="G26" s="112" t="str">
        <f>Total!G1327</f>
        <v>CSS. MB-14040</v>
      </c>
      <c r="H26" s="112" t="str">
        <f>Total!H1327</f>
        <v>Coordinació de seguretat i salut de les obres del projecte constructiu de millora local. Mesures correctores. Reparació del tram de la C-17 entre el pk 43,050 i pk 43,550. Tram: Centelles-Seva.</v>
      </c>
      <c r="I26" s="157">
        <f>Total!I1327</f>
        <v>6400</v>
      </c>
    </row>
    <row r="27" spans="1:9" x14ac:dyDescent="0.2">
      <c r="A27" s="171">
        <v>26</v>
      </c>
      <c r="B27" s="101">
        <f>Total!B1328</f>
        <v>42908</v>
      </c>
      <c r="C27" s="101">
        <f>Total!C1328</f>
        <v>42928</v>
      </c>
      <c r="D27" s="112" t="s">
        <v>1092</v>
      </c>
      <c r="E27" s="101" t="str">
        <f>Total!E1328</f>
        <v>Edificació</v>
      </c>
      <c r="F27" s="96" t="str">
        <f>Total!F1328</f>
        <v>Projectes i Direccions d'Obra</v>
      </c>
      <c r="G27" s="112" t="str">
        <f>Total!G1328</f>
        <v>PE+DO. XME-17572</v>
      </c>
      <c r="H27" s="112" t="str">
        <f>Total!H1328</f>
        <v>Redacció del projecte bàsic i d'execució i la posterior direcció d'obra de les obres RAM 2017 als Serveis Territorials a les Terres de l'Ebre I. Reforç i consolidació estructural a l'Escola Teresa Subirats i Mestre de Mas de Barberans.</v>
      </c>
      <c r="I27" s="157">
        <f>Total!I1328</f>
        <v>33271.25</v>
      </c>
    </row>
    <row r="28" spans="1:9" x14ac:dyDescent="0.2">
      <c r="A28" s="171">
        <v>27</v>
      </c>
      <c r="B28" s="101">
        <f>Total!B1329</f>
        <v>42908</v>
      </c>
      <c r="C28" s="101">
        <f>Total!C1329</f>
        <v>42928</v>
      </c>
      <c r="D28" s="112" t="s">
        <v>1092</v>
      </c>
      <c r="E28" s="101" t="str">
        <f>Total!E1329</f>
        <v>Edificació</v>
      </c>
      <c r="F28" s="96" t="str">
        <f>Total!F1329</f>
        <v>Projectes i Direccions d'Obra</v>
      </c>
      <c r="G28" s="112" t="str">
        <f>Total!G1329</f>
        <v>PE+DO. CGM-17251</v>
      </c>
      <c r="H28" s="112" t="str">
        <f>Total!H1329</f>
        <v>Redacció projecte bàsic i exec. i la posterior dir. obres RAM renovació d'elements bàsics d'instal·lacions esgotats (calderes, incendis, SAI's) en diverses comissaries i renovació de màquines de clima i millores funcionals a Bcn-Comissaria Les Corts.</v>
      </c>
      <c r="I28" s="157">
        <f>Total!I1329</f>
        <v>63107</v>
      </c>
    </row>
    <row r="29" spans="1:9" x14ac:dyDescent="0.2">
      <c r="A29" s="171">
        <v>28</v>
      </c>
      <c r="B29" s="101">
        <f>Total!B1330</f>
        <v>42908</v>
      </c>
      <c r="C29" s="101">
        <f>Total!C1330</f>
        <v>42928</v>
      </c>
      <c r="D29" s="112" t="s">
        <v>1092</v>
      </c>
      <c r="E29" s="101" t="str">
        <f>Total!E1330</f>
        <v>Edificació</v>
      </c>
      <c r="F29" s="96" t="str">
        <f>Total!F1330</f>
        <v>Direccions d'Execució</v>
      </c>
      <c r="G29" s="112" t="str">
        <f>Total!G1330</f>
        <v>DE. CLT-12915</v>
      </c>
      <c r="H29" s="112" t="str">
        <f>Total!H1330</f>
        <v>Direcció d'execució de les obra del nou Consultori Local Els Pallaresos.</v>
      </c>
      <c r="I29" s="157">
        <f>Total!I1330</f>
        <v>29752.06</v>
      </c>
    </row>
    <row r="30" spans="1:9" x14ac:dyDescent="0.2">
      <c r="A30" s="171">
        <v>29</v>
      </c>
      <c r="B30" s="101">
        <f>Total!B1331</f>
        <v>42908</v>
      </c>
      <c r="C30" s="101">
        <f>Total!C1331</f>
        <v>42926</v>
      </c>
      <c r="D30" s="112" t="s">
        <v>1092</v>
      </c>
      <c r="E30" s="101" t="str">
        <f>Total!E1331</f>
        <v>Obra Civil</v>
      </c>
      <c r="F30" s="96" t="str">
        <f>Total!F1331</f>
        <v>Control de Qualitat</v>
      </c>
      <c r="G30" s="112" t="str">
        <f>Total!G1331</f>
        <v>CQ. VT-08112. F1</v>
      </c>
      <c r="H30" s="112" t="str">
        <f>Total!H1331</f>
        <v>Control de qualitat de les obres del projecte constructiu de millora general. Variant de Sarral. Ctra. C-241d, del pk 7,700 a l'11,100. Fase 1. rotonda a la ctra. TP-2311, pk 10,100. Tram: Sarral.</v>
      </c>
      <c r="I30" s="157">
        <f>Total!I1331</f>
        <v>5990.76</v>
      </c>
    </row>
    <row r="31" spans="1:9" x14ac:dyDescent="0.2">
      <c r="A31" s="171">
        <v>30</v>
      </c>
      <c r="B31" s="101">
        <f>Total!B1332</f>
        <v>42907</v>
      </c>
      <c r="C31" s="101">
        <f>Total!C1332</f>
        <v>42982</v>
      </c>
      <c r="D31" s="112" t="s">
        <v>1092</v>
      </c>
      <c r="E31" s="101" t="str">
        <f>Total!E1332</f>
        <v>Edificació</v>
      </c>
      <c r="F31" s="96" t="str">
        <f>Total!F1332</f>
        <v>Projectes i Direccions d'Obra</v>
      </c>
      <c r="G31" s="112" t="str">
        <f>Total!G1332</f>
        <v>PE+DO. CAP-1729</v>
      </c>
      <c r="H31" s="112" t="str">
        <f>Total!H1332</f>
        <v>Redacció del projecte bàsic i executiu i la posterior direcció d'obra de la construcció del Centre d'Atenció Primària Gorg de Badalona.</v>
      </c>
      <c r="I31" s="157">
        <f>Total!I1332</f>
        <v>223672</v>
      </c>
    </row>
    <row r="32" spans="1:9" x14ac:dyDescent="0.2">
      <c r="A32" s="171">
        <v>31</v>
      </c>
      <c r="B32" s="101">
        <f>Total!B1333</f>
        <v>42909</v>
      </c>
      <c r="C32" s="101">
        <f>Total!C1333</f>
        <v>42926</v>
      </c>
      <c r="D32" s="112" t="s">
        <v>1092</v>
      </c>
      <c r="E32" s="101" t="str">
        <f>Total!E1333</f>
        <v>Obra Civil</v>
      </c>
      <c r="F32" s="96" t="str">
        <f>Total!F1333</f>
        <v>Direccions d'Obra</v>
      </c>
      <c r="G32" s="112" t="str">
        <f>Total!G1333</f>
        <v>DO. VT-08112. F1</v>
      </c>
      <c r="H32" s="112" t="str">
        <f>Total!H1333</f>
        <v>Direcció de les obres del projecte constructiu de millora general. Variant de Sarral. Ctra. C-241d, del pk 7,700 a l'11,100. Fase 1. rotonda a la ctra. TP-2311, pk 10,100. Tram: Sarral.</v>
      </c>
      <c r="I32" s="157">
        <f>Total!I1333</f>
        <v>18322.22</v>
      </c>
    </row>
    <row r="33" spans="1:9" x14ac:dyDescent="0.2">
      <c r="A33" s="171">
        <v>32</v>
      </c>
      <c r="B33" s="101">
        <f>Total!B1334</f>
        <v>42912</v>
      </c>
      <c r="C33" s="101">
        <f>Total!C1334</f>
        <v>42928</v>
      </c>
      <c r="D33" s="112" t="s">
        <v>1092</v>
      </c>
      <c r="E33" s="101" t="str">
        <f>Total!E1334</f>
        <v>Obra Civil</v>
      </c>
      <c r="F33" s="96" t="str">
        <f>Total!F1334</f>
        <v>Direccions d'Obra</v>
      </c>
      <c r="G33" s="112" t="str">
        <f>Total!G1334</f>
        <v>CSS. ML-15067</v>
      </c>
      <c r="H33" s="112" t="str">
        <f>Total!H1334</f>
        <v>Coordinació de seg. i salut de les obres del projecte de millora local. Seguretat viària. Travesseres d'Anglesola, Tomabous i Tarrós, la Fuliola i Boldú, i Bellcaire d'Urgell a la Ctra. C-53, i travesseres d'Algerri i Castelló de Farfanya a la C-26.</v>
      </c>
      <c r="I33" s="157">
        <f>Total!I1334</f>
        <v>9800</v>
      </c>
    </row>
    <row r="34" spans="1:9" x14ac:dyDescent="0.2">
      <c r="A34" s="171">
        <v>33</v>
      </c>
      <c r="B34" s="101">
        <f>Total!B1335</f>
        <v>42912</v>
      </c>
      <c r="C34" s="101">
        <f>Total!C1335</f>
        <v>42940</v>
      </c>
      <c r="D34" s="112" t="s">
        <v>1092</v>
      </c>
      <c r="E34" s="101" t="str">
        <f>Total!E1335</f>
        <v>Obra Civil</v>
      </c>
      <c r="F34" s="96" t="str">
        <f>Total!F1335</f>
        <v>Projectes</v>
      </c>
      <c r="G34" s="112" t="str">
        <f>Total!G1335</f>
        <v>EV. E9-MA-17900</v>
      </c>
      <c r="H34" s="112" t="str">
        <f>Total!H1335</f>
        <v>Redacció de l'estudi pel seguiment de les xarxes de control d'aigües subterrànies, superficials i de drenatge del reg Segarra-Garrigues. DIA 201 Campanya 2017-2018.</v>
      </c>
      <c r="I34" s="157">
        <f>Total!I1335</f>
        <v>142000</v>
      </c>
    </row>
    <row r="35" spans="1:9" x14ac:dyDescent="0.2">
      <c r="A35" s="171">
        <v>34</v>
      </c>
      <c r="B35" s="101">
        <f>Total!B1336</f>
        <v>42912</v>
      </c>
      <c r="C35" s="101">
        <f>Total!C1336</f>
        <v>42928</v>
      </c>
      <c r="D35" s="112" t="s">
        <v>1092</v>
      </c>
      <c r="E35" s="101" t="str">
        <f>Total!E1336</f>
        <v>Edificació</v>
      </c>
      <c r="F35" s="96" t="str">
        <f>Total!F1336</f>
        <v>Control de Qualitat</v>
      </c>
      <c r="G35" s="112" t="str">
        <f>Total!G1336</f>
        <v>CQ. ATC-16269</v>
      </c>
      <c r="H35" s="112" t="str">
        <f>Total!H1336</f>
        <v>Control de qualitat de les obres de remodelació d'oficines territorials de l'Agència Tributària de Catalunya a La Bibal d'Empordà.</v>
      </c>
      <c r="I35" s="157">
        <f>Total!I1336</f>
        <v>4005.96</v>
      </c>
    </row>
    <row r="36" spans="1:9" x14ac:dyDescent="0.2">
      <c r="A36" s="171">
        <v>35</v>
      </c>
      <c r="B36" s="101">
        <f>Total!B1337</f>
        <v>42913</v>
      </c>
      <c r="C36" s="101">
        <f>Total!C1337</f>
        <v>42921</v>
      </c>
      <c r="D36" s="112" t="s">
        <v>1092</v>
      </c>
      <c r="E36" s="101" t="str">
        <f>Total!E1337</f>
        <v>Edificació</v>
      </c>
      <c r="F36" s="96" t="str">
        <f>Total!F1337</f>
        <v>Control de Qualitat</v>
      </c>
      <c r="G36" s="112" t="str">
        <f>Total!G1337</f>
        <v>CQ. XMA-16574</v>
      </c>
      <c r="H36" s="112" t="str">
        <f>Total!H1337</f>
        <v>Control de qualitat de les obres RAM 2016 als Serveis Territorials al Baix Llobregat XVI, Institut Escola del Prat, del Prat de Llobregat.</v>
      </c>
      <c r="I36" s="157">
        <f>Total!I1337</f>
        <v>1260.81</v>
      </c>
    </row>
    <row r="37" spans="1:9" x14ac:dyDescent="0.2">
      <c r="A37" s="171">
        <v>36</v>
      </c>
      <c r="B37" s="101">
        <f>Total!B1338</f>
        <v>42914</v>
      </c>
      <c r="C37" s="101">
        <f>Total!C1338</f>
        <v>42935</v>
      </c>
      <c r="D37" s="112" t="s">
        <v>1092</v>
      </c>
      <c r="E37" s="101" t="str">
        <f>Total!E1338</f>
        <v>Edificació</v>
      </c>
      <c r="F37" s="96" t="str">
        <f>Total!F1338</f>
        <v>Projectes i Direccions d'Obra</v>
      </c>
      <c r="G37" s="112" t="str">
        <f>Total!G1338</f>
        <v>PE+DO. CGM-17253</v>
      </c>
      <c r="H37" s="112" t="str">
        <f>Total!H1338</f>
        <v>Red. proj. bàsic i executiu i posterior dir. obres RAM Millores funcionals en àrees de detinguts a les comissaries de Badalona i Blanes. Barreres Arquitectòniques a la comissaria d'Arenys de Mar. Arranjament de Marquesines a les comissaries Borges…</v>
      </c>
      <c r="I37" s="157">
        <f>Total!I1338</f>
        <v>42769</v>
      </c>
    </row>
    <row r="38" spans="1:9" x14ac:dyDescent="0.2">
      <c r="A38" s="171">
        <v>37</v>
      </c>
      <c r="B38" s="101">
        <f>Total!B1339</f>
        <v>42914</v>
      </c>
      <c r="C38" s="101">
        <f>Total!C1339</f>
        <v>42935</v>
      </c>
      <c r="D38" s="112" t="s">
        <v>1092</v>
      </c>
      <c r="E38" s="101" t="str">
        <f>Total!E1339</f>
        <v>Edificació</v>
      </c>
      <c r="F38" s="96" t="str">
        <f>Total!F1339</f>
        <v>Projectes i Direccions d'Obra</v>
      </c>
      <c r="G38" s="112" t="str">
        <f>Total!G1339</f>
        <v>PE+DO. CGM-17250</v>
      </c>
      <c r="H38" s="112" t="str">
        <f>Total!H1339</f>
        <v>Red. proj. bàisc i executiu i posterior dir. obres RAM Estalvi energètic 3. Millores i adequacions d'equips de climatització, tancament exteriors, protecció solar i aïllaments a les comissaries de Granollers, Lleida i La Seu d'Urgell.</v>
      </c>
      <c r="I38" s="157">
        <f>Total!I1339</f>
        <v>60826</v>
      </c>
    </row>
    <row r="39" spans="1:9" x14ac:dyDescent="0.2">
      <c r="A39" s="171">
        <v>38</v>
      </c>
      <c r="B39" s="101">
        <f>Total!B1340</f>
        <v>42914</v>
      </c>
      <c r="C39" s="101">
        <f>Total!C1340</f>
        <v>42933</v>
      </c>
      <c r="D39" s="112" t="s">
        <v>1092</v>
      </c>
      <c r="E39" s="101" t="str">
        <f>Total!E1340</f>
        <v>Edificació</v>
      </c>
      <c r="F39" s="96" t="str">
        <f>Total!F1340</f>
        <v>Projectes i Direccions d'Obra</v>
      </c>
      <c r="G39" s="112" t="str">
        <f>Total!G1340</f>
        <v>PE+DO. CGM-17248</v>
      </c>
      <c r="H39" s="112" t="str">
        <f>Total!H1340</f>
        <v>Red. proj. bàsic i executiu i posterior dir. obres RAM de millores en els sistemes de seguretat i videovigilància en comissaries de les Regions Policials de Girona, Catalunya Central, Pirineu i Ponent.</v>
      </c>
      <c r="I39" s="157">
        <f>Total!I1340</f>
        <v>106921.49</v>
      </c>
    </row>
    <row r="40" spans="1:9" x14ac:dyDescent="0.2">
      <c r="A40" s="171">
        <v>39</v>
      </c>
      <c r="B40" s="101">
        <f>Total!B1341</f>
        <v>42915</v>
      </c>
      <c r="C40" s="101">
        <f>Total!C1341</f>
        <v>42933</v>
      </c>
      <c r="D40" s="112" t="s">
        <v>1092</v>
      </c>
      <c r="E40" s="101" t="str">
        <f>Total!E1341</f>
        <v>Obra Civil</v>
      </c>
      <c r="F40" s="96" t="str">
        <f>Total!F1341</f>
        <v>Direccion d'Obra</v>
      </c>
      <c r="G40" s="112" t="str">
        <f>Total!G1341</f>
        <v>CSS. AB-06081.A1-F1</v>
      </c>
      <c r="H40" s="112" t="str">
        <f>Total!H1341</f>
        <v>Coordinació de Seg. i Salut. de les obres del projecte constructiu de millora general. Condicionament. Reestudi de la secció transversal. Ctra. C-352. pk 20,640 al 22,740. Tram: La Roca del Vallès-Les Franqueses del Vallès.</v>
      </c>
      <c r="I40" s="157">
        <f>Total!I1341</f>
        <v>9700</v>
      </c>
    </row>
    <row r="41" spans="1:9" x14ac:dyDescent="0.2">
      <c r="A41" s="171">
        <v>40</v>
      </c>
      <c r="B41" s="101">
        <f>Total!B1342</f>
        <v>42916</v>
      </c>
      <c r="C41" s="101">
        <f>Total!C1342</f>
        <v>42933</v>
      </c>
      <c r="D41" s="112" t="s">
        <v>1092</v>
      </c>
      <c r="E41" s="101" t="str">
        <f>Total!E1342</f>
        <v>Edificació</v>
      </c>
      <c r="F41" s="96" t="str">
        <f>Total!F1342</f>
        <v>Control de Qualitat</v>
      </c>
      <c r="G41" s="112" t="str">
        <f>Total!G1342</f>
        <v>CQ. CLT-12915</v>
      </c>
      <c r="H41" s="112" t="str">
        <f>Total!H1342</f>
        <v>Control de qualitat de les obres del nou Consultori Local Els Pallaresos.</v>
      </c>
      <c r="I41" s="157">
        <f>Total!I1342</f>
        <v>7608.62</v>
      </c>
    </row>
    <row r="42" spans="1:9" x14ac:dyDescent="0.2">
      <c r="I42" s="126">
        <f>SUM(I2:I41)</f>
        <v>1372007.2300000002</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I43"/>
  <sheetViews>
    <sheetView topLeftCell="A6" workbookViewId="0">
      <selection activeCell="A43" sqref="A43"/>
    </sheetView>
  </sheetViews>
  <sheetFormatPr baseColWidth="10" defaultRowHeight="12.75" x14ac:dyDescent="0.2"/>
  <cols>
    <col min="1" max="1" width="5.140625" customWidth="1"/>
    <col min="4" max="4" width="17" bestFit="1" customWidth="1"/>
    <col min="6" max="6" width="15.140625" bestFit="1" customWidth="1"/>
    <col min="7" max="7" width="14.2851562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Total!B1256</f>
        <v>42858</v>
      </c>
      <c r="C2" s="101">
        <f>Total!C1256</f>
        <v>42877</v>
      </c>
      <c r="D2" s="112" t="s">
        <v>1092</v>
      </c>
      <c r="E2" s="101" t="str">
        <f>Total!E1256</f>
        <v>Obra Civil</v>
      </c>
      <c r="F2" s="96" t="str">
        <f>Total!F1256</f>
        <v>Projectes</v>
      </c>
      <c r="G2" s="112" t="str">
        <f>Total!G1256</f>
        <v>PC. MT-16058</v>
      </c>
      <c r="H2" s="112" t="str">
        <f>Total!H1256</f>
        <v>Redacció del projecte constructiu de la Millora local. Drenatge longitudinal i cunetes remuntables a la carretera TV-3141 del pk 5,000 (Aigüesverds) al 7,020 (rotonda T-11). Tram: Reus.</v>
      </c>
      <c r="I2" s="157">
        <f>Total!I1256</f>
        <v>25500</v>
      </c>
    </row>
    <row r="3" spans="1:9" x14ac:dyDescent="0.2">
      <c r="A3" s="8">
        <v>2</v>
      </c>
      <c r="B3" s="101">
        <f>Total!B1257</f>
        <v>42859</v>
      </c>
      <c r="C3" s="101">
        <f>Total!C1257</f>
        <v>42877</v>
      </c>
      <c r="D3" s="112" t="s">
        <v>1092</v>
      </c>
      <c r="E3" s="101" t="str">
        <f>Total!E1257</f>
        <v>Obra Civil</v>
      </c>
      <c r="F3" s="96" t="str">
        <f>Total!F1257</f>
        <v>Control de Qualitat</v>
      </c>
      <c r="G3" s="112" t="str">
        <f>Total!G1257</f>
        <v>CQ. AB-14009.F1</v>
      </c>
      <c r="H3" s="112" t="str">
        <f>Total!H1257</f>
        <v>Control de qualitat de les obres del projecte de millora general. Condicionament. Ampliació a 3 carrils de l'autopista C-58, sentit Barcelona, del pk 12,600 al 16,750. Tram: Sant Quirze del Vallès-Terrassa.</v>
      </c>
      <c r="I3" s="157">
        <f>Total!I1257</f>
        <v>100141.82</v>
      </c>
    </row>
    <row r="4" spans="1:9" x14ac:dyDescent="0.2">
      <c r="A4" s="8">
        <v>3</v>
      </c>
      <c r="B4" s="101">
        <f>Total!B1258</f>
        <v>42864</v>
      </c>
      <c r="C4" s="101">
        <f>Total!C1258</f>
        <v>42912</v>
      </c>
      <c r="D4" s="112" t="s">
        <v>1092</v>
      </c>
      <c r="E4" s="101" t="str">
        <f>Total!E1258</f>
        <v>Obra Civil</v>
      </c>
      <c r="F4" s="96" t="str">
        <f>Total!F1258</f>
        <v>Direccions d'Obra</v>
      </c>
      <c r="G4" s="112" t="str">
        <f>Total!G1258</f>
        <v>ATI-TM-02609.0 T2</v>
      </c>
      <c r="H4" s="112" t="str">
        <f>Total!H1258</f>
        <v>Contracte de serveis per a l'assistència tècnica per a l'execució de les tasques de seguretat/safety de la Línia 9 del metro de Barcelona. Tram II</v>
      </c>
      <c r="I4" s="157">
        <f>Total!I1258</f>
        <v>999500</v>
      </c>
    </row>
    <row r="5" spans="1:9" x14ac:dyDescent="0.2">
      <c r="A5" s="8">
        <v>4</v>
      </c>
      <c r="B5" s="101">
        <f>Total!B1259</f>
        <v>42866</v>
      </c>
      <c r="C5" s="101">
        <f>Total!C1259</f>
        <v>42884</v>
      </c>
      <c r="D5" s="112" t="s">
        <v>1092</v>
      </c>
      <c r="E5" s="101" t="str">
        <f>Total!E1259</f>
        <v>Obra Civil</v>
      </c>
      <c r="F5" s="96" t="str">
        <f>Total!F1259</f>
        <v>Direccions d'Obra</v>
      </c>
      <c r="G5" s="112" t="str">
        <f>Total!G1259</f>
        <v>DO. MA-14901</v>
      </c>
      <c r="H5" s="112" t="str">
        <f>Total!H1259</f>
        <v>Direcció de l'obra del projecte de recuperació dels sistemes naturals de l'àmbit fluvial del Riu Set TM de l'Albagés, Montoliu de Lleida, Sunyer i Sudanell. Mesures correctores i compensatòries del regadiu del sistema Segarra Garrigues.</v>
      </c>
      <c r="I5" s="157">
        <f>Total!I1259</f>
        <v>19188.89</v>
      </c>
    </row>
    <row r="6" spans="1:9" x14ac:dyDescent="0.2">
      <c r="A6" s="8">
        <v>5</v>
      </c>
      <c r="B6" s="101">
        <f>Total!B1260</f>
        <v>42866</v>
      </c>
      <c r="C6" s="101">
        <f>Total!C1260</f>
        <v>42884</v>
      </c>
      <c r="D6" s="112" t="s">
        <v>1092</v>
      </c>
      <c r="E6" s="101" t="str">
        <f>Total!E1260</f>
        <v>Obra Civil</v>
      </c>
      <c r="F6" s="96" t="str">
        <f>Total!F1260</f>
        <v>Direccions d'Obra</v>
      </c>
      <c r="G6" s="112" t="str">
        <f>Total!G1260</f>
        <v>CSS. MA-14901</v>
      </c>
      <c r="H6" s="112" t="str">
        <f>Total!H1260</f>
        <v>Coord. de s. i s. de les obres del projecte de recuperació dels sistemes naturals de l'àmbit fluvial del Riu Set TM de l'Albagés, Montoliu de Lleida, Sunyer i Sudanell. Mesures correctores i compensatòries del regadiu del sistema Segarra Garrigues.</v>
      </c>
      <c r="I6" s="157">
        <f>Total!I1260</f>
        <v>4900</v>
      </c>
    </row>
    <row r="7" spans="1:9" x14ac:dyDescent="0.2">
      <c r="A7" s="8">
        <v>6</v>
      </c>
      <c r="B7" s="101">
        <f>Total!B1261</f>
        <v>42866</v>
      </c>
      <c r="C7" s="101">
        <f>Total!C1261</f>
        <v>42886</v>
      </c>
      <c r="D7" s="112" t="s">
        <v>1092</v>
      </c>
      <c r="E7" s="101" t="str">
        <f>Total!E1261</f>
        <v>Edificació</v>
      </c>
      <c r="F7" s="96" t="str">
        <f>Total!F1261</f>
        <v>Control de Qualitat</v>
      </c>
      <c r="G7" s="112" t="str">
        <f>Total!G1261</f>
        <v>CQ. JVX-16215</v>
      </c>
      <c r="H7" s="112" t="str">
        <f>Total!H1261</f>
        <v>Control de qualitat de les obres RAM en el Pavelló Hospitalari de Terrassa consistent en l'estudi de patologies del voladís, reforç estructural, actuacions interiors i exteriors en façana Est i delimitació en l'aparcament privat.</v>
      </c>
      <c r="I7" s="157">
        <f>Total!I1261</f>
        <v>1607.99</v>
      </c>
    </row>
    <row r="8" spans="1:9" x14ac:dyDescent="0.2">
      <c r="A8" s="8">
        <v>7</v>
      </c>
      <c r="B8" s="101">
        <f>Total!B1262</f>
        <v>42866</v>
      </c>
      <c r="C8" s="101">
        <f>Total!C1262</f>
        <v>42886</v>
      </c>
      <c r="D8" s="112" t="s">
        <v>1092</v>
      </c>
      <c r="E8" s="101" t="str">
        <f>Total!E1262</f>
        <v>Edificació</v>
      </c>
      <c r="F8" s="96" t="str">
        <f>Total!F1262</f>
        <v>Control de Qualitat</v>
      </c>
      <c r="G8" s="112" t="str">
        <f>Total!G1262</f>
        <v>CQ. INA-11213.1</v>
      </c>
      <c r="H8" s="112" t="str">
        <f>Total!H1262</f>
        <v>Control de qualitat de les obres d'ampliació, adequació i reconversió de l'Escola Montpedròs a Institut 4/2 L (1a fase) a Santa Coloma de Cervelló.</v>
      </c>
      <c r="I8" s="157">
        <f>Total!I1262</f>
        <v>16047.13</v>
      </c>
    </row>
    <row r="9" spans="1:9" x14ac:dyDescent="0.2">
      <c r="A9" s="8">
        <v>8</v>
      </c>
      <c r="B9" s="101">
        <f>Total!B1263</f>
        <v>42866</v>
      </c>
      <c r="C9" s="101">
        <f>Total!C1263</f>
        <v>42886</v>
      </c>
      <c r="D9" s="112" t="s">
        <v>1092</v>
      </c>
      <c r="E9" s="101" t="str">
        <f>Total!E1263</f>
        <v>Edificació</v>
      </c>
      <c r="F9" s="96" t="str">
        <f>Total!F1263</f>
        <v>Control de Qualitat</v>
      </c>
      <c r="G9" s="112" t="str">
        <f>Total!G1263</f>
        <v>CQ. CGM-14315</v>
      </c>
      <c r="H9" s="112" t="str">
        <f>Total!H1263</f>
        <v>Control de qualitat de les obres RAM de condicionament i millores puntuals d'espais, instal·lacions i equipaments per a l'acreditació de laboratoris de lofoscòpia de les comissaries de Tarragona-Camp Clar. Ponent, Girona - Vista Alegre, Barcelona…</v>
      </c>
      <c r="I9" s="157">
        <f>Total!I1263</f>
        <v>2034.75</v>
      </c>
    </row>
    <row r="10" spans="1:9" x14ac:dyDescent="0.2">
      <c r="A10" s="8">
        <v>9</v>
      </c>
      <c r="B10" s="101">
        <f>Total!B1264</f>
        <v>42866</v>
      </c>
      <c r="C10" s="101">
        <f>Total!C1264</f>
        <v>42886</v>
      </c>
      <c r="D10" s="112" t="s">
        <v>1092</v>
      </c>
      <c r="E10" s="101" t="str">
        <f>Total!E1264</f>
        <v>Obra Civil</v>
      </c>
      <c r="F10" s="96" t="str">
        <f>Total!F1264</f>
        <v>Control de Qualitat</v>
      </c>
      <c r="G10" s="112" t="str">
        <f>Total!G1264</f>
        <v>CQ. MG-06136.1</v>
      </c>
      <c r="H10" s="112" t="str">
        <f>Total!H1264</f>
        <v>Control de qualitat de les obres del projecte de millora local. Millora de nus. Nou vial urbà de connexió entre la carretera C-25, pk 239,190, i el carrer Major. Tram: Riudellots de la Selva.</v>
      </c>
      <c r="I10" s="157">
        <f>Total!I1264</f>
        <v>2304.44</v>
      </c>
    </row>
    <row r="11" spans="1:9" x14ac:dyDescent="0.2">
      <c r="A11" s="8">
        <v>10</v>
      </c>
      <c r="B11" s="101">
        <f>Total!B1265</f>
        <v>42871</v>
      </c>
      <c r="C11" s="101">
        <f>Total!C1265</f>
        <v>42919</v>
      </c>
      <c r="D11" s="112" t="s">
        <v>1092</v>
      </c>
      <c r="E11" s="101" t="str">
        <f>Total!E1265</f>
        <v>Obra Civil</v>
      </c>
      <c r="F11" s="96" t="str">
        <f>Total!F1265</f>
        <v>Direccions d'obra</v>
      </c>
      <c r="G11" s="112" t="str">
        <f>Total!G1265</f>
        <v>ATAM. AL-05037</v>
      </c>
      <c r="H11" s="112" t="str">
        <f>Total!H1265</f>
        <v>Assistència tècnica ambiental de les obres del projecte constructiu de millora general. Condicionament. Eixamplament i millora de traçat. Carretera C-14, pk 163,200 al 166,250. Tram: Organyà-Montant de Tost.</v>
      </c>
      <c r="I11" s="157">
        <f>Total!I1265</f>
        <v>209088</v>
      </c>
    </row>
    <row r="12" spans="1:9" x14ac:dyDescent="0.2">
      <c r="A12" s="8">
        <v>11</v>
      </c>
      <c r="B12" s="101">
        <f>Total!B1266</f>
        <v>42870</v>
      </c>
      <c r="C12" s="101">
        <f>Total!C1266</f>
        <v>42886</v>
      </c>
      <c r="D12" s="112" t="s">
        <v>1092</v>
      </c>
      <c r="E12" s="101" t="str">
        <f>Total!E1266</f>
        <v>Obra Civil</v>
      </c>
      <c r="F12" s="96" t="str">
        <f>Total!F1266</f>
        <v>Direccions d'obra</v>
      </c>
      <c r="G12" s="112" t="str">
        <f>Total!G1266</f>
        <v>CSS. TA-16231</v>
      </c>
      <c r="H12" s="112" t="str">
        <f>Total!H1266</f>
        <v>Assistència tècnica de coordinació de seguretat i salut de les obres del projecte de parada d'autobusos a Sant Joan de les Abadesses.</v>
      </c>
      <c r="I12" s="157">
        <f>Total!I1266</f>
        <v>2180</v>
      </c>
    </row>
    <row r="13" spans="1:9" x14ac:dyDescent="0.2">
      <c r="A13" s="8">
        <v>12</v>
      </c>
      <c r="B13" s="101">
        <f>Total!B1267</f>
        <v>42870</v>
      </c>
      <c r="C13" s="101">
        <f>Total!C1267</f>
        <v>42886</v>
      </c>
      <c r="D13" s="112" t="s">
        <v>1092</v>
      </c>
      <c r="E13" s="101" t="str">
        <f>Total!E1267</f>
        <v>Obra Civil</v>
      </c>
      <c r="F13" s="96" t="str">
        <f>Total!F1267</f>
        <v>Control de Qualitat</v>
      </c>
      <c r="G13" s="112" t="str">
        <f>Total!G1267</f>
        <v>CQ. MA-14901</v>
      </c>
      <c r="H13" s="112" t="str">
        <f>Total!H1267</f>
        <v>Redacció del control de qualitat de les obres de recuperació dels sistemes naturals de l'ambit fluvial del Riu Set. TTMM del l'Albagés, Montoliu de Lleida, Sunyer i Sudanell.</v>
      </c>
      <c r="I13" s="157">
        <f>Total!I1267</f>
        <v>3293.69</v>
      </c>
    </row>
    <row r="14" spans="1:9" x14ac:dyDescent="0.2">
      <c r="A14" s="8">
        <v>13</v>
      </c>
      <c r="B14" s="101">
        <f>Total!B1268</f>
        <v>42870</v>
      </c>
      <c r="C14" s="101">
        <f>Total!C1268</f>
        <v>42886</v>
      </c>
      <c r="D14" s="112" t="s">
        <v>1092</v>
      </c>
      <c r="E14" s="101" t="str">
        <f>Total!E1268</f>
        <v>Obra Civil</v>
      </c>
      <c r="F14" s="96" t="str">
        <f>Total!F1268</f>
        <v>Direccions d'obra</v>
      </c>
      <c r="G14" s="112" t="str">
        <f>Total!G1268</f>
        <v>DO. ML-08030-A1</v>
      </c>
      <c r="H14" s="112" t="str">
        <f>Total!H1268</f>
        <v>Direcció de les obres del projecte de millora local. Millora de nus. Millora d'accessos a la població d'Alfés. Carretera C-12, pk 128,300 i 129,600. Tram: Alfés.</v>
      </c>
      <c r="I14" s="157">
        <f>Total!I1268</f>
        <v>22711.11</v>
      </c>
    </row>
    <row r="15" spans="1:9" x14ac:dyDescent="0.2">
      <c r="A15" s="8">
        <v>14</v>
      </c>
      <c r="B15" s="101">
        <f>Total!B1269</f>
        <v>42872</v>
      </c>
      <c r="C15" s="101">
        <f>Total!C1269</f>
        <v>42893</v>
      </c>
      <c r="D15" s="112" t="s">
        <v>1092</v>
      </c>
      <c r="E15" s="101" t="str">
        <f>Total!E1269</f>
        <v>Edificació</v>
      </c>
      <c r="F15" s="96" t="str">
        <f>Total!F1269</f>
        <v>Direccions d'obra</v>
      </c>
      <c r="G15" s="112" t="str">
        <f>Total!G1269</f>
        <v>DE. CAP-09398</v>
      </c>
      <c r="H15" s="112" t="str">
        <f>Total!H1269</f>
        <v>Direcció d'execució de les obres per al Nou Centre d'Atenció Primària Can Roca, de Terrassa.</v>
      </c>
      <c r="I15" s="157">
        <f>Total!I1269</f>
        <v>51000</v>
      </c>
    </row>
    <row r="16" spans="1:9" x14ac:dyDescent="0.2">
      <c r="A16" s="8">
        <v>15</v>
      </c>
      <c r="B16" s="101">
        <f>Total!B1270</f>
        <v>42872</v>
      </c>
      <c r="C16" s="101">
        <f>Total!C1270</f>
        <v>42893</v>
      </c>
      <c r="D16" s="112" t="s">
        <v>1092</v>
      </c>
      <c r="E16" s="101" t="str">
        <f>Total!E1270</f>
        <v>Edificació</v>
      </c>
      <c r="F16" s="96" t="str">
        <f>Total!F1270</f>
        <v>Projectes i Direccions d'Obra</v>
      </c>
      <c r="G16" s="112" t="str">
        <f>Total!G1270</f>
        <v>PE+DO CGM-17224</v>
      </c>
      <c r="H16" s="112" t="str">
        <f>Total!H1270</f>
        <v>Redac. proj. bàsic executiu i la posterior dir. obra de les obres RAM Estalvi energètic 1. Renovació d'equips de climatització i implantació de mesures per a la millora de l'eficiència energètica en diverses Comissaries de les Regions Policials…</v>
      </c>
      <c r="I16" s="157">
        <f>Total!I1270</f>
        <v>35590.910000000003</v>
      </c>
    </row>
    <row r="17" spans="1:9" x14ac:dyDescent="0.2">
      <c r="A17" s="8">
        <v>16</v>
      </c>
      <c r="B17" s="101">
        <f>Total!B1271</f>
        <v>42872</v>
      </c>
      <c r="C17" s="101">
        <f>Total!C1271</f>
        <v>39245</v>
      </c>
      <c r="D17" s="112" t="s">
        <v>1092</v>
      </c>
      <c r="E17" s="101" t="str">
        <f>Total!E1271</f>
        <v>Edificació</v>
      </c>
      <c r="F17" s="96" t="str">
        <f>Total!F1271</f>
        <v>Control de Qualitat</v>
      </c>
      <c r="G17" s="112" t="str">
        <f>Total!G1271</f>
        <v>CQ. XMA-16575</v>
      </c>
      <c r="H17" s="112" t="str">
        <f>Total!H1271</f>
        <v>Control de qualitat de les obres RAM 2016 als Serveis Territorials al Baix Llobregat XVII. Escola Honorable Tarradellas, a el Prat de Llobregat.</v>
      </c>
      <c r="I17" s="157">
        <f>Total!I1271</f>
        <v>590.14</v>
      </c>
    </row>
    <row r="18" spans="1:9" x14ac:dyDescent="0.2">
      <c r="A18" s="8">
        <v>17</v>
      </c>
      <c r="B18" s="101">
        <f>Total!B1272</f>
        <v>42872</v>
      </c>
      <c r="C18" s="101">
        <f>Total!C1272</f>
        <v>42893</v>
      </c>
      <c r="D18" s="112" t="s">
        <v>1092</v>
      </c>
      <c r="E18" s="101" t="str">
        <f>Total!E1272</f>
        <v>Obra Civil</v>
      </c>
      <c r="F18" s="96" t="str">
        <f>Total!F1272</f>
        <v>Direccions d'obra</v>
      </c>
      <c r="G18" s="112" t="str">
        <f>Total!G1272</f>
        <v>DO. NL-15007</v>
      </c>
      <c r="H18" s="112" t="str">
        <f>Total!H1272</f>
        <v>Direcció de les obres del projecte constructiu de millora general. Nova ctra. Prolongació, eixamplament i millora del ferm de la ctra. L-311b, des de la rotonda de l'enllaç de l'A-2 (pk 520,000), fins al pk 0,950 de ka ctra, L-311b. Tram: Cervera.</v>
      </c>
      <c r="I18" s="157">
        <f>Total!I1272</f>
        <v>32666.67</v>
      </c>
    </row>
    <row r="19" spans="1:9" x14ac:dyDescent="0.2">
      <c r="A19" s="8">
        <v>18</v>
      </c>
      <c r="B19" s="101">
        <f>Total!B1273</f>
        <v>42873</v>
      </c>
      <c r="C19" s="101">
        <f>Total!C1273</f>
        <v>42893</v>
      </c>
      <c r="D19" s="112" t="s">
        <v>1092</v>
      </c>
      <c r="E19" s="101" t="str">
        <f>Total!E1273</f>
        <v>Edificació</v>
      </c>
      <c r="F19" s="96" t="str">
        <f>Total!F1273</f>
        <v>Projectes i Direccions d'Obra</v>
      </c>
      <c r="G19" s="112" t="str">
        <f>Total!G1273</f>
        <v>PE+DO CGM-17225</v>
      </c>
      <c r="H19" s="112" t="str">
        <f>Total!H1273</f>
        <v>Redacció del projecte bàsic i executiu i la posterior direcció d'obra de les obres RAM de seguretat. Substitució i millora del sistema de gravadors i càmeres perimetrals de diverses Comissaries per a la millora de la seguretat.</v>
      </c>
      <c r="I19" s="157">
        <f>Total!I1273</f>
        <v>38062.5</v>
      </c>
    </row>
    <row r="20" spans="1:9" x14ac:dyDescent="0.2">
      <c r="A20" s="8">
        <v>19</v>
      </c>
      <c r="B20" s="101">
        <f>Total!B1274</f>
        <v>42873</v>
      </c>
      <c r="C20" s="101">
        <f>Total!C1274</f>
        <v>42893</v>
      </c>
      <c r="D20" s="112" t="s">
        <v>1092</v>
      </c>
      <c r="E20" s="101" t="str">
        <f>Total!E1274</f>
        <v>Edificació</v>
      </c>
      <c r="F20" s="96" t="str">
        <f>Total!F1274</f>
        <v>Direccions d'Execució</v>
      </c>
      <c r="G20" s="112" t="str">
        <f>Total!G1274</f>
        <v>DE+CSS. JVX-16223</v>
      </c>
      <c r="H20" s="112" t="str">
        <f>Total!H1274</f>
        <v>Direcció d'execució i coordinació de seguretat i salut de les obres RAM Cobertes i façanes a l'Edifici Judicial de Blanes.</v>
      </c>
      <c r="I20" s="157">
        <f>Total!I1274</f>
        <v>14900</v>
      </c>
    </row>
    <row r="21" spans="1:9" x14ac:dyDescent="0.2">
      <c r="A21" s="8">
        <v>20</v>
      </c>
      <c r="B21" s="101">
        <f>Total!B1275</f>
        <v>42873</v>
      </c>
      <c r="C21" s="101">
        <f>Total!C1275</f>
        <v>42898</v>
      </c>
      <c r="D21" s="112" t="s">
        <v>1092</v>
      </c>
      <c r="E21" s="101" t="str">
        <f>Total!E1275</f>
        <v>Obra Civil</v>
      </c>
      <c r="F21" s="96" t="str">
        <f>Total!F1275</f>
        <v>Control de Qualitat</v>
      </c>
      <c r="G21" s="112" t="str">
        <f>Total!G1275</f>
        <v>CQ. ME-16009</v>
      </c>
      <c r="H21" s="112" t="str">
        <f>Total!H1275</f>
        <v>Direcció de les obres del projecte constructiu de millora local. Millora de nus. Millora de la intersecció de la carretera TV-3454, al pk 13,685 amb la carretera TV-3451. Tram: Deltebre.</v>
      </c>
      <c r="I21" s="157">
        <f>Total!I1275</f>
        <v>10692.03</v>
      </c>
    </row>
    <row r="22" spans="1:9" x14ac:dyDescent="0.2">
      <c r="A22" s="8">
        <v>21</v>
      </c>
      <c r="B22" s="101">
        <f>Total!B1276</f>
        <v>42873</v>
      </c>
      <c r="C22" s="101">
        <f>Total!C1276</f>
        <v>42893</v>
      </c>
      <c r="D22" s="112" t="s">
        <v>1092</v>
      </c>
      <c r="E22" s="101" t="str">
        <f>Total!E1276</f>
        <v>Edificació</v>
      </c>
      <c r="F22" s="96" t="str">
        <f>Total!F1276</f>
        <v>Control de Qualitat</v>
      </c>
      <c r="G22" s="112" t="str">
        <f>Total!G1276</f>
        <v>CQ. PGM-15305</v>
      </c>
      <c r="H22" s="112" t="str">
        <f>Total!H1276</f>
        <v>Control de qualitat de les obres de rehabilitació, adequació i millora del parc de Bombers de Figueres.</v>
      </c>
      <c r="I22" s="157">
        <f>Total!I1276</f>
        <v>9477.2000000000007</v>
      </c>
    </row>
    <row r="23" spans="1:9" x14ac:dyDescent="0.2">
      <c r="A23" s="8">
        <v>22</v>
      </c>
      <c r="B23" s="101">
        <f>Total!B1277</f>
        <v>42873</v>
      </c>
      <c r="C23" s="101">
        <f>Total!C1277</f>
        <v>42893</v>
      </c>
      <c r="D23" s="112" t="s">
        <v>1092</v>
      </c>
      <c r="E23" s="101" t="str">
        <f>Total!E1277</f>
        <v>Edificació</v>
      </c>
      <c r="F23" s="96" t="str">
        <f>Total!F1277</f>
        <v>Projectes i Direccions d'Obra</v>
      </c>
      <c r="G23" s="112" t="str">
        <f>Total!G1277</f>
        <v>PE+DO CGM-17223</v>
      </c>
      <c r="H23" s="112" t="str">
        <f>Total!H1277</f>
        <v>Redacció proj. bàsic i exec. i la posterior dir. obra de les obres RAM Estalvi energètic 1. Renovació equips climatització i implantació mesures millora ef. energ. en diverses Comissaries de les Regions Policials de Griona i la Metropolitana Nord.</v>
      </c>
      <c r="I23" s="157">
        <f>Total!I1277</f>
        <v>42017.05</v>
      </c>
    </row>
    <row r="24" spans="1:9" x14ac:dyDescent="0.2">
      <c r="A24" s="8">
        <v>23</v>
      </c>
      <c r="B24" s="101">
        <f>Total!B1278</f>
        <v>42873</v>
      </c>
      <c r="C24" s="101">
        <f>Total!C1278</f>
        <v>42898</v>
      </c>
      <c r="D24" s="112" t="s">
        <v>1092</v>
      </c>
      <c r="E24" s="101" t="str">
        <f>Total!E1278</f>
        <v>Obra Civil</v>
      </c>
      <c r="F24" s="96" t="str">
        <f>Total!F1278</f>
        <v>Direccions d'obra</v>
      </c>
      <c r="G24" s="112" t="str">
        <f>Total!G1278</f>
        <v>DO. ML-15067</v>
      </c>
      <c r="H24" s="112" t="str">
        <f>Total!H1278</f>
        <v>Direcció de les obres del projecte de millora local. Seguretat viària. Travesseres d'Anglesola, Tomabous i Tarrós, la Fuliola i Boldú, i Bellcaire d'Urgell a la Ctra. C-53, i travesseres d'Algerri i Castelló de Farfanya a la C-26.</v>
      </c>
      <c r="I24" s="157">
        <f>Total!I1278</f>
        <v>44511.11</v>
      </c>
    </row>
    <row r="25" spans="1:9" x14ac:dyDescent="0.2">
      <c r="A25" s="8">
        <v>24</v>
      </c>
      <c r="B25" s="101">
        <f>Total!B1279</f>
        <v>42873</v>
      </c>
      <c r="C25" s="101">
        <f>Total!C1279</f>
        <v>42893</v>
      </c>
      <c r="D25" s="112" t="s">
        <v>1092</v>
      </c>
      <c r="E25" s="101" t="str">
        <f>Total!E1279</f>
        <v>Edificació</v>
      </c>
      <c r="F25" s="96" t="str">
        <f>Total!F1279</f>
        <v>Direccions d'Execució</v>
      </c>
      <c r="G25" s="112" t="str">
        <f>Total!G1279</f>
        <v>CSS. PGM-15305</v>
      </c>
      <c r="H25" s="112" t="str">
        <f>Total!H1279</f>
        <v>Coordinació de seguretat i salut de les obres de rehabilitació, adequació i millora del parc de Bombers de Figueres.</v>
      </c>
      <c r="I25" s="157">
        <f>Total!I1279</f>
        <v>6200</v>
      </c>
    </row>
    <row r="26" spans="1:9" x14ac:dyDescent="0.2">
      <c r="A26" s="8">
        <v>25</v>
      </c>
      <c r="B26" s="101">
        <f>Total!B1280</f>
        <v>42874</v>
      </c>
      <c r="C26" s="101">
        <f>Total!C1280</f>
        <v>42898</v>
      </c>
      <c r="D26" s="112" t="s">
        <v>1092</v>
      </c>
      <c r="E26" s="101" t="str">
        <f>Total!E1280</f>
        <v>Edificació</v>
      </c>
      <c r="F26" s="96" t="str">
        <f>Total!F1280</f>
        <v>Projectes i Direccions Facultatives</v>
      </c>
      <c r="G26" s="112" t="str">
        <f>Total!G1280</f>
        <v>PE+DF ICF-15336</v>
      </c>
      <c r="H26" s="112" t="str">
        <f>Total!H1280</f>
        <v>Redacció del projecte executiu i posterior direcció facultativa de les obres de restauració de la façana principal de l'edifici situat a Gran Via de les corts Catalanes, 635 de Barcelona.</v>
      </c>
      <c r="I26" s="157">
        <f>Total!I1280</f>
        <v>7513.03</v>
      </c>
    </row>
    <row r="27" spans="1:9" x14ac:dyDescent="0.2">
      <c r="A27" s="8">
        <v>26</v>
      </c>
      <c r="B27" s="101">
        <f>Total!B1281</f>
        <v>42874</v>
      </c>
      <c r="C27" s="101">
        <f>Total!C1281</f>
        <v>42900</v>
      </c>
      <c r="D27" s="112" t="s">
        <v>1092</v>
      </c>
      <c r="E27" s="101" t="str">
        <f>Total!E1281</f>
        <v>Edificació</v>
      </c>
      <c r="F27" s="96" t="str">
        <f>Total!F1281</f>
        <v>Control de Qualitat</v>
      </c>
      <c r="G27" s="112" t="str">
        <f>Total!G1281</f>
        <v>CQ. DGB-15357</v>
      </c>
      <c r="H27" s="112" t="str">
        <f>Total!H1281</f>
        <v>Control de qualitat de les obres de reforma i adaptació d'instal·lacions a la Seu del Departament d'Interior, per incorporar mesures correctores d'expedient de Llicència Ambiental.</v>
      </c>
      <c r="I27" s="157">
        <f>Total!I1281</f>
        <v>3515.19</v>
      </c>
    </row>
    <row r="28" spans="1:9" x14ac:dyDescent="0.2">
      <c r="A28" s="8">
        <v>27</v>
      </c>
      <c r="B28" s="101">
        <f>Total!B1282</f>
        <v>42877</v>
      </c>
      <c r="C28" s="101">
        <f>Total!C1282</f>
        <v>42893</v>
      </c>
      <c r="D28" s="112" t="s">
        <v>1092</v>
      </c>
      <c r="E28" s="101" t="str">
        <f>Total!E1282</f>
        <v>Obra Civil</v>
      </c>
      <c r="F28" s="96" t="str">
        <f>Total!F1282</f>
        <v>Control de Qualitat</v>
      </c>
      <c r="G28" s="112" t="str">
        <f>Total!G1282</f>
        <v>CQ. TM-99456.1-C9</v>
      </c>
      <c r="H28" s="112" t="str">
        <f>Total!H1282</f>
        <v>Control de qualitat de les obres del projecte complementari núm. 9 del perllongament de la línia 2 dels FMB. tram: Pep Ventrura-Badalona Pompeu Fabra. Actuacions d'arranjament de la Creu i Anselm Clavé a l'entorn de la Plaça Pompeu Fabra de Badalona.</v>
      </c>
      <c r="I28" s="157">
        <f>Total!I1282</f>
        <v>2072</v>
      </c>
    </row>
    <row r="29" spans="1:9" x14ac:dyDescent="0.2">
      <c r="A29" s="8">
        <v>28</v>
      </c>
      <c r="B29" s="101">
        <f>Total!B1283</f>
        <v>42877</v>
      </c>
      <c r="C29" s="101">
        <f>Total!C1283</f>
        <v>42893</v>
      </c>
      <c r="D29" s="112" t="s">
        <v>1092</v>
      </c>
      <c r="E29" s="101" t="str">
        <f>Total!E1283</f>
        <v>Obra Civil</v>
      </c>
      <c r="F29" s="96" t="str">
        <f>Total!F1283</f>
        <v>Direccions d'obra</v>
      </c>
      <c r="G29" s="112" t="str">
        <f>Total!G1283</f>
        <v>DO. TM-99456.1-C9</v>
      </c>
      <c r="H29" s="112" t="str">
        <f>Total!H1283</f>
        <v>Direcció de les obres del projecte complementari núm. 9 del perllongament de la línia 2 dels FMB. tram: Pep Ventrura-Badalona Pompeu Fabra. Actuacions d'arranjament de la Creu i Anselm Clavé a l'entorn de la Plaça Pompeu Fabra de Badalona.</v>
      </c>
      <c r="I29" s="157">
        <f>Total!I1283</f>
        <v>6966.67</v>
      </c>
    </row>
    <row r="30" spans="1:9" x14ac:dyDescent="0.2">
      <c r="A30" s="8">
        <v>29</v>
      </c>
      <c r="B30" s="101">
        <f>Total!B1284</f>
        <v>42878</v>
      </c>
      <c r="C30" s="101">
        <f>Total!C1284</f>
        <v>42893</v>
      </c>
      <c r="D30" s="112" t="s">
        <v>1092</v>
      </c>
      <c r="E30" s="101" t="str">
        <f>Total!E1284</f>
        <v>Obra Civil</v>
      </c>
      <c r="F30" s="96" t="str">
        <f>Total!F1284</f>
        <v>Direccions d'obra</v>
      </c>
      <c r="G30" s="112" t="str">
        <f>Total!G1284</f>
        <v>CSS. TM-99456.1-C9</v>
      </c>
      <c r="H30" s="112" t="str">
        <f>Total!H1284</f>
        <v>Coordinació de S.S. de les obres del projecte complementari núm. 9 del perllongament de la línia 2 dels FMB. tram: Pep Ventura-Badalona Pompeu Fabra. Actuacions d'arranjament de la Creu i Anselm Clavé a l'entorn de la Plaça Pompeu Fabra de Badalona.</v>
      </c>
      <c r="I30" s="157">
        <f>Total!I1284</f>
        <v>1500</v>
      </c>
    </row>
    <row r="31" spans="1:9" x14ac:dyDescent="0.2">
      <c r="A31" s="8">
        <v>30</v>
      </c>
      <c r="B31" s="101">
        <f>Total!B1285</f>
        <v>42880</v>
      </c>
      <c r="C31" s="101">
        <f>Total!C1285</f>
        <v>42926</v>
      </c>
      <c r="D31" s="112" t="s">
        <v>1092</v>
      </c>
      <c r="E31" s="101" t="str">
        <f>Total!E1285</f>
        <v>Obra Civil</v>
      </c>
      <c r="F31" s="96" t="str">
        <f>Total!F1285</f>
        <v>Direccions d'obra</v>
      </c>
      <c r="G31" s="112" t="str">
        <f>Total!G1285</f>
        <v>DO. AB-14009.F1</v>
      </c>
      <c r="H31" s="112" t="str">
        <f>Total!H1285</f>
        <v>Direcció de les obres del projecte de millora general. Condicionament. Ampliació a 3 carrils de l'autopista C-58, sentit Barcelona, del pk 12,600 al 16,750. Tram: Sant Quirze del Vallès-Terrassa.</v>
      </c>
      <c r="I31" s="157">
        <f>Total!I1285</f>
        <v>257333.33</v>
      </c>
    </row>
    <row r="32" spans="1:9" x14ac:dyDescent="0.2">
      <c r="A32" s="8">
        <v>31</v>
      </c>
      <c r="B32" s="101">
        <f>Total!B1287</f>
        <v>42879</v>
      </c>
      <c r="C32" s="101">
        <f>Total!C1287</f>
        <v>42898</v>
      </c>
      <c r="D32" s="112" t="s">
        <v>1092</v>
      </c>
      <c r="E32" s="101" t="str">
        <f>Total!E1287</f>
        <v>Obra Civil</v>
      </c>
      <c r="F32" s="96" t="str">
        <f>Total!F1287</f>
        <v>Control de Qualitat</v>
      </c>
      <c r="G32" s="112" t="str">
        <f>Total!G1287</f>
        <v>CQ. ML-08030-A1</v>
      </c>
      <c r="H32" s="112" t="str">
        <f>Total!H1287</f>
        <v>Control de qualitat de les obres del projecte constructiu de millora local. Millora de nus. Millora d'accessos a la població d'Alfés. Carretera C-12, pk 128,300 i 129,600. Tram: Alfés.</v>
      </c>
      <c r="I32" s="157">
        <f>Total!I1287</f>
        <v>11355.4</v>
      </c>
    </row>
    <row r="33" spans="1:9" x14ac:dyDescent="0.2">
      <c r="A33" s="8">
        <v>32</v>
      </c>
      <c r="B33" s="101">
        <f>Total!B1290</f>
        <v>42884</v>
      </c>
      <c r="C33" s="101">
        <f>Total!C1290</f>
        <v>42900</v>
      </c>
      <c r="D33" s="112" t="s">
        <v>1092</v>
      </c>
      <c r="E33" s="101" t="str">
        <f>Total!E1290</f>
        <v>Edificació</v>
      </c>
      <c r="F33" s="96" t="str">
        <f>Total!F1290</f>
        <v>Control de Qualitat</v>
      </c>
      <c r="G33" s="112" t="str">
        <f>Total!G1290</f>
        <v>CQ. CAP-13319-C1</v>
      </c>
      <c r="H33" s="112" t="str">
        <f>Total!H1290</f>
        <v>Control de qualitat de les obres del projecte complementari núm. 1 de la nova construcció del CAP Figueres 2.</v>
      </c>
      <c r="I33" s="157">
        <f>Total!I1290</f>
        <v>7912.83</v>
      </c>
    </row>
    <row r="34" spans="1:9" x14ac:dyDescent="0.2">
      <c r="A34" s="8">
        <v>33</v>
      </c>
      <c r="B34" s="101">
        <f>Total!B1291</f>
        <v>42884</v>
      </c>
      <c r="C34" s="101">
        <f>Total!C1291</f>
        <v>42900</v>
      </c>
      <c r="D34" s="112" t="s">
        <v>1092</v>
      </c>
      <c r="E34" s="101" t="str">
        <f>Total!E1291</f>
        <v>Edificació</v>
      </c>
      <c r="F34" s="96" t="str">
        <f>Total!F1291</f>
        <v>Projectes i Direccions Facultatives</v>
      </c>
      <c r="G34" s="112" t="str">
        <f>Total!G1291</f>
        <v>PE+DF PGM-17217</v>
      </c>
      <c r="H34" s="112" t="str">
        <f>Total!H1291</f>
        <v>Redacció del projecte executiu i la posterior direcció facultativa de les obres RAM de desplaçament de gual existent a l'avinguda de la Pelegrina al Parc de Bombers de Vilafranca del Penedès.</v>
      </c>
      <c r="I34" s="157">
        <f>Total!I1291</f>
        <v>1834.26</v>
      </c>
    </row>
    <row r="35" spans="1:9" x14ac:dyDescent="0.2">
      <c r="A35" s="8">
        <v>34</v>
      </c>
      <c r="B35" s="101">
        <f>Total!B1292</f>
        <v>42884</v>
      </c>
      <c r="C35" s="101">
        <f>Total!C1292</f>
        <v>42900</v>
      </c>
      <c r="D35" s="112" t="s">
        <v>1092</v>
      </c>
      <c r="E35" s="101" t="str">
        <f>Total!E1292</f>
        <v>Edificació</v>
      </c>
      <c r="F35" s="96" t="str">
        <f>Total!F1292</f>
        <v>Projectes i Direccions Facultatives</v>
      </c>
      <c r="G35" s="112" t="str">
        <f>Total!G1292</f>
        <v>PE+DF PGM-17218</v>
      </c>
      <c r="H35" s="112" t="str">
        <f>Total!H1292</f>
        <v>Redacció del projecte executiu i la posterior direcció facultativa de les obres RAM d'arranjament de coberta al Parc de Bombers d'Amer a Girona.</v>
      </c>
      <c r="I35" s="157">
        <f>Total!I1292</f>
        <v>3047.94</v>
      </c>
    </row>
    <row r="36" spans="1:9" x14ac:dyDescent="0.2">
      <c r="A36" s="8">
        <v>35</v>
      </c>
      <c r="B36" s="101">
        <f>Total!B1293</f>
        <v>42884</v>
      </c>
      <c r="C36" s="101">
        <f>Total!C1293</f>
        <v>42900</v>
      </c>
      <c r="D36" s="112" t="s">
        <v>1092</v>
      </c>
      <c r="E36" s="101" t="str">
        <f>Total!E1293</f>
        <v>Obra Civil</v>
      </c>
      <c r="F36" s="96" t="str">
        <f>Total!F1293</f>
        <v>Direccions d'Obra</v>
      </c>
      <c r="G36" s="112" t="str">
        <f>Total!G1293</f>
        <v>DO. MG-08128.2+1</v>
      </c>
      <c r="H36" s="112" t="str">
        <f>Total!H1293</f>
        <v>Direcció conjunta de les obres del proj. millora local. Eixamplament i reforç del ferm. Ctra. C-25, del pk 240,100 al 242,100. tram: Riudellots de la Selva-Campllong. i millora nus. Nou vial urbà de connexió entre C-25 pk 239,190 i c/ Major.</v>
      </c>
      <c r="I36" s="157">
        <f>Total!I1293</f>
        <v>71922.22</v>
      </c>
    </row>
    <row r="37" spans="1:9" x14ac:dyDescent="0.2">
      <c r="A37" s="8">
        <v>36</v>
      </c>
      <c r="B37" s="101">
        <f>Total!B1294</f>
        <v>42880</v>
      </c>
      <c r="C37" s="101">
        <f>Total!C1294</f>
        <v>42928</v>
      </c>
      <c r="D37" s="112" t="s">
        <v>1092</v>
      </c>
      <c r="E37" s="101" t="str">
        <f>Total!E1294</f>
        <v>Obra Civil</v>
      </c>
      <c r="F37" s="96" t="str">
        <f>Total!F1294</f>
        <v>Projectes</v>
      </c>
      <c r="G37" s="112" t="str">
        <f>Total!G1294</f>
        <v>EA. R0-17208</v>
      </c>
      <c r="H37" s="112" t="str">
        <f>Total!H1294</f>
        <v>Redacció de l'estudi d'alternatives, elaboració del pla de migració i redacció dels Plecs i Projectes per a l'evolució del Post Comandament Central i Telecomandaments de la Línia 9 de Metro de Barcelona i la seva integració amb línies convencionals.</v>
      </c>
      <c r="I37" s="157">
        <f>Total!I1294</f>
        <v>538250</v>
      </c>
    </row>
    <row r="38" spans="1:9" x14ac:dyDescent="0.2">
      <c r="A38" s="8">
        <v>37</v>
      </c>
      <c r="B38" s="101">
        <f>Total!B1295</f>
        <v>42886</v>
      </c>
      <c r="C38" s="101">
        <f>Total!C1295</f>
        <v>42919</v>
      </c>
      <c r="D38" s="112" t="s">
        <v>1092</v>
      </c>
      <c r="E38" s="101" t="str">
        <f>Total!E1295</f>
        <v>Obra Civil</v>
      </c>
      <c r="F38" s="96" t="str">
        <f>Total!F1295</f>
        <v>Direccions d'Obra</v>
      </c>
      <c r="G38" s="112" t="str">
        <f>Total!G1295</f>
        <v>DO. AB-06081.A1-F1</v>
      </c>
      <c r="H38" s="112" t="str">
        <f>Total!H1295</f>
        <v>Direcció de les obres del projecte constructiu de millora general. Condicionament. Reestudi de la secció transversal. Ctra. C-352. pk 20,640 al 22,740. Tram: La Roca del Vallès-Les Franqueses del Vallès.</v>
      </c>
      <c r="I38" s="157">
        <f>Total!I1295</f>
        <v>38200</v>
      </c>
    </row>
    <row r="39" spans="1:9" x14ac:dyDescent="0.2">
      <c r="A39" s="8">
        <v>38</v>
      </c>
      <c r="B39" s="101">
        <f>Total!B1297</f>
        <v>42886</v>
      </c>
      <c r="C39" s="101">
        <f>Total!C1297</f>
        <v>42905</v>
      </c>
      <c r="D39" s="112" t="s">
        <v>1092</v>
      </c>
      <c r="E39" s="101" t="str">
        <f>Total!E1297</f>
        <v>Edificació</v>
      </c>
      <c r="F39" s="96" t="str">
        <f>Total!F1297</f>
        <v>Direccions d'Execució</v>
      </c>
      <c r="G39" s="112" t="str">
        <f>Total!G1297</f>
        <v>CSS. CAP-13319-C1</v>
      </c>
      <c r="H39" s="112" t="str">
        <f>Total!H1297</f>
        <v>Coordinació de Seguretat i Salut  de les obres del projecte complementari núm. 1 de la nova construcció del CAP Figueres 2.</v>
      </c>
      <c r="I39" s="157">
        <f>Total!I1297</f>
        <v>3377.25</v>
      </c>
    </row>
    <row r="40" spans="1:9" x14ac:dyDescent="0.2">
      <c r="A40" s="8">
        <v>39</v>
      </c>
      <c r="B40" s="101">
        <f>Total!B1298</f>
        <v>42886</v>
      </c>
      <c r="C40" s="101">
        <f>Total!C1298</f>
        <v>42905</v>
      </c>
      <c r="D40" s="112" t="s">
        <v>1092</v>
      </c>
      <c r="E40" s="101" t="str">
        <f>Total!E1298</f>
        <v>Edificació</v>
      </c>
      <c r="F40" s="96" t="str">
        <f>Total!F1298</f>
        <v>Direccions d'Execució</v>
      </c>
      <c r="G40" s="112" t="str">
        <f>Total!G1298</f>
        <v>DE. CAP-13319-C1</v>
      </c>
      <c r="H40" s="112" t="str">
        <f>Total!H1298</f>
        <v>Direcció d'execució de les obres del projecte complementari núm. 1 de la nova construcció del CAP Figueres 2.</v>
      </c>
      <c r="I40" s="157">
        <f>Total!I1298</f>
        <v>13509</v>
      </c>
    </row>
    <row r="41" spans="1:9" x14ac:dyDescent="0.2">
      <c r="A41" s="8">
        <v>40</v>
      </c>
      <c r="B41" s="101">
        <f>Total!B1299</f>
        <v>42884</v>
      </c>
      <c r="C41" s="101">
        <f>Total!C1299</f>
        <v>42898</v>
      </c>
      <c r="D41" s="112" t="s">
        <v>1092</v>
      </c>
      <c r="E41" s="101" t="str">
        <f>Total!E1299</f>
        <v>Edificació</v>
      </c>
      <c r="F41" s="96" t="str">
        <f>Total!F1299</f>
        <v>Direccions d'Execució</v>
      </c>
      <c r="G41" s="112" t="str">
        <f>Total!G1299</f>
        <v>DE. INA-11213.1</v>
      </c>
      <c r="H41" s="112" t="str">
        <f>Total!H1299</f>
        <v>Direcció d'execució de les obres d'ampliació, adequació i reconversió de l'Escola Montpedròs a Institut 4/2 L (1a fase) a Santa Coloma de Cervelló.</v>
      </c>
      <c r="I41" s="157">
        <f>Total!I1299</f>
        <v>40000</v>
      </c>
    </row>
    <row r="42" spans="1:9" x14ac:dyDescent="0.2">
      <c r="A42" s="8">
        <v>41</v>
      </c>
      <c r="B42" s="101">
        <f>Total!B1302</f>
        <v>42885</v>
      </c>
      <c r="C42" s="101">
        <f>Total!C1302</f>
        <v>42905</v>
      </c>
      <c r="D42" s="112" t="s">
        <v>1092</v>
      </c>
      <c r="E42" s="101" t="str">
        <f>Total!E1302</f>
        <v>Obra Civil</v>
      </c>
      <c r="F42" s="96" t="str">
        <f>Total!F1302</f>
        <v>Direccions d'Obra</v>
      </c>
      <c r="G42" s="112" t="str">
        <f>Total!G1302</f>
        <v>ATAM. AB-14009-F1+AB-14009-F2</v>
      </c>
      <c r="H42" s="112" t="str">
        <f>Total!H1302</f>
        <v>Assistència tècnica ambiental conjunta de les obres del projecte constructiu de millora general. Condicionament. Ampliació a 3 carrils de l'autopista C-58, sentit Barcelona, del pk 12,600 al 16,750. tram: Sant Quirze del Vallès-Terrassa. …</v>
      </c>
      <c r="I42" s="157">
        <f>Total!I1302</f>
        <v>93792</v>
      </c>
    </row>
    <row r="43" spans="1:9" x14ac:dyDescent="0.2">
      <c r="I43" s="126">
        <f>SUM(I2:I42)</f>
        <v>2796306.55</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I28"/>
  <sheetViews>
    <sheetView topLeftCell="A3" workbookViewId="0">
      <selection activeCell="A3"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Total!B1230</f>
        <v>42829</v>
      </c>
      <c r="C2" s="101">
        <f>Total!C1230</f>
        <v>42863</v>
      </c>
      <c r="D2" s="112" t="s">
        <v>1092</v>
      </c>
      <c r="E2" s="101" t="str">
        <f>Total!E1230</f>
        <v>Obra Civil</v>
      </c>
      <c r="F2" s="96" t="str">
        <f>Total!F1230</f>
        <v>Projectes</v>
      </c>
      <c r="G2" s="112" t="str">
        <f>Total!G1230</f>
        <v>IA.IA-NG-02083.2-A2</v>
      </c>
      <c r="H2" s="112" t="str">
        <f>Total!H1230</f>
        <v>Redacció de l'estudi d'impacte ambiental de millora general. Nova carretera C-37 de Vic a Olot. Variant de Les Preses. Del Pk 171,600 de la carretera C-37 a l'inici de la futura variant d'Olot. Tram: La Vall d'en Bas-Les Preses.</v>
      </c>
      <c r="I2" s="157">
        <f>Total!I1230</f>
        <v>23400</v>
      </c>
    </row>
    <row r="3" spans="1:9" x14ac:dyDescent="0.2">
      <c r="A3" s="8">
        <v>2</v>
      </c>
      <c r="B3" s="101">
        <f>Total!B1231</f>
        <v>42830</v>
      </c>
      <c r="C3" s="101">
        <f>Total!C1231</f>
        <v>42849</v>
      </c>
      <c r="D3" s="112" t="s">
        <v>1092</v>
      </c>
      <c r="E3" s="101" t="str">
        <f>Total!E1231</f>
        <v>Edificació</v>
      </c>
      <c r="F3" s="96" t="str">
        <f>Total!F1231</f>
        <v>Projectes</v>
      </c>
      <c r="G3" s="112" t="str">
        <f>Total!G1231</f>
        <v>EV. EG18</v>
      </c>
      <c r="H3" s="112" t="str">
        <f>Total!H1231</f>
        <v>Realització dels informes preliminars dels emplaçaments dels projectes d'edificació.</v>
      </c>
      <c r="I3" s="157">
        <f>Total!I1231</f>
        <v>144000</v>
      </c>
    </row>
    <row r="4" spans="1:9" x14ac:dyDescent="0.2">
      <c r="A4" s="8">
        <v>3</v>
      </c>
      <c r="B4" s="101">
        <f>Total!B1232</f>
        <v>42830</v>
      </c>
      <c r="C4" s="101">
        <f>Total!C1232</f>
        <v>42849</v>
      </c>
      <c r="D4" s="112" t="s">
        <v>1092</v>
      </c>
      <c r="E4" s="101" t="str">
        <f>Total!E1232</f>
        <v>Edificació</v>
      </c>
      <c r="F4" s="96" t="str">
        <f>Total!F1232</f>
        <v>Direccions d'Execució</v>
      </c>
      <c r="G4" s="112" t="str">
        <f>Total!G1232</f>
        <v>CSS. INB-14335</v>
      </c>
      <c r="H4" s="112" t="str">
        <f>Total!H1232</f>
        <v>Coordinació de seguretat i salut de les obres de nova construcció Institut 4/3 línies a l'Institut María Espinalt de Barcelona.</v>
      </c>
      <c r="I4" s="157">
        <f>Total!I1232</f>
        <v>27200</v>
      </c>
    </row>
    <row r="5" spans="1:9" x14ac:dyDescent="0.2">
      <c r="A5" s="8">
        <v>4</v>
      </c>
      <c r="B5" s="101">
        <f>Total!B1233</f>
        <v>42830</v>
      </c>
      <c r="C5" s="101">
        <f>Total!C1233</f>
        <v>42849</v>
      </c>
      <c r="D5" s="112" t="s">
        <v>1092</v>
      </c>
      <c r="E5" s="101" t="str">
        <f>Total!E1233</f>
        <v>Edificació</v>
      </c>
      <c r="F5" s="96" t="str">
        <f>Total!F1233</f>
        <v>Direccions d'Execució</v>
      </c>
      <c r="G5" s="112" t="str">
        <f>Total!G1233</f>
        <v>DE. PGM-15305</v>
      </c>
      <c r="H5" s="112" t="str">
        <f>Total!H1233</f>
        <v>Direcció d'execució de les obres de rehabilitació, adequació i millora del parc de Bombers de Figueres.</v>
      </c>
      <c r="I5" s="157">
        <f>Total!I1233</f>
        <v>26500</v>
      </c>
    </row>
    <row r="6" spans="1:9" x14ac:dyDescent="0.2">
      <c r="A6" s="8">
        <v>5</v>
      </c>
      <c r="B6" s="101">
        <f>Total!B1234</f>
        <v>42831</v>
      </c>
      <c r="C6" s="101">
        <f>Total!C1234</f>
        <v>42849</v>
      </c>
      <c r="D6" s="112" t="s">
        <v>1092</v>
      </c>
      <c r="E6" s="101" t="str">
        <f>Total!E1234</f>
        <v>Edificació</v>
      </c>
      <c r="F6" s="96" t="str">
        <f>Total!F1234</f>
        <v>Direccions d'Obra</v>
      </c>
      <c r="G6" s="112" t="str">
        <f>Total!G1234</f>
        <v>DO. PGM-15305</v>
      </c>
      <c r="H6" s="112" t="str">
        <f>Total!H1234</f>
        <v>Direcció de les obres de rehabilitació, adequació i millora del parc de Bombers de Figueres.</v>
      </c>
      <c r="I6" s="157">
        <f>Total!I1234</f>
        <v>22500</v>
      </c>
    </row>
    <row r="7" spans="1:9" x14ac:dyDescent="0.2">
      <c r="A7" s="8">
        <v>6</v>
      </c>
      <c r="B7" s="101">
        <f>Total!B1235</f>
        <v>42831</v>
      </c>
      <c r="C7" s="101">
        <f>Total!C1235</f>
        <v>42849</v>
      </c>
      <c r="D7" s="112" t="s">
        <v>1092</v>
      </c>
      <c r="E7" s="101" t="str">
        <f>Total!E1235</f>
        <v>Obra Civil</v>
      </c>
      <c r="F7" s="96" t="str">
        <f>Total!F1235</f>
        <v>Projectes</v>
      </c>
      <c r="G7" s="112" t="str">
        <f>Total!G1235</f>
        <v>PC. TM-00509.58</v>
      </c>
      <c r="H7" s="112" t="str">
        <f>Total!H1235</f>
        <v>Redacció del projecte constructiu per a millorar les condicions ambientals en els llocs de treball en el Tarrer de la Zona Franca de L9.</v>
      </c>
      <c r="I7" s="157">
        <f>Total!I1235</f>
        <v>45000</v>
      </c>
    </row>
    <row r="8" spans="1:9" x14ac:dyDescent="0.2">
      <c r="A8" s="8">
        <v>7</v>
      </c>
      <c r="B8" s="101">
        <f>Total!B1236</f>
        <v>42831</v>
      </c>
      <c r="C8" s="101">
        <f>Total!C1236</f>
        <v>42849</v>
      </c>
      <c r="D8" s="112" t="s">
        <v>1092</v>
      </c>
      <c r="E8" s="101" t="str">
        <f>Total!E1236</f>
        <v>Obra Civil</v>
      </c>
      <c r="F8" s="96" t="str">
        <f>Total!F1236</f>
        <v>Projectes</v>
      </c>
      <c r="G8" s="112" t="str">
        <f>Total!G1236</f>
        <v>PC. TM-00509.55</v>
      </c>
      <c r="H8" s="112" t="str">
        <f>Total!H1236</f>
        <v>Redacció del projecte constructiu per optimitzar les fixacions dels aparells de via del tram IV de la Línia 9 del Metro de Barcelona.</v>
      </c>
      <c r="I8" s="157">
        <f>Total!I1236</f>
        <v>20000</v>
      </c>
    </row>
    <row r="9" spans="1:9" x14ac:dyDescent="0.2">
      <c r="A9" s="8">
        <v>8</v>
      </c>
      <c r="B9" s="101">
        <f>Total!B1237</f>
        <v>42831</v>
      </c>
      <c r="C9" s="101">
        <f>Total!C1237</f>
        <v>42849</v>
      </c>
      <c r="D9" s="112" t="s">
        <v>1092</v>
      </c>
      <c r="E9" s="101" t="str">
        <f>Total!E1237</f>
        <v>Obra Civil</v>
      </c>
      <c r="F9" s="96" t="str">
        <f>Total!F1237</f>
        <v>Projectes</v>
      </c>
      <c r="G9" s="112" t="str">
        <f>Total!G1237</f>
        <v>PC. TM-00509.57</v>
      </c>
      <c r="H9" s="112" t="str">
        <f>Total!H1237</f>
        <v>Redacció del projecte constructiu per l'execució de les obres del parament per minimitzar l'efecte del vent en estacions exteriors de la Zona Franca de la L9 de Metro de Barcelona.</v>
      </c>
      <c r="I9" s="157">
        <f>Total!I1237</f>
        <v>75000</v>
      </c>
    </row>
    <row r="10" spans="1:9" x14ac:dyDescent="0.2">
      <c r="A10" s="8">
        <v>9</v>
      </c>
      <c r="B10" s="101">
        <f>Total!B1238</f>
        <v>42831</v>
      </c>
      <c r="C10" s="101">
        <f>Total!C1238</f>
        <v>42849</v>
      </c>
      <c r="D10" s="112" t="s">
        <v>1092</v>
      </c>
      <c r="E10" s="101" t="str">
        <f>Total!E1238</f>
        <v>Obra Civil</v>
      </c>
      <c r="F10" s="96" t="str">
        <f>Total!F1238</f>
        <v>Direccions d'Obra</v>
      </c>
      <c r="G10" s="112" t="str">
        <f>Total!G1238</f>
        <v>CSS. AL-05037</v>
      </c>
      <c r="H10" s="112" t="str">
        <f>Total!H1238</f>
        <v>Coordinació de seguretat i salut de les obres de millora general. Condicionament. Eixamplament i millora del traçat. Ctra. C-14, pk 163,200 al 166,520. Tram: Organyà-Montant de Tost.</v>
      </c>
      <c r="I10" s="157">
        <f>Total!I1238</f>
        <v>194000</v>
      </c>
    </row>
    <row r="11" spans="1:9" x14ac:dyDescent="0.2">
      <c r="A11" s="8">
        <v>10</v>
      </c>
      <c r="B11" s="101">
        <f>Total!B1239</f>
        <v>42831</v>
      </c>
      <c r="C11" s="101">
        <f>Total!C1239</f>
        <v>42849</v>
      </c>
      <c r="D11" s="112" t="s">
        <v>1092</v>
      </c>
      <c r="E11" s="101" t="str">
        <f>Total!E1239</f>
        <v>Edificació</v>
      </c>
      <c r="F11" s="96" t="str">
        <f>Total!F1239</f>
        <v>Projectes</v>
      </c>
      <c r="G11" s="112" t="str">
        <f>Total!G1239</f>
        <v>EG. EG17</v>
      </c>
      <c r="H11" s="112" t="str">
        <f>Total!H1239</f>
        <v>Realització dels informes preliminars dels emplaçaments del projectes d'edificació encarregats per Servei Català de la Salut.</v>
      </c>
      <c r="I11" s="157">
        <f>Total!I1239</f>
        <v>32000</v>
      </c>
    </row>
    <row r="12" spans="1:9" x14ac:dyDescent="0.2">
      <c r="A12" s="8">
        <v>11</v>
      </c>
      <c r="B12" s="101">
        <f>Total!B1240</f>
        <v>42835</v>
      </c>
      <c r="C12" s="101">
        <f>Total!C1240</f>
        <v>42851</v>
      </c>
      <c r="D12" s="112" t="s">
        <v>1092</v>
      </c>
      <c r="E12" s="101" t="str">
        <f>Total!E1240</f>
        <v>Obra Civil</v>
      </c>
      <c r="F12" s="96" t="str">
        <f>Total!F1240</f>
        <v>Projectes</v>
      </c>
      <c r="G12" s="112" t="str">
        <f>Total!G1240</f>
        <v>EV.GE-MB-14040</v>
      </c>
      <c r="H12" s="112" t="str">
        <f>Total!H1240</f>
        <v>Assistència tècnica per a la redacció de l'estudi geotècnic. Mesures correctores. Anàlisi d'estabilitat de talús. Reparació del tram de la C-17 entre el pk 43,050 i el 43,550. Tram: Centelles-Seva.</v>
      </c>
      <c r="I12" s="157">
        <f>Total!I1240</f>
        <v>83700</v>
      </c>
    </row>
    <row r="13" spans="1:9" x14ac:dyDescent="0.2">
      <c r="A13" s="8">
        <v>12</v>
      </c>
      <c r="B13" s="101">
        <f>Total!B1241</f>
        <v>42836</v>
      </c>
      <c r="C13" s="101">
        <f>Total!C1241</f>
        <v>42857</v>
      </c>
      <c r="D13" s="112" t="s">
        <v>1092</v>
      </c>
      <c r="E13" s="101" t="str">
        <f>Total!E1241</f>
        <v>Obra Civil</v>
      </c>
      <c r="F13" s="96" t="str">
        <f>Total!F1241</f>
        <v>Control de Qualitat</v>
      </c>
      <c r="G13" s="112" t="str">
        <f>Total!G1241</f>
        <v>CQ. ML-15067</v>
      </c>
      <c r="H13" s="112" t="str">
        <f>Total!H1241</f>
        <v>Control de qualitat de les obres del projecte de millora local. Seguretat viària. Travesseres d'Anglesola, Tomabous i Tarrós, la Fuliola i Boldú, i Bellcaire d'Urgell a la Ctra. C-53, i travesseres d'Algerri i Castelló de Farfanya a la C-26.</v>
      </c>
      <c r="I13" s="157">
        <f>Total!I1241</f>
        <v>20863.62</v>
      </c>
    </row>
    <row r="14" spans="1:9" x14ac:dyDescent="0.2">
      <c r="A14" s="8">
        <v>13</v>
      </c>
      <c r="B14" s="101">
        <f>Total!B1242</f>
        <v>42836</v>
      </c>
      <c r="C14" s="101">
        <f>Total!C1242</f>
        <v>42863</v>
      </c>
      <c r="D14" s="112" t="s">
        <v>1092</v>
      </c>
      <c r="E14" s="101" t="str">
        <f>Total!E1242</f>
        <v>Edificació</v>
      </c>
      <c r="F14" s="96" t="str">
        <f>Total!F1242</f>
        <v>Projectes i Direccions d'Obra</v>
      </c>
      <c r="G14" s="112" t="str">
        <f>Total!G1242</f>
        <v>PE+DO. HHB-15356-C1</v>
      </c>
      <c r="H14" s="112" t="str">
        <f>Total!H1242</f>
        <v>Redacció del projecte complementari núm. 1 i la posterior direcció de les obres del nou accés ambulatori i reforma del soterrani per a consultes externes de l'Àrea Maternoinfantil de l'Hospital Vall d'Hebron, de Barcelona.</v>
      </c>
      <c r="I14" s="157">
        <f>Total!I1242</f>
        <v>46946</v>
      </c>
    </row>
    <row r="15" spans="1:9" x14ac:dyDescent="0.2">
      <c r="A15" s="8">
        <v>14</v>
      </c>
      <c r="B15" s="101">
        <f>Total!B1243</f>
        <v>42837</v>
      </c>
      <c r="C15" s="101">
        <f>Total!C1243</f>
        <v>42857</v>
      </c>
      <c r="D15" s="112" t="s">
        <v>1092</v>
      </c>
      <c r="E15" s="101" t="str">
        <f>Total!E1243</f>
        <v>Obra Civil</v>
      </c>
      <c r="F15" s="96" t="str">
        <f>Total!F1243</f>
        <v>Control de Qualitat</v>
      </c>
      <c r="G15" s="112" t="str">
        <f>Total!G1243</f>
        <v>CQ. MG-08128.2</v>
      </c>
      <c r="H15" s="112" t="str">
        <f>Total!H1243</f>
        <v>Control de qualitat de les obres del projecte de millora local. Eixamplament i reforç del ferm. Carretera C-25, del pk 240,100 al 242,100. Tram: Riudellots de la Selva-Campllong.</v>
      </c>
      <c r="I15" s="157">
        <f>Total!I1243</f>
        <v>31847.38</v>
      </c>
    </row>
    <row r="16" spans="1:9" x14ac:dyDescent="0.2">
      <c r="A16" s="8">
        <v>15</v>
      </c>
      <c r="B16" s="101">
        <f>Total!B1244</f>
        <v>42838</v>
      </c>
      <c r="C16" s="101">
        <f>Total!C1244</f>
        <v>42863</v>
      </c>
      <c r="D16" s="112" t="s">
        <v>1092</v>
      </c>
      <c r="E16" s="101" t="str">
        <f>Total!E1244</f>
        <v>Edificació</v>
      </c>
      <c r="F16" s="96" t="str">
        <f>Total!F1244</f>
        <v>Projectes i Direccions d'Obra</v>
      </c>
      <c r="G16" s="112" t="str">
        <f>Total!G1244</f>
        <v>PE+DO. VGM-17222</v>
      </c>
      <c r="H16" s="112" t="str">
        <f>Total!H1244</f>
        <v>Redacció del projecte executiu i l'estudi de seguretat i salut i la posterior direcció d'obra de les obres RAM a l'Institut de Seguretat Pública de Catalunya a Mollet del Vallès. Adequació i millora de les instal·lacions de climatització pel seu ús..</v>
      </c>
      <c r="I16" s="157">
        <f>Total!I1244</f>
        <v>76508.240000000005</v>
      </c>
    </row>
    <row r="17" spans="1:9" x14ac:dyDescent="0.2">
      <c r="A17" s="8">
        <v>16</v>
      </c>
      <c r="B17" s="101">
        <f>Total!B1245</f>
        <v>42838</v>
      </c>
      <c r="C17" s="101">
        <f>Total!C1245</f>
        <v>42863</v>
      </c>
      <c r="D17" s="112" t="s">
        <v>1092</v>
      </c>
      <c r="E17" s="101" t="str">
        <f>Total!E1245</f>
        <v>Edificació</v>
      </c>
      <c r="F17" s="96" t="str">
        <f>Total!F1245</f>
        <v>Projectes i Direccions d'Obra</v>
      </c>
      <c r="G17" s="112" t="str">
        <f>Total!G1245</f>
        <v>PE+DO. VGM-17227</v>
      </c>
      <c r="H17" s="112" t="str">
        <f>Total!H1245</f>
        <v>Redacció del projecte executiu i l'estudi de seguretat i salut i la posterior direcció d'obra de les obres RAM al Complex Central de Sabadell. Modificació i millora dels accessos al Comples, i actuacions diverses a l'edifici A del complex:…</v>
      </c>
      <c r="I17" s="157">
        <f>Total!I1245</f>
        <v>53234.65</v>
      </c>
    </row>
    <row r="18" spans="1:9" x14ac:dyDescent="0.2">
      <c r="A18" s="8">
        <v>17</v>
      </c>
      <c r="B18" s="101">
        <f>Total!B1246</f>
        <v>42849</v>
      </c>
      <c r="C18" s="101">
        <f>Total!C1246</f>
        <v>42870</v>
      </c>
      <c r="D18" s="112" t="s">
        <v>1092</v>
      </c>
      <c r="E18" s="101" t="str">
        <f>Total!E1246</f>
        <v>Obra Civil</v>
      </c>
      <c r="F18" s="96" t="str">
        <f>Total!F1246</f>
        <v>Projectes</v>
      </c>
      <c r="G18" s="112" t="str">
        <f>Total!G1246</f>
        <v>PC. CB-16062</v>
      </c>
      <c r="H18" s="112" t="str">
        <f>Total!H1246</f>
        <v>Redacció del projecte constructiu de conservació extraordinària. Ponts i estructures. Rehabilitació d'obra de fàbrica a la carretera BP-4313, pk 42,160. Tram: Balsareny.</v>
      </c>
      <c r="I18" s="157">
        <f>Total!I1246</f>
        <v>25500</v>
      </c>
    </row>
    <row r="19" spans="1:9" x14ac:dyDescent="0.2">
      <c r="A19" s="8">
        <v>18</v>
      </c>
      <c r="B19" s="101">
        <f>Total!B1247</f>
        <v>42849</v>
      </c>
      <c r="C19" s="101">
        <f>Total!C1247</f>
        <v>42870</v>
      </c>
      <c r="D19" s="112" t="s">
        <v>1092</v>
      </c>
      <c r="E19" s="101" t="str">
        <f>Total!E1247</f>
        <v>Obra Civil</v>
      </c>
      <c r="F19" s="96" t="str">
        <f>Total!F1247</f>
        <v>Projectes</v>
      </c>
      <c r="G19" s="112" t="str">
        <f>Total!G1247</f>
        <v>PC. TA-16203</v>
      </c>
      <c r="H19" s="112" t="str">
        <f>Total!H1247</f>
        <v>Redacció del projecte constructiu de la nova estació d'autobusos d'Almacelles.</v>
      </c>
      <c r="I19" s="157">
        <f>Total!I1247</f>
        <v>33300</v>
      </c>
    </row>
    <row r="20" spans="1:9" x14ac:dyDescent="0.2">
      <c r="A20" s="8">
        <v>19</v>
      </c>
      <c r="B20" s="101">
        <f>Total!B1248</f>
        <v>42850</v>
      </c>
      <c r="C20" s="101">
        <f>Total!C1248</f>
        <v>42898</v>
      </c>
      <c r="D20" s="112" t="s">
        <v>1092</v>
      </c>
      <c r="E20" s="101" t="str">
        <f>Total!E1248</f>
        <v>Obra Civil</v>
      </c>
      <c r="F20" s="96" t="str">
        <f>Total!F1248</f>
        <v>Projectes</v>
      </c>
      <c r="G20" s="112" t="str">
        <f>Total!G1248</f>
        <v>E1-R0-17209</v>
      </c>
      <c r="H20" s="112" t="str">
        <f>Total!H1248</f>
        <v>Redacció de l'estudi de la nova xarxa de transport i accés IP de la Línia 9 de Metro de Barcelona.</v>
      </c>
      <c r="I20" s="157">
        <f>Total!I1248</f>
        <v>252000</v>
      </c>
    </row>
    <row r="21" spans="1:9" x14ac:dyDescent="0.2">
      <c r="A21" s="8">
        <v>20</v>
      </c>
      <c r="B21" s="101">
        <f>Total!B1249</f>
        <v>42850</v>
      </c>
      <c r="C21" s="101">
        <f>Total!C1249</f>
        <v>42898</v>
      </c>
      <c r="D21" s="112" t="s">
        <v>1092</v>
      </c>
      <c r="E21" s="101" t="str">
        <f>Total!E1249</f>
        <v>Edificació</v>
      </c>
      <c r="F21" s="96" t="str">
        <f>Total!F1249</f>
        <v>Projectes i Direccions d'Obra</v>
      </c>
      <c r="G21" s="112" t="str">
        <f>Total!G1249</f>
        <v>PE+DO. PNL-17211</v>
      </c>
      <c r="H21" s="112" t="str">
        <f>Total!H1249</f>
        <v>Redacció del projecte bàsic i executiu i la posterior direcció d'obra de la nova construcció Escola Pinyana, a Lleida.</v>
      </c>
      <c r="I21" s="157">
        <f>Total!I1249</f>
        <v>376316</v>
      </c>
    </row>
    <row r="22" spans="1:9" x14ac:dyDescent="0.2">
      <c r="A22" s="8">
        <v>21</v>
      </c>
      <c r="B22" s="101">
        <f>Total!B1250</f>
        <v>42850</v>
      </c>
      <c r="C22" s="101">
        <f>Total!C1250</f>
        <v>42898</v>
      </c>
      <c r="D22" s="112" t="s">
        <v>1092</v>
      </c>
      <c r="E22" s="101" t="str">
        <f>Total!E1250</f>
        <v>Edificació</v>
      </c>
      <c r="F22" s="96" t="str">
        <f>Total!F1250</f>
        <v>Projectes i Direccions d'Obra</v>
      </c>
      <c r="G22" s="112" t="str">
        <f>Total!G1250</f>
        <v>PE+DO. HMB-16284</v>
      </c>
      <c r="H22" s="112" t="str">
        <f>Total!H1250</f>
        <v>Red. proj. bàsic exec., estudi s.s., certif. efic. energètica, estudi patologies i el proj. activ. per a llicència ambiental i la posterior dir. obres de la reforma d'espais de l'Hospital de Mataró.</v>
      </c>
      <c r="I22" s="157">
        <f>Total!I1250</f>
        <v>277164</v>
      </c>
    </row>
    <row r="23" spans="1:9" x14ac:dyDescent="0.2">
      <c r="A23" s="8">
        <v>22</v>
      </c>
      <c r="B23" s="101">
        <f>Total!B1251</f>
        <v>42850</v>
      </c>
      <c r="C23" s="101">
        <f>Total!C1251</f>
        <v>42893</v>
      </c>
      <c r="D23" s="112" t="s">
        <v>1092</v>
      </c>
      <c r="E23" s="101" t="str">
        <f>Total!E1251</f>
        <v>Edificació</v>
      </c>
      <c r="F23" s="96" t="str">
        <f>Total!F1251</f>
        <v>Projectes i Direccions d'Obra</v>
      </c>
      <c r="G23" s="112" t="str">
        <f>Total!G1251</f>
        <v>PE+DO. JVX-17231</v>
      </c>
      <c r="H23" s="112" t="str">
        <f>Total!H1251</f>
        <v>Redac. projecte bàsic i executiu i la posterior dir. obra de les obres RAM de consolidació estructural, substitució fusteries exteriors, i adequació barreres arquitectòniques de l'edifici dels Serveis Territorials de Lleida al C. Sant Martí, 1.</v>
      </c>
      <c r="I23" s="157">
        <f>Total!I1251</f>
        <v>50936</v>
      </c>
    </row>
    <row r="24" spans="1:9" x14ac:dyDescent="0.2">
      <c r="A24" s="8">
        <v>23</v>
      </c>
      <c r="B24" s="101">
        <f>Total!B1252</f>
        <v>42850</v>
      </c>
      <c r="C24" s="101">
        <f>Total!C1252</f>
        <v>42877</v>
      </c>
      <c r="D24" s="112" t="s">
        <v>1092</v>
      </c>
      <c r="E24" s="101" t="str">
        <f>Total!E1252</f>
        <v>Edificació</v>
      </c>
      <c r="F24" s="96" t="str">
        <f>Total!F1252</f>
        <v>Projectes i Direccions d'Obra</v>
      </c>
      <c r="G24" s="112" t="str">
        <f>Total!G1252</f>
        <v>PE+DO. JVX-17230</v>
      </c>
      <c r="H24" s="112" t="str">
        <f>Total!H1252</f>
        <v>Redac. projecte bàsic i executiu i la posterior dir. obra de les obres RAM de consolidació estructural, adequació de les barreres arquitectòniques i reestructuració funcional de l'ed. judicial de Tremp, carrer Fom, 14.</v>
      </c>
      <c r="I24" s="157">
        <f>Total!I1252</f>
        <v>52914</v>
      </c>
    </row>
    <row r="25" spans="1:9" x14ac:dyDescent="0.2">
      <c r="A25" s="8">
        <v>24</v>
      </c>
      <c r="B25" s="101">
        <f>Total!B1253</f>
        <v>42851</v>
      </c>
      <c r="C25" s="101">
        <f>Total!C1253</f>
        <v>42872</v>
      </c>
      <c r="D25" s="112" t="s">
        <v>1092</v>
      </c>
      <c r="E25" s="101" t="str">
        <f>Total!E1253</f>
        <v>Edificació</v>
      </c>
      <c r="F25" s="96" t="str">
        <f>Total!F1253</f>
        <v>Projectes i Direccions Facultatives</v>
      </c>
      <c r="G25" s="112" t="str">
        <f>Total!G1253</f>
        <v>PE+DO. CGM-17226</v>
      </c>
      <c r="H25" s="112" t="str">
        <f>Total!H1253</f>
        <v>Redacció proj. executiu i est. s.s. i posterior dir. facultativa obres RAM. Reparació i rehab. diverses instal. i espais de les Comissaries de les Regions Policials de Girona, Metropolitana Nord, Metrop. Sud, Barcelona i actuació col. pilones protec.</v>
      </c>
      <c r="I25" s="157">
        <f>Total!I1253</f>
        <v>44338.85</v>
      </c>
    </row>
    <row r="26" spans="1:9" x14ac:dyDescent="0.2">
      <c r="A26" s="8">
        <v>25</v>
      </c>
      <c r="B26" s="101">
        <f>Total!B1254</f>
        <v>42853</v>
      </c>
      <c r="C26" s="101">
        <f>Total!C1254</f>
        <v>42870</v>
      </c>
      <c r="D26" s="112" t="s">
        <v>1092</v>
      </c>
      <c r="E26" s="101" t="str">
        <f>Total!E1254</f>
        <v>Obra Civil</v>
      </c>
      <c r="F26" s="96" t="str">
        <f>Total!F1254</f>
        <v>Projectes</v>
      </c>
      <c r="G26" s="112" t="str">
        <f>Total!G1254</f>
        <v>PC. DG-9032.6-C1</v>
      </c>
      <c r="H26" s="112" t="str">
        <f>Total!H1254</f>
        <v>Assistència tècnica del projecte constructiu de la millora general. Obres complementàries. Desdoblament de la carretera C-260, del pk 29,000  de la C-260 al pk 754,350 de la N-II. Tram: Figueres.</v>
      </c>
      <c r="I26" s="157">
        <f>Total!I1254</f>
        <v>25500</v>
      </c>
    </row>
    <row r="27" spans="1:9" x14ac:dyDescent="0.2">
      <c r="A27" s="8">
        <v>26</v>
      </c>
      <c r="B27" s="101">
        <f>Total!B1255</f>
        <v>42853</v>
      </c>
      <c r="C27" s="101">
        <f>Total!C1255</f>
        <v>42870</v>
      </c>
      <c r="D27" s="112" t="s">
        <v>1092</v>
      </c>
      <c r="E27" s="101" t="str">
        <f>Total!E1255</f>
        <v>Obra Civil</v>
      </c>
      <c r="F27" s="96" t="str">
        <f>Total!F1255</f>
        <v>Projectes</v>
      </c>
      <c r="G27" s="112" t="str">
        <f>Total!G1255</f>
        <v>PC. CB-16063</v>
      </c>
      <c r="H27" s="112" t="str">
        <f>Total!H1255</f>
        <v>Redacció del projecte constructiu de conservació extraordinària. Ponts i estructures. Rehabilitació d'obra de fàbrica a la carretera C-58, pk 38,437. Tram: Monistrol de Montserrat.</v>
      </c>
      <c r="I27" s="157">
        <f>Total!I1255</f>
        <v>39300</v>
      </c>
    </row>
    <row r="28" spans="1:9" x14ac:dyDescent="0.2">
      <c r="I28" s="126">
        <f>SUM(I2:I27)</f>
        <v>2099968.7400000002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29"/>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Total!B1203</f>
        <v>42796</v>
      </c>
      <c r="C2" s="101">
        <f>Total!C1203</f>
        <v>42814</v>
      </c>
      <c r="D2" s="112" t="s">
        <v>1092</v>
      </c>
      <c r="E2" s="101" t="str">
        <f>Total!E1203</f>
        <v>Obra Civil</v>
      </c>
      <c r="F2" s="96" t="str">
        <f>Total!F1203</f>
        <v>Direccions d'Obra</v>
      </c>
      <c r="G2" s="112" t="str">
        <f>Total!G1203</f>
        <v>DO. ME-16009</v>
      </c>
      <c r="H2" s="112" t="str">
        <f>Total!H1203</f>
        <v>Direcció de les obres del projecte constructiu de millora local. Millora de nus. Millora de la intersecció de la carretera TV-3454, al pk 13,685 amb la carretera TV-3451. Tram: Deltebre.</v>
      </c>
      <c r="I2" s="157">
        <f>Total!I1203</f>
        <v>32177.78</v>
      </c>
    </row>
    <row r="3" spans="1:9" x14ac:dyDescent="0.2">
      <c r="A3" s="8">
        <v>2</v>
      </c>
      <c r="B3" s="101">
        <f>Total!B1204</f>
        <v>42797</v>
      </c>
      <c r="C3" s="101">
        <f>Total!C1204</f>
        <v>42849</v>
      </c>
      <c r="D3" s="112" t="s">
        <v>1092</v>
      </c>
      <c r="E3" s="101" t="str">
        <f>Total!E1204</f>
        <v>Edificació</v>
      </c>
      <c r="F3" s="96" t="str">
        <f>Total!F1204</f>
        <v>Projectes i Direccions d'Obra</v>
      </c>
      <c r="G3" s="112" t="str">
        <f>Total!G1204</f>
        <v>PE+DO. JNP-17210</v>
      </c>
      <c r="H3" s="112" t="str">
        <f>Total!H1204</f>
        <v>Redacció del projecte bàsic i executiu i la posterior direcció d'obra de la nova construcció de Centre Penitenciari Règim Obert 800 places Zona Franca, a Barcelona.</v>
      </c>
      <c r="I3" s="157">
        <f>Total!I1204</f>
        <v>1802444</v>
      </c>
    </row>
    <row r="4" spans="1:9" x14ac:dyDescent="0.2">
      <c r="A4" s="8">
        <v>3</v>
      </c>
      <c r="B4" s="101">
        <f>Total!B1205</f>
        <v>42797</v>
      </c>
      <c r="C4" s="101">
        <f>Total!C1205</f>
        <v>42849</v>
      </c>
      <c r="D4" s="112" t="s">
        <v>1092</v>
      </c>
      <c r="E4" s="101" t="str">
        <f>Total!E1205</f>
        <v>Edificació</v>
      </c>
      <c r="F4" s="96" t="str">
        <f>Total!F1205</f>
        <v>Projectes i Direccions d'Obra</v>
      </c>
      <c r="G4" s="112" t="str">
        <f>Total!G1205</f>
        <v>PE+DO. HGG-17202</v>
      </c>
      <c r="H4" s="112" t="str">
        <f>Total!H1205</f>
        <v>Redacció del projecte d'instal·lacions i la posterior direcció d'obra de les instal·lacions de l'ampliació del bloc quirúrgic i de l'Hospital de dia oncològic (ICO) de l'Hospital Dr. Josep Trueta, de Girona.</v>
      </c>
      <c r="I4" s="157">
        <f>Total!I1205</f>
        <v>248400.6</v>
      </c>
    </row>
    <row r="5" spans="1:9" x14ac:dyDescent="0.2">
      <c r="A5" s="8">
        <v>4</v>
      </c>
      <c r="B5" s="101">
        <f>Total!B1206</f>
        <v>42802</v>
      </c>
      <c r="C5" s="101">
        <f>Total!C1206</f>
        <v>42851</v>
      </c>
      <c r="D5" s="112" t="s">
        <v>1092</v>
      </c>
      <c r="E5" s="101" t="str">
        <f>Total!E1206</f>
        <v>Obra Civil</v>
      </c>
      <c r="F5" s="96" t="str">
        <f>Total!F1206</f>
        <v>Control de Qualitat</v>
      </c>
      <c r="G5" s="112" t="str">
        <f>Total!G1206</f>
        <v>CQ. AL-05037</v>
      </c>
      <c r="H5" s="112" t="str">
        <f>Total!H1206</f>
        <v>Control de qualitat de les obres del projecte constructiu de millora general. Condicionament. Eixamplament i millora de traçat. Carretera C-14, pk 163,200 al 166,520. Tram: Organyà-Montant de Tost.</v>
      </c>
      <c r="I5" s="157">
        <f>Total!I1206</f>
        <v>318597.12</v>
      </c>
    </row>
    <row r="6" spans="1:9" x14ac:dyDescent="0.2">
      <c r="A6" s="8">
        <v>5</v>
      </c>
      <c r="B6" s="101">
        <f>Total!B1207</f>
        <v>42802</v>
      </c>
      <c r="C6" s="101">
        <f>Total!C1207</f>
        <v>42851</v>
      </c>
      <c r="D6" s="112" t="s">
        <v>1092</v>
      </c>
      <c r="E6" s="101" t="str">
        <f>Total!E1207</f>
        <v>Obra Civil</v>
      </c>
      <c r="F6" s="96" t="str">
        <f>Total!F1207</f>
        <v>Direccions d'Obra</v>
      </c>
      <c r="G6" s="112" t="str">
        <f>Total!G1207</f>
        <v>DO. AL-05037</v>
      </c>
      <c r="H6" s="112" t="str">
        <f>Total!H1207</f>
        <v>Direcció de les obres del projecte constructiu de millora general. Condicionament. Eixamplament i millora de traçat. Carretera C-14, pk 163,200 al 166,520. Tram: Organyà-Montant de Tost.</v>
      </c>
      <c r="I6" s="157">
        <f>Total!I1207</f>
        <v>1161944.44</v>
      </c>
    </row>
    <row r="7" spans="1:9" x14ac:dyDescent="0.2">
      <c r="A7" s="8">
        <v>6</v>
      </c>
      <c r="B7" s="101">
        <f>Total!B1208</f>
        <v>42801</v>
      </c>
      <c r="C7" s="101">
        <f>Total!C1208</f>
        <v>42816</v>
      </c>
      <c r="D7" s="112" t="s">
        <v>1092</v>
      </c>
      <c r="E7" s="101" t="str">
        <f>Total!E1208</f>
        <v>Edificació</v>
      </c>
      <c r="F7" s="96" t="str">
        <f>Total!F1208</f>
        <v>Direccions d'Execució</v>
      </c>
      <c r="G7" s="112" t="str">
        <f>Total!G1208</f>
        <v>CSS. JJT-05338.2.A</v>
      </c>
      <c r="H7" s="112" t="str">
        <f>Total!H1208</f>
        <v>Coordinació de seguretat i salut de les obres d'adequació del projecte per a la construcció d'un edifici judicial a Tortosa.</v>
      </c>
      <c r="I7" s="157">
        <f>Total!I1208</f>
        <v>25000</v>
      </c>
    </row>
    <row r="8" spans="1:9" x14ac:dyDescent="0.2">
      <c r="A8" s="8">
        <v>7</v>
      </c>
      <c r="B8" s="101">
        <f>Total!B1209</f>
        <v>42801</v>
      </c>
      <c r="C8" s="101">
        <f>Total!C1209</f>
        <v>42821</v>
      </c>
      <c r="D8" s="112" t="s">
        <v>1092</v>
      </c>
      <c r="E8" s="101" t="str">
        <f>Total!E1209</f>
        <v>Obra Civil</v>
      </c>
      <c r="F8" s="96" t="str">
        <f>Total!F1209</f>
        <v>Projectes</v>
      </c>
      <c r="G8" s="112" t="str">
        <f>Total!G1209</f>
        <v>PC. AT-00164.1-A1</v>
      </c>
      <c r="H8" s="112" t="str">
        <f>Total!H1209</f>
        <v>Redacció del projecte constructiu de la millora general. Condicionament de la carretera C-51 a Vilardida. Pk-24,400 al 26,840. Tram: Vila-rodona.</v>
      </c>
      <c r="I8" s="157">
        <f>Total!I1209</f>
        <v>45655</v>
      </c>
    </row>
    <row r="9" spans="1:9" x14ac:dyDescent="0.2">
      <c r="A9" s="8">
        <v>8</v>
      </c>
      <c r="B9" s="101">
        <f>Total!B1210</f>
        <v>42801</v>
      </c>
      <c r="C9" s="101">
        <f>Total!C1210</f>
        <v>42816</v>
      </c>
      <c r="D9" s="112" t="s">
        <v>1092</v>
      </c>
      <c r="E9" s="101" t="str">
        <f>Total!E1210</f>
        <v>Edificació</v>
      </c>
      <c r="F9" s="96" t="str">
        <f>Total!F1210</f>
        <v>Control de Qualitat</v>
      </c>
      <c r="G9" s="112" t="str">
        <f>Total!G1210</f>
        <v>CQ. IAV-14296</v>
      </c>
      <c r="H9" s="112" t="str">
        <f>Total!H1210</f>
        <v>Control de qualitat de les obres de l'ampliació i adequació Escola a Institut 2/0 línies a l'Institut Can Periquet, a Palau Solità i Plegamans.</v>
      </c>
      <c r="I9" s="157">
        <f>Total!I1210</f>
        <v>24756.45</v>
      </c>
    </row>
    <row r="10" spans="1:9" x14ac:dyDescent="0.2">
      <c r="A10" s="8">
        <v>9</v>
      </c>
      <c r="B10" s="101">
        <f>Total!B1211</f>
        <v>42801</v>
      </c>
      <c r="C10" s="101">
        <f>Total!C1211</f>
        <v>42816</v>
      </c>
      <c r="D10" s="112" t="s">
        <v>1092</v>
      </c>
      <c r="E10" s="101" t="str">
        <f>Total!E1211</f>
        <v>Edificació</v>
      </c>
      <c r="F10" s="96" t="str">
        <f>Total!F1211</f>
        <v>Direccions d'Execució</v>
      </c>
      <c r="G10" s="112" t="str">
        <f>Total!G1211</f>
        <v>DE. IAV-14296</v>
      </c>
      <c r="H10" s="112" t="str">
        <f>Total!H1211</f>
        <v>Direcció d'execució de les obres de l'ampliació i adequació Escola a Institut 2/0 línies a l'Institut Can Periquet, a Palau Solità i Plegamans.</v>
      </c>
      <c r="I10" s="157">
        <f>Total!I1211</f>
        <v>60000</v>
      </c>
    </row>
    <row r="11" spans="1:9" x14ac:dyDescent="0.2">
      <c r="A11" s="8">
        <v>10</v>
      </c>
      <c r="B11" s="101">
        <f>Total!B1212</f>
        <v>42803</v>
      </c>
      <c r="C11" s="101">
        <f>Total!C1212</f>
        <v>42823</v>
      </c>
      <c r="D11" s="112" t="s">
        <v>1092</v>
      </c>
      <c r="E11" s="101" t="str">
        <f>Total!E1212</f>
        <v>Edificació</v>
      </c>
      <c r="F11" s="96" t="str">
        <f>Total!F1212</f>
        <v>Projectes i Direccions Facultatives</v>
      </c>
      <c r="G11" s="112" t="str">
        <f>Total!G1212</f>
        <v>PE+DF. JVX-17205</v>
      </c>
      <c r="H11" s="112" t="str">
        <f>Total!H1212</f>
        <v>Redacció del projecte executiu i de l'estudi de seguretat i salut i la posterior direcció facultativa de les obres RAM a la seu principal de l'edifici judicial de Rubí en vestíbuls, zones de distribució i soterrani, i condicionaments previs….</v>
      </c>
      <c r="I11" s="157">
        <f>Total!I1212</f>
        <v>41034.050000000003</v>
      </c>
    </row>
    <row r="12" spans="1:9" x14ac:dyDescent="0.2">
      <c r="A12" s="8">
        <v>11</v>
      </c>
      <c r="B12" s="101">
        <f>Total!B1213</f>
        <v>42803</v>
      </c>
      <c r="C12" s="101">
        <f>Total!C1213</f>
        <v>42823</v>
      </c>
      <c r="D12" s="112" t="s">
        <v>1092</v>
      </c>
      <c r="E12" s="101" t="str">
        <f>Total!E1213</f>
        <v>Edificació</v>
      </c>
      <c r="F12" s="96" t="str">
        <f>Total!F1213</f>
        <v>Projectes i Direccions Facultatives</v>
      </c>
      <c r="G12" s="112" t="str">
        <f>Total!G1213</f>
        <v>PE+DF. JVX-15294</v>
      </c>
      <c r="H12" s="112" t="str">
        <f>Total!H1213</f>
        <v>Redacció del projecte executiu i de l'estudi de seguretat i salut i la posterior direcció facultativa de les obres RAM als Serveis Centrals del Departament de Justícia a la Ronda de Sant Pere, 35 de Barcelona.</v>
      </c>
      <c r="I12" s="157">
        <f>Total!I1213</f>
        <v>36669.42</v>
      </c>
    </row>
    <row r="13" spans="1:9" x14ac:dyDescent="0.2">
      <c r="A13" s="8">
        <v>12</v>
      </c>
      <c r="B13" s="101">
        <f>Total!B1214</f>
        <v>42808</v>
      </c>
      <c r="C13" s="101">
        <f>Total!C1214</f>
        <v>42823</v>
      </c>
      <c r="D13" s="112" t="s">
        <v>1092</v>
      </c>
      <c r="E13" s="101" t="str">
        <f>Total!E1214</f>
        <v>Obra Civil</v>
      </c>
      <c r="F13" s="96" t="str">
        <f>Total!F1214</f>
        <v>Projectes</v>
      </c>
      <c r="G13" s="112" t="str">
        <f>Total!G1214</f>
        <v>AT. UPA-14015.3</v>
      </c>
      <c r="H13" s="112" t="str">
        <f>Total!H1214</f>
        <v>Assistència tècnica per als treballs de restauració  de les praderíes de posidònia, afectades per la presència de morts de fondeig als espais Natura 2000 de Montgrí-Medes-Baix Ter i Cap de Creu.</v>
      </c>
      <c r="I13" s="157">
        <f>Total!I1214</f>
        <v>101117.7</v>
      </c>
    </row>
    <row r="14" spans="1:9" x14ac:dyDescent="0.2">
      <c r="A14" s="8">
        <v>13</v>
      </c>
      <c r="B14" s="101">
        <f>Total!B1215</f>
        <v>42808</v>
      </c>
      <c r="C14" s="101">
        <f>Total!C1215</f>
        <v>42823</v>
      </c>
      <c r="D14" s="112" t="s">
        <v>1092</v>
      </c>
      <c r="E14" s="101" t="str">
        <f>Total!E1215</f>
        <v>Edificació</v>
      </c>
      <c r="F14" s="96" t="str">
        <f>Total!F1215</f>
        <v>Projectes i Direccions d'Obra</v>
      </c>
      <c r="G14" s="112" t="str">
        <f>Total!G1215</f>
        <v>PE+DO. PCL-16277</v>
      </c>
      <c r="H14" s="112" t="str">
        <f>Total!H1215</f>
        <v>Redacció del projecte bàsic i executiu i la posterior direcció d'obra del nou Parc de Bombers voluntaris, a Seròs.</v>
      </c>
      <c r="I14" s="157">
        <f>Total!I1215</f>
        <v>90691</v>
      </c>
    </row>
    <row r="15" spans="1:9" x14ac:dyDescent="0.2">
      <c r="A15" s="8">
        <v>14</v>
      </c>
      <c r="B15" s="101">
        <f>Total!B1216</f>
        <v>42808</v>
      </c>
      <c r="C15" s="101">
        <f>Total!C1216</f>
        <v>42823</v>
      </c>
      <c r="D15" s="112" t="s">
        <v>1092</v>
      </c>
      <c r="E15" s="101" t="str">
        <f>Total!E1216</f>
        <v>Edificació</v>
      </c>
      <c r="F15" s="96" t="str">
        <f>Total!F1216</f>
        <v>Projectes i Direccions d'Obra</v>
      </c>
      <c r="G15" s="112" t="str">
        <f>Total!G1216</f>
        <v>PE+DO. CAP-16285</v>
      </c>
      <c r="H15" s="112" t="str">
        <f>Total!H1216</f>
        <v>Redacció del projecte bàsic i executiu i la posterior direcció d'obra de la nova construcció del CAP Sant Esteve Sesrovires.</v>
      </c>
      <c r="I15" s="157">
        <f>Total!I1216</f>
        <v>176561</v>
      </c>
    </row>
    <row r="16" spans="1:9" x14ac:dyDescent="0.2">
      <c r="A16" s="8">
        <v>15</v>
      </c>
      <c r="B16" s="101">
        <f>Total!B1217</f>
        <v>42808</v>
      </c>
      <c r="C16" s="101">
        <f>Total!C1217</f>
        <v>42828</v>
      </c>
      <c r="D16" s="112" t="s">
        <v>1092</v>
      </c>
      <c r="E16" s="101" t="str">
        <f>Total!E1217</f>
        <v>Edificació</v>
      </c>
      <c r="F16" s="96" t="str">
        <f>Total!F1217</f>
        <v>Direccions d'Execució</v>
      </c>
      <c r="G16" s="112" t="str">
        <f>Total!G1217</f>
        <v>DE. CAP-14302</v>
      </c>
      <c r="H16" s="112" t="str">
        <f>Total!H1217</f>
        <v>Direcció d'execució de les obres d'ampliació i reforma del Centre d'Atenció Primària Doctor Joan Mirambell i Folch de Caldes de Montbui.</v>
      </c>
      <c r="I16" s="157">
        <f>Total!I1217</f>
        <v>25898.82</v>
      </c>
    </row>
    <row r="17" spans="1:9" x14ac:dyDescent="0.2">
      <c r="A17" s="8">
        <v>16</v>
      </c>
      <c r="B17" s="101">
        <f>Total!B1218</f>
        <v>42808</v>
      </c>
      <c r="C17" s="101">
        <f>Total!C1218</f>
        <v>42823</v>
      </c>
      <c r="D17" s="112" t="s">
        <v>1092</v>
      </c>
      <c r="E17" s="101" t="str">
        <f>Total!E1218</f>
        <v>Edificació</v>
      </c>
      <c r="F17" s="96" t="str">
        <f>Total!F1218</f>
        <v>Projectes i Direccions d'Obra</v>
      </c>
      <c r="G17" s="112" t="str">
        <f>Total!G1218</f>
        <v>PE+DO. IAL-17201</v>
      </c>
      <c r="H17" s="112" t="str">
        <f>Total!H1218</f>
        <v>Redacció del projecte bàsic i executiu i la posterior direcció d'obra de l'ampliació i adequació Institut 3/2 + Cicles Formatius, a Guissona.</v>
      </c>
      <c r="I17" s="157">
        <f>Total!I1218</f>
        <v>163086</v>
      </c>
    </row>
    <row r="18" spans="1:9" x14ac:dyDescent="0.2">
      <c r="A18" s="8">
        <v>17</v>
      </c>
      <c r="B18" s="101">
        <f>Total!B1219</f>
        <v>42810</v>
      </c>
      <c r="C18" s="101">
        <f>Total!C1219</f>
        <v>42828</v>
      </c>
      <c r="D18" s="112" t="s">
        <v>1092</v>
      </c>
      <c r="E18" s="101" t="str">
        <f>Total!E1219</f>
        <v>Edificació</v>
      </c>
      <c r="F18" s="96" t="str">
        <f>Total!F1219</f>
        <v>Control de Qualitat</v>
      </c>
      <c r="G18" s="112" t="str">
        <f>Total!G1219</f>
        <v>CQ. CAP-14302</v>
      </c>
      <c r="H18" s="112" t="str">
        <f>Total!H1219</f>
        <v>Control de qualitat de les obres d'ampliació i reforma del Centre d'Atenció Primària Doctor Joan Mirambell i Folc, de Caldes de Montbui.</v>
      </c>
      <c r="I18" s="157">
        <f>Total!I1219</f>
        <v>15885.29</v>
      </c>
    </row>
    <row r="19" spans="1:9" x14ac:dyDescent="0.2">
      <c r="A19" s="8">
        <v>18</v>
      </c>
      <c r="B19" s="101">
        <f>Total!B1220</f>
        <v>42811</v>
      </c>
      <c r="C19" s="101">
        <f>Total!C1220</f>
        <v>42830</v>
      </c>
      <c r="D19" s="112" t="s">
        <v>1092</v>
      </c>
      <c r="E19" s="101" t="str">
        <f>Total!E1220</f>
        <v>Obra Civil</v>
      </c>
      <c r="F19" s="96" t="str">
        <f>Total!F1220</f>
        <v>Projectes</v>
      </c>
      <c r="G19" s="112" t="str">
        <f>Total!G1220</f>
        <v>EI. EI-NG-02083.2-A2</v>
      </c>
      <c r="H19" s="112" t="str">
        <f>Total!H1220</f>
        <v>Redacció de l'estudi informatiu de millora general. Nova ctra. C-37 de Vic a Olot. Variant de les Preses. Del Pk 171,600 de la ctra. C-37 a l'inici de la futura variant d'Olot. Tram: La Vall d'en Bas-Les Preses.</v>
      </c>
      <c r="I19" s="157">
        <f>Total!I1220</f>
        <v>109360</v>
      </c>
    </row>
    <row r="20" spans="1:9" x14ac:dyDescent="0.2">
      <c r="A20" s="8">
        <v>19</v>
      </c>
      <c r="B20" s="101">
        <f>Total!B1221</f>
        <v>42811</v>
      </c>
      <c r="C20" s="101">
        <f>Total!C1221</f>
        <v>42828</v>
      </c>
      <c r="D20" s="112" t="s">
        <v>1092</v>
      </c>
      <c r="E20" s="101" t="str">
        <f>Total!E1221</f>
        <v>Edificació</v>
      </c>
      <c r="F20" s="96" t="str">
        <f>Total!F1221</f>
        <v>Control de Qualitat</v>
      </c>
      <c r="G20" s="112" t="str">
        <f>Total!G1221</f>
        <v>CQ. INH-14297</v>
      </c>
      <c r="H20" s="112" t="str">
        <f>Total!H1221</f>
        <v>Control de qualitat de les obres de nova construcció Institut 3/0 + despatxos CFA i EOI a la Secció d'Institut Serra Noet, a Berga.</v>
      </c>
      <c r="I20" s="157">
        <f>Total!I1221</f>
        <v>45812.91</v>
      </c>
    </row>
    <row r="21" spans="1:9" x14ac:dyDescent="0.2">
      <c r="A21" s="8">
        <v>20</v>
      </c>
      <c r="B21" s="101">
        <f>Total!B1222</f>
        <v>42811</v>
      </c>
      <c r="C21" s="101">
        <f>Total!C1222</f>
        <v>42828</v>
      </c>
      <c r="D21" s="112" t="s">
        <v>1092</v>
      </c>
      <c r="E21" s="101" t="str">
        <f>Total!E1222</f>
        <v>Edificació</v>
      </c>
      <c r="F21" s="96" t="str">
        <f>Total!F1222</f>
        <v>Direccions d'Execució</v>
      </c>
      <c r="G21" s="112" t="str">
        <f>Total!G1222</f>
        <v>CSS. INH-14297+1</v>
      </c>
      <c r="H21" s="112" t="str">
        <f>Total!H1222</f>
        <v>Coordinació de seguretat i salut conjunta per l'execució de les obres de Nova construcció 3/0 + espais per administració per CFA i EOI de la Secció d'Institut Serra de Noet a Berga. i per l'execució de les obres d'ampliació i reforma del Centre ….</v>
      </c>
      <c r="I21" s="157">
        <f>Total!I1222</f>
        <v>31500</v>
      </c>
    </row>
    <row r="22" spans="1:9" x14ac:dyDescent="0.2">
      <c r="A22" s="8">
        <v>21</v>
      </c>
      <c r="B22" s="101">
        <f>Total!B1223</f>
        <v>42814</v>
      </c>
      <c r="C22" s="101">
        <f>Total!C1223</f>
        <v>42830</v>
      </c>
      <c r="D22" s="112" t="s">
        <v>1092</v>
      </c>
      <c r="E22" s="101" t="str">
        <f>Total!E1223</f>
        <v>Edificació</v>
      </c>
      <c r="F22" s="96" t="str">
        <f>Total!F1223</f>
        <v>Direccions d'Execució</v>
      </c>
      <c r="G22" s="112" t="str">
        <f>Total!G1223</f>
        <v>DE. INB-14335</v>
      </c>
      <c r="H22" s="112" t="str">
        <f>Total!H1223</f>
        <v>Direcció d'execució de les obres de nova construcció Institut 4/3 línies a l'Institut Maria Espinalt de Barcelona.</v>
      </c>
      <c r="I22" s="157">
        <f>Total!I1223</f>
        <v>140000</v>
      </c>
    </row>
    <row r="23" spans="1:9" x14ac:dyDescent="0.2">
      <c r="A23" s="8">
        <v>22</v>
      </c>
      <c r="B23" s="101">
        <f>Total!B1224</f>
        <v>42817</v>
      </c>
      <c r="C23" s="101">
        <f>Total!C1224</f>
        <v>42835</v>
      </c>
      <c r="D23" s="112" t="s">
        <v>1092</v>
      </c>
      <c r="E23" s="101" t="str">
        <f>Total!E1224</f>
        <v>Obra Civil</v>
      </c>
      <c r="F23" s="96" t="str">
        <f>Total!F1224</f>
        <v>Projectes</v>
      </c>
      <c r="G23" s="112" t="str">
        <f>Total!G1224</f>
        <v>PC. RO-17203</v>
      </c>
      <c r="H23" s="112" t="str">
        <f>Total!H1224</f>
        <v>Redacció del projecte constructiu per a la restitució de paràmetres geomètrics en aparells de via del tram IV de la Línia 9 del metro de Barcelona.</v>
      </c>
      <c r="I23" s="157">
        <f>Total!I1224</f>
        <v>125000</v>
      </c>
    </row>
    <row r="24" spans="1:9" x14ac:dyDescent="0.2">
      <c r="A24" s="8">
        <v>23</v>
      </c>
      <c r="B24" s="101">
        <f>Total!B1225</f>
        <v>42818</v>
      </c>
      <c r="C24" s="101">
        <f>Total!C1225</f>
        <v>42870</v>
      </c>
      <c r="D24" s="112" t="s">
        <v>1092</v>
      </c>
      <c r="E24" s="101" t="str">
        <f>Total!E1225</f>
        <v>Edificació</v>
      </c>
      <c r="F24" s="96" t="str">
        <f>Total!F1225</f>
        <v>Projectes i Direccions d'Obra</v>
      </c>
      <c r="G24" s="112" t="str">
        <f>Total!G1225</f>
        <v>PE+DO. ING-17214</v>
      </c>
      <c r="H24" s="112" t="str">
        <f>Total!H1225</f>
        <v>Redacció del projecte bàsic i d'execució , la certificació d'eficiència energètica del projecte, l'estudi de seg. i salut i el proj. d'activitats per a llicència ambiental i la posterior direcció d'obra de la nova construcció institut Vilablareix 4/3</v>
      </c>
      <c r="I24" s="157">
        <f>Total!I1225</f>
        <v>426086</v>
      </c>
    </row>
    <row r="25" spans="1:9" x14ac:dyDescent="0.2">
      <c r="A25" s="8">
        <v>24</v>
      </c>
      <c r="B25" s="101">
        <f>Total!B1226</f>
        <v>42821</v>
      </c>
      <c r="C25" s="101">
        <f>Total!C1226</f>
        <v>42844</v>
      </c>
      <c r="D25" s="112" t="s">
        <v>1092</v>
      </c>
      <c r="E25" s="101" t="str">
        <f>Total!E1226</f>
        <v>Edificació</v>
      </c>
      <c r="F25" s="96" t="str">
        <f>Total!F1226</f>
        <v>Projectes i Direccions d'Obra</v>
      </c>
      <c r="G25" s="112" t="str">
        <f>Total!G1226</f>
        <v>PE+DO. JVX-16244</v>
      </c>
      <c r="H25" s="112" t="str">
        <f>Total!H1226</f>
        <v>Redac.  proj. executiu i est. s.s. i posterior dir. obres RAM Reorganització funcional: sala de vistes, ampliació vestíbul principal, i nova disposició per office, cel·la d'espera i boxes forenses. Jutjta de Sant Feliu de Llobregat…</v>
      </c>
      <c r="I25" s="157">
        <f>Total!I1226</f>
        <v>81758.960000000006</v>
      </c>
    </row>
    <row r="26" spans="1:9" x14ac:dyDescent="0.2">
      <c r="A26" s="8">
        <v>25</v>
      </c>
      <c r="B26" s="101">
        <f>Total!B1227</f>
        <v>42821</v>
      </c>
      <c r="C26" s="101">
        <f>Total!C1227</f>
        <v>42844</v>
      </c>
      <c r="D26" s="112" t="s">
        <v>1092</v>
      </c>
      <c r="E26" s="101" t="str">
        <f>Total!E1227</f>
        <v>Edificació</v>
      </c>
      <c r="F26" s="96" t="str">
        <f>Total!F1227</f>
        <v>Projectes i Direccions d'Obra</v>
      </c>
      <c r="G26" s="112" t="str">
        <f>Total!G1227</f>
        <v>PE+DO. JVX-17206</v>
      </c>
      <c r="H26" s="112" t="str">
        <f>Total!H1227</f>
        <v>Redacció del projecte i posterior direcció d'obra de les obres RAM a l'edifici dels jutjats de Sabadell de condicionament d'una planta sencera per a la ubicació de 2 jutjats de 1a instància.</v>
      </c>
      <c r="I26" s="157">
        <f>Total!I1227</f>
        <v>59028.11</v>
      </c>
    </row>
    <row r="27" spans="1:9" x14ac:dyDescent="0.2">
      <c r="A27" s="8">
        <v>26</v>
      </c>
      <c r="B27" s="101">
        <f>Total!B1228</f>
        <v>42822</v>
      </c>
      <c r="C27" s="101">
        <f>Total!C1228</f>
        <v>42849</v>
      </c>
      <c r="D27" s="112" t="s">
        <v>1092</v>
      </c>
      <c r="E27" s="101" t="str">
        <f>Total!E1228</f>
        <v>Edificació</v>
      </c>
      <c r="F27" s="96" t="str">
        <f>Total!F1228</f>
        <v>Control de Qualitat</v>
      </c>
      <c r="G27" s="112" t="str">
        <f>Total!G1228</f>
        <v>CQ. INB-14335</v>
      </c>
      <c r="H27" s="112" t="str">
        <f>Total!H1228</f>
        <v>Control de qualitat de les obres de nova construcció Institut 4/3 línies a l'Institut Maria Espinalt de Barcelona.</v>
      </c>
      <c r="I27" s="157">
        <f>Total!I1228</f>
        <v>47818.71</v>
      </c>
    </row>
    <row r="28" spans="1:9" x14ac:dyDescent="0.2">
      <c r="A28" s="8">
        <v>27</v>
      </c>
      <c r="B28" s="101">
        <f>Total!B1229</f>
        <v>42825</v>
      </c>
      <c r="C28" s="101">
        <f>Total!C1229</f>
        <v>42844</v>
      </c>
      <c r="D28" s="112" t="s">
        <v>1092</v>
      </c>
      <c r="E28" s="101" t="str">
        <f>Total!E1229</f>
        <v>Edificació</v>
      </c>
      <c r="F28" s="96" t="str">
        <f>Total!F1229</f>
        <v>Control de Qualitat</v>
      </c>
      <c r="G28" s="112" t="str">
        <f>Total!G1229</f>
        <v>CQ. RAM-17900</v>
      </c>
      <c r="H28" s="112" t="str">
        <f>Total!H1229</f>
        <v>Control de qualitat de les obres RAM 2017.</v>
      </c>
      <c r="I28" s="157">
        <f>Total!I1229</f>
        <v>83362.59</v>
      </c>
    </row>
    <row r="29" spans="1:9" x14ac:dyDescent="0.2">
      <c r="I29" s="126">
        <f>SUM(I2:I28)</f>
        <v>5519645.9500000002</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I26"/>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Total!B1179</f>
        <v>42767</v>
      </c>
      <c r="C2" s="101">
        <f>Total!C1179</f>
        <v>42786</v>
      </c>
      <c r="D2" s="112" t="s">
        <v>1092</v>
      </c>
      <c r="E2" s="101" t="str">
        <f>Total!E1179</f>
        <v>Obra Civil</v>
      </c>
      <c r="F2" s="96" t="str">
        <f>Total!F1179</f>
        <v>Projectes</v>
      </c>
      <c r="G2" s="112" t="str">
        <f>Total!G1179</f>
        <v>PC. RB-16034</v>
      </c>
      <c r="H2" s="112" t="str">
        <f>Total!H1179</f>
        <v>Redacció del projecte constructiu de ferm. Reforçament del ferm i obres complementàries. Carretera B-300. Pk 0,250 al 8,230. tram: Calaf-La Molsosa.</v>
      </c>
      <c r="I2" s="157">
        <f>Total!I1179</f>
        <v>29100</v>
      </c>
    </row>
    <row r="3" spans="1:9" x14ac:dyDescent="0.2">
      <c r="A3" s="8">
        <v>2</v>
      </c>
      <c r="B3" s="101">
        <f>Total!B1180</f>
        <v>42767</v>
      </c>
      <c r="C3" s="101">
        <f>Total!C1180</f>
        <v>42786</v>
      </c>
      <c r="D3" s="112" t="s">
        <v>1092</v>
      </c>
      <c r="E3" s="101" t="str">
        <f>Total!E1180</f>
        <v>Obra Civil</v>
      </c>
      <c r="F3" s="96" t="str">
        <f>Total!F1180</f>
        <v>Projectes</v>
      </c>
      <c r="G3" s="112" t="str">
        <f>Total!G1180</f>
        <v>PC. RB-16035</v>
      </c>
      <c r="H3" s="112" t="str">
        <f>Total!H1180</f>
        <v>Redacció del projecte constructiu de ferm. Reforçament del ferm i obres complementàries. Carretera B-300. Pk 8,201 al 16,210. tram: La Molsosa-Pinós.</v>
      </c>
      <c r="I3" s="157">
        <f>Total!I1180</f>
        <v>40700</v>
      </c>
    </row>
    <row r="4" spans="1:9" x14ac:dyDescent="0.2">
      <c r="A4" s="8">
        <v>3</v>
      </c>
      <c r="B4" s="101">
        <f>Total!B1181</f>
        <v>42767</v>
      </c>
      <c r="C4" s="101">
        <f>Total!C1181</f>
        <v>42786</v>
      </c>
      <c r="D4" s="112" t="s">
        <v>1092</v>
      </c>
      <c r="E4" s="101" t="str">
        <f>Total!E1181</f>
        <v>Obra Civil</v>
      </c>
      <c r="F4" s="96" t="str">
        <f>Total!F1181</f>
        <v>Projectes</v>
      </c>
      <c r="G4" s="112" t="str">
        <f>Total!G1181</f>
        <v>PC. RE-16041</v>
      </c>
      <c r="H4" s="112" t="str">
        <f>Total!H1181</f>
        <v>Redacció del projecte constructiu de ferm. Reforçament del ferm a la carretera TV-3454 del pk 7,500 al 15,700. tram: Deltebre.</v>
      </c>
      <c r="I4" s="157">
        <f>Total!I1181</f>
        <v>37600</v>
      </c>
    </row>
    <row r="5" spans="1:9" x14ac:dyDescent="0.2">
      <c r="A5" s="8">
        <v>4</v>
      </c>
      <c r="B5" s="101">
        <f>Total!B1182</f>
        <v>42767</v>
      </c>
      <c r="C5" s="101">
        <f>Total!C1182</f>
        <v>42786</v>
      </c>
      <c r="D5" s="112" t="s">
        <v>1092</v>
      </c>
      <c r="E5" s="101" t="str">
        <f>Total!E1182</f>
        <v>Obra Civil</v>
      </c>
      <c r="F5" s="96" t="str">
        <f>Total!F1182</f>
        <v>Projectes</v>
      </c>
      <c r="G5" s="112" t="str">
        <f>Total!G1182</f>
        <v>PC. RB-16019</v>
      </c>
      <c r="H5" s="112" t="str">
        <f>Total!H1182</f>
        <v>Redacció del projecte constructiu de ferm. Millora de les característiques superficials i obres complementàries a la carretera C-1415a del pk 18,570 al 27,275 i del pk 28,270 al 32,585. tram: Terrassa-Sentmenat.</v>
      </c>
      <c r="I5" s="157">
        <f>Total!I1182</f>
        <v>81000</v>
      </c>
    </row>
    <row r="6" spans="1:9" x14ac:dyDescent="0.2">
      <c r="A6" s="8">
        <v>5</v>
      </c>
      <c r="B6" s="101">
        <f>Total!B1183</f>
        <v>42767</v>
      </c>
      <c r="C6" s="101">
        <f>Total!C1183</f>
        <v>42786</v>
      </c>
      <c r="D6" s="112" t="s">
        <v>1092</v>
      </c>
      <c r="E6" s="101" t="str">
        <f>Total!E1183</f>
        <v>Obra Civil</v>
      </c>
      <c r="F6" s="96" t="str">
        <f>Total!F1183</f>
        <v>Projectes</v>
      </c>
      <c r="G6" s="112" t="str">
        <f>Total!G1183</f>
        <v>PC. CB-16024</v>
      </c>
      <c r="H6" s="112" t="str">
        <f>Total!H1183</f>
        <v>Redacció del projecte constructiu de conservació extraordinària. Ponts i estructures. Rehabilitació d'obres de fàbrica a la carretera C-1415b. Pk 7,820. tram: Lliçà de Munt.</v>
      </c>
      <c r="I6" s="157">
        <f>Total!I1183</f>
        <v>25500</v>
      </c>
    </row>
    <row r="7" spans="1:9" x14ac:dyDescent="0.2">
      <c r="A7" s="8">
        <v>6</v>
      </c>
      <c r="B7" s="101">
        <f>Total!B1184</f>
        <v>42768</v>
      </c>
      <c r="C7" s="101">
        <f>Total!C1184</f>
        <v>42788</v>
      </c>
      <c r="D7" s="112" t="s">
        <v>1092</v>
      </c>
      <c r="E7" s="101" t="str">
        <f>Total!E1184</f>
        <v>Obra Civil</v>
      </c>
      <c r="F7" s="96" t="str">
        <f>Total!F1184</f>
        <v>Projectes</v>
      </c>
      <c r="G7" s="112" t="str">
        <f>Total!G1184</f>
        <v>PC. MG-15015.1</v>
      </c>
      <c r="H7" s="112" t="str">
        <f>Total!H1184</f>
        <v>Redacció del projecte constructiu de millora local. Seguretat viària. Millora de seguretat i reestudi de la secció transversal. Ctra. C-66, del pk 41,900 al 50,450. Tram: Cornellà del Terri-Serinyà.</v>
      </c>
      <c r="I7" s="157">
        <f>Total!I1184</f>
        <v>150000</v>
      </c>
    </row>
    <row r="8" spans="1:9" x14ac:dyDescent="0.2">
      <c r="A8" s="8">
        <v>7</v>
      </c>
      <c r="B8" s="101">
        <f>Total!B1185</f>
        <v>42768</v>
      </c>
      <c r="C8" s="101">
        <f>Total!C1185</f>
        <v>42788</v>
      </c>
      <c r="D8" s="112" t="s">
        <v>1092</v>
      </c>
      <c r="E8" s="101" t="str">
        <f>Total!E1185</f>
        <v>Obra Civil</v>
      </c>
      <c r="F8" s="96" t="str">
        <f>Total!F1185</f>
        <v>Projectes</v>
      </c>
      <c r="G8" s="112" t="str">
        <f>Total!G1185</f>
        <v>PC. RB-16054</v>
      </c>
      <c r="H8" s="112" t="str">
        <f>Total!H1185</f>
        <v>Redacció del projecte constructiu. Ferm. Millora de característiques superficials i obres complementàries a la ctra. C-17, del pk 36,250 al 43,050 i del 43,550 al 44,000. tram: Tagamanent-Centelles.</v>
      </c>
      <c r="I8" s="157">
        <f>Total!I1185</f>
        <v>116700</v>
      </c>
    </row>
    <row r="9" spans="1:9" x14ac:dyDescent="0.2">
      <c r="A9" s="8">
        <v>8</v>
      </c>
      <c r="B9" s="101">
        <f>Total!B1186</f>
        <v>42768</v>
      </c>
      <c r="C9" s="101">
        <f>Total!C1186</f>
        <v>42788</v>
      </c>
      <c r="D9" s="112" t="s">
        <v>1092</v>
      </c>
      <c r="E9" s="101" t="str">
        <f>Total!E1186</f>
        <v>Obra Civil</v>
      </c>
      <c r="F9" s="96" t="str">
        <f>Total!F1186</f>
        <v>Projectes</v>
      </c>
      <c r="G9" s="112" t="str">
        <f>Total!G1186</f>
        <v>PC. RB-16053</v>
      </c>
      <c r="H9" s="112" t="str">
        <f>Total!H1186</f>
        <v>Redacció del projecte constructiu. Ferm. Millora de característiques superficials i obres complementàries a la ctra. C-17, del pk 27,830 al 36,250. Tram: La Garriga-Tagamanent.</v>
      </c>
      <c r="I9" s="157">
        <f>Total!I1186</f>
        <v>116900</v>
      </c>
    </row>
    <row r="10" spans="1:9" x14ac:dyDescent="0.2">
      <c r="A10" s="8">
        <v>9</v>
      </c>
      <c r="B10" s="101">
        <f>Total!B1187</f>
        <v>42772</v>
      </c>
      <c r="C10" s="101">
        <f>Total!C1187</f>
        <v>42788</v>
      </c>
      <c r="D10" s="112" t="s">
        <v>1092</v>
      </c>
      <c r="E10" s="101" t="str">
        <f>Total!E1187</f>
        <v>Obra Civil</v>
      </c>
      <c r="F10" s="96" t="str">
        <f>Total!F1187</f>
        <v>Direccions d'obra</v>
      </c>
      <c r="G10" s="112" t="str">
        <f>Total!G1187</f>
        <v>CSS. PRL-17001</v>
      </c>
      <c r="H10" s="112" t="str">
        <f>Total!H1187</f>
        <v>Serveis per a la supervisió de la prevenció de riscos laborals de la coordinació de seguretat i salut de les obres de la L9.</v>
      </c>
      <c r="I10" s="157">
        <f>Total!I1187</f>
        <v>67000</v>
      </c>
    </row>
    <row r="11" spans="1:9" x14ac:dyDescent="0.2">
      <c r="A11" s="8">
        <v>10</v>
      </c>
      <c r="B11" s="101">
        <f>Total!B1188</f>
        <v>42775</v>
      </c>
      <c r="C11" s="101">
        <f>Total!C1188</f>
        <v>42793</v>
      </c>
      <c r="D11" s="112" t="s">
        <v>1092</v>
      </c>
      <c r="E11" s="101" t="str">
        <f>Total!E1188</f>
        <v>Edificació</v>
      </c>
      <c r="F11" s="96" t="str">
        <f>Total!F1188</f>
        <v>Control de Qualitat</v>
      </c>
      <c r="G11" s="112" t="str">
        <f>Total!G1188</f>
        <v>CQ. SNG-12935</v>
      </c>
      <c r="H11" s="112" t="str">
        <f>Total!H1188</f>
        <v>Control de qualitat de les obres de nova construcció Institut Escola 1 línia 1a fase: 1 línea ESO+2 aules (sense gimnàs) a l'Institut Escola Mestre Andreu de Sant Joan de les Abadesses.</v>
      </c>
      <c r="I11" s="157">
        <f>Total!I1188</f>
        <v>21412.79</v>
      </c>
    </row>
    <row r="12" spans="1:9" x14ac:dyDescent="0.2">
      <c r="A12" s="8">
        <v>11</v>
      </c>
      <c r="B12" s="101">
        <f>Total!B1189</f>
        <v>42775</v>
      </c>
      <c r="C12" s="101">
        <f>Total!C1189</f>
        <v>42793</v>
      </c>
      <c r="D12" s="112" t="s">
        <v>1092</v>
      </c>
      <c r="E12" s="101" t="str">
        <f>Total!E1189</f>
        <v>Edificació</v>
      </c>
      <c r="F12" s="96" t="str">
        <f>Total!F1189</f>
        <v>Direccions d'Execució</v>
      </c>
      <c r="G12" s="112" t="str">
        <f>Total!G1189</f>
        <v>DE. SNG-12935</v>
      </c>
      <c r="H12" s="112" t="str">
        <f>Total!H1189</f>
        <v>Direcció d'execució de les obres de nova construcció Institut Escola 1 línia 1a fase: 1 línia ESO+2 aules (sense gimnàs) a l'Institut Escola Mestre Andreu de Sant Joan de les Abadesses.</v>
      </c>
      <c r="I12" s="157">
        <f>Total!I1189</f>
        <v>54000</v>
      </c>
    </row>
    <row r="13" spans="1:9" x14ac:dyDescent="0.2">
      <c r="A13" s="8">
        <v>12</v>
      </c>
      <c r="B13" s="101">
        <f>Total!B1190</f>
        <v>42775</v>
      </c>
      <c r="C13" s="101">
        <f>Total!C1190</f>
        <v>42802</v>
      </c>
      <c r="D13" s="112" t="s">
        <v>1092</v>
      </c>
      <c r="E13" s="101" t="str">
        <f>Total!E1190</f>
        <v>Edificació</v>
      </c>
      <c r="F13" s="96" t="str">
        <f>Total!F1190</f>
        <v>Control de Qualitat</v>
      </c>
      <c r="G13" s="112" t="str">
        <f>Total!G1190</f>
        <v>CQ. INB-15278</v>
      </c>
      <c r="H13" s="112" t="str">
        <f>Total!H1190</f>
        <v>Control de qualitat de les obres de nova construcció institut 3/2L+4 aules a l'Institut Viladomat de Barcelona.</v>
      </c>
      <c r="I13" s="157">
        <f>Total!I1190</f>
        <v>52491.13</v>
      </c>
    </row>
    <row r="14" spans="1:9" x14ac:dyDescent="0.2">
      <c r="A14" s="8">
        <v>13</v>
      </c>
      <c r="B14" s="101">
        <f>Total!B1191</f>
        <v>42775</v>
      </c>
      <c r="C14" s="101">
        <f>Total!C1191</f>
        <v>42800</v>
      </c>
      <c r="D14" s="112" t="s">
        <v>1092</v>
      </c>
      <c r="E14" s="101" t="str">
        <f>Total!E1191</f>
        <v>Edificació</v>
      </c>
      <c r="F14" s="96" t="str">
        <f>Total!F1191</f>
        <v>Direccions d'Execució</v>
      </c>
      <c r="G14" s="112" t="str">
        <f>Total!G1191</f>
        <v>DE. INB-15278</v>
      </c>
      <c r="H14" s="112" t="str">
        <f>Total!H1191</f>
        <v>Direcció d'execució de les obres de nova construcció Institut 3/2 L + 4 aules a l'Institut Viladomat de Barcelona.</v>
      </c>
      <c r="I14" s="157">
        <f>Total!I1191</f>
        <v>117500</v>
      </c>
    </row>
    <row r="15" spans="1:9" x14ac:dyDescent="0.2">
      <c r="A15" s="8">
        <v>14</v>
      </c>
      <c r="B15" s="101">
        <f>Total!B1192</f>
        <v>42775</v>
      </c>
      <c r="C15" s="101">
        <f>Total!C1192</f>
        <v>42793</v>
      </c>
      <c r="D15" s="112" t="s">
        <v>1092</v>
      </c>
      <c r="E15" s="101" t="str">
        <f>Total!E1192</f>
        <v>Obra Civil</v>
      </c>
      <c r="F15" s="96" t="str">
        <f>Total!F1192</f>
        <v>Projectes</v>
      </c>
      <c r="G15" s="112" t="str">
        <f>Total!G1192</f>
        <v>PC. CL-16046</v>
      </c>
      <c r="H15" s="112" t="str">
        <f>Total!H1192</f>
        <v>Redacció del projecte constructiu. Conservació extraordinària. Ponts i estructures. Adequació ampits a la Normativa vigent pont damunt el riu Segre. Ctra. C-14, pk 144,200. Tram: Peramola.</v>
      </c>
      <c r="I15" s="157">
        <f>Total!I1192</f>
        <v>39100</v>
      </c>
    </row>
    <row r="16" spans="1:9" x14ac:dyDescent="0.2">
      <c r="A16" s="8">
        <v>15</v>
      </c>
      <c r="B16" s="101">
        <f>Total!B1193</f>
        <v>42775</v>
      </c>
      <c r="C16" s="101">
        <f>Total!C1193</f>
        <v>42793</v>
      </c>
      <c r="D16" s="112" t="s">
        <v>1092</v>
      </c>
      <c r="E16" s="101" t="str">
        <f>Total!E1193</f>
        <v>Obra Civil</v>
      </c>
      <c r="F16" s="96" t="str">
        <f>Total!F1193</f>
        <v>Projectes</v>
      </c>
      <c r="G16" s="112" t="str">
        <f>Total!G1193</f>
        <v>PC. ML-16048</v>
      </c>
      <c r="H16" s="112" t="str">
        <f>Total!H1193</f>
        <v>Redacció del projecte constructiu. Millora local. Millora de nus. Ordenació cruïlla entre les carreteres C-26 i L-903, Pk 2,490 de la C-26 i pk 0,000 de la L-903. Tram: Ivars de Noguera.</v>
      </c>
      <c r="I16" s="157">
        <f>Total!I1193</f>
        <v>29400</v>
      </c>
    </row>
    <row r="17" spans="1:9" x14ac:dyDescent="0.2">
      <c r="A17" s="8">
        <v>16</v>
      </c>
      <c r="B17" s="101">
        <f>Total!B1194</f>
        <v>42775</v>
      </c>
      <c r="C17" s="101">
        <f>Total!C1194</f>
        <v>42793</v>
      </c>
      <c r="D17" s="112" t="s">
        <v>1092</v>
      </c>
      <c r="E17" s="101" t="str">
        <f>Total!E1194</f>
        <v>Obra Civil</v>
      </c>
      <c r="F17" s="96" t="str">
        <f>Total!F1194</f>
        <v>Projectes</v>
      </c>
      <c r="G17" s="112" t="str">
        <f>Total!G1194</f>
        <v>PC. ML-16047</v>
      </c>
      <c r="H17" s="112" t="str">
        <f>Total!H1194</f>
        <v>Redacció del projecte constructiu constructiu de millora local. Millora de nus. Ordenació cruïlla a la carretera N-II, pk 496,670. Tram: Bellpuig d'Urgell.</v>
      </c>
      <c r="I17" s="157">
        <f>Total!I1194</f>
        <v>37200</v>
      </c>
    </row>
    <row r="18" spans="1:9" x14ac:dyDescent="0.2">
      <c r="A18" s="8">
        <v>17</v>
      </c>
      <c r="B18" s="101">
        <f>Total!B1195</f>
        <v>42779</v>
      </c>
      <c r="C18" s="101">
        <f>Total!C1195</f>
        <v>42795</v>
      </c>
      <c r="D18" s="112" t="s">
        <v>1092</v>
      </c>
      <c r="E18" s="101" t="str">
        <f>Total!E1195</f>
        <v>Edificació</v>
      </c>
      <c r="F18" s="96" t="str">
        <f>Total!F1195</f>
        <v>Control de Qualitat</v>
      </c>
      <c r="G18" s="112" t="str">
        <f>Total!G1195</f>
        <v>CQ. JJT-05338.2.A</v>
      </c>
      <c r="H18" s="112" t="str">
        <f>Total!H1195</f>
        <v>Control de qualitat de les obres d'adequació del projecte per a la construcció d'un edifici judicial a Tortosa.</v>
      </c>
      <c r="I18" s="157">
        <f>Total!I1195</f>
        <v>62769.78</v>
      </c>
    </row>
    <row r="19" spans="1:9" x14ac:dyDescent="0.2">
      <c r="A19" s="8">
        <v>18</v>
      </c>
      <c r="B19" s="101">
        <f>Total!B1196</f>
        <v>42779</v>
      </c>
      <c r="C19" s="101">
        <f>Total!C1196</f>
        <v>42795</v>
      </c>
      <c r="D19" s="112" t="s">
        <v>1092</v>
      </c>
      <c r="E19" s="101" t="str">
        <f>Total!E1196</f>
        <v>Edificació</v>
      </c>
      <c r="F19" s="96" t="str">
        <f>Total!F1196</f>
        <v>Direcció d'Execució</v>
      </c>
      <c r="G19" s="112" t="str">
        <f>Total!G1196</f>
        <v>DE. JJT-05338.2.A</v>
      </c>
      <c r="H19" s="112" t="str">
        <f>Total!H1196</f>
        <v>Direcció d'execució de les obres d'adequació del projecte per a la construcció d'un edifici judicial a Tortosa.</v>
      </c>
      <c r="I19" s="157">
        <f>Total!I1196</f>
        <v>116000</v>
      </c>
    </row>
    <row r="20" spans="1:9" x14ac:dyDescent="0.2">
      <c r="A20" s="8">
        <v>19</v>
      </c>
      <c r="B20" s="101">
        <f>Total!B1197</f>
        <v>42776</v>
      </c>
      <c r="C20" s="101">
        <f>Total!C1197</f>
        <v>42793</v>
      </c>
      <c r="D20" s="112" t="s">
        <v>1092</v>
      </c>
      <c r="E20" s="101" t="str">
        <f>Total!E1197</f>
        <v>Edificació</v>
      </c>
      <c r="F20" s="96" t="str">
        <f>Total!F1197</f>
        <v>Projectes i Direccions Facultatives</v>
      </c>
      <c r="G20" s="112" t="str">
        <f>Total!G1197</f>
        <v>PE+DF. XMA-17571</v>
      </c>
      <c r="H20" s="112" t="str">
        <f>Total!H1197</f>
        <v>Redacció del projecte i l'estudi de seguretat i salut i la posterior direcció facultativa de les obres RAM 2017 als Serveis Territorial a Baix Llobregat XI. Escola Montpedrós, a Santa Coloma de Cervelló.</v>
      </c>
      <c r="I20" s="157">
        <f>Total!I1197</f>
        <v>35351.25</v>
      </c>
    </row>
    <row r="21" spans="1:9" x14ac:dyDescent="0.2">
      <c r="A21" s="8">
        <v>20</v>
      </c>
      <c r="B21" s="101">
        <f>Total!B1198</f>
        <v>42780</v>
      </c>
      <c r="C21" s="101">
        <f>Total!C1198</f>
        <v>42828</v>
      </c>
      <c r="D21" s="112" t="s">
        <v>1092</v>
      </c>
      <c r="E21" s="101" t="str">
        <f>Total!E1198</f>
        <v>Edificació</v>
      </c>
      <c r="F21" s="96" t="str">
        <f>Total!F1198</f>
        <v>Projectes i Direccions d'Obra</v>
      </c>
      <c r="G21" s="112" t="str">
        <f>Total!G1198</f>
        <v>PE+DO. PNC-16281</v>
      </c>
      <c r="H21" s="112" t="str">
        <f>Total!H1198</f>
        <v>Redacció del projecte bàsic i executiu i la posterior direcció d'obra de la nova construcció de l'Escola Ernest Lluch (1 línia + 4 aules), a l'Hospitalet de Llobregat.</v>
      </c>
      <c r="I21" s="157">
        <f>Total!I1198</f>
        <v>237984</v>
      </c>
    </row>
    <row r="22" spans="1:9" x14ac:dyDescent="0.2">
      <c r="A22" s="8">
        <v>21</v>
      </c>
      <c r="B22" s="101">
        <f>Total!B1199</f>
        <v>42780</v>
      </c>
      <c r="C22" s="101">
        <f>Total!C1199</f>
        <v>42828</v>
      </c>
      <c r="D22" s="112" t="s">
        <v>1092</v>
      </c>
      <c r="E22" s="101" t="str">
        <f>Total!E1199</f>
        <v>Edificació</v>
      </c>
      <c r="F22" s="96" t="str">
        <f>Total!F1199</f>
        <v>Projectes i Direccions d'Obra</v>
      </c>
      <c r="G22" s="112" t="str">
        <f>Total!G1199</f>
        <v>PE+DO. ING-16286</v>
      </c>
      <c r="H22" s="112" t="str">
        <f>Total!H1199</f>
        <v>Redacció del projecte bàsic i d'execució i la posterior direcció d'obra de la nova construcció Institut 2/0 + 3 aules + aula recolzament (sense gimnàs-vestidors, càtering - barra cafeteria-menjador), a Caldes de Malavella.</v>
      </c>
      <c r="I22" s="157">
        <f>Total!I1199</f>
        <v>240037</v>
      </c>
    </row>
    <row r="23" spans="1:9" x14ac:dyDescent="0.2">
      <c r="A23" s="8">
        <v>22</v>
      </c>
      <c r="B23" s="101">
        <f>Total!B1200</f>
        <v>42780</v>
      </c>
      <c r="C23" s="101">
        <f>Total!C1200</f>
        <v>42828</v>
      </c>
      <c r="D23" s="112" t="s">
        <v>1092</v>
      </c>
      <c r="E23" s="101" t="str">
        <f>Total!E1200</f>
        <v>Edificació</v>
      </c>
      <c r="F23" s="96" t="str">
        <f>Total!F1200</f>
        <v>Projectes i Direccions d'Obra</v>
      </c>
      <c r="G23" s="112" t="str">
        <f>Total!G1200</f>
        <v>PE+DO. IAM-16251</v>
      </c>
      <c r="H23" s="112" t="str">
        <f>Total!H1200</f>
        <v>Redacció del projecte bàsic i executiu de la 1a fase: Substitució edifici C per a cicles formatius: mecànica, transport i manteniment de vehicles, instal·lació i manteniment, química, a l'Institut de Mollet del Vallès.</v>
      </c>
      <c r="I23" s="157">
        <f>Total!I1200</f>
        <v>369717</v>
      </c>
    </row>
    <row r="24" spans="1:9" x14ac:dyDescent="0.2">
      <c r="A24" s="8">
        <v>23</v>
      </c>
      <c r="B24" s="101">
        <f>Total!B1201</f>
        <v>42787</v>
      </c>
      <c r="C24" s="101">
        <f>Total!C1201</f>
        <v>42802</v>
      </c>
      <c r="D24" s="112" t="s">
        <v>1092</v>
      </c>
      <c r="E24" s="101" t="str">
        <f>Total!E1201</f>
        <v>Edificació</v>
      </c>
      <c r="F24" s="96" t="str">
        <f>Total!F1201</f>
        <v>Direcció d'Execució</v>
      </c>
      <c r="G24" s="112" t="str">
        <f>Total!G1201</f>
        <v>CSS. INB-15278</v>
      </c>
      <c r="H24" s="112" t="str">
        <f>Total!H1201</f>
        <v>Coordinació de seguretat i salut de les obres de nova construcció Institut Viladomat 3/2L + 4 aules a l'Institut Viladomat de Barcelona.</v>
      </c>
      <c r="I24" s="157">
        <f>Total!I1201</f>
        <v>29375</v>
      </c>
    </row>
    <row r="25" spans="1:9" x14ac:dyDescent="0.2">
      <c r="A25" s="8">
        <v>24</v>
      </c>
      <c r="B25" s="101">
        <f>Total!B1202</f>
        <v>42787</v>
      </c>
      <c r="C25" s="101">
        <f>Total!C1202</f>
        <v>42830</v>
      </c>
      <c r="D25" s="112" t="s">
        <v>1092</v>
      </c>
      <c r="E25" s="101" t="str">
        <f>Total!E1202</f>
        <v>Edificació</v>
      </c>
      <c r="F25" s="96" t="str">
        <f>Total!F1202</f>
        <v>Projectes i Direccions d'Obra</v>
      </c>
      <c r="G25" s="112" t="str">
        <f>Total!G1202</f>
        <v>PE+DO. HGG-16274</v>
      </c>
      <c r="H25" s="112" t="str">
        <f>Total!H1202</f>
        <v>Redacció del projecte bàsic i executiu i la posterior direcció d'obra de l'ampliació del bloc quirúrgic i de l'Hospital de dia oncològic (ICO) de l'Hospital Dr. Josep Trueta, de Girona.</v>
      </c>
      <c r="I25" s="157">
        <f>Total!I1202</f>
        <v>511413.4</v>
      </c>
    </row>
    <row r="26" spans="1:9" x14ac:dyDescent="0.2">
      <c r="I26" s="126">
        <f>SUM(I2:I25)</f>
        <v>2618251.35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70438-27E7-4708-A0D9-98C121632D33}">
  <dimension ref="A1:I17"/>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Total!B3592</f>
        <v>44988</v>
      </c>
      <c r="C2" s="101">
        <f>Total!C3592</f>
        <v>45005</v>
      </c>
      <c r="D2" s="112" t="s">
        <v>1092</v>
      </c>
      <c r="E2" s="332" t="str">
        <f>Total!E3592</f>
        <v>Obra Civil</v>
      </c>
      <c r="F2" s="96" t="str">
        <f>Total!F3592</f>
        <v>Direccions d'Obra</v>
      </c>
      <c r="G2" s="112" t="str">
        <f>Total!G3592</f>
        <v>DO. PC-BMT-18013</v>
      </c>
      <c r="H2" s="112" t="str">
        <f>Total!H3592</f>
        <v>Contracte de serveis per a la direcció de les obres de la passarel·la per a vianants i ciclistes per sobre de la T-315 (Avinguda de Bellissens) al PK 5+654. Reus.</v>
      </c>
      <c r="I2" s="157">
        <f>Total!I3592</f>
        <v>45176.75</v>
      </c>
    </row>
    <row r="3" spans="1:9" x14ac:dyDescent="0.2">
      <c r="A3" s="8">
        <v>2</v>
      </c>
      <c r="B3" s="101">
        <f>Total!B3593</f>
        <v>44988</v>
      </c>
      <c r="C3" s="101">
        <f>Total!C3593</f>
        <v>45005</v>
      </c>
      <c r="D3" s="112" t="s">
        <v>1092</v>
      </c>
      <c r="E3" s="332" t="str">
        <f>Total!E3593</f>
        <v>Obra Civil</v>
      </c>
      <c r="F3" s="96" t="str">
        <f>Total!F3593</f>
        <v>Control de Qualitat</v>
      </c>
      <c r="G3" s="112" t="str">
        <f>Total!G3593</f>
        <v>CQ. PC-BMT-18013</v>
      </c>
      <c r="H3" s="112" t="str">
        <f>Total!H3593</f>
        <v>Contracte de serveis per a l'assistència tècnica de control de qualitat de les obres de la passarel·la per a vianants i ciclistes per sobre de la T-315 (Avinguda de Bellissens) al PK 5+654. Reus.</v>
      </c>
      <c r="I3" s="157">
        <f>Total!I3593</f>
        <v>7956.25</v>
      </c>
    </row>
    <row r="4" spans="1:9" x14ac:dyDescent="0.2">
      <c r="A4" s="8">
        <v>3</v>
      </c>
      <c r="B4" s="101">
        <f>Total!B3594</f>
        <v>44988</v>
      </c>
      <c r="C4" s="101">
        <f>Total!C3594</f>
        <v>45005</v>
      </c>
      <c r="D4" s="112" t="s">
        <v>1092</v>
      </c>
      <c r="E4" s="332" t="str">
        <f>Total!E3594</f>
        <v>Obra Civil</v>
      </c>
      <c r="F4" s="96" t="str">
        <f>Total!F3594</f>
        <v>Direccions d'Obra</v>
      </c>
      <c r="G4" s="112" t="str">
        <f>Total!G3594</f>
        <v>CSS. PC-BMT-18013</v>
      </c>
      <c r="H4" s="112" t="str">
        <f>Total!H3594</f>
        <v>Contracte de serveis per a l'assistència tècnica de coordinació de seguretat i salut de les obres del projecte constructiu de passarel·la per a vianants i ciclistes per sobre de la T-315 (Avinguda de Bellissens) al PK 5+654. Reus.</v>
      </c>
      <c r="I4" s="157">
        <f>Total!I3594</f>
        <v>6028.13</v>
      </c>
    </row>
    <row r="5" spans="1:9" x14ac:dyDescent="0.2">
      <c r="A5" s="8">
        <v>4</v>
      </c>
      <c r="B5" s="101">
        <f>Total!B3595</f>
        <v>44991</v>
      </c>
      <c r="C5" s="101">
        <f>Total!C3595</f>
        <v>45012</v>
      </c>
      <c r="D5" s="112" t="s">
        <v>1092</v>
      </c>
      <c r="E5" s="332" t="str">
        <f>Total!E3595</f>
        <v>Edificació</v>
      </c>
      <c r="F5" s="96" t="str">
        <f>Total!F3595</f>
        <v>Control de Qualitat</v>
      </c>
      <c r="G5" s="112" t="str">
        <f>Total!G3595</f>
        <v>CQ. SEC-21230</v>
      </c>
      <c r="H5" s="112" t="str">
        <f>Total!H3595</f>
        <v>Contracte de serveis per a l'assistència tècnica de Control de Qualitat de les obres de reforma i adequació de la futura Oficina de Turisme ubicada a la planta baixa del Museu d'Història de Catalunya.</v>
      </c>
      <c r="I5" s="157">
        <f>Total!I3595</f>
        <v>2400</v>
      </c>
    </row>
    <row r="6" spans="1:9" x14ac:dyDescent="0.2">
      <c r="A6" s="8">
        <v>5</v>
      </c>
      <c r="B6" s="101">
        <f>Total!B3596</f>
        <v>44991</v>
      </c>
      <c r="C6" s="101">
        <f>Total!C3596</f>
        <v>45012</v>
      </c>
      <c r="D6" s="112" t="s">
        <v>1092</v>
      </c>
      <c r="E6" s="332" t="str">
        <f>Total!E3596</f>
        <v>Edificació</v>
      </c>
      <c r="F6" s="96" t="str">
        <f>Total!F3596</f>
        <v>Direccions d'Execució</v>
      </c>
      <c r="G6" s="112" t="str">
        <f>Total!G3596</f>
        <v>DE+CSS. SEC-21230</v>
      </c>
      <c r="H6" s="112" t="str">
        <f>Total!H3596</f>
        <v>Contracte de serveis per a la Direcció d'Execució i Coordinació de Seguretat i Salut de les obres de reforma i adequació de la futura Oficina de Turisme ubicada a la planta baixa del Museu d'Història de Catalunya.</v>
      </c>
      <c r="I6" s="157">
        <f>Total!I3596</f>
        <v>9300</v>
      </c>
    </row>
    <row r="7" spans="1:9" x14ac:dyDescent="0.2">
      <c r="A7" s="8">
        <v>6</v>
      </c>
      <c r="B7" s="101">
        <f>Total!B3597</f>
        <v>44991</v>
      </c>
      <c r="C7" s="101">
        <f>Total!C3597</f>
        <v>45012</v>
      </c>
      <c r="D7" s="112" t="s">
        <v>1092</v>
      </c>
      <c r="E7" s="332" t="str">
        <f>Total!E3597</f>
        <v>Edificació</v>
      </c>
      <c r="F7" s="96" t="str">
        <f>Total!F3597</f>
        <v>Direccions d'Obra</v>
      </c>
      <c r="G7" s="112" t="str">
        <f>Total!G3597</f>
        <v>DO. SEC-21230</v>
      </c>
      <c r="H7" s="112" t="str">
        <f>Total!H3597</f>
        <v>Contracte de serveis per a la direcció de les obres de reforma i adequació de la futura Oficina de Turisme ubicada a la planta baixa del Museu d'Història de Catalunya.</v>
      </c>
      <c r="I7" s="157">
        <f>Total!I3597</f>
        <v>7200</v>
      </c>
    </row>
    <row r="8" spans="1:9" x14ac:dyDescent="0.2">
      <c r="A8" s="8">
        <v>7</v>
      </c>
      <c r="B8" s="101">
        <f>Total!B3598</f>
        <v>44993</v>
      </c>
      <c r="C8" s="101">
        <f>Total!C3598</f>
        <v>45012</v>
      </c>
      <c r="D8" s="112" t="s">
        <v>1092</v>
      </c>
      <c r="E8" s="332" t="str">
        <f>Total!E3598</f>
        <v>Obra Civil</v>
      </c>
      <c r="F8" s="96" t="str">
        <f>Total!F3598</f>
        <v>Projectes</v>
      </c>
      <c r="G8" s="112" t="str">
        <f>Total!G3598</f>
        <v>EV. E4-MA-23900</v>
      </c>
      <c r="H8" s="112" t="str">
        <f>Total!H3598</f>
        <v>Redacció de l'estudi de seguiment de la poblacio de xoriguer petit de la Plana de Lleida, anàlisi de l'ocupació de torres i caixes niu. Mesures correctores i compensatòries del regadiu del sistema Segarra-Garrigues. Campanya 2023-2024.</v>
      </c>
      <c r="I8" s="157">
        <f>Total!I3598</f>
        <v>29120.17</v>
      </c>
    </row>
    <row r="9" spans="1:9" x14ac:dyDescent="0.2">
      <c r="A9" s="8">
        <v>8</v>
      </c>
      <c r="B9" s="101">
        <f>Total!B3599</f>
        <v>44994</v>
      </c>
      <c r="C9" s="101">
        <f>Total!C3599</f>
        <v>45012</v>
      </c>
      <c r="D9" s="112" t="s">
        <v>1092</v>
      </c>
      <c r="E9" s="332" t="str">
        <f>Total!E3599</f>
        <v>Obra Civil</v>
      </c>
      <c r="F9" s="96" t="str">
        <f>Total!F3599</f>
        <v>Projectes</v>
      </c>
      <c r="G9" s="112" t="str">
        <f>Total!G3599</f>
        <v>EV. E5-MA-23900</v>
      </c>
      <c r="H9" s="112" t="str">
        <f>Total!H3599</f>
        <v>Assist. tèc. per a la realització dels treballs d'estudi i seguiment de la població d'arpella cendrosa a la Plana de Lleida, localització de nius. Mesures correctores i compensatòries del regadiu del sistema Segarra-Garrigues. Campanya 2023-2024,</v>
      </c>
      <c r="I9" s="157">
        <f>Total!I3599</f>
        <v>39534.720000000001</v>
      </c>
    </row>
    <row r="10" spans="1:9" x14ac:dyDescent="0.2">
      <c r="A10" s="8">
        <v>9</v>
      </c>
      <c r="B10" s="101">
        <f>Total!B3600</f>
        <v>44994</v>
      </c>
      <c r="C10" s="101">
        <f>Total!C3600</f>
        <v>45012</v>
      </c>
      <c r="D10" s="112" t="s">
        <v>1092</v>
      </c>
      <c r="E10" s="332" t="str">
        <f>Total!E3600</f>
        <v>Obra Civil</v>
      </c>
      <c r="F10" s="96" t="str">
        <f>Total!F3600</f>
        <v>Projectes</v>
      </c>
      <c r="G10" s="112" t="str">
        <f>Total!G3600</f>
        <v>EV. E6-MA-23900</v>
      </c>
      <c r="H10" s="112" t="str">
        <f>Total!H3600</f>
        <v>Contracte de serveis per a l'assistència tècnica per la planificació de la gestió la campanya 2023-2024 en les finques de compensació de l'àmbit del regadiu Segarra-Garrigues.</v>
      </c>
      <c r="I10" s="157">
        <f>Total!I3600</f>
        <v>28047.18</v>
      </c>
    </row>
    <row r="11" spans="1:9" x14ac:dyDescent="0.2">
      <c r="A11" s="8">
        <v>10</v>
      </c>
      <c r="B11" s="101">
        <f>Total!B3601</f>
        <v>44995</v>
      </c>
      <c r="C11" s="101">
        <f>Total!C3601</f>
        <v>45012</v>
      </c>
      <c r="D11" s="112" t="s">
        <v>1092</v>
      </c>
      <c r="E11" s="332" t="str">
        <f>Total!E3601</f>
        <v>Obra Civil</v>
      </c>
      <c r="F11" s="96" t="str">
        <f>Total!F3601</f>
        <v>Projectes</v>
      </c>
      <c r="G11" s="112" t="str">
        <f>Total!G3601</f>
        <v>EV. E2-MA-23900</v>
      </c>
      <c r="H11" s="112" t="str">
        <f>Total!H3601</f>
        <v>Contracte de serveis per a l'assistència tècnica per al seguiment de les finques gestionades als Secans Occidentals. Mesures correctores i compensatòries del regadiu del sistema Segarra-Garrigues. Campanya 2023-2024.</v>
      </c>
      <c r="I11" s="157">
        <f>Total!I3601</f>
        <v>27821.23</v>
      </c>
    </row>
    <row r="12" spans="1:9" x14ac:dyDescent="0.2">
      <c r="A12" s="8">
        <v>11</v>
      </c>
      <c r="B12" s="101">
        <f>Total!B3602</f>
        <v>45003</v>
      </c>
      <c r="C12" s="101">
        <f>Total!C3602</f>
        <v>45033</v>
      </c>
      <c r="D12" s="112" t="s">
        <v>1092</v>
      </c>
      <c r="E12" s="332" t="str">
        <f>Total!E3602</f>
        <v>Edificació</v>
      </c>
      <c r="F12" s="96" t="str">
        <f>Total!F3602</f>
        <v>Projectes i Direccions Facultatives</v>
      </c>
      <c r="G12" s="112" t="str">
        <f>Total!G3602</f>
        <v>AT. MEC-22L03</v>
      </c>
      <c r="H12" s="112" t="str">
        <f>Total!H3602</f>
        <v>Acord Marc per a la contracció d'assistències tècniques de redacció de projectes, direccions facultatives i coordinacions de seguretat i salut d'obres RAM i de manteniment i de serveis tècnics de suport d'arquitectura i enginyeria. 6 lots.</v>
      </c>
      <c r="I12" s="157">
        <f>Total!I3602</f>
        <v>19550000</v>
      </c>
    </row>
    <row r="13" spans="1:9" x14ac:dyDescent="0.2">
      <c r="A13" s="8">
        <v>12</v>
      </c>
      <c r="B13" s="101">
        <f>Total!B3603</f>
        <v>45008</v>
      </c>
      <c r="C13" s="101">
        <f>Total!C3603</f>
        <v>45028</v>
      </c>
      <c r="D13" s="112" t="s">
        <v>1092</v>
      </c>
      <c r="E13" s="332" t="str">
        <f>Total!E3603</f>
        <v>Obra Civil</v>
      </c>
      <c r="F13" s="96" t="str">
        <f>Total!F3603</f>
        <v>Control de Qualitat</v>
      </c>
      <c r="G13" s="112" t="str">
        <f>Total!G3603</f>
        <v>CQ. TM-00509.4C</v>
      </c>
      <c r="H13" s="112" t="str">
        <f>Total!H3603</f>
        <v>Assistència tècnica de control de qualitat de les obres del projecte constructiu de la L9 del Metro de Barcelona. Tram 3r. Zona Universitària-Sagrera Meridiana. Estacions Putxet, Lesseps, Muntanya i Pous de Ventilació.</v>
      </c>
      <c r="I13" s="157">
        <f>Total!I3603</f>
        <v>93772.26</v>
      </c>
    </row>
    <row r="14" spans="1:9" x14ac:dyDescent="0.2">
      <c r="A14" s="8">
        <v>13</v>
      </c>
      <c r="B14" s="101">
        <f>Total!B3604</f>
        <v>45013</v>
      </c>
      <c r="C14" s="101">
        <f>Total!C3604</f>
        <v>45040</v>
      </c>
      <c r="D14" s="112" t="s">
        <v>1092</v>
      </c>
      <c r="E14" s="332" t="str">
        <f>Total!E3604</f>
        <v>Edificació</v>
      </c>
      <c r="F14" s="96" t="str">
        <f>Total!F3604</f>
        <v>Direccions d'Execució</v>
      </c>
      <c r="G14" s="112" t="str">
        <f>Total!G3604</f>
        <v>DE. HTT-21212</v>
      </c>
      <c r="H14" s="112" t="str">
        <f>Total!H3604</f>
        <v>Assistència tècnica de la direcció d'execució de les obres de l'ampliació de l'Hospital Verge de la Cinta de Tortosa.</v>
      </c>
      <c r="I14" s="157">
        <f>Total!I3604</f>
        <v>695060.6</v>
      </c>
    </row>
    <row r="15" spans="1:9" x14ac:dyDescent="0.2">
      <c r="A15" s="8">
        <v>14</v>
      </c>
      <c r="B15" s="101">
        <f>Total!B3605</f>
        <v>45015</v>
      </c>
      <c r="C15" s="101">
        <f>Total!C3605</f>
        <v>45035</v>
      </c>
      <c r="D15" s="112" t="s">
        <v>1092</v>
      </c>
      <c r="E15" s="332" t="str">
        <f>Total!E3605</f>
        <v>Edificació</v>
      </c>
      <c r="F15" s="96" t="str">
        <f>Total!F3605</f>
        <v xml:space="preserve">Projectes </v>
      </c>
      <c r="G15" s="112" t="str">
        <f>Total!G3605</f>
        <v>E3. HTT-21212</v>
      </c>
      <c r="H15" s="112" t="str">
        <f>Total!H3605</f>
        <v>Contracte de serveis per a la gestió del projecte i obra segons metodologia LEAN (LEAN MANAGEMENT) de l'ampliació de l'Hospital Verge de la Cinta a Tortosa.</v>
      </c>
      <c r="I15" s="157">
        <f>Total!I3605</f>
        <v>68096</v>
      </c>
    </row>
    <row r="16" spans="1:9" x14ac:dyDescent="0.2">
      <c r="A16" s="8">
        <v>15</v>
      </c>
      <c r="B16" s="101">
        <f>Total!B3606</f>
        <v>45015</v>
      </c>
      <c r="C16" s="101">
        <f>Total!C3606</f>
        <v>45033</v>
      </c>
      <c r="D16" s="112" t="s">
        <v>1092</v>
      </c>
      <c r="E16" s="332" t="str">
        <f>Total!E3606</f>
        <v>Edificació</v>
      </c>
      <c r="F16" s="96" t="str">
        <f>Total!F3606</f>
        <v>Direccions d'Execució</v>
      </c>
      <c r="G16" s="112" t="str">
        <f>Total!G3606</f>
        <v>CSS. HTT-21212</v>
      </c>
      <c r="H16" s="112" t="str">
        <f>Total!H3606</f>
        <v>Contracte de serveis per a l'assistència tècnica de coordinació de seguretat i salut de les obres del projecte executiu d'ampliació de l'Hospital Verge de la Cinta a Tortosa.</v>
      </c>
      <c r="I16" s="157">
        <f>Total!I3606</f>
        <v>162289.29999999999</v>
      </c>
    </row>
    <row r="17" spans="9:9" x14ac:dyDescent="0.2">
      <c r="I17" s="126">
        <f>SUM(I2:I16)</f>
        <v>20771802.590000004</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I32"/>
  <sheetViews>
    <sheetView workbookViewId="0">
      <selection activeCell="A32" sqref="A32"/>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Total!B1149</f>
        <v>42744</v>
      </c>
      <c r="C2" s="101">
        <f>Total!C1149</f>
        <v>42760</v>
      </c>
      <c r="D2" s="112" t="s">
        <v>1092</v>
      </c>
      <c r="E2" s="101" t="str">
        <f>Total!E1149</f>
        <v>Obra Civil</v>
      </c>
      <c r="F2" s="96" t="str">
        <f>Total!F1149</f>
        <v>Direccions d'Obra</v>
      </c>
      <c r="G2" s="112" t="str">
        <f>Total!G1149</f>
        <v>DO. ML-05086-A1</v>
      </c>
      <c r="H2" s="112" t="str">
        <f>Total!H1149</f>
        <v>Direcció de les obres de millora local. Millora de nus. Ordenació dels accessos. Ctra. C-14, pk 76,660 (Atlet). Ctra. L-310 als nuclis de la Figuerosa, Riudovelles, Gra. San Martí de la orana i la Morana. Pk 5,220, 8,050, 15,900, 17,060 i 17,920.</v>
      </c>
      <c r="I2" s="157">
        <f>Total!I1149</f>
        <v>71711.11</v>
      </c>
    </row>
    <row r="3" spans="1:9" x14ac:dyDescent="0.2">
      <c r="A3" s="8">
        <v>2</v>
      </c>
      <c r="B3" s="101">
        <f>Total!B1150</f>
        <v>42744</v>
      </c>
      <c r="C3" s="101">
        <f>Total!C1150</f>
        <v>42760</v>
      </c>
      <c r="D3" s="112" t="s">
        <v>1092</v>
      </c>
      <c r="E3" s="101" t="str">
        <f>Total!E1150</f>
        <v>Obra Civil</v>
      </c>
      <c r="F3" s="96" t="str">
        <f>Total!F1150</f>
        <v>Direccions d'Obra</v>
      </c>
      <c r="G3" s="112" t="str">
        <f>Total!G1150</f>
        <v>DO. XC-10020.1</v>
      </c>
      <c r="H3" s="112" t="str">
        <f>Total!H1150</f>
        <v>Direcció de les obres de la Via ciclista del Ter. Del PK 203,200 de la C-26 al Camí el Pont del Reixac. Tram: Sant Joan de les Abadesses.</v>
      </c>
      <c r="I3" s="157">
        <f>Total!I1150</f>
        <v>27933.33</v>
      </c>
    </row>
    <row r="4" spans="1:9" x14ac:dyDescent="0.2">
      <c r="A4" s="8">
        <v>3</v>
      </c>
      <c r="B4" s="101">
        <f>Total!B1151</f>
        <v>42744</v>
      </c>
      <c r="C4" s="101">
        <f>Total!C1151</f>
        <v>42760</v>
      </c>
      <c r="D4" s="112" t="s">
        <v>1092</v>
      </c>
      <c r="E4" s="101" t="str">
        <f>Total!E1151</f>
        <v>Edificació</v>
      </c>
      <c r="F4" s="96" t="str">
        <f>Total!F1151</f>
        <v>Direccions d'Execució</v>
      </c>
      <c r="G4" s="112" t="str">
        <f>Total!G1151</f>
        <v>DE. JJL-13309</v>
      </c>
      <c r="H4" s="112" t="str">
        <f>Total!H1151</f>
        <v>Direcció d'execució de les obres del projecte Sales de Vistes en l'ampliació de l'Edifici Judicial del Canyeret.</v>
      </c>
      <c r="I4" s="157">
        <f>Total!I1151</f>
        <v>51000</v>
      </c>
    </row>
    <row r="5" spans="1:9" x14ac:dyDescent="0.2">
      <c r="A5" s="8">
        <v>4</v>
      </c>
      <c r="B5" s="101">
        <f>Total!B1152</f>
        <v>42745</v>
      </c>
      <c r="C5" s="101">
        <f>Total!C1152</f>
        <v>42765</v>
      </c>
      <c r="D5" s="112" t="s">
        <v>1092</v>
      </c>
      <c r="E5" s="101" t="str">
        <f>Total!E1152</f>
        <v>Edificació</v>
      </c>
      <c r="F5" s="96" t="str">
        <f>Total!F1152</f>
        <v>Direcció d'obra</v>
      </c>
      <c r="G5" s="112" t="str">
        <f>Total!G1152</f>
        <v>DO. PAC-09603</v>
      </c>
      <c r="H5" s="112" t="str">
        <f>Total!H1152</f>
        <v>Direcció d'obra de l'ampliació i reforma de l'Escola de Gironella.</v>
      </c>
      <c r="I5" s="157">
        <f>Total!I1152</f>
        <v>76000.89</v>
      </c>
    </row>
    <row r="6" spans="1:9" x14ac:dyDescent="0.2">
      <c r="A6" s="8">
        <v>5</v>
      </c>
      <c r="B6" s="101">
        <f>Total!B1153</f>
        <v>42745</v>
      </c>
      <c r="C6" s="101">
        <f>Total!C1153</f>
        <v>42765</v>
      </c>
      <c r="D6" s="112" t="s">
        <v>1092</v>
      </c>
      <c r="E6" s="101" t="str">
        <f>Total!E1153</f>
        <v>Edificació</v>
      </c>
      <c r="F6" s="96" t="str">
        <f>Total!F1153</f>
        <v>Direcció d'Execució</v>
      </c>
      <c r="G6" s="112" t="str">
        <f>Total!G1153</f>
        <v>DE. PAC-09603</v>
      </c>
      <c r="H6" s="112" t="str">
        <f>Total!H1153</f>
        <v>Direcció d'execució de les obres d'ampliació i reforma de l'Escola de Gironella.</v>
      </c>
      <c r="I6" s="157">
        <f>Total!I1153</f>
        <v>79648.929999999993</v>
      </c>
    </row>
    <row r="7" spans="1:9" x14ac:dyDescent="0.2">
      <c r="A7" s="8">
        <v>6</v>
      </c>
      <c r="B7" s="101">
        <f>Total!B1154</f>
        <v>42745</v>
      </c>
      <c r="C7" s="101">
        <f>Total!C1154</f>
        <v>42765</v>
      </c>
      <c r="D7" s="112" t="s">
        <v>1092</v>
      </c>
      <c r="E7" s="101" t="str">
        <f>Total!E1154</f>
        <v>Edificació</v>
      </c>
      <c r="F7" s="96" t="str">
        <f>Total!F1154</f>
        <v>Control de Qualitat</v>
      </c>
      <c r="G7" s="112" t="str">
        <f>Total!G1154</f>
        <v>CQ. PAC-09603</v>
      </c>
      <c r="H7" s="112" t="str">
        <f>Total!H1154</f>
        <v>Control de qualitat de l'ampliació i reforma de l'Escola de Gironella.</v>
      </c>
      <c r="I7" s="157">
        <f>Total!I1154</f>
        <v>25446.11</v>
      </c>
    </row>
    <row r="8" spans="1:9" x14ac:dyDescent="0.2">
      <c r="A8" s="8">
        <v>7</v>
      </c>
      <c r="B8" s="101">
        <f>Total!B1155</f>
        <v>42746</v>
      </c>
      <c r="C8" s="101">
        <f>Total!C1155</f>
        <v>42765</v>
      </c>
      <c r="D8" s="112" t="s">
        <v>1092</v>
      </c>
      <c r="E8" s="101" t="str">
        <f>Total!E1155</f>
        <v>Obra Civil</v>
      </c>
      <c r="F8" s="96" t="str">
        <f>Total!F1155</f>
        <v>Direccions d'Obra</v>
      </c>
      <c r="G8" s="112" t="str">
        <f>Total!G1155</f>
        <v>DO. ML-06042.F1</v>
      </c>
      <c r="H8" s="112" t="str">
        <f>Total!H1155</f>
        <v>Direcció de les obres de millora local. Millora de nus. Ordenació d'accessos a la carretera L-313. pk 18,850 al 19,300 (Palou, TM de Torrefeta i Florejacs). Tram: Guissona.</v>
      </c>
      <c r="I8" s="157">
        <f>Total!I1155</f>
        <v>16422.22</v>
      </c>
    </row>
    <row r="9" spans="1:9" x14ac:dyDescent="0.2">
      <c r="A9" s="8">
        <v>8</v>
      </c>
      <c r="B9" s="101">
        <f>Total!B1156</f>
        <v>42746</v>
      </c>
      <c r="C9" s="101">
        <f>Total!C1156</f>
        <v>42765</v>
      </c>
      <c r="D9" s="112" t="s">
        <v>1092</v>
      </c>
      <c r="E9" s="101" t="str">
        <f>Total!E1156</f>
        <v>Obra Civil</v>
      </c>
      <c r="F9" s="96" t="str">
        <f>Total!F1156</f>
        <v>Direccions d'Obra</v>
      </c>
      <c r="G9" s="112" t="str">
        <f>Total!G1156</f>
        <v>DO. ML-16006</v>
      </c>
      <c r="H9" s="112" t="str">
        <f>Total!H1156</f>
        <v>Direccio de les obres de millora local. Seguretat viària. Implantació de barreres antiallau i/o visera. Ctra. C-28, pk 53,000 al 54,000. Tram: Alt Àneu (Verge dels Ares-Variant dels Avets. Cap de Comials).</v>
      </c>
      <c r="I9" s="157">
        <f>Total!I1156</f>
        <v>104933.33</v>
      </c>
    </row>
    <row r="10" spans="1:9" x14ac:dyDescent="0.2">
      <c r="A10" s="8">
        <v>9</v>
      </c>
      <c r="B10" s="101">
        <f>Total!B1157</f>
        <v>42748</v>
      </c>
      <c r="C10" s="101">
        <f>Total!C1157</f>
        <v>42765</v>
      </c>
      <c r="D10" s="112" t="s">
        <v>1092</v>
      </c>
      <c r="E10" s="101" t="str">
        <f>Total!E1157</f>
        <v>Obra Civil</v>
      </c>
      <c r="F10" s="96" t="str">
        <f>Total!F1157</f>
        <v>Projectes</v>
      </c>
      <c r="G10" s="112" t="str">
        <f>Total!G1157</f>
        <v>EI.EI-TF-16241/PC. TF-16241</v>
      </c>
      <c r="H10" s="112" t="str">
        <f>Total!H1157</f>
        <v>Redacció de l'estudi informatiu i del projecte constructiu del nou baixador de la línia dels FGC Lleida-La Pobla de Segur a Lleida-Polígon Industrial del Segre.</v>
      </c>
      <c r="I10" s="157">
        <f>Total!I1157</f>
        <v>54000</v>
      </c>
    </row>
    <row r="11" spans="1:9" x14ac:dyDescent="0.2">
      <c r="A11" s="8">
        <v>10</v>
      </c>
      <c r="B11" s="101">
        <f>Total!B1158</f>
        <v>42752</v>
      </c>
      <c r="C11" s="101">
        <f>Total!C1158</f>
        <v>42772</v>
      </c>
      <c r="D11" s="112" t="s">
        <v>1092</v>
      </c>
      <c r="E11" s="101" t="str">
        <f>Total!E1158</f>
        <v>Obra Civil</v>
      </c>
      <c r="F11" s="96" t="str">
        <f>Total!F1158</f>
        <v>Direccions d'obra</v>
      </c>
      <c r="G11" s="112" t="str">
        <f>Total!G1158</f>
        <v>DO. MB-07109-A1</v>
      </c>
      <c r="H11" s="112" t="str">
        <f>Total!H1158</f>
        <v>Direcció de les obres de millora local. Implantació d'un tercer carril a la carretera C-55 del pk 9,360 al 11,400. Tram: Collbató.</v>
      </c>
      <c r="I11" s="157">
        <f>Total!I1158</f>
        <v>88055.56</v>
      </c>
    </row>
    <row r="12" spans="1:9" x14ac:dyDescent="0.2">
      <c r="A12" s="8">
        <v>11</v>
      </c>
      <c r="B12" s="101">
        <f>Total!B1159</f>
        <v>42755</v>
      </c>
      <c r="C12" s="101">
        <f>Total!C1159</f>
        <v>42807</v>
      </c>
      <c r="D12" s="112" t="s">
        <v>1092</v>
      </c>
      <c r="E12" s="101" t="str">
        <f>Total!E1159</f>
        <v>Edificació</v>
      </c>
      <c r="F12" s="96" t="str">
        <f>Total!F1159</f>
        <v>Projectes i Direccions d'Obra</v>
      </c>
      <c r="G12" s="112" t="str">
        <f>Total!G1159</f>
        <v>PE+DO. JNP-16250</v>
      </c>
      <c r="H12" s="112" t="str">
        <f>Total!H1159</f>
        <v>Redacció del projecte bàsic i executiu i la posterior direcció d'obra de la nova construcció d'un centre penitenciari obert a Tarragona, incloent l'arxiu soterrat per dependències judicials i el seu accés.</v>
      </c>
      <c r="I12" s="157">
        <f>Total!I1159</f>
        <v>534348</v>
      </c>
    </row>
    <row r="13" spans="1:9" x14ac:dyDescent="0.2">
      <c r="A13" s="8">
        <v>12</v>
      </c>
      <c r="B13" s="101">
        <f>Total!B1160</f>
        <v>42754</v>
      </c>
      <c r="C13" s="101">
        <f>Total!C1160</f>
        <v>42781</v>
      </c>
      <c r="D13" s="112" t="s">
        <v>1092</v>
      </c>
      <c r="E13" s="101" t="str">
        <f>Total!E1160</f>
        <v>Edificació</v>
      </c>
      <c r="F13" s="96" t="str">
        <f>Total!F1160</f>
        <v>Projectes i Direccions d'Obra</v>
      </c>
      <c r="G13" s="112" t="str">
        <f>Total!G1160</f>
        <v>PE+DO. CAP-16239</v>
      </c>
      <c r="H13" s="112" t="str">
        <f>Total!H1160</f>
        <v>Redacció del projecte bàsic i d'execució i la posterior direcció de les obres de l'ampliació i reforma del Centre d'Atenció Primària de Castellbisbal.</v>
      </c>
      <c r="I13" s="157">
        <f>Total!I1160</f>
        <v>107547</v>
      </c>
    </row>
    <row r="14" spans="1:9" x14ac:dyDescent="0.2">
      <c r="A14" s="8">
        <v>13</v>
      </c>
      <c r="B14" s="101">
        <f>Total!B1161</f>
        <v>42755</v>
      </c>
      <c r="C14" s="101">
        <f>Total!C1161</f>
        <v>42779</v>
      </c>
      <c r="D14" s="112" t="s">
        <v>1092</v>
      </c>
      <c r="E14" s="101" t="str">
        <f>Total!E1161</f>
        <v>Edificació</v>
      </c>
      <c r="F14" s="96" t="str">
        <f>Total!F1161</f>
        <v>Control de Qualitat</v>
      </c>
      <c r="G14" s="112" t="str">
        <f>Total!G1161</f>
        <v>CQ. INB-08492.A</v>
      </c>
      <c r="H14" s="112" t="str">
        <f>Total!H1161</f>
        <v>Control de qualitat de les obres de nova construcció Institut Martí i Pous (rehabilitació antiga fàbrica Fabra i Coats) de Barcelona.</v>
      </c>
      <c r="I14" s="157">
        <f>Total!I1161</f>
        <v>46867.4</v>
      </c>
    </row>
    <row r="15" spans="1:9" x14ac:dyDescent="0.2">
      <c r="A15" s="8">
        <v>14</v>
      </c>
      <c r="B15" s="101">
        <f>Total!B1162</f>
        <v>42755</v>
      </c>
      <c r="C15" s="101">
        <f>Total!C1162</f>
        <v>42779</v>
      </c>
      <c r="D15" s="112" t="s">
        <v>1092</v>
      </c>
      <c r="E15" s="101" t="str">
        <f>Total!E1162</f>
        <v>Edificació</v>
      </c>
      <c r="F15" s="96" t="str">
        <f>Total!F1162</f>
        <v>Direccions d'Execució</v>
      </c>
      <c r="G15" s="112" t="str">
        <f>Total!G1162</f>
        <v>CSS. INB-08492.A</v>
      </c>
      <c r="H15" s="112" t="str">
        <f>Total!H1162</f>
        <v>Coordinació de seguretat i salut de les obres de nova construcció Institut Matí i Pous (rehabilitació antiga fàbrica Fabra i Coats) de Barcelona.</v>
      </c>
      <c r="I15" s="157">
        <f>Total!I1162</f>
        <v>20400</v>
      </c>
    </row>
    <row r="16" spans="1:9" x14ac:dyDescent="0.2">
      <c r="A16" s="8">
        <v>15</v>
      </c>
      <c r="B16" s="101">
        <f>Total!B1163</f>
        <v>42755</v>
      </c>
      <c r="C16" s="101">
        <f>Total!C1163</f>
        <v>42772</v>
      </c>
      <c r="D16" s="112" t="s">
        <v>1092</v>
      </c>
      <c r="E16" s="101" t="str">
        <f>Total!E1163</f>
        <v>Edificació</v>
      </c>
      <c r="F16" s="96" t="str">
        <f>Total!F1163</f>
        <v>Direccions d'Execució</v>
      </c>
      <c r="G16" s="112" t="str">
        <f>Total!G1163</f>
        <v>DE. INB-08492.A</v>
      </c>
      <c r="H16" s="112" t="str">
        <f>Total!H1163</f>
        <v>Direcció d'execució de les obres de nova construcció Institut Matí i Pous (rehabilitació antiga fàbrica Fabra i Coats) de Barcelona.</v>
      </c>
      <c r="I16" s="157">
        <f>Total!I1163</f>
        <v>151626.69</v>
      </c>
    </row>
    <row r="17" spans="1:9" x14ac:dyDescent="0.2">
      <c r="A17" s="8">
        <v>16</v>
      </c>
      <c r="B17" s="101">
        <f>Total!B1164</f>
        <v>42755</v>
      </c>
      <c r="C17" s="101">
        <f>Total!C1164</f>
        <v>42772</v>
      </c>
      <c r="D17" s="112" t="s">
        <v>1092</v>
      </c>
      <c r="E17" s="101" t="str">
        <f>Total!E1164</f>
        <v>Edificació</v>
      </c>
      <c r="F17" s="96" t="str">
        <f>Total!F1164</f>
        <v>Direccions d'Obra</v>
      </c>
      <c r="G17" s="112" t="str">
        <f>Total!G1164</f>
        <v>DO. INB-08492.A</v>
      </c>
      <c r="H17" s="112" t="str">
        <f>Total!H1164</f>
        <v>Direcció d'obra de nova construcció Institut Matí i Pous (rehabilitació antiga fàbrica Fabra i Coats) de Barcelona.</v>
      </c>
      <c r="I17" s="157">
        <f>Total!I1164</f>
        <v>140395.07999999999</v>
      </c>
    </row>
    <row r="18" spans="1:9" x14ac:dyDescent="0.2">
      <c r="A18" s="8">
        <v>17</v>
      </c>
      <c r="B18" s="101">
        <f>Total!B1165</f>
        <v>42751</v>
      </c>
      <c r="C18" s="101">
        <f>Total!C1165</f>
        <v>42772</v>
      </c>
      <c r="D18" s="112" t="s">
        <v>1092</v>
      </c>
      <c r="E18" s="101" t="str">
        <f>Total!E1165</f>
        <v>Obra Civil</v>
      </c>
      <c r="F18" s="96" t="str">
        <f>Total!F1165</f>
        <v>Control de Qualitat</v>
      </c>
      <c r="G18" s="112" t="str">
        <f>Total!G1165</f>
        <v>CQ. ML-05086-A1</v>
      </c>
      <c r="H18" s="112" t="str">
        <f>Total!H1165</f>
        <v>Control de qualitat de les obres de millora local. Millora de nus. Ordenació dels accessos. Ctra. C-14, pk 76,660 (Altet). Ctra. L-310 als nuclis de la Figuerosa, Riudovelles, Gra. Sant Martí de la Morana i la Morana. pk 5,220, 8,050, 15,900, 17,060.</v>
      </c>
      <c r="I18" s="157">
        <f>Total!I1165</f>
        <v>34838.839999999997</v>
      </c>
    </row>
    <row r="19" spans="1:9" x14ac:dyDescent="0.2">
      <c r="A19" s="8">
        <v>18</v>
      </c>
      <c r="B19" s="101">
        <f>Total!B1166</f>
        <v>42760</v>
      </c>
      <c r="C19" s="101">
        <f>Total!C1166</f>
        <v>42779</v>
      </c>
      <c r="D19" s="112" t="s">
        <v>1092</v>
      </c>
      <c r="E19" s="101" t="str">
        <f>Total!E1166</f>
        <v>Obra Civil</v>
      </c>
      <c r="F19" s="96" t="str">
        <f>Total!F1166</f>
        <v>Control de Qualitat</v>
      </c>
      <c r="G19" s="112" t="str">
        <f>Total!G1166</f>
        <v>CQ. MB-14007</v>
      </c>
      <c r="H19" s="112" t="str">
        <f>Total!H1166</f>
        <v>Control de qualitat de les obres del projecte constructiu de millora local. Millora de nus. Millora de l'enllaç entre la carretera de Viladordis i la ronda de Manresa. Ctra. C-55, pk 29,700. Tram: Mnaresa.</v>
      </c>
      <c r="I19" s="157">
        <f>Total!I1166</f>
        <v>28894.76</v>
      </c>
    </row>
    <row r="20" spans="1:9" x14ac:dyDescent="0.2">
      <c r="A20" s="8">
        <v>19</v>
      </c>
      <c r="B20" s="101">
        <f>Total!B1167</f>
        <v>42760</v>
      </c>
      <c r="C20" s="101">
        <f>Total!C1167</f>
        <v>42779</v>
      </c>
      <c r="D20" s="112" t="s">
        <v>1092</v>
      </c>
      <c r="E20" s="101" t="str">
        <f>Total!E1167</f>
        <v>Obra Civil</v>
      </c>
      <c r="F20" s="96" t="str">
        <f>Total!F1167</f>
        <v>Control de Qualitat</v>
      </c>
      <c r="G20" s="112" t="str">
        <f>Total!G1167</f>
        <v>CQ. MB-07109-A1</v>
      </c>
      <c r="H20" s="112" t="str">
        <f>Total!H1167</f>
        <v>Control de qualitat de les obres del projecte constructiu de millora local. Implantació d'un tercer carril a la ctra. C-55 del pk 9,360 a l'11,400. Tram: Collbató.</v>
      </c>
      <c r="I20" s="157">
        <f>Total!I1167</f>
        <v>38065.26</v>
      </c>
    </row>
    <row r="21" spans="1:9" x14ac:dyDescent="0.2">
      <c r="A21" s="8">
        <v>20</v>
      </c>
      <c r="B21" s="101">
        <f>Total!B1168</f>
        <v>42762</v>
      </c>
      <c r="C21" s="101">
        <f>Total!C1168</f>
        <v>42779</v>
      </c>
      <c r="D21" s="112" t="s">
        <v>1092</v>
      </c>
      <c r="E21" s="101" t="str">
        <f>Total!E1168</f>
        <v>Obra Civil</v>
      </c>
      <c r="F21" s="96" t="str">
        <f>Total!F1168</f>
        <v>Projectes</v>
      </c>
      <c r="G21" s="112" t="str">
        <f>Total!G1168</f>
        <v>PC. MB-16037-F1</v>
      </c>
      <c r="H21" s="112" t="str">
        <f>Total!H1168</f>
        <v>Redacció del projecte constructiu de millora local. Millora de nus. Rotonda a la carretera C-31, pk 176,500. Fase 1. Tram: Sitges.</v>
      </c>
      <c r="I21" s="157">
        <f>Total!I1168</f>
        <v>19000</v>
      </c>
    </row>
    <row r="22" spans="1:9" x14ac:dyDescent="0.2">
      <c r="A22" s="8">
        <v>21</v>
      </c>
      <c r="B22" s="101">
        <f>Total!B1169</f>
        <v>42762</v>
      </c>
      <c r="C22" s="101">
        <f>Total!C1169</f>
        <v>42779</v>
      </c>
      <c r="D22" s="112" t="s">
        <v>1092</v>
      </c>
      <c r="E22" s="101" t="str">
        <f>Total!E1169</f>
        <v>Obra Civil</v>
      </c>
      <c r="F22" s="96" t="str">
        <f>Total!F1169</f>
        <v>Projectes</v>
      </c>
      <c r="G22" s="112" t="str">
        <f>Total!G1169</f>
        <v>PC. CL-16029</v>
      </c>
      <c r="H22" s="112" t="str">
        <f>Total!H1169</f>
        <v>Redacció del projecte constructiu de conservació extraordinària. Ponts i estructures. Execució vorera de vianants i adequació ampit a la normativa vigent. Ctra. C-1412b, pk 58,970. Tram: Tremp.</v>
      </c>
      <c r="I22" s="157">
        <f>Total!I1169</f>
        <v>35300</v>
      </c>
    </row>
    <row r="23" spans="1:9" x14ac:dyDescent="0.2">
      <c r="A23" s="8">
        <v>22</v>
      </c>
      <c r="B23" s="101">
        <f>Total!B1170</f>
        <v>42762</v>
      </c>
      <c r="C23" s="101">
        <f>Total!C1170</f>
        <v>42779</v>
      </c>
      <c r="D23" s="112" t="s">
        <v>1092</v>
      </c>
      <c r="E23" s="101" t="str">
        <f>Total!E1170</f>
        <v>Obra Civil</v>
      </c>
      <c r="F23" s="96" t="str">
        <f>Total!F1170</f>
        <v>Projectes</v>
      </c>
      <c r="G23" s="112" t="str">
        <f>Total!G1170</f>
        <v>PC. CL-16028</v>
      </c>
      <c r="H23" s="112" t="str">
        <f>Total!H1170</f>
        <v>Redacció del projecte constructiu de conservació extraordinària. Ponts i estructures. Demolició i execució nova estructura. Carretera L-311z, pk 7,500. Tram: Tarroja de Segarra.</v>
      </c>
      <c r="I23" s="157">
        <f>Total!I1170</f>
        <v>25500</v>
      </c>
    </row>
    <row r="24" spans="1:9" x14ac:dyDescent="0.2">
      <c r="A24" s="8">
        <v>23</v>
      </c>
      <c r="B24" s="101">
        <f>Total!B1171</f>
        <v>42762</v>
      </c>
      <c r="C24" s="101">
        <f>Total!C1171</f>
        <v>42779</v>
      </c>
      <c r="D24" s="112" t="s">
        <v>1092</v>
      </c>
      <c r="E24" s="101" t="str">
        <f>Total!E1171</f>
        <v>Obra Civil</v>
      </c>
      <c r="F24" s="96" t="str">
        <f>Total!F1171</f>
        <v>Projectes</v>
      </c>
      <c r="G24" s="112" t="str">
        <f>Total!G1171</f>
        <v>PC. TM-14299</v>
      </c>
      <c r="H24" s="112" t="str">
        <f>Total!H1171</f>
        <v>Redacció del projecte constructiu de rehabilitació de l'edifici de cotxeres i tallers de la Línia 3 dels FMB de Sant Genís.</v>
      </c>
      <c r="I24" s="157">
        <f>Total!I1171</f>
        <v>41000</v>
      </c>
    </row>
    <row r="25" spans="1:9" x14ac:dyDescent="0.2">
      <c r="A25" s="8">
        <v>24</v>
      </c>
      <c r="B25" s="101">
        <f>Total!B1172</f>
        <v>42766</v>
      </c>
      <c r="C25" s="101">
        <f>Total!C1172</f>
        <v>42781</v>
      </c>
      <c r="D25" s="112" t="s">
        <v>1092</v>
      </c>
      <c r="E25" s="101" t="str">
        <f>Total!E1172</f>
        <v>Obra Civil</v>
      </c>
      <c r="F25" s="96" t="str">
        <f>Total!F1172</f>
        <v>Projectes</v>
      </c>
      <c r="G25" s="112" t="str">
        <f>Total!G1172</f>
        <v>EP. EP47</v>
      </c>
      <c r="H25" s="112" t="str">
        <f>Total!H1172</f>
        <v>Realització dels treballs de topografia corresponents als estudis i projectes d'obra civil i d'edificació a les comarques de Barcelona.</v>
      </c>
      <c r="I25" s="157">
        <f>Total!I1172</f>
        <v>206000</v>
      </c>
    </row>
    <row r="26" spans="1:9" x14ac:dyDescent="0.2">
      <c r="A26" s="8">
        <v>25</v>
      </c>
      <c r="B26" s="101">
        <f>Total!B1173</f>
        <v>42766</v>
      </c>
      <c r="C26" s="101">
        <f>Total!C1173</f>
        <v>42781</v>
      </c>
      <c r="D26" s="112" t="s">
        <v>1092</v>
      </c>
      <c r="E26" s="101" t="str">
        <f>Total!E1173</f>
        <v>Obra Civil</v>
      </c>
      <c r="F26" s="96" t="str">
        <f>Total!F1173</f>
        <v>Direccions d'obra</v>
      </c>
      <c r="G26" s="112" t="str">
        <f>Total!G1173</f>
        <v>DO. XB-13313</v>
      </c>
      <c r="H26" s="112" t="str">
        <f>Total!H1173</f>
        <v>Direcció de les obres del projecte constructiu via ciclista a la carretera BV-5301 a Santa maria de Palautordera. tram: Santa Maria de Palautordera-Estació FFCC.</v>
      </c>
      <c r="I26" s="157">
        <f>Total!I1173</f>
        <v>19722.22</v>
      </c>
    </row>
    <row r="27" spans="1:9" x14ac:dyDescent="0.2">
      <c r="A27" s="8">
        <v>26</v>
      </c>
      <c r="B27" s="101">
        <f>Total!B1174</f>
        <v>42766</v>
      </c>
      <c r="C27" s="101">
        <f>Total!C1174</f>
        <v>42781</v>
      </c>
      <c r="D27" s="112" t="s">
        <v>1092</v>
      </c>
      <c r="E27" s="101" t="str">
        <f>Total!E1174</f>
        <v>Obra Civil</v>
      </c>
      <c r="F27" s="96" t="str">
        <f>Total!F1174</f>
        <v>Direccions d'obra</v>
      </c>
      <c r="G27" s="112" t="str">
        <f>Total!G1174</f>
        <v>DO. MB-14007</v>
      </c>
      <c r="H27" s="112" t="str">
        <f>Total!H1174</f>
        <v>Direcció de les obres del projecte constructiu de millora local. Millora de nus. Millora de l'enllaç entre la carretera de Viladordis i la ronda de Manresa. Ctra. C-55, pk 29,700. tram: Manresa.</v>
      </c>
      <c r="I27" s="157">
        <f>Total!I1174</f>
        <v>58066.67</v>
      </c>
    </row>
    <row r="28" spans="1:9" x14ac:dyDescent="0.2">
      <c r="A28" s="8">
        <v>27</v>
      </c>
      <c r="B28" s="101">
        <f>Total!B1175</f>
        <v>42765</v>
      </c>
      <c r="C28" s="101">
        <f>Total!C1175</f>
        <v>42781</v>
      </c>
      <c r="D28" s="112" t="s">
        <v>1092</v>
      </c>
      <c r="E28" s="101" t="str">
        <f>Total!E1175</f>
        <v>Edificació</v>
      </c>
      <c r="F28" s="96" t="str">
        <f>Total!F1175</f>
        <v>Projectes i Direccions Facultatives</v>
      </c>
      <c r="G28" s="112" t="str">
        <f>Total!G1175</f>
        <v>PE+DF. JVX-16243</v>
      </c>
      <c r="H28" s="112" t="str">
        <f>Total!H1175</f>
        <v>Redacció del projecte executiu i de l'estudi de seguretat i salut i la posterior direcció facultativa de les obres RAM d'adequació del clima de l'Audiènica a l'edifici judicial del Canyeret de Lleida.</v>
      </c>
      <c r="I28" s="157">
        <f>Total!I1175</f>
        <v>28041.27</v>
      </c>
    </row>
    <row r="29" spans="1:9" x14ac:dyDescent="0.2">
      <c r="A29" s="8">
        <v>28</v>
      </c>
      <c r="B29" s="101">
        <f>Total!B1176</f>
        <v>42765</v>
      </c>
      <c r="C29" s="101">
        <f>Total!C1176</f>
        <v>42781</v>
      </c>
      <c r="D29" s="112" t="s">
        <v>1092</v>
      </c>
      <c r="E29" s="101" t="str">
        <f>Total!E1176</f>
        <v>Edificació</v>
      </c>
      <c r="F29" s="96" t="str">
        <f>Total!F1176</f>
        <v>Projectes i Direccions d'Obra</v>
      </c>
      <c r="G29" s="112" t="str">
        <f>Total!G1176</f>
        <v>PE+DO IAT-16254</v>
      </c>
      <c r="H29" s="112" t="str">
        <f>Total!H1176</f>
        <v>Redacció del projecte bàsic i executiu i la posterior direcció d'obra de l'ampliació a 4/2 Institut Els Pallaresos.</v>
      </c>
      <c r="I29" s="157">
        <f>Total!I1176</f>
        <v>164564</v>
      </c>
    </row>
    <row r="30" spans="1:9" x14ac:dyDescent="0.2">
      <c r="A30" s="8">
        <v>29</v>
      </c>
      <c r="B30" s="101">
        <f>Total!B1177</f>
        <v>42766</v>
      </c>
      <c r="C30" s="101">
        <f>Total!C1177</f>
        <v>42781</v>
      </c>
      <c r="D30" s="112" t="s">
        <v>1092</v>
      </c>
      <c r="E30" s="101" t="str">
        <f>Total!E1177</f>
        <v>Edificació</v>
      </c>
      <c r="F30" s="96" t="str">
        <f>Total!F1177</f>
        <v>Projectes i Direccions d'Obra</v>
      </c>
      <c r="G30" s="112" t="str">
        <f>Total!G1177</f>
        <v>PE+DO IAV-16217</v>
      </c>
      <c r="H30" s="112" t="str">
        <f>Total!H1177</f>
        <v>Redacció del projecte i posterior direcció d'obra de l'ampliació i adequació Institut 3/2 + Cicles formatius a l'Institut La Ferreria (2v), a Montcada i Reixac.</v>
      </c>
      <c r="I30" s="157">
        <f>Total!I1177</f>
        <v>132827</v>
      </c>
    </row>
    <row r="31" spans="1:9" x14ac:dyDescent="0.2">
      <c r="A31" s="8">
        <v>30</v>
      </c>
      <c r="B31" s="101">
        <f>Total!B1178</f>
        <v>42766</v>
      </c>
      <c r="C31" s="101">
        <f>Total!C1178</f>
        <v>42781</v>
      </c>
      <c r="D31" s="112" t="s">
        <v>1092</v>
      </c>
      <c r="E31" s="101" t="str">
        <f>Total!E1178</f>
        <v>Edificació</v>
      </c>
      <c r="F31" s="96" t="str">
        <f>Total!F1178</f>
        <v>Projectes i Direccions d'Obra</v>
      </c>
      <c r="G31" s="112" t="str">
        <f>Total!G1178</f>
        <v>PE+DO IAC-16256</v>
      </c>
      <c r="H31" s="112" t="str">
        <f>Total!H1178</f>
        <v>Redacció del projecte bàsic i d'execució i la posterior direcció de les obres de l'ampliació per a Institut 2/0 a l'Escola Antoni Grau Minguell, a Sant Quintí de Mediona.</v>
      </c>
      <c r="I31" s="157">
        <f>Total!I1178</f>
        <v>140849</v>
      </c>
    </row>
    <row r="32" spans="1:9" x14ac:dyDescent="0.2">
      <c r="I32" s="126">
        <f>SUM(I2:I31)</f>
        <v>2569004.67</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I43"/>
  <sheetViews>
    <sheetView topLeftCell="C13" workbookViewId="0">
      <selection activeCell="G8" sqref="G8"/>
    </sheetView>
  </sheetViews>
  <sheetFormatPr baseColWidth="10" defaultRowHeight="12.75" x14ac:dyDescent="0.2"/>
  <cols>
    <col min="1" max="1" width="5.140625" customWidth="1"/>
    <col min="4" max="4" width="17" bestFit="1" customWidth="1"/>
    <col min="6" max="6" width="15.140625" bestFit="1" customWidth="1"/>
    <col min="7" max="7" width="18.4257812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Total!B1107</f>
        <v>42706</v>
      </c>
      <c r="C2" s="101">
        <f>Total!C1107</f>
        <v>42723</v>
      </c>
      <c r="D2" s="112" t="s">
        <v>1092</v>
      </c>
      <c r="E2" s="101" t="str">
        <f>Total!E1107</f>
        <v>Obra Civil</v>
      </c>
      <c r="F2" s="96" t="str">
        <f>Total!F1107</f>
        <v>Projectes</v>
      </c>
      <c r="G2" s="112" t="str">
        <f>Total!G1107</f>
        <v>PC. TX-16221</v>
      </c>
      <c r="H2" s="112" t="str">
        <f>Total!H1107</f>
        <v>Redacció del projecte constructiu per a la consolidació estructural de l'estació de Baró de Viver. L1 dels FMB.</v>
      </c>
      <c r="I2" s="157">
        <f>Total!I1107</f>
        <v>40125</v>
      </c>
    </row>
    <row r="3" spans="1:9" x14ac:dyDescent="0.2">
      <c r="A3" s="8">
        <v>2</v>
      </c>
      <c r="B3" s="101">
        <f>Total!B1108</f>
        <v>42719</v>
      </c>
      <c r="C3" s="101">
        <f>Total!C1108</f>
        <v>42737</v>
      </c>
      <c r="D3" s="112" t="s">
        <v>1092</v>
      </c>
      <c r="E3" s="101" t="str">
        <f>Total!E1108</f>
        <v>Edificació</v>
      </c>
      <c r="F3" s="96" t="str">
        <f>Total!F1108</f>
        <v>Direccions d'Execució</v>
      </c>
      <c r="G3" s="112" t="str">
        <f>Total!G1108</f>
        <v>CSS. PAC-09603</v>
      </c>
      <c r="H3" s="112" t="str">
        <f>Total!H1108</f>
        <v>Coordinació de seguretat i salut de l'execució de les obres d'ampliació i reforma de l'Escola de Gironella.</v>
      </c>
      <c r="I3" s="157">
        <f>Total!I1108</f>
        <v>17500</v>
      </c>
    </row>
    <row r="4" spans="1:9" x14ac:dyDescent="0.2">
      <c r="A4" s="8">
        <v>3</v>
      </c>
      <c r="B4" s="101">
        <f>Total!B1109</f>
        <v>42720</v>
      </c>
      <c r="C4" s="101">
        <f>Total!C1109</f>
        <v>42744</v>
      </c>
      <c r="D4" s="112" t="s">
        <v>1092</v>
      </c>
      <c r="E4" s="101" t="str">
        <f>Total!E1109</f>
        <v>Edificació</v>
      </c>
      <c r="F4" s="96" t="str">
        <f>Total!F1109</f>
        <v>Projectes i Direccions Facultatives</v>
      </c>
      <c r="G4" s="112" t="str">
        <f>Total!G1109</f>
        <v>PE+DF. XMG-17541</v>
      </c>
      <c r="H4" s="112" t="str">
        <f>Total!H1109</f>
        <v>Redacció del projecte i l'estudi de seguretat i salut i la posterior direcció facultativa de les obres RAM 2017 als Serveis Territorials a Girona V. Institut Frederic Martí Carreras, a Palafrugell.</v>
      </c>
      <c r="I4" s="157">
        <f>Total!I1109</f>
        <v>23966.94</v>
      </c>
    </row>
    <row r="5" spans="1:9" x14ac:dyDescent="0.2">
      <c r="A5" s="8">
        <v>4</v>
      </c>
      <c r="B5" s="101">
        <f>Total!B1110</f>
        <v>42720</v>
      </c>
      <c r="C5" s="101">
        <f>Total!C1110</f>
        <v>42744</v>
      </c>
      <c r="D5" s="112" t="s">
        <v>1092</v>
      </c>
      <c r="E5" s="101" t="str">
        <f>Total!E1110</f>
        <v>Edificació</v>
      </c>
      <c r="F5" s="96" t="str">
        <f>Total!F1110</f>
        <v>Projectes i Direccions Facultatives</v>
      </c>
      <c r="G5" s="112" t="str">
        <f>Total!G1110</f>
        <v>PE+DF. XMG-17549</v>
      </c>
      <c r="H5" s="112" t="str">
        <f>Total!H1110</f>
        <v>Redacció del projecte i l'estudi de seguretat i salut i la posterior direcció facultativa de les obres RAM 2017 als Serveis Territorials a Girona XIII. Escola Puig i Segalar, a Viladamat.</v>
      </c>
      <c r="I5" s="157">
        <f>Total!I1110</f>
        <v>23966.94</v>
      </c>
    </row>
    <row r="6" spans="1:9" x14ac:dyDescent="0.2">
      <c r="A6" s="8">
        <v>5</v>
      </c>
      <c r="B6" s="101">
        <f>Total!B1111</f>
        <v>42720</v>
      </c>
      <c r="C6" s="101">
        <f>Total!C1111</f>
        <v>42744</v>
      </c>
      <c r="D6" s="112" t="s">
        <v>1092</v>
      </c>
      <c r="E6" s="101" t="str">
        <f>Total!E1111</f>
        <v>Edificació</v>
      </c>
      <c r="F6" s="96" t="str">
        <f>Total!F1111</f>
        <v>Projectes i Direccions Facultatives</v>
      </c>
      <c r="G6" s="112" t="str">
        <f>Total!G1111</f>
        <v>PE+DF. XMG-17543</v>
      </c>
      <c r="H6" s="112" t="str">
        <f>Total!H1111</f>
        <v>Redacció del projecte i l'estudi de seguretat i salut i la posterior direcció facultativa de les obres RAM 2017 als Serveis Territorials a Girona VII. Escola Sant Gregori, a Sant Gregori.</v>
      </c>
      <c r="I6" s="157">
        <f>Total!I1111</f>
        <v>35950.410000000003</v>
      </c>
    </row>
    <row r="7" spans="1:9" x14ac:dyDescent="0.2">
      <c r="A7" s="8">
        <v>6</v>
      </c>
      <c r="B7" s="101">
        <f>Total!B1112</f>
        <v>42720</v>
      </c>
      <c r="C7" s="101">
        <f>Total!C1112</f>
        <v>42746</v>
      </c>
      <c r="D7" s="112" t="s">
        <v>1092</v>
      </c>
      <c r="E7" s="101" t="str">
        <f>Total!E1112</f>
        <v>Edificació</v>
      </c>
      <c r="F7" s="96" t="str">
        <f>Total!F1112</f>
        <v>Projectes i Direccions Facultatives</v>
      </c>
      <c r="G7" s="112" t="str">
        <f>Total!G1112</f>
        <v>PE+DF. XMG-17544</v>
      </c>
      <c r="H7" s="112" t="str">
        <f>Total!H1112</f>
        <v>Redacció del projecte i l'estudi de seguretat i salut i la posterior direcció facultativa de les obres RAM 2017 als Serveis Territorials a Girona VIII. Escola Puig d'Arques, a Cassà de la Selva.</v>
      </c>
      <c r="I7" s="157">
        <f>Total!I1112</f>
        <v>17975.21</v>
      </c>
    </row>
    <row r="8" spans="1:9" x14ac:dyDescent="0.2">
      <c r="A8" s="8">
        <v>8</v>
      </c>
      <c r="B8" s="101">
        <f>Total!B1114</f>
        <v>42720</v>
      </c>
      <c r="C8" s="101">
        <f>Total!C1114</f>
        <v>42744</v>
      </c>
      <c r="D8" s="112" t="s">
        <v>1092</v>
      </c>
      <c r="E8" s="101" t="str">
        <f>Total!E1114</f>
        <v>Edificació</v>
      </c>
      <c r="F8" s="96" t="str">
        <f>Total!F1114</f>
        <v>Projectes i Direccions Facultatives</v>
      </c>
      <c r="G8" s="112" t="str">
        <f>Total!G1114</f>
        <v>PE+DF. XMH-17532</v>
      </c>
      <c r="H8" s="112" t="str">
        <f>Total!H1114</f>
        <v>Redacció del projecte i l'estudi de seguretat i salut i la posterior direcció facultativa de les obres RAM 2017 als Serveis Territorials a Catalunya Central I. Escola Institut Muntanya del Drac, a Manresa.</v>
      </c>
      <c r="I8" s="157">
        <f>Total!I1114</f>
        <v>28760.33</v>
      </c>
    </row>
    <row r="9" spans="1:9" x14ac:dyDescent="0.2">
      <c r="A9" s="8">
        <v>9</v>
      </c>
      <c r="B9" s="101">
        <f>Total!B1115</f>
        <v>42720</v>
      </c>
      <c r="C9" s="101">
        <f>Total!C1115</f>
        <v>42744</v>
      </c>
      <c r="D9" s="112" t="s">
        <v>1092</v>
      </c>
      <c r="E9" s="101" t="str">
        <f>Total!E1115</f>
        <v>Edificació</v>
      </c>
      <c r="F9" s="96" t="str">
        <f>Total!F1115</f>
        <v>Projectes i Direccions Facultatives</v>
      </c>
      <c r="G9" s="112" t="str">
        <f>Total!G1115</f>
        <v>PE+DF. XMG-17537</v>
      </c>
      <c r="H9" s="112" t="str">
        <f>Total!H1115</f>
        <v>Redacció del projecte i l'estudi de seguretat i salut i la posterior direcció facultativa de les obres RAM 2017 als Serveis Territorials a Girona I. Institut La Bisbal, a Bisbal de l'Empordà.</v>
      </c>
      <c r="I9" s="157">
        <f>Total!I1115</f>
        <v>17975.21</v>
      </c>
    </row>
    <row r="10" spans="1:9" x14ac:dyDescent="0.2">
      <c r="A10" s="8">
        <v>10</v>
      </c>
      <c r="B10" s="101">
        <f>Total!B1116</f>
        <v>42720</v>
      </c>
      <c r="C10" s="101">
        <f>Total!C1116</f>
        <v>42746</v>
      </c>
      <c r="D10" s="112" t="s">
        <v>1092</v>
      </c>
      <c r="E10" s="101" t="str">
        <f>Total!E1116</f>
        <v>Edificació</v>
      </c>
      <c r="F10" s="96" t="str">
        <f>Total!F1116</f>
        <v>Projectes i Direccions Facultatives</v>
      </c>
      <c r="G10" s="112" t="str">
        <f>Total!G1116</f>
        <v>PE+DF. XMM-17531</v>
      </c>
      <c r="H10" s="112" t="str">
        <f>Total!H1116</f>
        <v>Redacció del projecte i l'estudi de seguretat i salut i la posterior direcció facultativa de les obres RAM 2017 als Serveis Territorials a Maresme-Vallès Oriental IV. Institut Alexandre Satorras, a Mataró.</v>
      </c>
      <c r="I10" s="157">
        <f>Total!I1116</f>
        <v>23966.94</v>
      </c>
    </row>
    <row r="11" spans="1:9" x14ac:dyDescent="0.2">
      <c r="A11" s="8">
        <v>11</v>
      </c>
      <c r="B11" s="101">
        <f>Total!B1117</f>
        <v>42720</v>
      </c>
      <c r="C11" s="101">
        <f>Total!C1117</f>
        <v>42746</v>
      </c>
      <c r="D11" s="112" t="s">
        <v>1092</v>
      </c>
      <c r="E11" s="101" t="str">
        <f>Total!E1117</f>
        <v>Edificació</v>
      </c>
      <c r="F11" s="96" t="str">
        <f>Total!F1117</f>
        <v>Projectes i Direccions Facultatives</v>
      </c>
      <c r="G11" s="112" t="str">
        <f>Total!G1117</f>
        <v>PE+DF. XMM-17529</v>
      </c>
      <c r="H11" s="112" t="str">
        <f>Total!H1117</f>
        <v>Redacció del projecte i l'estudi de seguretat i salut i la posterior direcció facultativa de les obres RAM 2017 als Serveis Territorials a Maresme-Vallès Oriental II. Institut de Granollers.</v>
      </c>
      <c r="I11" s="157">
        <f>Total!I1117</f>
        <v>23966.94</v>
      </c>
    </row>
    <row r="12" spans="1:9" x14ac:dyDescent="0.2">
      <c r="A12" s="8">
        <v>12</v>
      </c>
      <c r="B12" s="101">
        <f>Total!B1118</f>
        <v>42720</v>
      </c>
      <c r="C12" s="101">
        <f>Total!C1118</f>
        <v>42746</v>
      </c>
      <c r="D12" s="112" t="s">
        <v>1092</v>
      </c>
      <c r="E12" s="101" t="str">
        <f>Total!E1118</f>
        <v>Edificació</v>
      </c>
      <c r="F12" s="96" t="str">
        <f>Total!F1118</f>
        <v>Projectes i Direccions Facultatives</v>
      </c>
      <c r="G12" s="112" t="str">
        <f>Total!G1118</f>
        <v>PE+DF. XMV-17556</v>
      </c>
      <c r="H12" s="112" t="str">
        <f>Total!H1118</f>
        <v>Redacció del projecte i l'estudi de seguretat i salut i la posterior direcció facultativa de les obres RAM 2017 als Serveis Territorials Vallès Occidental I. Institut Can Planas, a Barberà del Vallès.</v>
      </c>
      <c r="I12" s="157">
        <f>Total!I1118</f>
        <v>23966.94</v>
      </c>
    </row>
    <row r="13" spans="1:9" x14ac:dyDescent="0.2">
      <c r="A13" s="8">
        <v>13</v>
      </c>
      <c r="B13" s="101">
        <f>Total!B1119</f>
        <v>42720</v>
      </c>
      <c r="C13" s="101">
        <f>Total!C1119</f>
        <v>42746</v>
      </c>
      <c r="D13" s="112" t="s">
        <v>1092</v>
      </c>
      <c r="E13" s="101" t="str">
        <f>Total!E1119</f>
        <v>Edificació</v>
      </c>
      <c r="F13" s="96" t="str">
        <f>Total!F1119</f>
        <v>Projectes i Direccions Facultatives</v>
      </c>
      <c r="G13" s="112" t="str">
        <f>Total!G1119</f>
        <v>PE+DF. XMV-17557</v>
      </c>
      <c r="H13" s="112" t="str">
        <f>Total!H1119</f>
        <v>Redacció del projecte i l'estudi de seguretat i salut i la posterior direcció facultativa de les obres RAM 2017 als Serveis Territorials Vallès Occidental II. Institut La Ribera, a Montcada i Reixac.</v>
      </c>
      <c r="I13" s="157">
        <f>Total!I1119</f>
        <v>28760.33</v>
      </c>
    </row>
    <row r="14" spans="1:9" x14ac:dyDescent="0.2">
      <c r="A14" s="8">
        <v>14</v>
      </c>
      <c r="B14" s="101">
        <f>Total!B1120</f>
        <v>42720</v>
      </c>
      <c r="C14" s="101">
        <f>Total!C1120</f>
        <v>42746</v>
      </c>
      <c r="D14" s="112" t="s">
        <v>1092</v>
      </c>
      <c r="E14" s="101" t="str">
        <f>Total!E1120</f>
        <v>Edificació</v>
      </c>
      <c r="F14" s="96" t="str">
        <f>Total!F1120</f>
        <v>Projectes i Direccions Facultatives</v>
      </c>
      <c r="G14" s="112" t="str">
        <f>Total!G1120</f>
        <v>PE+DF. XMV-17559</v>
      </c>
      <c r="H14" s="112" t="str">
        <f>Total!H1120</f>
        <v>Redacció del projecte i l'estudi de seguretat i salut i la posterior direcció facultativa de les obres RAM 2017 als Serveis Territorials Vallès Occidental IV. Institut La Serra, a Sabadell.</v>
      </c>
      <c r="I14" s="157">
        <f>Total!I1120</f>
        <v>26363.65</v>
      </c>
    </row>
    <row r="15" spans="1:9" x14ac:dyDescent="0.2">
      <c r="A15" s="8">
        <v>15</v>
      </c>
      <c r="B15" s="101">
        <f>Total!B1121</f>
        <v>42720</v>
      </c>
      <c r="C15" s="101">
        <f>Total!C1121</f>
        <v>42744</v>
      </c>
      <c r="D15" s="112" t="s">
        <v>1092</v>
      </c>
      <c r="E15" s="101" t="str">
        <f>Total!E1121</f>
        <v>Edificació</v>
      </c>
      <c r="F15" s="96" t="str">
        <f>Total!F1121</f>
        <v>Projectes i Direccions Facultatives</v>
      </c>
      <c r="G15" s="112" t="str">
        <f>Total!G1121</f>
        <v>PE+DF. XMA-17504</v>
      </c>
      <c r="H15" s="112" t="str">
        <f>Total!H1121</f>
        <v>Redacció del projecte i l'estudi de seguretat i salut i la posterior direcció facultativa de les obres RAM 2017 als Serveis Territorials a Baix Llobregat V. Institut Daniel Blanxart, a Olesa de Montserrat.</v>
      </c>
      <c r="I15" s="157">
        <f>Total!I1121</f>
        <v>17975.21</v>
      </c>
    </row>
    <row r="16" spans="1:9" x14ac:dyDescent="0.2">
      <c r="A16" s="8">
        <v>16</v>
      </c>
      <c r="B16" s="101">
        <f>Total!B1122</f>
        <v>42720</v>
      </c>
      <c r="C16" s="101">
        <f>Total!C1122</f>
        <v>42744</v>
      </c>
      <c r="D16" s="112" t="s">
        <v>1092</v>
      </c>
      <c r="E16" s="101" t="str">
        <f>Total!E1122</f>
        <v>Edificació</v>
      </c>
      <c r="F16" s="96" t="str">
        <f>Total!F1122</f>
        <v>Projectes i Direccions Facultatives</v>
      </c>
      <c r="G16" s="112" t="str">
        <f>Total!G1122</f>
        <v>PE+DF. XMC-17509</v>
      </c>
      <c r="H16" s="112" t="str">
        <f>Total!H1122</f>
        <v>Redacció del projecte i l'estudi de seguretat i salut i la posterior direcció facultativa de les obres RAM 2017 als Serveis Territorials a Barcelona Comarques I. Escola Badalona Port, a Badalona.</v>
      </c>
      <c r="I16" s="157">
        <f>Total!I1122</f>
        <v>17975.21</v>
      </c>
    </row>
    <row r="17" spans="1:9" x14ac:dyDescent="0.2">
      <c r="A17" s="8">
        <v>17</v>
      </c>
      <c r="B17" s="101">
        <f>Total!B1123</f>
        <v>42720</v>
      </c>
      <c r="C17" s="101">
        <f>Total!C1123</f>
        <v>42744</v>
      </c>
      <c r="D17" s="112" t="s">
        <v>1092</v>
      </c>
      <c r="E17" s="101" t="str">
        <f>Total!E1123</f>
        <v>Edificació</v>
      </c>
      <c r="F17" s="96" t="str">
        <f>Total!F1123</f>
        <v>Projectes i Direccions Facultatives</v>
      </c>
      <c r="G17" s="112" t="str">
        <f>Total!G1123</f>
        <v>PE+DF. XMG-17538</v>
      </c>
      <c r="H17" s="112" t="str">
        <f>Total!H1123</f>
        <v>Redacció del projecte i l'estudi de seguretat i salut i la posterior direcció facultativa de les obres RAM 2017 als Serveis Territorials a Girona II. EEE Ventijol, a Blanes.</v>
      </c>
      <c r="I17" s="157">
        <f>Total!I1123</f>
        <v>23966.94</v>
      </c>
    </row>
    <row r="18" spans="1:9" x14ac:dyDescent="0.2">
      <c r="A18" s="8">
        <v>18</v>
      </c>
      <c r="B18" s="101">
        <f>Total!B1124</f>
        <v>42720</v>
      </c>
      <c r="C18" s="101">
        <f>Total!C1124</f>
        <v>42744</v>
      </c>
      <c r="D18" s="112" t="s">
        <v>1092</v>
      </c>
      <c r="E18" s="101" t="str">
        <f>Total!E1124</f>
        <v>Edificació</v>
      </c>
      <c r="F18" s="96" t="str">
        <f>Total!F1124</f>
        <v>Projectes i Direccions Facultatives</v>
      </c>
      <c r="G18" s="112" t="str">
        <f>Total!G1124</f>
        <v>PE+DF. XMG-17542</v>
      </c>
      <c r="H18" s="112" t="str">
        <f>Total!H1124</f>
        <v>Redacció del projecte i l'estudi de seguretat i salut i la posterior direcció facultativa de les obres RAM 2017 als Serveis Territorials a Girona VI. EEE Els Àngels, a Palamós.</v>
      </c>
      <c r="I18" s="157">
        <f>Total!I1124</f>
        <v>23966.94</v>
      </c>
    </row>
    <row r="19" spans="1:9" x14ac:dyDescent="0.2">
      <c r="A19" s="8">
        <v>19</v>
      </c>
      <c r="B19" s="101">
        <f>Total!B1125</f>
        <v>42720</v>
      </c>
      <c r="C19" s="101">
        <f>Total!C1125</f>
        <v>42744</v>
      </c>
      <c r="D19" s="112" t="s">
        <v>1092</v>
      </c>
      <c r="E19" s="101" t="str">
        <f>Total!E1125</f>
        <v>Edificació</v>
      </c>
      <c r="F19" s="96" t="str">
        <f>Total!F1125</f>
        <v>Projectes i Direccions Facultatives</v>
      </c>
      <c r="G19" s="112" t="str">
        <f>Total!G1125</f>
        <v>PE+DF. XMC-17514</v>
      </c>
      <c r="H19" s="112" t="str">
        <f>Total!H1125</f>
        <v>Redacció del projecte i l'estudi de seguretat i salut i la posterior direcció facultativa de les obres RAM 2017 als Serveis Territorials a Barcelona Comarques VI. Institut Bellvitge, a l'Hospitalet de Llobregat.</v>
      </c>
      <c r="I19" s="157">
        <f>Total!I1125</f>
        <v>23966.94</v>
      </c>
    </row>
    <row r="20" spans="1:9" x14ac:dyDescent="0.2">
      <c r="A20" s="8">
        <v>20</v>
      </c>
      <c r="B20" s="101">
        <f>Total!B1126</f>
        <v>42720</v>
      </c>
      <c r="C20" s="101">
        <f>Total!C1126</f>
        <v>42746</v>
      </c>
      <c r="D20" s="112" t="s">
        <v>1092</v>
      </c>
      <c r="E20" s="101" t="str">
        <f>Total!E1126</f>
        <v>Edificació</v>
      </c>
      <c r="F20" s="96" t="str">
        <f>Total!F1126</f>
        <v>Projectes i Direccions Facultatives</v>
      </c>
      <c r="G20" s="112" t="str">
        <f>Total!G1126</f>
        <v>PE+DF. XMT-17555</v>
      </c>
      <c r="H20" s="112" t="str">
        <f>Total!H1126</f>
        <v>Redacció del projecte i l'estudi de seguretat i salut i la posterior direcció facultativa de les obres RAM 2017 als Serveis Territorials a Tarragona VI. Escola Guillem de Claramunt, a La Secuita.</v>
      </c>
      <c r="I20" s="157">
        <f>Total!I1126</f>
        <v>35950.410000000003</v>
      </c>
    </row>
    <row r="21" spans="1:9" x14ac:dyDescent="0.2">
      <c r="A21" s="8">
        <v>21</v>
      </c>
      <c r="B21" s="101">
        <f>Total!B1127</f>
        <v>42720</v>
      </c>
      <c r="C21" s="101">
        <f>Total!C1127</f>
        <v>42746</v>
      </c>
      <c r="D21" s="112" t="s">
        <v>1092</v>
      </c>
      <c r="E21" s="101" t="str">
        <f>Total!E1127</f>
        <v>Edificació</v>
      </c>
      <c r="F21" s="96" t="str">
        <f>Total!F1127</f>
        <v>Projectes i Direccions Facultatives</v>
      </c>
      <c r="G21" s="112" t="str">
        <f>Total!G1127</f>
        <v>PE+DF. XEM-17528</v>
      </c>
      <c r="H21" s="112" t="str">
        <f>Total!H1127</f>
        <v>Redacció del projecte i l'estudi de seguretat i salut i la posterior direcció facultativa de les obres RAM 2017 als Serveis Territorials a Maresme-Vallès Oriental I. Institut Sant Pol de Mar.</v>
      </c>
      <c r="I21" s="157">
        <f>Total!I1127</f>
        <v>19173.55</v>
      </c>
    </row>
    <row r="22" spans="1:9" x14ac:dyDescent="0.2">
      <c r="A22" s="8">
        <v>22</v>
      </c>
      <c r="B22" s="101">
        <f>Total!B1128</f>
        <v>42720</v>
      </c>
      <c r="C22" s="101">
        <f>Total!C1128</f>
        <v>42746</v>
      </c>
      <c r="D22" s="112" t="s">
        <v>1092</v>
      </c>
      <c r="E22" s="101" t="str">
        <f>Total!E1128</f>
        <v>Edificació</v>
      </c>
      <c r="F22" s="96" t="str">
        <f>Total!F1128</f>
        <v>Projectes i Direccions Facultatives</v>
      </c>
      <c r="G22" s="112" t="str">
        <f>Total!G1128</f>
        <v>PE+DF. XEL-17526</v>
      </c>
      <c r="H22" s="112" t="str">
        <f>Total!H1128</f>
        <v>Redacció del projecte i l'estudi de seguretat i salut i la posterior direcció facultativa de les obres RAM 2017 als Serveis Territorials a Lleida V. Escola Vidal i Abad, a Vilaller.</v>
      </c>
      <c r="I22" s="157">
        <f>Total!I1128</f>
        <v>16177.68</v>
      </c>
    </row>
    <row r="23" spans="1:9" x14ac:dyDescent="0.2">
      <c r="A23" s="8">
        <v>23</v>
      </c>
      <c r="B23" s="101">
        <f>Total!B1129</f>
        <v>42720</v>
      </c>
      <c r="C23" s="101">
        <f>Total!C1129</f>
        <v>42746</v>
      </c>
      <c r="D23" s="112" t="s">
        <v>1092</v>
      </c>
      <c r="E23" s="101" t="str">
        <f>Total!E1129</f>
        <v>Edificació</v>
      </c>
      <c r="F23" s="96" t="str">
        <f>Total!F1129</f>
        <v>Projectes i Direccions Facultatives</v>
      </c>
      <c r="G23" s="112" t="str">
        <f>Total!G1129</f>
        <v>PE+DF. XMM-17530</v>
      </c>
      <c r="H23" s="112" t="str">
        <f>Total!H1129</f>
        <v>Redacció del projecte i l'estudi de seguretat i salut i la posterior direcció facultativa de les obres RAM 2017 als Serveis Territorials a Maresme-Vallès Oriental III. Institut Bisbe Sivilla, a Calella.</v>
      </c>
      <c r="I23" s="157">
        <f>Total!I1129</f>
        <v>23966.94</v>
      </c>
    </row>
    <row r="24" spans="1:9" x14ac:dyDescent="0.2">
      <c r="A24" s="8">
        <v>24</v>
      </c>
      <c r="B24" s="101">
        <f>Total!B1130</f>
        <v>42720</v>
      </c>
      <c r="C24" s="101">
        <f>Total!C1130</f>
        <v>42744</v>
      </c>
      <c r="D24" s="112" t="s">
        <v>1092</v>
      </c>
      <c r="E24" s="101" t="str">
        <f>Total!E1130</f>
        <v>Edificació</v>
      </c>
      <c r="F24" s="96" t="str">
        <f>Total!F1130</f>
        <v>Projectes i Direccions Facultatives</v>
      </c>
      <c r="G24" s="112" t="str">
        <f>Total!G1130</f>
        <v>PE+DF. XMH-17536</v>
      </c>
      <c r="H24" s="112" t="str">
        <f>Total!H1130</f>
        <v>Redacció del projecte i l'estudi de seguretat i salut i la posterior direcció facultativa de les obres RAM 2017 als Serveis Territorials a Catalunya Central V. Escola Abad Oliva, a Sant Hipòlit de Voltregà.</v>
      </c>
      <c r="I24" s="157">
        <f>Total!I1130</f>
        <v>28760.33</v>
      </c>
    </row>
    <row r="25" spans="1:9" x14ac:dyDescent="0.2">
      <c r="A25" s="8">
        <v>25</v>
      </c>
      <c r="B25" s="101">
        <f>Total!B1131</f>
        <v>42720</v>
      </c>
      <c r="C25" s="101">
        <f>Total!C1131</f>
        <v>42746</v>
      </c>
      <c r="D25" s="112" t="s">
        <v>1092</v>
      </c>
      <c r="E25" s="101" t="str">
        <f>Total!E1131</f>
        <v>Edificació</v>
      </c>
      <c r="F25" s="96" t="str">
        <f>Total!F1131</f>
        <v>Projectes i Direccions Facultatives</v>
      </c>
      <c r="G25" s="112" t="str">
        <f>Total!G1131</f>
        <v>PE+DF. XMV-17566</v>
      </c>
      <c r="H25" s="112" t="str">
        <f>Total!H1131</f>
        <v>Redacció del projecte i l'estudi de seguretat i salut i la posterior direcció facultativa de les obres RAM 2017 als Serveis Territorials a Vallès Occidental XI. Institut Escola Industrial, a Sabadell.</v>
      </c>
      <c r="I25" s="157">
        <f>Total!I1131</f>
        <v>17975.21</v>
      </c>
    </row>
    <row r="26" spans="1:9" x14ac:dyDescent="0.2">
      <c r="A26" s="8">
        <v>26</v>
      </c>
      <c r="B26" s="101">
        <f>Total!B1132</f>
        <v>42720</v>
      </c>
      <c r="C26" s="101">
        <f>Total!C1132</f>
        <v>42746</v>
      </c>
      <c r="D26" s="112" t="s">
        <v>1092</v>
      </c>
      <c r="E26" s="101" t="str">
        <f>Total!E1132</f>
        <v>Edificació</v>
      </c>
      <c r="F26" s="96" t="str">
        <f>Total!F1132</f>
        <v>Projectes i Direccions Facultatives</v>
      </c>
      <c r="G26" s="112" t="str">
        <f>Total!G1132</f>
        <v>PE+DF. XMV-17560</v>
      </c>
      <c r="H26" s="112" t="str">
        <f>Total!H1132</f>
        <v>Redacció del projecte i l'estudi de seguretat i salut i la posterior direcció facultativa de les obres RAM 2017 als Serveis Territorials a Vallès Occidental V. Institut Pau Vila, a Sabadell.</v>
      </c>
      <c r="I26" s="157">
        <f>Total!I1132</f>
        <v>28760.33</v>
      </c>
    </row>
    <row r="27" spans="1:9" x14ac:dyDescent="0.2">
      <c r="A27" s="8">
        <v>27</v>
      </c>
      <c r="B27" s="101">
        <f>Total!B1133</f>
        <v>42720</v>
      </c>
      <c r="C27" s="101">
        <f>Total!C1133</f>
        <v>42744</v>
      </c>
      <c r="D27" s="112" t="s">
        <v>1092</v>
      </c>
      <c r="E27" s="101" t="str">
        <f>Total!E1133</f>
        <v>Edificació</v>
      </c>
      <c r="F27" s="96" t="str">
        <f>Total!F1133</f>
        <v>Projectes i Direccions Facultatives</v>
      </c>
      <c r="G27" s="112" t="str">
        <f>Total!G1133</f>
        <v>PE+DF. XMA-17505</v>
      </c>
      <c r="H27" s="112" t="str">
        <f>Total!H1133</f>
        <v>Redacció del projecte i l'estudi de seguretat i salut i la posterior direcció facultativa de les obres RAM 2017 als Serveis Territorials a Baix llobregat VI. Escola Vall de Palau, a Sant Andreu de la Barca.</v>
      </c>
      <c r="I27" s="157">
        <f>Total!I1133</f>
        <v>28760.33</v>
      </c>
    </row>
    <row r="28" spans="1:9" x14ac:dyDescent="0.2">
      <c r="A28" s="8">
        <v>28</v>
      </c>
      <c r="B28" s="101">
        <f>Total!B1134</f>
        <v>42720</v>
      </c>
      <c r="C28" s="101">
        <f>Total!C1134</f>
        <v>42746</v>
      </c>
      <c r="D28" s="112" t="s">
        <v>1092</v>
      </c>
      <c r="E28" s="101" t="str">
        <f>Total!E1134</f>
        <v>Edificació</v>
      </c>
      <c r="F28" s="96" t="str">
        <f>Total!F1134</f>
        <v>Projectes i Direccions Facultatives</v>
      </c>
      <c r="G28" s="112" t="str">
        <f>Total!G1134</f>
        <v>PE+DF. XEL-17522</v>
      </c>
      <c r="H28" s="112" t="str">
        <f>Total!H1134</f>
        <v>Redacció del projecte i l'estudi de seguretat i salut i la posterior direcció facultativa de les obres RAM 2017 als Serveis Territorials a Lleida. Escola Dr. Serés, a Alpicat.</v>
      </c>
      <c r="I28" s="157">
        <f>Total!I1134</f>
        <v>17975.21</v>
      </c>
    </row>
    <row r="29" spans="1:9" x14ac:dyDescent="0.2">
      <c r="A29" s="8">
        <v>29</v>
      </c>
      <c r="B29" s="101">
        <f>Total!B1135</f>
        <v>42723</v>
      </c>
      <c r="C29" s="101">
        <f>Total!C1135</f>
        <v>42739</v>
      </c>
      <c r="D29" s="112" t="s">
        <v>1092</v>
      </c>
      <c r="E29" s="101" t="str">
        <f>Total!E1135</f>
        <v>Obra Civil</v>
      </c>
      <c r="F29" s="96" t="str">
        <f>Total!F1135</f>
        <v>Direccions d'Obra</v>
      </c>
      <c r="G29" s="112" t="str">
        <f>Total!G1135</f>
        <v>CSS. TM-12050</v>
      </c>
      <c r="H29" s="112" t="str">
        <f>Total!H1135</f>
        <v>Coordinació de seguretat i salut de les obres del projecte constructiu d'adaptació a la normativa i millora de l'accessibilitat de l'estació de Jaume I de la línia 4 de l'FMB.</v>
      </c>
      <c r="I29" s="157">
        <f>Total!I1135</f>
        <v>32200</v>
      </c>
    </row>
    <row r="30" spans="1:9" x14ac:dyDescent="0.2">
      <c r="A30" s="8">
        <v>30</v>
      </c>
      <c r="B30" s="101">
        <f>Total!B1136</f>
        <v>42723</v>
      </c>
      <c r="C30" s="101">
        <f>Total!C1136</f>
        <v>42739</v>
      </c>
      <c r="D30" s="112" t="s">
        <v>1092</v>
      </c>
      <c r="E30" s="101" t="str">
        <f>Total!E1136</f>
        <v>Obra Civil</v>
      </c>
      <c r="F30" s="96" t="str">
        <f>Total!F1136</f>
        <v>Direccions d'Obra</v>
      </c>
      <c r="G30" s="112" t="str">
        <f>Total!G1136</f>
        <v>ATAM. TM-12050+1</v>
      </c>
      <c r="H30" s="112" t="str">
        <f>Total!H1136</f>
        <v>Assistència tècnica ambiental de les obres d'adaptació a la normativa i millora de l'accessibilitat de l'estació de Jaume I de la línia 4 de l'FMB i de les obres de millora local. Implantació tercer carril ctra. C-55 del pk 9,360 a 11,400. Collbató</v>
      </c>
      <c r="I30" s="157">
        <f>Total!I1136</f>
        <v>53120.34</v>
      </c>
    </row>
    <row r="31" spans="1:9" x14ac:dyDescent="0.2">
      <c r="A31" s="8">
        <v>31</v>
      </c>
      <c r="B31" s="101">
        <f>Total!B1137</f>
        <v>42723</v>
      </c>
      <c r="C31" s="101">
        <f>Total!C1137</f>
        <v>42739</v>
      </c>
      <c r="D31" s="112" t="s">
        <v>1092</v>
      </c>
      <c r="E31" s="101" t="str">
        <f>Total!E1137</f>
        <v>Obra Civil</v>
      </c>
      <c r="F31" s="96" t="str">
        <f>Total!F1137</f>
        <v>Direccions d'Obra</v>
      </c>
      <c r="G31" s="112" t="str">
        <f>Total!G1137</f>
        <v>IN. TM-12050</v>
      </c>
      <c r="H31" s="112" t="str">
        <f>Total!H1137</f>
        <v>Inspecció prèvia d'edificis i estructures a les obres del projecte constructiu d'adaptació a la normativa i millora de l'accessibilitat de l'estació de Jaume I de la línia 4 de l'FMB.</v>
      </c>
      <c r="I31" s="157">
        <f>Total!I1137</f>
        <v>56465</v>
      </c>
    </row>
    <row r="32" spans="1:9" x14ac:dyDescent="0.2">
      <c r="A32" s="8">
        <v>32</v>
      </c>
      <c r="B32" s="101">
        <f>Total!B1138</f>
        <v>42723</v>
      </c>
      <c r="C32" s="101">
        <f>Total!C1138</f>
        <v>42739</v>
      </c>
      <c r="D32" s="112" t="s">
        <v>1092</v>
      </c>
      <c r="E32" s="101" t="str">
        <f>Total!E1138</f>
        <v>Obra Civil</v>
      </c>
      <c r="F32" s="96" t="str">
        <f>Total!F1138</f>
        <v>Control de Qualitat</v>
      </c>
      <c r="G32" s="112" t="str">
        <f>Total!G1138</f>
        <v>CQ. TM-12050</v>
      </c>
      <c r="H32" s="112" t="str">
        <f>Total!H1138</f>
        <v>Control de qualitat de les obres del projecte constructiu d'adaptació a la normativa i millora de l'accessibilitat de l'estació de Jaume I de la línia 4 de l'FMB.</v>
      </c>
      <c r="I32" s="157">
        <f>Total!I1138</f>
        <v>37028.550000000003</v>
      </c>
    </row>
    <row r="33" spans="1:9" x14ac:dyDescent="0.2">
      <c r="A33" s="8">
        <v>33</v>
      </c>
      <c r="B33" s="101">
        <f>Total!B1139</f>
        <v>42723</v>
      </c>
      <c r="C33" s="101">
        <f>Total!C1139</f>
        <v>42739</v>
      </c>
      <c r="D33" s="112" t="s">
        <v>1092</v>
      </c>
      <c r="E33" s="101" t="str">
        <f>Total!E1139</f>
        <v>Obra Civil</v>
      </c>
      <c r="F33" s="96" t="str">
        <f>Total!F1139</f>
        <v>Direccions d'Obra</v>
      </c>
      <c r="G33" s="112" t="str">
        <f>Total!G1139</f>
        <v>DO. TM-12050</v>
      </c>
      <c r="H33" s="112" t="str">
        <f>Total!H1139</f>
        <v>Direcció de les obres del projecte constructiu d'adaptació a la normativa i millora de l'accessibilitat de l'estació de Jaume I de la línia 4 de l'FMB.</v>
      </c>
      <c r="I33" s="157">
        <f>Total!I1139</f>
        <v>174288.89</v>
      </c>
    </row>
    <row r="34" spans="1:9" x14ac:dyDescent="0.2">
      <c r="A34" s="8">
        <v>34</v>
      </c>
      <c r="B34" s="101">
        <f>Total!B1140</f>
        <v>42724</v>
      </c>
      <c r="C34" s="101">
        <f>Total!C1140</f>
        <v>42751</v>
      </c>
      <c r="D34" s="112" t="s">
        <v>1092</v>
      </c>
      <c r="E34" s="101" t="str">
        <f>Total!E1140</f>
        <v>Edificació</v>
      </c>
      <c r="F34" s="96" t="str">
        <f>Total!F1140</f>
        <v>Projectes i Direccions d'Obra</v>
      </c>
      <c r="G34" s="112" t="str">
        <f>Total!G1140</f>
        <v>PE+DO. CCG-16273</v>
      </c>
      <c r="H34" s="112" t="str">
        <f>Total!H1140</f>
        <v>Redacció del projecte bàsic i d'execució i la posterior direcció d'obra de la remodelació de la Comissaria de la Policia de la Generalitat - Mossos d'Esquadra a Banyoles.</v>
      </c>
      <c r="I34" s="157">
        <f>Total!I1140</f>
        <v>78379</v>
      </c>
    </row>
    <row r="35" spans="1:9" x14ac:dyDescent="0.2">
      <c r="A35" s="8">
        <v>35</v>
      </c>
      <c r="B35" s="101">
        <f>Total!B1141</f>
        <v>42724</v>
      </c>
      <c r="C35" s="101">
        <f>Total!C1141</f>
        <v>42746</v>
      </c>
      <c r="D35" s="112" t="s">
        <v>1092</v>
      </c>
      <c r="E35" s="101" t="str">
        <f>Total!E1141</f>
        <v>Edificació</v>
      </c>
      <c r="F35" s="96" t="str">
        <f>Total!F1141</f>
        <v>Projectes i Direccions Facultatives</v>
      </c>
      <c r="G35" s="112" t="str">
        <f>Total!G1141</f>
        <v>PE+DF. XMC-17567</v>
      </c>
      <c r="H35" s="112" t="str">
        <f>Total!H1141</f>
        <v>Redacció del projecte i l'estudi de seguretat i salut i la posterior direcció facultativa de les obres RAM 2017 als Serveis Territorials a Barcelona Comarques XIV. Escola Busquets i Punset, a l'Hospitalet de Llobregat.</v>
      </c>
      <c r="I35" s="157">
        <f>Total!I1141</f>
        <v>28760.33</v>
      </c>
    </row>
    <row r="36" spans="1:9" x14ac:dyDescent="0.2">
      <c r="A36" s="8">
        <v>36</v>
      </c>
      <c r="B36" s="101">
        <f>Total!B1142</f>
        <v>42724</v>
      </c>
      <c r="C36" s="101">
        <f>Total!C1142</f>
        <v>42744</v>
      </c>
      <c r="D36" s="112" t="s">
        <v>1092</v>
      </c>
      <c r="E36" s="101" t="str">
        <f>Total!E1142</f>
        <v>Edificació</v>
      </c>
      <c r="F36" s="96" t="str">
        <f>Total!F1142</f>
        <v>Projectes i Direccions Facultatives</v>
      </c>
      <c r="G36" s="112" t="str">
        <f>Total!G1142</f>
        <v>PE+DF. XMC-17568</v>
      </c>
      <c r="H36" s="112" t="str">
        <f>Total!H1142</f>
        <v>Redacció del projecte i l'estudi de seguretat i salut i la posterior direcció facultativa de les obres RAM 2017 als Serveis Territorials a Barcelona Comarques XV. Escola Bernat Metge, a l'Hospitalet de Llobregat.</v>
      </c>
      <c r="I36" s="157">
        <f>Total!I1142</f>
        <v>28760.33</v>
      </c>
    </row>
    <row r="37" spans="1:9" x14ac:dyDescent="0.2">
      <c r="A37" s="8">
        <v>37</v>
      </c>
      <c r="B37" s="101">
        <f>Total!B1143</f>
        <v>42725</v>
      </c>
      <c r="C37" s="101">
        <f>Total!C1143</f>
        <v>42744</v>
      </c>
      <c r="D37" s="112" t="s">
        <v>1092</v>
      </c>
      <c r="E37" s="101" t="str">
        <f>Total!E1143</f>
        <v>Edificació</v>
      </c>
      <c r="F37" s="96" t="str">
        <f>Total!F1143</f>
        <v>Projectes i Direccions Facultatives</v>
      </c>
      <c r="G37" s="112" t="str">
        <f>Total!G1143</f>
        <v>PE+DF. XMC-17569</v>
      </c>
      <c r="H37" s="112" t="str">
        <f>Total!H1143</f>
        <v>Redacció del projecte i l'estudi de seguretat i salut i la posterior direcció facultativa de les obres RAM 2017 als Serveis Territorials a Barcelona Comarques XVI. Escola Milagros Consamau, a l'Hospitalet de Llobregat.</v>
      </c>
      <c r="I37" s="157">
        <f>Total!I1143</f>
        <v>28760.33</v>
      </c>
    </row>
    <row r="38" spans="1:9" x14ac:dyDescent="0.2">
      <c r="A38" s="8">
        <v>38</v>
      </c>
      <c r="B38" s="101">
        <f>Total!B1144</f>
        <v>42725</v>
      </c>
      <c r="C38" s="101">
        <f>Total!C1144</f>
        <v>42746</v>
      </c>
      <c r="D38" s="112" t="s">
        <v>1092</v>
      </c>
      <c r="E38" s="101" t="str">
        <f>Total!E1144</f>
        <v>Edificació</v>
      </c>
      <c r="F38" s="96" t="str">
        <f>Total!F1144</f>
        <v>Projectes i Direccions Facultatives</v>
      </c>
      <c r="G38" s="112" t="str">
        <f>Total!G1144</f>
        <v>PE+DF. XMC-17511</v>
      </c>
      <c r="H38" s="112" t="str">
        <f>Total!H1144</f>
        <v>Redacció del projecte i l'estudi de seguretat i salut i la posterior direcció facultativa de les obres RAM 2017 als Serveis Territorials a Barcelona Comarques III. Institut Pompeu Fabra, a Badalona.</v>
      </c>
      <c r="I38" s="157">
        <f>Total!I1144</f>
        <v>47933.88</v>
      </c>
    </row>
    <row r="39" spans="1:9" x14ac:dyDescent="0.2">
      <c r="A39" s="8">
        <v>39</v>
      </c>
      <c r="B39" s="101">
        <f>Total!B1145</f>
        <v>42733</v>
      </c>
      <c r="C39" s="101">
        <f>Total!C1145</f>
        <v>42760</v>
      </c>
      <c r="D39" s="112" t="s">
        <v>1092</v>
      </c>
      <c r="E39" s="101" t="str">
        <f>Total!E1145</f>
        <v>Edificació</v>
      </c>
      <c r="F39" s="96" t="str">
        <f>Total!F1145</f>
        <v>Control de Qualitat</v>
      </c>
      <c r="G39" s="112" t="str">
        <f>Total!G1145</f>
        <v>CQ. JJL-13309</v>
      </c>
      <c r="H39" s="112" t="str">
        <f>Total!H1145</f>
        <v>Control de qualitat de les obres del projecte Sales de Vistes en l'ampliació de l'Edifici Judicial del Canyeret.</v>
      </c>
      <c r="I39" s="157">
        <f>Total!I1145</f>
        <v>31424.66</v>
      </c>
    </row>
    <row r="40" spans="1:9" x14ac:dyDescent="0.2">
      <c r="A40" s="8">
        <v>40</v>
      </c>
      <c r="B40" s="101">
        <f>Total!B1146</f>
        <v>42732</v>
      </c>
      <c r="C40" s="101">
        <f>Total!C1146</f>
        <v>42758</v>
      </c>
      <c r="D40" s="112" t="s">
        <v>1092</v>
      </c>
      <c r="E40" s="101" t="str">
        <f>Total!E1146</f>
        <v>Edificació</v>
      </c>
      <c r="F40" s="96" t="str">
        <f>Total!F1146</f>
        <v>Direccions d'Execució</v>
      </c>
      <c r="G40" s="112" t="str">
        <f>Total!G1146</f>
        <v>DE. CBB-07300.A</v>
      </c>
      <c r="H40" s="112" t="str">
        <f>Total!H1146</f>
        <v>Direcció d'execució de les obres de la Comissaria d'Àrea Bàsica per a la policia de la Generalitat-Mossos d'Esquadra a Sarrià Sant Gervasi.</v>
      </c>
      <c r="I40" s="157">
        <f>Total!I1146</f>
        <v>88000</v>
      </c>
    </row>
    <row r="41" spans="1:9" x14ac:dyDescent="0.2">
      <c r="A41" s="8">
        <v>41</v>
      </c>
      <c r="B41" s="101">
        <f>Total!B1147</f>
        <v>42732</v>
      </c>
      <c r="C41" s="101">
        <f>Total!C1147</f>
        <v>42758</v>
      </c>
      <c r="D41" s="112" t="s">
        <v>1092</v>
      </c>
      <c r="E41" s="101" t="str">
        <f>Total!E1147</f>
        <v>Edificació</v>
      </c>
      <c r="F41" s="96" t="str">
        <f>Total!F1147</f>
        <v>Direccions d'Execució</v>
      </c>
      <c r="G41" s="112" t="str">
        <f>Total!G1147</f>
        <v>CSS. CBB-07300.A</v>
      </c>
      <c r="H41" s="112" t="str">
        <f>Total!H1147</f>
        <v>Coordinació de seguretat i salut de les obres de la Comissaria d'Àrea Bàsica per a la policia de la Generalitat-Mossos d'Esquadra a Sarrià Sant Gervasi.</v>
      </c>
      <c r="I41" s="157">
        <f>Total!I1147</f>
        <v>20000</v>
      </c>
    </row>
    <row r="42" spans="1:9" x14ac:dyDescent="0.2">
      <c r="A42" s="8">
        <v>42</v>
      </c>
      <c r="B42" s="101">
        <f>Total!B1148</f>
        <v>42732</v>
      </c>
      <c r="C42" s="101">
        <f>Total!C1148</f>
        <v>42760</v>
      </c>
      <c r="D42" s="112" t="s">
        <v>1092</v>
      </c>
      <c r="E42" s="101" t="str">
        <f>Total!E1148</f>
        <v>Obra Civil</v>
      </c>
      <c r="F42" s="96" t="str">
        <f>Total!F1148</f>
        <v>Projectes</v>
      </c>
      <c r="G42" s="112" t="str">
        <f>Total!G1148</f>
        <v>EV.E1-AP-01950.2</v>
      </c>
      <c r="H42" s="112" t="str">
        <f>Total!H1148</f>
        <v>Redacció de l'estudi de l'estat actual, proposta de millora dels hàbitats esteparis als secans de l'Algerri-Balaguer i d'adaptació a les declaracions d'impacte ambiental del proj. de regadiu i conc. parcel·lària zona regable del T.M. de Balaguer.</v>
      </c>
      <c r="I42" s="157">
        <f>Total!I1148</f>
        <v>32000</v>
      </c>
    </row>
    <row r="43" spans="1:9" x14ac:dyDescent="0.2">
      <c r="I43" s="126">
        <f>SUM(I2:I42)</f>
        <v>1395717.38</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I7"/>
  <sheetViews>
    <sheetView topLeftCell="F1"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Total!B1102</f>
        <v>42691</v>
      </c>
      <c r="C2" s="101">
        <f>Total!C1102</f>
        <v>42716</v>
      </c>
      <c r="D2" s="112" t="s">
        <v>1092</v>
      </c>
      <c r="E2" s="101" t="str">
        <f>Total!E1102</f>
        <v>Edificació</v>
      </c>
      <c r="F2" s="96" t="str">
        <f>Total!F1102</f>
        <v>Direccións d'Obra</v>
      </c>
      <c r="G2" s="112" t="str">
        <f>Total!G1102</f>
        <v>DO. INC-07454.A</v>
      </c>
      <c r="H2" s="112" t="str">
        <f>Total!H1102</f>
        <v>Direcció de les obres de nova construcció Institut nou 3/2 L de Vilafranca del Penedès.</v>
      </c>
      <c r="I2" s="157">
        <f>Total!I1102</f>
        <v>114919.25</v>
      </c>
    </row>
    <row r="3" spans="1:9" x14ac:dyDescent="0.2">
      <c r="A3" s="8">
        <v>2</v>
      </c>
      <c r="B3" s="101">
        <f>Total!B1103</f>
        <v>42698</v>
      </c>
      <c r="C3" s="101">
        <f>Total!C1103</f>
        <v>42716</v>
      </c>
      <c r="D3" s="112" t="s">
        <v>1092</v>
      </c>
      <c r="E3" s="101" t="str">
        <f>Total!E1103</f>
        <v>Obra Civil</v>
      </c>
      <c r="F3" s="96" t="str">
        <f>Total!F1103</f>
        <v>Projectes</v>
      </c>
      <c r="G3" s="112" t="str">
        <f>Total!G1103</f>
        <v>EP. EP46</v>
      </c>
      <c r="H3" s="112" t="str">
        <f>Total!H1103</f>
        <v>Assistència tècnica per a la realització dels treballs de topografia corresponents als estudis i projectes d'obra civil d'edificació a les comarques de Tarragona i Lleida.</v>
      </c>
      <c r="I3" s="157">
        <f>Total!I1103</f>
        <v>100000</v>
      </c>
    </row>
    <row r="4" spans="1:9" x14ac:dyDescent="0.2">
      <c r="A4" s="8">
        <v>3</v>
      </c>
      <c r="B4" s="101">
        <f>Total!B1104</f>
        <v>42698</v>
      </c>
      <c r="C4" s="101">
        <f>Total!C1104</f>
        <v>42716</v>
      </c>
      <c r="D4" s="112" t="s">
        <v>1092</v>
      </c>
      <c r="E4" s="101" t="str">
        <f>Total!E1104</f>
        <v>Obra Civil</v>
      </c>
      <c r="F4" s="96" t="str">
        <f>Total!F1104</f>
        <v>Projectes</v>
      </c>
      <c r="G4" s="112" t="str">
        <f>Total!G1104</f>
        <v>PC. ML-10032-A1</v>
      </c>
      <c r="H4" s="112" t="str">
        <f>Total!H1104</f>
        <v>Assistència tècnica per a la redacció del projecte constructiu de millora local. Millora de nus. Carretera N-II, pk 452,160 i L-800 pk 0,000. Tram: Alcarràs.</v>
      </c>
      <c r="I4" s="157">
        <f>Total!I1104</f>
        <v>31160</v>
      </c>
    </row>
    <row r="5" spans="1:9" x14ac:dyDescent="0.2">
      <c r="A5" s="8">
        <v>4</v>
      </c>
      <c r="B5" s="101">
        <f>Total!B1105</f>
        <v>42699</v>
      </c>
      <c r="C5" s="101">
        <f>Total!C1105</f>
        <v>42716</v>
      </c>
      <c r="D5" s="112" t="s">
        <v>1092</v>
      </c>
      <c r="E5" s="101" t="str">
        <f>Total!E1105</f>
        <v>Obra Civil</v>
      </c>
      <c r="F5" s="96" t="str">
        <f>Total!F1105</f>
        <v>Projectes</v>
      </c>
      <c r="G5" s="112" t="str">
        <f>Total!G1105</f>
        <v>PC. TX-16249</v>
      </c>
      <c r="H5" s="112" t="str">
        <f>Total!H1105</f>
        <v>Redacció del projecte constructiu de mitigació del risc d'inundació al barri de la Salut del TM de Salou.</v>
      </c>
      <c r="I5" s="157">
        <f>Total!I1105</f>
        <v>160500</v>
      </c>
    </row>
    <row r="6" spans="1:9" x14ac:dyDescent="0.2">
      <c r="A6" s="8">
        <v>5</v>
      </c>
      <c r="B6" s="101">
        <f>Total!B1106</f>
        <v>42699</v>
      </c>
      <c r="C6" s="101">
        <f>Total!C1106</f>
        <v>42718</v>
      </c>
      <c r="D6" s="112" t="s">
        <v>1092</v>
      </c>
      <c r="E6" s="101" t="str">
        <f>Total!E1106</f>
        <v>Obra Civil</v>
      </c>
      <c r="F6" s="96" t="str">
        <f>Total!F1106</f>
        <v>Projectes</v>
      </c>
      <c r="G6" s="112" t="str">
        <f>Total!G1106</f>
        <v>PC. ER-00942.8</v>
      </c>
      <c r="H6" s="112" t="str">
        <f>Total!H1106</f>
        <v>Redacció del projecte constructiu d'ampliació del regadiu del Segrià Sud Zona M3.1 i M3B.1 als TTMM d'Almatret, Maials, Riba-roja d'Ebre i Seròs.</v>
      </c>
      <c r="I6" s="157">
        <f>Total!I1106</f>
        <v>75856.759999999995</v>
      </c>
    </row>
    <row r="7" spans="1:9" x14ac:dyDescent="0.2">
      <c r="I7" s="126">
        <f>SUM(I2:I6)</f>
        <v>482436.01</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I34"/>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Total!B1070</f>
        <v>42649</v>
      </c>
      <c r="C2" s="101">
        <f>Total!C1070</f>
        <v>42667</v>
      </c>
      <c r="D2" s="112" t="s">
        <v>1092</v>
      </c>
      <c r="E2" s="101" t="str">
        <f>Total!E1070</f>
        <v>Edificació</v>
      </c>
      <c r="F2" s="96" t="str">
        <f>Total!F1070</f>
        <v>Direccions d'Execució</v>
      </c>
      <c r="G2" s="112" t="str">
        <f>Total!G1070</f>
        <v>DE. CAP-13206+CLT-13281</v>
      </c>
      <c r="H2" s="112" t="str">
        <f>Total!H1070</f>
        <v>Direcció d'execució de les obres "Ampliació del Centre d'Atenció Primària El Pla, de Sant Feliu de Llobregat" i "Construcció del Consultori Local de la Pobla de Montornès".</v>
      </c>
      <c r="I2" s="157">
        <f>Total!I1070</f>
        <v>55900</v>
      </c>
    </row>
    <row r="3" spans="1:9" x14ac:dyDescent="0.2">
      <c r="A3" s="8">
        <v>2</v>
      </c>
      <c r="B3" s="101">
        <f>Total!B1071</f>
        <v>38996</v>
      </c>
      <c r="C3" s="101">
        <f>Total!C1071</f>
        <v>42667</v>
      </c>
      <c r="D3" s="112" t="s">
        <v>1092</v>
      </c>
      <c r="E3" s="101" t="str">
        <f>Total!E1071</f>
        <v>Edificació</v>
      </c>
      <c r="F3" s="96" t="str">
        <f>Total!F1071</f>
        <v>Direccions d'Execució</v>
      </c>
      <c r="G3" s="112" t="str">
        <f>Total!G1071</f>
        <v>CSS. PNM-13278</v>
      </c>
      <c r="H3" s="112" t="str">
        <f>Total!H1071</f>
        <v>Coordinació de seguretat i salut de les obres de nova construcció escola 2 línies sense gimnàs a l'Escola Els Quatre Vents, a Canovelles.</v>
      </c>
      <c r="I3" s="157">
        <f>Total!I1071</f>
        <v>19200</v>
      </c>
    </row>
    <row r="4" spans="1:9" x14ac:dyDescent="0.2">
      <c r="A4" s="8">
        <v>3</v>
      </c>
      <c r="B4" s="101">
        <f>Total!B1072</f>
        <v>42649</v>
      </c>
      <c r="C4" s="101">
        <f>Total!C1072</f>
        <v>42667</v>
      </c>
      <c r="D4" s="112" t="s">
        <v>1092</v>
      </c>
      <c r="E4" s="101" t="str">
        <f>Total!E1072</f>
        <v>Edificació</v>
      </c>
      <c r="F4" s="96" t="str">
        <f>Total!F1072</f>
        <v>Direccions d'Execució</v>
      </c>
      <c r="G4" s="112" t="str">
        <f>Total!G1072</f>
        <v>DE. PNM-13278</v>
      </c>
      <c r="H4" s="112" t="str">
        <f>Total!H1072</f>
        <v>Direcció d'execució de les obres de nova construcció escola 2 línies sense gimnàs a l'Escola Els Quatre Vents, a Canovelles.nova construcció escola 2 línies sense gimnàs a l'Escola Els Quatre Vents, a Canovelles.</v>
      </c>
      <c r="I4" s="157">
        <f>Total!I1072</f>
        <v>96014.5</v>
      </c>
    </row>
    <row r="5" spans="1:9" x14ac:dyDescent="0.2">
      <c r="A5" s="8">
        <v>4</v>
      </c>
      <c r="B5" s="101">
        <f>Total!B1073</f>
        <v>42650</v>
      </c>
      <c r="C5" s="101">
        <f>Total!C1073</f>
        <v>42667</v>
      </c>
      <c r="D5" s="112" t="s">
        <v>1092</v>
      </c>
      <c r="E5" s="101" t="str">
        <f>Total!E1073</f>
        <v>Edificació</v>
      </c>
      <c r="F5" s="96" t="str">
        <f>Total!F1073</f>
        <v>Direccions d'Execució</v>
      </c>
      <c r="G5" s="112" t="str">
        <f>Total!G1073</f>
        <v>CSS.INV-11218</v>
      </c>
      <c r="H5" s="112" t="str">
        <f>Total!H1073</f>
        <v>Contracte de serveis per a l'assistència tècnica de coordinació de seguretat i salut de les obres de nova construcció Institut 4/3 L. Can Roca de Terrassa.</v>
      </c>
      <c r="I5" s="157">
        <f>Total!I1073</f>
        <v>27500</v>
      </c>
    </row>
    <row r="6" spans="1:9" x14ac:dyDescent="0.2">
      <c r="A6" s="8">
        <v>5</v>
      </c>
      <c r="B6" s="101">
        <f>Total!B1074</f>
        <v>42650</v>
      </c>
      <c r="C6" s="101">
        <f>Total!C1074</f>
        <v>42667</v>
      </c>
      <c r="D6" s="112" t="s">
        <v>1092</v>
      </c>
      <c r="E6" s="101" t="str">
        <f>Total!E1074</f>
        <v>Edificació</v>
      </c>
      <c r="F6" s="96" t="str">
        <f>Total!F1074</f>
        <v>Direccions d'Execució</v>
      </c>
      <c r="G6" s="112" t="str">
        <f>Total!G1074</f>
        <v>CSS.INV-14298</v>
      </c>
      <c r="H6" s="112" t="str">
        <f>Total!H1074</f>
        <v>Contracte de serveis per a l'assistència tècnica de coordinació de seguretat i salut de les obres de nova construcció Institut 3/2 L+4  Aules.Les Aimerigues de Terrassa.</v>
      </c>
      <c r="I6" s="157">
        <f>Total!I1074</f>
        <v>23000</v>
      </c>
    </row>
    <row r="7" spans="1:9" x14ac:dyDescent="0.2">
      <c r="A7" s="8">
        <v>6</v>
      </c>
      <c r="B7" s="101">
        <f>Total!B1075</f>
        <v>42654</v>
      </c>
      <c r="C7" s="101">
        <f>Total!C1075</f>
        <v>42716</v>
      </c>
      <c r="D7" s="112" t="s">
        <v>1092</v>
      </c>
      <c r="E7" s="101" t="str">
        <f>Total!E1075</f>
        <v>Obra Civil</v>
      </c>
      <c r="F7" s="96" t="str">
        <f>Total!F1075</f>
        <v>Projectes</v>
      </c>
      <c r="G7" s="112" t="str">
        <f>Total!G1075</f>
        <v>TX-16240 TX-16240.1 TX-16240.2</v>
      </c>
      <c r="H7" s="112" t="str">
        <f>Total!H1075</f>
        <v>Contracte de serveis per a l'assistència tècnica per a la redacció del projecte bàsic d'implantació ample UIC a l'estació terminal de mercaderies ADIF-Vilamalla i del projecte constructiu d'implantació ample UIC a l'estació terminal de mercaderies…</v>
      </c>
      <c r="I7" s="157">
        <f>Total!I1075</f>
        <v>442500</v>
      </c>
    </row>
    <row r="8" spans="1:9" x14ac:dyDescent="0.2">
      <c r="A8" s="8">
        <v>7</v>
      </c>
      <c r="B8" s="101">
        <f>Total!B1076</f>
        <v>42656</v>
      </c>
      <c r="C8" s="101">
        <f>Total!C1076</f>
        <v>42674</v>
      </c>
      <c r="D8" s="112" t="s">
        <v>1092</v>
      </c>
      <c r="E8" s="101" t="str">
        <f>Total!E1076</f>
        <v>Obra Civil</v>
      </c>
      <c r="F8" s="96" t="str">
        <f>Total!F1076</f>
        <v>Direccions d'Obra</v>
      </c>
      <c r="G8" s="112" t="str">
        <f>Total!G1076</f>
        <v>DO. MC-SR-01102.1</v>
      </c>
      <c r="H8" s="112" t="str">
        <f>Total!H1076</f>
        <v>Direcció de les obres del projecte de recuperació dels sistemes naturals de l'àmbit fluvial del Riu Sió i el Barranc de Pisquera. T.M. Tarroja de Segarra, Ossó de Sió, Puigverd d'Agramunt i Agramunt. Mesures correctores i compensatòries del regadius.</v>
      </c>
      <c r="I8" s="157">
        <f>Total!I1076</f>
        <v>27646.67</v>
      </c>
    </row>
    <row r="9" spans="1:9" x14ac:dyDescent="0.2">
      <c r="A9" s="8">
        <v>8</v>
      </c>
      <c r="B9" s="101">
        <f>Total!B1077</f>
        <v>42656</v>
      </c>
      <c r="C9" s="101">
        <f>Total!C1077</f>
        <v>42674</v>
      </c>
      <c r="D9" s="112" t="s">
        <v>1092</v>
      </c>
      <c r="E9" s="101" t="str">
        <f>Total!E1077</f>
        <v>Obra Civil</v>
      </c>
      <c r="F9" s="96" t="str">
        <f>Total!F1077</f>
        <v>Projectes</v>
      </c>
      <c r="G9" s="112" t="str">
        <f>Total!G1077</f>
        <v>EV. AE-XC-16020</v>
      </c>
      <c r="H9" s="112" t="str">
        <f>Total!H1077</f>
        <v>Redacció dels annexos d'actualització de projectes constructius de la DGIMT.</v>
      </c>
      <c r="I9" s="157">
        <f>Total!I1077</f>
        <v>60000</v>
      </c>
    </row>
    <row r="10" spans="1:9" x14ac:dyDescent="0.2">
      <c r="A10" s="8">
        <v>9</v>
      </c>
      <c r="B10" s="101">
        <f>Total!B1078</f>
        <v>42656</v>
      </c>
      <c r="C10" s="101">
        <f>Total!C1078</f>
        <v>42674</v>
      </c>
      <c r="D10" s="112" t="s">
        <v>1092</v>
      </c>
      <c r="E10" s="101" t="str">
        <f>Total!E1078</f>
        <v>Obra Civil</v>
      </c>
      <c r="F10" s="96" t="str">
        <f>Total!F1078</f>
        <v>Projectes</v>
      </c>
      <c r="G10" s="112" t="str">
        <f>Total!G1078</f>
        <v>IA. NB-01134.F1</v>
      </c>
      <c r="H10" s="112" t="str">
        <f>Total!H1078</f>
        <v>Redacció de l'estudi d'impacte ambiental de millora general. Nova carretera. Eix llobregat. Implantació d'un tercer carril reversible a la ctra. C-16, del pk 96,500 al 117,300. Tram: Berga-Bagà.</v>
      </c>
      <c r="I10" s="157">
        <f>Total!I1078</f>
        <v>94500</v>
      </c>
    </row>
    <row r="11" spans="1:9" x14ac:dyDescent="0.2">
      <c r="A11" s="8">
        <v>10</v>
      </c>
      <c r="B11" s="101">
        <f>Total!B1079</f>
        <v>42656</v>
      </c>
      <c r="C11" s="101">
        <f>Total!C1079</f>
        <v>42674</v>
      </c>
      <c r="D11" s="112" t="s">
        <v>1092</v>
      </c>
      <c r="E11" s="101" t="str">
        <f>Total!E1079</f>
        <v>Obra Civil</v>
      </c>
      <c r="F11" s="96" t="str">
        <f>Total!F1079</f>
        <v>Direccions d'Obra</v>
      </c>
      <c r="G11" s="112" t="str">
        <f>Total!G1079</f>
        <v>EA-UPA-16252</v>
      </c>
      <c r="H11" s="112" t="str">
        <f>Total!H1079</f>
        <v>Redacció de l'Estuid Ambiental. Recuperació fluvial. Restauració morfològica i ecològica del tram final del riu Ondara al seu pas per l'àmbit regable del canal d'Urgell al Pla d'Urgell, aigües avall de l'embomal de Barbens.</v>
      </c>
      <c r="I11" s="157">
        <f>Total!I1079</f>
        <v>33450</v>
      </c>
    </row>
    <row r="12" spans="1:9" x14ac:dyDescent="0.2">
      <c r="A12" s="8">
        <v>11</v>
      </c>
      <c r="B12" s="101">
        <f>Total!B1080</f>
        <v>42650</v>
      </c>
      <c r="C12" s="101">
        <f>Total!C1080</f>
        <v>42667</v>
      </c>
      <c r="D12" s="112" t="s">
        <v>1092</v>
      </c>
      <c r="E12" s="101" t="str">
        <f>Total!E1080</f>
        <v>Edificació</v>
      </c>
      <c r="F12" s="96" t="str">
        <f>Total!F1080</f>
        <v>Control de Qualitat</v>
      </c>
      <c r="G12" s="112" t="str">
        <f>Total!G1080</f>
        <v>CQ. PNM-13278</v>
      </c>
      <c r="H12" s="112" t="str">
        <f>Total!H1080</f>
        <v>Control de qualitat de les obres de nova construcció escola 2 línies sense gimnàs a l'Escola Els Quatre Vents, a Canovelles.</v>
      </c>
      <c r="I12" s="157">
        <f>Total!I1080</f>
        <v>30733.35</v>
      </c>
    </row>
    <row r="13" spans="1:9" x14ac:dyDescent="0.2">
      <c r="A13" s="8">
        <v>12</v>
      </c>
      <c r="B13" s="101">
        <f>Total!B1081</f>
        <v>42657</v>
      </c>
      <c r="C13" s="101">
        <f>Total!C1081</f>
        <v>42674</v>
      </c>
      <c r="D13" s="112" t="s">
        <v>1092</v>
      </c>
      <c r="E13" s="101" t="str">
        <f>Total!E1081</f>
        <v>Obra Civil</v>
      </c>
      <c r="F13" s="96" t="str">
        <f>Total!F1081</f>
        <v>Projectes</v>
      </c>
      <c r="G13" s="112" t="str">
        <f>Total!G1081</f>
        <v>PC. TA-16248</v>
      </c>
      <c r="H13" s="112" t="str">
        <f>Total!H1081</f>
        <v>Redacció del projecte d'arranjament de diverses estacions i parades d'autobusos (La Seu d'Urgell, Olot, Torroella de Montgrí, Amposta, Tortosa, Sabadell, Quatre Camins, Blanes i Llançà).</v>
      </c>
      <c r="I13" s="157">
        <f>Total!I1081</f>
        <v>78700</v>
      </c>
    </row>
    <row r="14" spans="1:9" x14ac:dyDescent="0.2">
      <c r="A14" s="8">
        <v>13</v>
      </c>
      <c r="B14" s="101">
        <f>Total!B1082</f>
        <v>42660</v>
      </c>
      <c r="C14" s="101">
        <f>Total!C1082</f>
        <v>42677</v>
      </c>
      <c r="D14" s="112" t="s">
        <v>1092</v>
      </c>
      <c r="E14" s="101" t="str">
        <f>Total!E1082</f>
        <v>Edificació</v>
      </c>
      <c r="F14" s="96" t="str">
        <f>Total!F1082</f>
        <v>Projectes i Direccions Facultatives</v>
      </c>
      <c r="G14" s="112" t="str">
        <f>Total!G1082</f>
        <v>PE+DF. ATC-16262</v>
      </c>
      <c r="H14" s="112" t="str">
        <f>Total!H1082</f>
        <v>Redacció del projecte bàsic i d'execució i la posterior direcció facultativa de les obres de remodelació d'oficines territorials de l'Agència Tributària de Catalunya a Vilafranca del Penedès.</v>
      </c>
      <c r="I14" s="157">
        <f>Total!I1082</f>
        <v>51051</v>
      </c>
    </row>
    <row r="15" spans="1:9" x14ac:dyDescent="0.2">
      <c r="A15" s="8">
        <v>14</v>
      </c>
      <c r="B15" s="101">
        <f>Total!B1083</f>
        <v>42660</v>
      </c>
      <c r="C15" s="101">
        <f>Total!C1083</f>
        <v>42677</v>
      </c>
      <c r="D15" s="112" t="s">
        <v>1092</v>
      </c>
      <c r="E15" s="101" t="str">
        <f>Total!E1083</f>
        <v>Edificació</v>
      </c>
      <c r="F15" s="96" t="str">
        <f>Total!F1083</f>
        <v>Projectes i Direccions Facultatives</v>
      </c>
      <c r="G15" s="112" t="str">
        <f>Total!G1083</f>
        <v>PE+DF. ATC-16269</v>
      </c>
      <c r="H15" s="112" t="str">
        <f>Total!H1083</f>
        <v>Redacció del projecte bàsic i d'execució i la posterior direcció facultativa de les obres de remodelació d'oficines territorials de l'Agència Tributària de Catalunya a La Bibal d'Empordà.</v>
      </c>
      <c r="I15" s="157">
        <f>Total!I1083</f>
        <v>36235.51</v>
      </c>
    </row>
    <row r="16" spans="1:9" x14ac:dyDescent="0.2">
      <c r="A16" s="8">
        <v>15</v>
      </c>
      <c r="B16" s="101">
        <f>Total!B1084</f>
        <v>42660</v>
      </c>
      <c r="C16" s="101">
        <f>Total!C1084</f>
        <v>42677</v>
      </c>
      <c r="D16" s="112" t="s">
        <v>1092</v>
      </c>
      <c r="E16" s="101" t="str">
        <f>Total!E1084</f>
        <v>Edificació</v>
      </c>
      <c r="F16" s="96" t="str">
        <f>Total!F1084</f>
        <v>Projectes i Direccions Facultatives</v>
      </c>
      <c r="G16" s="112" t="str">
        <f>Total!G1084</f>
        <v>PE+DF. ATC-16272</v>
      </c>
      <c r="H16" s="112" t="str">
        <f>Total!H1084</f>
        <v>Redacció del projecte bàsic i d'execució i la posterior direcció facultativa de les obres de remodelació d'oficines territorials de l'Agència Tributària de Catalunya a Santa Coloma de Farners.</v>
      </c>
      <c r="I16" s="157">
        <f>Total!I1084</f>
        <v>31059</v>
      </c>
    </row>
    <row r="17" spans="1:9" x14ac:dyDescent="0.2">
      <c r="A17" s="8">
        <v>16</v>
      </c>
      <c r="B17" s="101">
        <f>Total!B1085</f>
        <v>42660</v>
      </c>
      <c r="C17" s="101">
        <f>Total!C1085</f>
        <v>42677</v>
      </c>
      <c r="D17" s="112" t="s">
        <v>1092</v>
      </c>
      <c r="E17" s="101" t="str">
        <f>Total!E1085</f>
        <v>Edificació</v>
      </c>
      <c r="F17" s="96" t="str">
        <f>Total!F1085</f>
        <v>Projectes i Direccions Facultatives</v>
      </c>
      <c r="G17" s="112" t="str">
        <f>Total!G1085</f>
        <v>PE+DF. ATC-16268</v>
      </c>
      <c r="H17" s="112" t="str">
        <f>Total!H1085</f>
        <v>Redacció del projecte bàsic i d'execució i la posterior direcció facultativa de les obres de remodelació d'oficines territorials de l'Agència Tributària de Catalunya a Mataró.</v>
      </c>
      <c r="I17" s="157">
        <f>Total!I1085</f>
        <v>51051</v>
      </c>
    </row>
    <row r="18" spans="1:9" x14ac:dyDescent="0.2">
      <c r="A18" s="8">
        <v>17</v>
      </c>
      <c r="B18" s="101">
        <f>Total!B1086</f>
        <v>42660</v>
      </c>
      <c r="C18" s="101">
        <f>Total!C1086</f>
        <v>42677</v>
      </c>
      <c r="D18" s="112" t="s">
        <v>1092</v>
      </c>
      <c r="E18" s="101" t="str">
        <f>Total!E1086</f>
        <v>Edificació</v>
      </c>
      <c r="F18" s="96" t="str">
        <f>Total!F1086</f>
        <v>Projectes i Direccions Facultatives</v>
      </c>
      <c r="G18" s="112" t="str">
        <f>Total!G1086</f>
        <v>PE+DF. ATC-16260</v>
      </c>
      <c r="H18" s="112" t="str">
        <f>Total!H1086</f>
        <v>Redacció del projecte bàsic i d'execució i la posterior direcció facultativa de les obres de remodelació d'oficines territorials de l'Agència Tributària de Catalunya a Reus.</v>
      </c>
      <c r="I18" s="157">
        <f>Total!I1086</f>
        <v>41769</v>
      </c>
    </row>
    <row r="19" spans="1:9" x14ac:dyDescent="0.2">
      <c r="A19" s="8">
        <v>18</v>
      </c>
      <c r="B19" s="101">
        <f>Total!B1087</f>
        <v>42660</v>
      </c>
      <c r="C19" s="101">
        <f>Total!C1087</f>
        <v>42677</v>
      </c>
      <c r="D19" s="112" t="s">
        <v>1092</v>
      </c>
      <c r="E19" s="101" t="str">
        <f>Total!E1087</f>
        <v>Edificació</v>
      </c>
      <c r="F19" s="96" t="str">
        <f>Total!F1087</f>
        <v>Projectes i Direccions Facultatives</v>
      </c>
      <c r="G19" s="112" t="str">
        <f>Total!G1087</f>
        <v>PE+DF. ATC-16267</v>
      </c>
      <c r="H19" s="112" t="str">
        <f>Total!H1087</f>
        <v>Redacció del projecte bàsic i d'execució i la posterior direcció facultativa de les obres de remodelació d'oficines territorials de l'Agència Tributària de Catalunya a La Seu d'Urgell.</v>
      </c>
      <c r="I19" s="157">
        <f>Total!I1087</f>
        <v>31059</v>
      </c>
    </row>
    <row r="20" spans="1:9" x14ac:dyDescent="0.2">
      <c r="A20" s="8">
        <v>19</v>
      </c>
      <c r="B20" s="101">
        <f>Total!B1088</f>
        <v>42660</v>
      </c>
      <c r="C20" s="101">
        <f>Total!C1088</f>
        <v>42677</v>
      </c>
      <c r="D20" s="112" t="s">
        <v>1092</v>
      </c>
      <c r="E20" s="101" t="str">
        <f>Total!E1088</f>
        <v>Edificació</v>
      </c>
      <c r="F20" s="96" t="str">
        <f>Total!F1088</f>
        <v>Projectes i Direccions Facultatives</v>
      </c>
      <c r="G20" s="112" t="str">
        <f>Total!G1088</f>
        <v>PE+DF. ATC-16261</v>
      </c>
      <c r="H20" s="112" t="str">
        <f>Total!H1088</f>
        <v>Redacció del projecte bàsic i d'execució i la posterior direcció facultativa de les obres de remodelació d'oficines territorials de l'Agència Tributària de Catalunya a Sant Feliu de Llobregat.</v>
      </c>
      <c r="I20" s="157">
        <f>Total!I1088</f>
        <v>51051</v>
      </c>
    </row>
    <row r="21" spans="1:9" x14ac:dyDescent="0.2">
      <c r="A21" s="8">
        <v>20</v>
      </c>
      <c r="B21" s="101">
        <f>Total!B1089</f>
        <v>42660</v>
      </c>
      <c r="C21" s="101">
        <f>Total!C1089</f>
        <v>42677</v>
      </c>
      <c r="D21" s="112" t="s">
        <v>1092</v>
      </c>
      <c r="E21" s="101" t="str">
        <f>Total!E1089</f>
        <v>Edificació</v>
      </c>
      <c r="F21" s="96" t="str">
        <f>Total!F1089</f>
        <v>Projectes i Direccions Facultatives</v>
      </c>
      <c r="G21" s="112" t="str">
        <f>Total!G1089</f>
        <v>PE+DF. ATC-16266</v>
      </c>
      <c r="H21" s="112" t="str">
        <f>Total!H1089</f>
        <v>Redacció del projecte bàsic i d'execució i la posterior direcció facultativa de les obres de remodelació d'oficines territorials de l'Agència Tributària de Catalunya a Manresa.</v>
      </c>
      <c r="I21" s="157">
        <f>Total!I1089</f>
        <v>41412</v>
      </c>
    </row>
    <row r="22" spans="1:9" x14ac:dyDescent="0.2">
      <c r="A22" s="8">
        <v>21</v>
      </c>
      <c r="B22" s="101">
        <f>Total!B1090</f>
        <v>42660</v>
      </c>
      <c r="C22" s="101">
        <f>Total!C1090</f>
        <v>42677</v>
      </c>
      <c r="D22" s="112" t="s">
        <v>1092</v>
      </c>
      <c r="E22" s="101" t="str">
        <f>Total!E1090</f>
        <v>Edificació</v>
      </c>
      <c r="F22" s="96" t="str">
        <f>Total!F1090</f>
        <v>Projectes i Direccions Facultatives</v>
      </c>
      <c r="G22" s="112" t="str">
        <f>Total!G1090</f>
        <v>PE+DF. ATC-16259</v>
      </c>
      <c r="H22" s="112" t="str">
        <f>Total!H1090</f>
        <v>Redacció del projecte bàsic i d'execució i la posterior direcció facultativa de les obres de remodelació d'oficines territorials de l'Agència Tributària de Catalunya a Tortosa.</v>
      </c>
      <c r="I22" s="157">
        <f>Total!I1090</f>
        <v>31059</v>
      </c>
    </row>
    <row r="23" spans="1:9" x14ac:dyDescent="0.2">
      <c r="A23" s="8">
        <v>22</v>
      </c>
      <c r="B23" s="101">
        <f>Total!B1091</f>
        <v>42660</v>
      </c>
      <c r="C23" s="101">
        <f>Total!C1091</f>
        <v>42677</v>
      </c>
      <c r="D23" s="112" t="s">
        <v>1092</v>
      </c>
      <c r="E23" s="101" t="str">
        <f>Total!E1091</f>
        <v>Edificació</v>
      </c>
      <c r="F23" s="96" t="str">
        <f>Total!F1091</f>
        <v>Projectes i Direccions Facultatives</v>
      </c>
      <c r="G23" s="112" t="str">
        <f>Total!G1091</f>
        <v>PE+DF. ATC-16264</v>
      </c>
      <c r="H23" s="112" t="str">
        <f>Total!H1091</f>
        <v>Redacció del projecte bàsic i d'execució i la posterior direcció facultativa de les obres de remodelació d'oficines territorials de l'Agència Tributària de Catalunya a Terrassa.</v>
      </c>
      <c r="I23" s="157">
        <f>Total!I1091</f>
        <v>51051</v>
      </c>
    </row>
    <row r="24" spans="1:9" x14ac:dyDescent="0.2">
      <c r="A24" s="8">
        <v>23</v>
      </c>
      <c r="B24" s="101">
        <f>Total!B1092</f>
        <v>42660</v>
      </c>
      <c r="C24" s="101">
        <f>Total!C1092</f>
        <v>42677</v>
      </c>
      <c r="D24" s="112" t="s">
        <v>1092</v>
      </c>
      <c r="E24" s="101" t="str">
        <f>Total!E1092</f>
        <v>Edificació</v>
      </c>
      <c r="F24" s="96" t="str">
        <f>Total!F1092</f>
        <v>Projectes i Direccions Facultatives</v>
      </c>
      <c r="G24" s="112" t="str">
        <f>Total!G1092</f>
        <v>PE+DF. ATC-16265</v>
      </c>
      <c r="H24" s="112" t="str">
        <f>Total!H1092</f>
        <v>Redacció del projecte bàsic i d'execució i la posterior direcció facultativa de les obres de remodelació d'oficines territorials de l'Agència Tributària de Catalunya a Granollers.</v>
      </c>
      <c r="I24" s="157">
        <f>Total!I1092</f>
        <v>41769</v>
      </c>
    </row>
    <row r="25" spans="1:9" x14ac:dyDescent="0.2">
      <c r="A25" s="8">
        <v>24</v>
      </c>
      <c r="B25" s="101">
        <f>Total!B1093</f>
        <v>42660</v>
      </c>
      <c r="C25" s="101">
        <f>Total!C1093</f>
        <v>42677</v>
      </c>
      <c r="D25" s="112" t="s">
        <v>1092</v>
      </c>
      <c r="E25" s="101" t="str">
        <f>Total!E1093</f>
        <v>Edificació</v>
      </c>
      <c r="F25" s="96" t="str">
        <f>Total!F1093</f>
        <v>Projectes i Direccions Facultatives</v>
      </c>
      <c r="G25" s="112" t="str">
        <f>Total!G1093</f>
        <v>PE+DF. ATC-16270</v>
      </c>
      <c r="H25" s="112" t="str">
        <f>Total!H1093</f>
        <v>Redacció del projecte bàsic i d'execució i la posterior direcció facultativa de les obres de remodelació d'oficines territorials de l'Agència Tributària de Catalunya a Vic.</v>
      </c>
      <c r="I25" s="157">
        <f>Total!I1093</f>
        <v>31059</v>
      </c>
    </row>
    <row r="26" spans="1:9" x14ac:dyDescent="0.2">
      <c r="A26" s="8">
        <v>25</v>
      </c>
      <c r="B26" s="101">
        <f>Total!B1094</f>
        <v>42660</v>
      </c>
      <c r="C26" s="101">
        <f>Total!C1094</f>
        <v>42677</v>
      </c>
      <c r="D26" s="112" t="s">
        <v>1092</v>
      </c>
      <c r="E26" s="101" t="str">
        <f>Total!E1094</f>
        <v>Edificació</v>
      </c>
      <c r="F26" s="96" t="str">
        <f>Total!F1094</f>
        <v>Projectes i Direccions Facultatives</v>
      </c>
      <c r="G26" s="112" t="str">
        <f>Total!G1094</f>
        <v>PE+DF. ATC-16263</v>
      </c>
      <c r="H26" s="112" t="str">
        <f>Total!H1094</f>
        <v>Redacció del projecte bàsic i d'execució i la posterior direcció facultativa de les obres de remodelació d'oficines territorials de l'Agència Tributària de Catalunya a Sabadell.</v>
      </c>
      <c r="I26" s="157">
        <f>Total!I1094</f>
        <v>60333</v>
      </c>
    </row>
    <row r="27" spans="1:9" x14ac:dyDescent="0.2">
      <c r="A27" s="8">
        <v>26</v>
      </c>
      <c r="B27" s="101">
        <f>Total!B1095</f>
        <v>42660</v>
      </c>
      <c r="C27" s="101">
        <f>Total!C1095</f>
        <v>42677</v>
      </c>
      <c r="D27" s="112" t="s">
        <v>1092</v>
      </c>
      <c r="E27" s="101" t="str">
        <f>Total!E1095</f>
        <v>Edificació</v>
      </c>
      <c r="F27" s="96" t="str">
        <f>Total!F1095</f>
        <v>Projectes i Direccions Facultatives</v>
      </c>
      <c r="G27" s="112" t="str">
        <f>Total!G1095</f>
        <v>PE+DF. ATC-16271</v>
      </c>
      <c r="H27" s="112" t="str">
        <f>Total!H1095</f>
        <v>Redacció del projecte bàsic i d'execució i la posterior direcció facultativa de les obres de remodelació d'oficines territorials de l'Agència Tributària de Catalunya a Figueres.</v>
      </c>
      <c r="I27" s="157">
        <f>Total!I1095</f>
        <v>31059</v>
      </c>
    </row>
    <row r="28" spans="1:9" x14ac:dyDescent="0.2">
      <c r="A28" s="8">
        <v>27</v>
      </c>
      <c r="B28" s="101">
        <f>Total!B1096</f>
        <v>42661</v>
      </c>
      <c r="C28" s="101">
        <f>Total!C1096</f>
        <v>42681</v>
      </c>
      <c r="D28" s="112" t="s">
        <v>1092</v>
      </c>
      <c r="E28" s="101" t="str">
        <f>Total!E1096</f>
        <v>Obra Civil</v>
      </c>
      <c r="F28" s="96" t="str">
        <f>Total!F1096</f>
        <v>Control de Qualitat</v>
      </c>
      <c r="G28" s="112" t="str">
        <f>Total!G1096</f>
        <v>CQ. AR-0264.A2</v>
      </c>
      <c r="H28" s="112" t="str">
        <f>Total!H1096</f>
        <v>Control de qualitat de les obres del projecte actualitzat núm. 2 del Regadiu Algerri-Balaguer. Sector C. TM Balaguer.</v>
      </c>
      <c r="I28" s="157">
        <f>Total!I1096</f>
        <v>67063.02</v>
      </c>
    </row>
    <row r="29" spans="1:9" x14ac:dyDescent="0.2">
      <c r="A29" s="8">
        <v>28</v>
      </c>
      <c r="B29" s="101">
        <f>Total!B1097</f>
        <v>42661</v>
      </c>
      <c r="C29" s="101">
        <f>Total!C1097</f>
        <v>42682</v>
      </c>
      <c r="D29" s="112" t="s">
        <v>1092</v>
      </c>
      <c r="E29" s="101" t="str">
        <f>Total!E1097</f>
        <v>Obra Civil</v>
      </c>
      <c r="F29" s="96" t="str">
        <f>Total!F1097</f>
        <v>Direccions d'obra</v>
      </c>
      <c r="G29" s="112" t="str">
        <f>Total!G1097</f>
        <v>DO. AR-08264.A2</v>
      </c>
      <c r="H29" s="112" t="str">
        <f>Total!H1097</f>
        <v>Direcció de les obres del projecte actualitzat núm. 2 del regadiu Algerri-Balaguer. Sector C. TM de Balaguer.</v>
      </c>
      <c r="I29" s="157">
        <f>Total!I1097</f>
        <v>181766.67</v>
      </c>
    </row>
    <row r="30" spans="1:9" x14ac:dyDescent="0.2">
      <c r="A30" s="8">
        <v>29</v>
      </c>
      <c r="B30" s="101">
        <f>Total!B1098</f>
        <v>42663</v>
      </c>
      <c r="C30" s="101">
        <f>Total!C1098</f>
        <v>42681</v>
      </c>
      <c r="D30" s="112" t="s">
        <v>1092</v>
      </c>
      <c r="E30" s="101" t="str">
        <f>Total!E1098</f>
        <v>Obra Civil</v>
      </c>
      <c r="F30" s="96" t="str">
        <f>Total!F1098</f>
        <v>Direccions d'obra</v>
      </c>
      <c r="G30" s="112" t="str">
        <f>Total!G1098</f>
        <v>CSS. AR-08264.A2</v>
      </c>
      <c r="H30" s="112" t="str">
        <f>Total!H1098</f>
        <v>Coordinació de seguretat i salut de les obres del projecte actualitzat núm. 2 del regadiu Algerri-Balaguer. Sector C. TM de Balaguer.</v>
      </c>
      <c r="I30" s="157">
        <f>Total!I1098</f>
        <v>17768</v>
      </c>
    </row>
    <row r="31" spans="1:9" x14ac:dyDescent="0.2">
      <c r="A31" s="8">
        <v>30</v>
      </c>
      <c r="B31" s="101">
        <f>Total!B1099</f>
        <v>42663</v>
      </c>
      <c r="C31" s="101">
        <f>Total!C1099</f>
        <v>42681</v>
      </c>
      <c r="D31" s="112" t="s">
        <v>1092</v>
      </c>
      <c r="E31" s="101" t="str">
        <f>Total!E1099</f>
        <v>Obra Civil</v>
      </c>
      <c r="F31" s="96" t="str">
        <f>Total!F1099</f>
        <v>Control de Qualitat</v>
      </c>
      <c r="G31" s="112" t="str">
        <f>Total!G1099</f>
        <v>CQ. AP-01950.2</v>
      </c>
      <c r="H31" s="112" t="str">
        <f>Total!H1099</f>
        <v>Control de qualitat de les obres de concentració parcel·lària del terme municipal de Balaguer. Fase 2.</v>
      </c>
      <c r="I31" s="157">
        <f>Total!I1099</f>
        <v>18912.22</v>
      </c>
    </row>
    <row r="32" spans="1:9" x14ac:dyDescent="0.2">
      <c r="A32" s="8">
        <v>31</v>
      </c>
      <c r="B32" s="101">
        <f>Total!B1100</f>
        <v>42667</v>
      </c>
      <c r="C32" s="101">
        <f>Total!C1100</f>
        <v>42681</v>
      </c>
      <c r="D32" s="112" t="s">
        <v>1092</v>
      </c>
      <c r="E32" s="101" t="str">
        <f>Total!E1100</f>
        <v>Obra Civil</v>
      </c>
      <c r="F32" s="96" t="str">
        <f>Total!F1100</f>
        <v>Direccions d'Obra</v>
      </c>
      <c r="G32" s="112" t="str">
        <f>Total!G1100</f>
        <v>DO. SC-SCC-15044</v>
      </c>
      <c r="H32" s="112" t="str">
        <f>Total!H1100</f>
        <v>Direcció i coordinació de seguretat i salut conjunta de manteniment de les obres del Plec. Conservació semi-integral. Plantacions. Conservació de plantacions i mesures correctores d'impacte ambiental de carreteres de Catalunya 2016-2017.</v>
      </c>
      <c r="I32" s="157">
        <f>Total!I1100</f>
        <v>45696</v>
      </c>
    </row>
    <row r="33" spans="1:9" x14ac:dyDescent="0.2">
      <c r="A33" s="8">
        <v>32</v>
      </c>
      <c r="B33" s="101">
        <f>Total!B1101</f>
        <v>42670</v>
      </c>
      <c r="C33" s="101">
        <f>Total!C1101</f>
        <v>42718</v>
      </c>
      <c r="D33" s="112" t="s">
        <v>1092</v>
      </c>
      <c r="E33" s="101" t="str">
        <f>Total!E1101</f>
        <v>Edificació</v>
      </c>
      <c r="F33" s="96" t="str">
        <f>Total!F1101</f>
        <v>Projectes i Direccions d'Obra</v>
      </c>
      <c r="G33" s="112" t="str">
        <f>Total!G1101</f>
        <v>PB+DO. IAA-16255</v>
      </c>
      <c r="H33" s="112" t="str">
        <f>Total!H1101</f>
        <v>Redacció del projecte bàsic i d'execució i la posterior direcció d'obra de la reconversió adequació i ampliació Institut Badia i Margarit 3/2 sense gimnàs, a Igualada.</v>
      </c>
      <c r="I33" s="157">
        <f>Total!I1101</f>
        <v>251206</v>
      </c>
    </row>
    <row r="34" spans="1:9" x14ac:dyDescent="0.2">
      <c r="I34" s="126">
        <f>SUM(I2:I33)</f>
        <v>2152573.94</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I24"/>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Total!B1048</f>
        <v>42614</v>
      </c>
      <c r="C2" s="101">
        <f>Total!C1048</f>
        <v>42634</v>
      </c>
      <c r="D2" s="112" t="s">
        <v>1092</v>
      </c>
      <c r="E2" s="101" t="str">
        <f>Total!E1048</f>
        <v>Edificació</v>
      </c>
      <c r="F2" s="96" t="str">
        <f>Total!F1048</f>
        <v>Projectes</v>
      </c>
      <c r="G2" s="112" t="str">
        <f>Total!G1048</f>
        <v>EV. EG16</v>
      </c>
      <c r="H2" s="112" t="str">
        <f>Total!H1048</f>
        <v>Realització dels informes preliminars dels emplaçaments dels projectes d'edificació.</v>
      </c>
      <c r="I2" s="157">
        <f>Total!I1048</f>
        <v>120000</v>
      </c>
    </row>
    <row r="3" spans="1:9" x14ac:dyDescent="0.2">
      <c r="A3" s="8">
        <v>2</v>
      </c>
      <c r="B3" s="101">
        <f>Total!B1049</f>
        <v>42614</v>
      </c>
      <c r="C3" s="101">
        <f>Total!C1049</f>
        <v>42634</v>
      </c>
      <c r="D3" s="112" t="s">
        <v>1092</v>
      </c>
      <c r="E3" s="101" t="str">
        <f>Total!E1049</f>
        <v>Obra Civil</v>
      </c>
      <c r="F3" s="96" t="str">
        <f>Total!F1049</f>
        <v>Projectes</v>
      </c>
      <c r="G3" s="112" t="str">
        <f>Total!G1049</f>
        <v>EV. EC18</v>
      </c>
      <c r="H3" s="112" t="str">
        <f>Total!H1049</f>
        <v>Realització dels treballs de cartografia corresponents als estudis i projectes d'obra civil que són encarregats pels Departaments de la Generalitat.</v>
      </c>
      <c r="I3" s="157">
        <f>Total!I1049</f>
        <v>186000</v>
      </c>
    </row>
    <row r="4" spans="1:9" x14ac:dyDescent="0.2">
      <c r="A4" s="8">
        <v>3</v>
      </c>
      <c r="B4" s="101">
        <f>Total!B1050</f>
        <v>42614</v>
      </c>
      <c r="C4" s="101">
        <f>Total!C1050</f>
        <v>42641</v>
      </c>
      <c r="D4" s="112" t="s">
        <v>1092</v>
      </c>
      <c r="E4" s="101" t="str">
        <f>Total!E1050</f>
        <v>Edificació</v>
      </c>
      <c r="F4" s="96" t="str">
        <f>Total!F1050</f>
        <v>Direccions d'Execució</v>
      </c>
      <c r="G4" s="112" t="str">
        <f>Total!G1050</f>
        <v>CSS. INC-07454.A</v>
      </c>
      <c r="H4" s="112" t="str">
        <f>Total!H1050</f>
        <v>Coordinació de Seguretat i Salut de les obres de nova construcció Institut nou 3/2 L de Vilafranca del Penedès.</v>
      </c>
      <c r="I4" s="157">
        <f>Total!I1050</f>
        <v>26000</v>
      </c>
    </row>
    <row r="5" spans="1:9" x14ac:dyDescent="0.2">
      <c r="A5" s="8">
        <v>4</v>
      </c>
      <c r="B5" s="101">
        <f>Total!B1051</f>
        <v>42614</v>
      </c>
      <c r="C5" s="101">
        <f>Total!C1051</f>
        <v>42641</v>
      </c>
      <c r="D5" s="112" t="s">
        <v>1092</v>
      </c>
      <c r="E5" s="101" t="str">
        <f>Total!E1051</f>
        <v>Edificació</v>
      </c>
      <c r="F5" s="96" t="str">
        <f>Total!F1051</f>
        <v>Direccions d'Execució</v>
      </c>
      <c r="G5" s="112" t="str">
        <f>Total!G1051</f>
        <v>DE. INC-07454.A</v>
      </c>
      <c r="H5" s="112" t="str">
        <f>Total!H1051</f>
        <v>Direcció d'execució de les obres de nova construcció Institut Nou 3/2 L de Vilafranca del Penedès.</v>
      </c>
      <c r="I5" s="157">
        <f>Total!I1051</f>
        <v>120090.62</v>
      </c>
    </row>
    <row r="6" spans="1:9" x14ac:dyDescent="0.2">
      <c r="A6" s="8">
        <v>5</v>
      </c>
      <c r="B6" s="101">
        <f>Total!B1052</f>
        <v>42615</v>
      </c>
      <c r="C6" s="101">
        <f>Total!C1052</f>
        <v>42641</v>
      </c>
      <c r="D6" s="112" t="s">
        <v>1092</v>
      </c>
      <c r="E6" s="101" t="str">
        <f>Total!E1052</f>
        <v>Edificació</v>
      </c>
      <c r="F6" s="96" t="str">
        <f>Total!F1052</f>
        <v>Direccions d'Obra</v>
      </c>
      <c r="G6" s="112" t="str">
        <f>Total!G1052</f>
        <v>DO. INC-07454.A</v>
      </c>
      <c r="H6" s="112" t="str">
        <f>Total!H1052</f>
        <v>Direcció de les obres de nova construcció Institut nou 3/2 L de Vilafranca del Penedès.</v>
      </c>
      <c r="I6" s="157">
        <f>Total!I1052</f>
        <v>114919.25</v>
      </c>
    </row>
    <row r="7" spans="1:9" x14ac:dyDescent="0.2">
      <c r="A7" s="8">
        <v>6</v>
      </c>
      <c r="B7" s="101">
        <f>Total!B1053</f>
        <v>42620</v>
      </c>
      <c r="C7" s="101">
        <f>Total!C1053</f>
        <v>42639</v>
      </c>
      <c r="D7" s="112" t="s">
        <v>1092</v>
      </c>
      <c r="E7" s="101" t="str">
        <f>Total!E1053</f>
        <v>Obra Civil</v>
      </c>
      <c r="F7" s="96" t="str">
        <f>Total!F1053</f>
        <v>Projectes</v>
      </c>
      <c r="G7" s="112" t="str">
        <f>Total!G1053</f>
        <v>PC. TM-12002.3</v>
      </c>
      <c r="H7" s="112" t="str">
        <f>Total!H1053</f>
        <v>Redacció del projecte constructiu per a la millora de les condicions mecàniques de la superestructura de via de la Línia 2 de FMB, utilitzant la solució Vanguard. Tram: Universitat-Monumental.</v>
      </c>
      <c r="I7" s="157">
        <f>Total!I1053</f>
        <v>78800</v>
      </c>
    </row>
    <row r="8" spans="1:9" x14ac:dyDescent="0.2">
      <c r="A8" s="8">
        <v>7</v>
      </c>
      <c r="B8" s="101">
        <f>Total!B1054</f>
        <v>42622</v>
      </c>
      <c r="C8" s="101">
        <f>Total!C1054</f>
        <v>42639</v>
      </c>
      <c r="D8" s="112" t="s">
        <v>1092</v>
      </c>
      <c r="E8" s="101" t="str">
        <f>Total!E1054</f>
        <v>Obra Civil</v>
      </c>
      <c r="F8" s="96" t="str">
        <f>Total!F1054</f>
        <v>Projectes</v>
      </c>
      <c r="G8" s="112" t="str">
        <f>Total!G1054</f>
        <v>PC. TB-16238</v>
      </c>
      <c r="H8" s="112" t="str">
        <f>Total!H1054</f>
        <v>Serveis per a l'assistència tècnica per a la redacció del projecte d'arranjament de la resclosa de Colomers als TTMM de Foixà i Colomers.</v>
      </c>
      <c r="I8" s="157">
        <f>Total!I1054</f>
        <v>114909.54</v>
      </c>
    </row>
    <row r="9" spans="1:9" x14ac:dyDescent="0.2">
      <c r="A9" s="8">
        <v>8</v>
      </c>
      <c r="B9" s="101">
        <f>Total!B1055</f>
        <v>42628</v>
      </c>
      <c r="C9" s="101">
        <f>Total!C1055</f>
        <v>42646</v>
      </c>
      <c r="D9" s="112" t="s">
        <v>1092</v>
      </c>
      <c r="E9" s="101" t="str">
        <f>Total!E1055</f>
        <v>Obra Civil</v>
      </c>
      <c r="F9" s="96" t="str">
        <f>Total!F1055</f>
        <v>Control de Qualitat</v>
      </c>
      <c r="G9" s="112" t="str">
        <f>Total!G1055</f>
        <v>ATAM. MG-10479+5</v>
      </c>
      <c r="H9" s="112" t="str">
        <f>Total!H1055</f>
        <v>Assist. tècnica ambiental conjunta de les obres d'execució de millora local. Eixample i millora de traçat a la ctra. N-14, del pk 110,500 al 112,350. Tram: Bescanó; de la millora local. Seguretat viària. Eixample d'obres de fàbrica i actuacions Secto</v>
      </c>
      <c r="I9" s="157">
        <f>Total!I1055</f>
        <v>68992</v>
      </c>
    </row>
    <row r="10" spans="1:9" x14ac:dyDescent="0.2">
      <c r="A10" s="8">
        <v>9</v>
      </c>
      <c r="B10" s="101">
        <f>Total!B1056</f>
        <v>42629</v>
      </c>
      <c r="C10" s="101">
        <f>Total!C1056</f>
        <v>42653</v>
      </c>
      <c r="D10" s="112" t="s">
        <v>1092</v>
      </c>
      <c r="E10" s="101" t="str">
        <f>Total!E1056</f>
        <v>Edificació</v>
      </c>
      <c r="F10" s="96" t="str">
        <f>Total!F1056</f>
        <v>Direccions d'Execució</v>
      </c>
      <c r="G10" s="112" t="str">
        <f>Total!G1056</f>
        <v>DE. INV-13322</v>
      </c>
      <c r="H10" s="112" t="str">
        <f>Total!H1056</f>
        <v>Contracte de servei per a l'assitència tècnica de la direcció d'execució de les obres de nova construcció Institut 4/3 L a l'Institut Torrent dels Alous de Rubí.</v>
      </c>
      <c r="I10" s="157">
        <f>Total!I1056</f>
        <v>147763.32</v>
      </c>
    </row>
    <row r="11" spans="1:9" x14ac:dyDescent="0.2">
      <c r="A11" s="8">
        <v>10</v>
      </c>
      <c r="B11" s="101">
        <f>Total!B1057</f>
        <v>42629</v>
      </c>
      <c r="C11" s="101">
        <f>Total!C1057</f>
        <v>42646</v>
      </c>
      <c r="D11" s="112" t="s">
        <v>1092</v>
      </c>
      <c r="E11" s="101" t="str">
        <f>Total!E1057</f>
        <v>Edificació</v>
      </c>
      <c r="F11" s="96" t="str">
        <f>Total!F1057</f>
        <v>Direccions d'Execució</v>
      </c>
      <c r="G11" s="112" t="str">
        <f>Total!G1057</f>
        <v>CSS. INV-13322</v>
      </c>
      <c r="H11" s="112" t="str">
        <f>Total!H1057</f>
        <v>Contracte de servei per a l'assitència de Coordinació de Seguretat i Salut de les obres de nova construcció Institut 4/3 L a l'Institut Torrent dels Alous de Rubí.</v>
      </c>
      <c r="I11" s="157">
        <f>Total!I1057</f>
        <v>32000</v>
      </c>
    </row>
    <row r="12" spans="1:9" x14ac:dyDescent="0.2">
      <c r="A12" s="8">
        <v>11</v>
      </c>
      <c r="B12" s="101">
        <f>Total!B1058</f>
        <v>42636</v>
      </c>
      <c r="C12" s="101">
        <f>Total!C1058</f>
        <v>42662</v>
      </c>
      <c r="D12" s="112" t="s">
        <v>1092</v>
      </c>
      <c r="E12" s="101" t="str">
        <f>Total!E1058</f>
        <v>Edificació</v>
      </c>
      <c r="F12" s="96" t="str">
        <f>Total!F1058</f>
        <v>Direccions d'Execució</v>
      </c>
      <c r="G12" s="112" t="str">
        <f>Total!G1058</f>
        <v>DE. INV-11218</v>
      </c>
      <c r="H12" s="112" t="str">
        <f>Total!H1058</f>
        <v>Direcció d'execució de les obres de la nova construcció de l'Institut 4/3 L Can Roca, de Terrassa.</v>
      </c>
      <c r="I12" s="157">
        <f>Total!I1058</f>
        <v>141001.54</v>
      </c>
    </row>
    <row r="13" spans="1:9" x14ac:dyDescent="0.2">
      <c r="A13" s="8">
        <v>12</v>
      </c>
      <c r="B13" s="101">
        <f>Total!B1059</f>
        <v>42636</v>
      </c>
      <c r="C13" s="101">
        <f>Total!C1059</f>
        <v>42653</v>
      </c>
      <c r="D13" s="112" t="s">
        <v>1092</v>
      </c>
      <c r="E13" s="101" t="str">
        <f>Total!E1059</f>
        <v>Edificació</v>
      </c>
      <c r="F13" s="96" t="str">
        <f>Total!F1059</f>
        <v>Direccions d'Execució</v>
      </c>
      <c r="G13" s="112" t="str">
        <f>Total!G1059</f>
        <v>CSS. INV-09373.A</v>
      </c>
      <c r="H13" s="112" t="str">
        <f>Total!H1059</f>
        <v>Coordinació de Seguretat i Salut de les obres de nova construcció Institut 6/3 L + pavelló esportiu a l'Institut Leonardo Da Vinci de Sant Cugat del Vallès.</v>
      </c>
      <c r="I13" s="157">
        <f>Total!I1059</f>
        <v>30000</v>
      </c>
    </row>
    <row r="14" spans="1:9" x14ac:dyDescent="0.2">
      <c r="A14" s="8">
        <v>13</v>
      </c>
      <c r="B14" s="101">
        <f>Total!B1060</f>
        <v>42636</v>
      </c>
      <c r="C14" s="101">
        <f>Total!C1060</f>
        <v>42662</v>
      </c>
      <c r="D14" s="112" t="s">
        <v>1092</v>
      </c>
      <c r="E14" s="101" t="str">
        <f>Total!E1060</f>
        <v>Edificació</v>
      </c>
      <c r="F14" s="96" t="str">
        <f>Total!F1060</f>
        <v>Direccions d'Execució</v>
      </c>
      <c r="G14" s="112" t="str">
        <f>Total!G1060</f>
        <v>DE. INV-14298</v>
      </c>
      <c r="H14" s="112" t="str">
        <f>Total!H1060</f>
        <v>Direcció d'execució de les obres de Nova construcció de l'Institut Les Aimerigues a Terrassa.</v>
      </c>
      <c r="I14" s="157">
        <f>Total!I1060</f>
        <v>135107.07</v>
      </c>
    </row>
    <row r="15" spans="1:9" x14ac:dyDescent="0.2">
      <c r="A15" s="8">
        <v>14</v>
      </c>
      <c r="B15" s="101">
        <f>Total!B1061</f>
        <v>42636</v>
      </c>
      <c r="C15" s="101">
        <f>Total!C1061</f>
        <v>42653</v>
      </c>
      <c r="D15" s="112" t="s">
        <v>1092</v>
      </c>
      <c r="E15" s="101" t="str">
        <f>Total!E1061</f>
        <v>Edificació</v>
      </c>
      <c r="F15" s="96" t="str">
        <f>Total!F1061</f>
        <v>Direccions d'Obra</v>
      </c>
      <c r="G15" s="112" t="str">
        <f>Total!G1061</f>
        <v>DO. INV-09373.A</v>
      </c>
      <c r="H15" s="112" t="str">
        <f>Total!H1061</f>
        <v>Direcció de les obres de nova construcció Institut 6/3 L + pavelló esportiu a l'Institut Leonardo Da Vinci de Sant Cugat del Vallès.</v>
      </c>
      <c r="I15" s="157">
        <f>Total!I1061</f>
        <v>180495.81</v>
      </c>
    </row>
    <row r="16" spans="1:9" x14ac:dyDescent="0.2">
      <c r="A16" s="8">
        <v>15</v>
      </c>
      <c r="B16" s="101">
        <f>Total!B1062</f>
        <v>42636</v>
      </c>
      <c r="C16" s="101">
        <f>Total!C1062</f>
        <v>42653</v>
      </c>
      <c r="D16" s="112" t="s">
        <v>1092</v>
      </c>
      <c r="E16" s="101" t="str">
        <f>Total!E1062</f>
        <v>Edificació</v>
      </c>
      <c r="F16" s="96" t="str">
        <f>Total!F1062</f>
        <v>Direccions d'Execució</v>
      </c>
      <c r="G16" s="112" t="str">
        <f>Total!G1062</f>
        <v>DE. INV-09373.A</v>
      </c>
      <c r="H16" s="112" t="str">
        <f>Total!H1062</f>
        <v>Direcció d'execució de les obres de nova construcció Institut 6/3 L + pavelló esportiu a l'Institut Leonardo Da Vinci de Sant Cugat del Vallès.</v>
      </c>
      <c r="I16" s="157">
        <f>Total!I1062</f>
        <v>192228.04</v>
      </c>
    </row>
    <row r="17" spans="1:9" x14ac:dyDescent="0.2">
      <c r="A17" s="8">
        <v>16</v>
      </c>
      <c r="B17" s="101">
        <f>Total!B1063</f>
        <v>42636</v>
      </c>
      <c r="C17" s="101">
        <f>Total!C1063</f>
        <v>42653</v>
      </c>
      <c r="D17" s="112" t="s">
        <v>1092</v>
      </c>
      <c r="E17" s="101" t="str">
        <f>Total!E1063</f>
        <v>Edificació</v>
      </c>
      <c r="F17" s="96" t="str">
        <f>Total!F1063</f>
        <v>Control de Qualitat</v>
      </c>
      <c r="G17" s="112" t="str">
        <f>Total!G1063</f>
        <v>CQ. INV-09373.A</v>
      </c>
      <c r="H17" s="112" t="str">
        <f>Total!H1063</f>
        <v>Control de qualitat de les obres de nova construcció Institut 6/3 L + pavelló esportiu a l'Institut Leonardo Da Vinci de Sant Cugat del Vallès.</v>
      </c>
      <c r="I17" s="157">
        <f>Total!I1063</f>
        <v>74467.97</v>
      </c>
    </row>
    <row r="18" spans="1:9" x14ac:dyDescent="0.2">
      <c r="A18" s="8">
        <v>17</v>
      </c>
      <c r="B18" s="101">
        <f>Total!B1064</f>
        <v>42640</v>
      </c>
      <c r="C18" s="101">
        <f>Total!C1064</f>
        <v>42660</v>
      </c>
      <c r="D18" s="112" t="s">
        <v>1092</v>
      </c>
      <c r="E18" s="101" t="str">
        <f>Total!E1064</f>
        <v>Edificació</v>
      </c>
      <c r="F18" s="96" t="str">
        <f>Total!F1064</f>
        <v>Projectes i Direccions d'Obra</v>
      </c>
      <c r="G18" s="112" t="str">
        <f>Total!G1064</f>
        <v>PE+DO. CAP-16219</v>
      </c>
      <c r="H18" s="112" t="str">
        <f>Total!H1064</f>
        <v>Redacció del projecte bàsic i executiu i la posterior direcció d'obra de les obres RAM del Centre d'Atenció Primària Cappont, de Lleida.</v>
      </c>
      <c r="I18" s="157">
        <f>Total!I1064</f>
        <v>36979.65</v>
      </c>
    </row>
    <row r="19" spans="1:9" x14ac:dyDescent="0.2">
      <c r="A19" s="8">
        <v>18</v>
      </c>
      <c r="B19" s="101">
        <f>Total!B1065</f>
        <v>42640</v>
      </c>
      <c r="C19" s="101">
        <f>Total!C1065</f>
        <v>42662</v>
      </c>
      <c r="D19" s="112" t="s">
        <v>1092</v>
      </c>
      <c r="E19" s="101" t="str">
        <f>Total!E1065</f>
        <v>Edificació</v>
      </c>
      <c r="F19" s="96" t="str">
        <f>Total!F1065</f>
        <v>Control de Qualitat</v>
      </c>
      <c r="G19" s="112" t="str">
        <f>Total!G1065</f>
        <v>CQ. INV-11218</v>
      </c>
      <c r="H19" s="112" t="str">
        <f>Total!H1065</f>
        <v>Control de qualitat de les obres de la nova construcció de l'Institut 4/3 L Can Roca, de Terrassa.</v>
      </c>
      <c r="I19" s="157">
        <f>Total!I1065</f>
        <v>55297.38</v>
      </c>
    </row>
    <row r="20" spans="1:9" x14ac:dyDescent="0.2">
      <c r="A20" s="8">
        <v>19</v>
      </c>
      <c r="B20" s="101">
        <f>Total!B1066</f>
        <v>42640</v>
      </c>
      <c r="C20" s="101">
        <f>Total!C1066</f>
        <v>42662</v>
      </c>
      <c r="D20" s="112" t="s">
        <v>1092</v>
      </c>
      <c r="E20" s="101" t="str">
        <f>Total!E1066</f>
        <v>Edificació</v>
      </c>
      <c r="F20" s="96" t="str">
        <f>Total!F1066</f>
        <v>Control de Qualitat</v>
      </c>
      <c r="G20" s="112" t="str">
        <f>Total!G1066</f>
        <v>CQ. INV-14298</v>
      </c>
      <c r="H20" s="112" t="str">
        <f>Total!H1066</f>
        <v>Control de qualitat de les obres de Nova construcció de l'Institut Les Aimerigues a Terressa.</v>
      </c>
      <c r="I20" s="157">
        <f>Total!I1066</f>
        <v>68016.09</v>
      </c>
    </row>
    <row r="21" spans="1:9" x14ac:dyDescent="0.2">
      <c r="A21" s="8">
        <v>20</v>
      </c>
      <c r="B21" s="101">
        <f>Total!B1067</f>
        <v>42641</v>
      </c>
      <c r="C21" s="101">
        <f>Total!C1067</f>
        <v>42690</v>
      </c>
      <c r="D21" s="112" t="s">
        <v>1092</v>
      </c>
      <c r="E21" s="101" t="str">
        <f>Total!E1067</f>
        <v>Obra Civil</v>
      </c>
      <c r="F21" s="96" t="str">
        <f>Total!F1067</f>
        <v xml:space="preserve">Projectes </v>
      </c>
      <c r="G21" s="112" t="str">
        <f>Total!G1067</f>
        <v>TA-NB-01134.F1</v>
      </c>
      <c r="H21" s="112" t="str">
        <f>Total!H1067</f>
        <v>Redacció del projecte de traçat de millora general. Nova carretera. Eix del Llobregat. Implantació d'un tercer carril reversible a la carretera C-16, del pk 96,500 al 117,300. Tram: Berga-Bagà.</v>
      </c>
      <c r="I21" s="157">
        <f>Total!I1067</f>
        <v>275400</v>
      </c>
    </row>
    <row r="22" spans="1:9" x14ac:dyDescent="0.2">
      <c r="A22" s="8">
        <v>21</v>
      </c>
      <c r="B22" s="101">
        <f>Total!B1068</f>
        <v>42641</v>
      </c>
      <c r="C22" s="101">
        <f>Total!C1068</f>
        <v>42690</v>
      </c>
      <c r="D22" s="112" t="s">
        <v>1092</v>
      </c>
      <c r="E22" s="101" t="str">
        <f>Total!E1068</f>
        <v>Obra Civil</v>
      </c>
      <c r="F22" s="96" t="str">
        <f>Total!F1068</f>
        <v xml:space="preserve">Projectes </v>
      </c>
      <c r="G22" s="112" t="str">
        <f>Total!G1068</f>
        <v>AT-TX-15360</v>
      </c>
      <c r="H22" s="112" t="str">
        <f>Total!H1068</f>
        <v>Assistència tècnica per al seguiment del posicionament dels trens en temps real i recollida de dades de l'operativa del servei de Rodalies de Catalunya.</v>
      </c>
      <c r="I22" s="157">
        <f>Total!I1068</f>
        <v>593826.25</v>
      </c>
    </row>
    <row r="23" spans="1:9" x14ac:dyDescent="0.2">
      <c r="A23" s="8">
        <v>22</v>
      </c>
      <c r="B23" s="101">
        <f>Total!B1069</f>
        <v>42643</v>
      </c>
      <c r="C23" s="101">
        <f>Total!C1069</f>
        <v>42660</v>
      </c>
      <c r="D23" s="112" t="s">
        <v>1092</v>
      </c>
      <c r="E23" s="101" t="str">
        <f>Total!E1069</f>
        <v>Obra Civil</v>
      </c>
      <c r="F23" s="96" t="str">
        <f>Total!F1069</f>
        <v>Direccions d'Obra</v>
      </c>
      <c r="G23" s="112" t="str">
        <f>Total!G1069</f>
        <v>DO. AP-01950.2</v>
      </c>
      <c r="H23" s="112" t="str">
        <f>Total!H1069</f>
        <v>Direcció de les obres del projecte de concentració parcel·lària del terme municipal de Balaguer. Fase 2.</v>
      </c>
      <c r="I23" s="157">
        <f>Total!I1069</f>
        <v>45400</v>
      </c>
    </row>
    <row r="24" spans="1:9" x14ac:dyDescent="0.2">
      <c r="I24" s="126">
        <f>SUM(I2:I23)</f>
        <v>2837694.5300000003</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I22"/>
  <sheetViews>
    <sheetView topLeftCell="A2" workbookViewId="0">
      <selection activeCell="A2"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Total!B1028</f>
        <v>42583</v>
      </c>
      <c r="C2" s="101">
        <f>Total!C1028</f>
        <v>42634</v>
      </c>
      <c r="D2" s="112" t="s">
        <v>1092</v>
      </c>
      <c r="E2" s="101" t="str">
        <f>Total!E1028</f>
        <v>Obra Civil</v>
      </c>
      <c r="F2" s="96" t="str">
        <f>Total!F1028</f>
        <v>Projectes</v>
      </c>
      <c r="G2" s="112" t="str">
        <f>Total!G1028</f>
        <v>PC. TA-07997.A1</v>
      </c>
      <c r="H2" s="112" t="str">
        <f>Total!H1028</f>
        <v>Redacció del projecte constructiu de nou carril bus i via ciclista a la carretera C-245 entre Castelldefels i Cornellà de Llobregat.</v>
      </c>
      <c r="I2" s="157">
        <f>Total!I1028</f>
        <v>482300</v>
      </c>
    </row>
    <row r="3" spans="1:9" x14ac:dyDescent="0.2">
      <c r="A3" s="8">
        <v>2</v>
      </c>
      <c r="B3" s="101">
        <f>Total!B1029</f>
        <v>42583</v>
      </c>
      <c r="C3" s="101">
        <f>Total!C1029</f>
        <v>42634</v>
      </c>
      <c r="D3" s="112" t="s">
        <v>1092</v>
      </c>
      <c r="E3" s="101" t="str">
        <f>Total!E1029</f>
        <v>Obra Civil</v>
      </c>
      <c r="F3" s="96" t="str">
        <f>Total!F1029</f>
        <v>Projectes</v>
      </c>
      <c r="G3" s="112" t="str">
        <f>Total!G1029</f>
        <v>EV.EM-NB-16036</v>
      </c>
      <c r="H3" s="112" t="str">
        <f>Total!H1029</f>
        <v>Redacció del Pla específic de mobilitat del Vallès.</v>
      </c>
      <c r="I3" s="157">
        <f>Total!I1029</f>
        <v>295000</v>
      </c>
    </row>
    <row r="4" spans="1:9" x14ac:dyDescent="0.2">
      <c r="A4" s="8">
        <v>3</v>
      </c>
      <c r="B4" s="101">
        <f>Total!B1030</f>
        <v>42586</v>
      </c>
      <c r="C4" s="101">
        <f>Total!C1030</f>
        <v>42618</v>
      </c>
      <c r="D4" s="112" t="s">
        <v>1092</v>
      </c>
      <c r="E4" s="101" t="str">
        <f>Total!E1030</f>
        <v>Edificació</v>
      </c>
      <c r="F4" s="96" t="str">
        <f>Total!F1030</f>
        <v>Direccions Facultatives</v>
      </c>
      <c r="G4" s="112" t="str">
        <f>Total!G1030</f>
        <v>DF. JVV-08495</v>
      </c>
      <c r="H4" s="112" t="str">
        <f>Total!H1030</f>
        <v>Direcció d'obra, la direcció d'execució i la tramitació i gestió de la llicència d'obres, de les obres de l'enderroc de l'Edifici Judicial i Projecte d'intervenció Arqueològica a l'edifici situat al passeig Lluís Companys, s /n. de Barcelona</v>
      </c>
      <c r="I4" s="157">
        <f>Total!I1030</f>
        <v>90000</v>
      </c>
    </row>
    <row r="5" spans="1:9" x14ac:dyDescent="0.2">
      <c r="A5" s="8">
        <v>4</v>
      </c>
      <c r="B5" s="101">
        <f>Total!B1031</f>
        <v>42586</v>
      </c>
      <c r="C5" s="101">
        <f>Total!C1031</f>
        <v>42625</v>
      </c>
      <c r="D5" s="112" t="s">
        <v>1092</v>
      </c>
      <c r="E5" s="101" t="str">
        <f>Total!E1031</f>
        <v>Edificació</v>
      </c>
      <c r="F5" s="96" t="str">
        <f>Total!F1031</f>
        <v>Control de Qualitat</v>
      </c>
      <c r="G5" s="112" t="str">
        <f>Total!G1031</f>
        <v>CQ. CBB-07300.A</v>
      </c>
      <c r="H5" s="112" t="str">
        <f>Total!H1031</f>
        <v>Control de qualitat de les obres de la Comissaria d'Àrea Bàsica per a la policia de la Generalitat-Mossos d'Esquadra a Sarrià Sant Gervasi.</v>
      </c>
      <c r="I5" s="157">
        <f>Total!I1031</f>
        <v>48106.85</v>
      </c>
    </row>
    <row r="6" spans="1:9" x14ac:dyDescent="0.2">
      <c r="A6" s="8">
        <v>5</v>
      </c>
      <c r="B6" s="101">
        <f>Total!B1032</f>
        <v>42586</v>
      </c>
      <c r="C6" s="101">
        <f>Total!C1032</f>
        <v>42533</v>
      </c>
      <c r="D6" s="112" t="s">
        <v>1092</v>
      </c>
      <c r="E6" s="101" t="str">
        <f>Total!E1032</f>
        <v>Edificació</v>
      </c>
      <c r="F6" s="96" t="str">
        <f>Total!F1032</f>
        <v>Control de Qualitat</v>
      </c>
      <c r="G6" s="112" t="str">
        <f>Total!G1032</f>
        <v>CQ. CAP-13315</v>
      </c>
      <c r="H6" s="112" t="str">
        <f>Total!H1032</f>
        <v>Control de qualitat de les obres de consturcció del nou Centre d'Atenció Primària d'Amposta.</v>
      </c>
      <c r="I6" s="157">
        <f>Total!I1032</f>
        <v>41446.86</v>
      </c>
    </row>
    <row r="7" spans="1:9" x14ac:dyDescent="0.2">
      <c r="A7" s="8">
        <v>6</v>
      </c>
      <c r="B7" s="101">
        <f>Total!B1033</f>
        <v>42590</v>
      </c>
      <c r="C7" s="101">
        <f>Total!C1033</f>
        <v>42613</v>
      </c>
      <c r="D7" s="112" t="s">
        <v>1092</v>
      </c>
      <c r="E7" s="101" t="str">
        <f>Total!E1033</f>
        <v>Obra Civil</v>
      </c>
      <c r="F7" s="96" t="str">
        <f>Total!F1033</f>
        <v>Direccions d'Obra</v>
      </c>
      <c r="G7" s="112" t="str">
        <f>Total!G1033</f>
        <v>DO. AT-00164-C2</v>
      </c>
      <c r="H7" s="112" t="str">
        <f>Total!H1033</f>
        <v>Direcció de les obres del projecte complementari núm. 2 de millora local. Plantacions. Mesures correctores d'impacte ambiental. Condicionament El Vendrell-Valls. Ctra. C-51, pk 10,000 al 19,500. Tram: Albinyana-Rodonyà.</v>
      </c>
      <c r="I7" s="157">
        <f>Total!I1033</f>
        <v>17795.560000000001</v>
      </c>
    </row>
    <row r="8" spans="1:9" x14ac:dyDescent="0.2">
      <c r="A8" s="8">
        <v>7</v>
      </c>
      <c r="B8" s="101">
        <f>Total!B1034</f>
        <v>42590</v>
      </c>
      <c r="C8" s="101">
        <f>Total!C1034</f>
        <v>42613</v>
      </c>
      <c r="D8" s="112" t="s">
        <v>1092</v>
      </c>
      <c r="E8" s="101" t="str">
        <f>Total!E1034</f>
        <v>Obra Civil</v>
      </c>
      <c r="F8" s="96" t="str">
        <f>Total!F1034</f>
        <v>Direccions d'Obra</v>
      </c>
      <c r="G8" s="112" t="str">
        <f>Total!G1034</f>
        <v>DO. MB-15012</v>
      </c>
      <c r="H8" s="112" t="str">
        <f>Total!H1034</f>
        <v>Direcció de les obres del projecte constructiu de millora de la seguretat viària i de la mobilitat del corredor C-55 / C-16 / C-58 al Bages. Implantació de sistemes de gestió de la seguretat viària i mobilitat. Tram: Terrassa-Abrera-Manresa.</v>
      </c>
      <c r="I8" s="157">
        <f>Total!I1034</f>
        <v>79888.89</v>
      </c>
    </row>
    <row r="9" spans="1:9" x14ac:dyDescent="0.2">
      <c r="A9" s="8">
        <v>8</v>
      </c>
      <c r="B9" s="101">
        <f>Total!B1035</f>
        <v>42590</v>
      </c>
      <c r="C9" s="101">
        <f>Total!C1035</f>
        <v>42613</v>
      </c>
      <c r="D9" s="112" t="s">
        <v>1092</v>
      </c>
      <c r="E9" s="101" t="str">
        <f>Total!E1035</f>
        <v>Obra Civil</v>
      </c>
      <c r="F9" s="96" t="str">
        <f>Total!F1035</f>
        <v>Direccions d'Obra</v>
      </c>
      <c r="G9" s="112" t="str">
        <f>Total!G1035</f>
        <v>DO. AT-07039.F1</v>
      </c>
      <c r="H9" s="112" t="str">
        <f>Total!H1035</f>
        <v>Direcció de les obres de millora general. Condicionament i reordenació dels accessos a la carretera TV-3141 del pk 0,000 al 7,000. Fase 1. Reordenació d'accessos. Tram: Cambrils-Reus.</v>
      </c>
      <c r="I9" s="157">
        <f>Total!I1035</f>
        <v>45400</v>
      </c>
    </row>
    <row r="10" spans="1:9" x14ac:dyDescent="0.2">
      <c r="A10" s="8">
        <v>9</v>
      </c>
      <c r="B10" s="101">
        <f>Total!B1036</f>
        <v>42590</v>
      </c>
      <c r="C10" s="101">
        <f>Total!C1036</f>
        <v>42613</v>
      </c>
      <c r="D10" s="112" t="s">
        <v>1092</v>
      </c>
      <c r="E10" s="101" t="str">
        <f>Total!E1036</f>
        <v>Obra Civil</v>
      </c>
      <c r="F10" s="96" t="str">
        <f>Total!F1036</f>
        <v>Direccions d'Obra</v>
      </c>
      <c r="G10" s="112" t="str">
        <f>Total!G1036</f>
        <v>DO. MB-14079</v>
      </c>
      <c r="H10" s="112" t="str">
        <f>Total!H1036</f>
        <v>Direcció de les obres de millora local. Eixample i millora del traçat a la carretera N-141e, del pk 110,500 al 112,350. Tram: Bescanó.</v>
      </c>
      <c r="I10" s="157">
        <f>Total!I1036</f>
        <v>106133.33</v>
      </c>
    </row>
    <row r="11" spans="1:9" x14ac:dyDescent="0.2">
      <c r="A11" s="8">
        <v>10</v>
      </c>
      <c r="B11" s="101">
        <f>Total!B1037</f>
        <v>42590</v>
      </c>
      <c r="C11" s="101">
        <f>Total!C1037</f>
        <v>42613</v>
      </c>
      <c r="D11" s="112" t="s">
        <v>1092</v>
      </c>
      <c r="E11" s="101" t="str">
        <f>Total!E1037</f>
        <v>Obra Civil</v>
      </c>
      <c r="F11" s="96" t="str">
        <f>Total!F1037</f>
        <v>Direccions d'Obra</v>
      </c>
      <c r="G11" s="112" t="str">
        <f>Total!G1037</f>
        <v>DO. XL-15049</v>
      </c>
      <c r="H11" s="112" t="str">
        <f>Total!H1037</f>
        <v>Direcció de les obres del projecte constructiu de ferm. Reforçament. Vial municipal (polígon industrial), de la carretera L-303, pk 20,120 a la carretera C-14, pk 87,970. Tram: Agramunt.</v>
      </c>
      <c r="I11" s="157">
        <f>Total!I1037</f>
        <v>18322.22</v>
      </c>
    </row>
    <row r="12" spans="1:9" x14ac:dyDescent="0.2">
      <c r="A12" s="8">
        <v>11</v>
      </c>
      <c r="B12" s="101">
        <f>Total!B1038</f>
        <v>42590</v>
      </c>
      <c r="C12" s="101">
        <f>Total!C1038</f>
        <v>42613</v>
      </c>
      <c r="D12" s="112" t="s">
        <v>1092</v>
      </c>
      <c r="E12" s="101" t="str">
        <f>Total!E1038</f>
        <v>Obra Civil</v>
      </c>
      <c r="F12" s="96" t="str">
        <f>Total!F1038</f>
        <v>Direccions d'Obra</v>
      </c>
      <c r="G12" s="112" t="str">
        <f>Total!G1038</f>
        <v>DO. RB-09097</v>
      </c>
      <c r="H12" s="112" t="str">
        <f>Total!H1038</f>
        <v>Direcció de les obres del projecte constructiu de ferm. Millora de les característiques superficials i obres complementàries a la carretera B-204 del pk 1,110 al pk 4,230. Tram: Viladecans-El Prat de Llobregat.</v>
      </c>
      <c r="I12" s="157">
        <f>Total!I1038</f>
        <v>23688.89</v>
      </c>
    </row>
    <row r="13" spans="1:9" x14ac:dyDescent="0.2">
      <c r="A13" s="8">
        <v>12</v>
      </c>
      <c r="B13" s="101">
        <f>Total!B1039</f>
        <v>42590</v>
      </c>
      <c r="C13" s="101">
        <f>Total!C1039</f>
        <v>42613</v>
      </c>
      <c r="D13" s="112" t="s">
        <v>1092</v>
      </c>
      <c r="E13" s="101" t="str">
        <f>Total!E1039</f>
        <v>Obra Civil</v>
      </c>
      <c r="F13" s="96" t="str">
        <f>Total!F1039</f>
        <v>Direccions d'Obra</v>
      </c>
      <c r="G13" s="112" t="str">
        <f>Total!G1039</f>
        <v>DO. MG-15074</v>
      </c>
      <c r="H13" s="112" t="str">
        <f>Total!H1039</f>
        <v>Direcció de les obres del projecte constructiu de millora local. Seguretat viària. Eixample d'obres de fàbrica i actuacions complementàries a la carretera GI-522, del pk 3,000 al 3,375. Tram: Sant Joan les Fonts.</v>
      </c>
      <c r="I13" s="157">
        <f>Total!I1039</f>
        <v>22022.22</v>
      </c>
    </row>
    <row r="14" spans="1:9" x14ac:dyDescent="0.2">
      <c r="A14" s="8">
        <v>13</v>
      </c>
      <c r="B14" s="101">
        <f>Total!B1040</f>
        <v>42601</v>
      </c>
      <c r="C14" s="101">
        <f>Total!C1040</f>
        <v>42632</v>
      </c>
      <c r="D14" s="112" t="s">
        <v>1092</v>
      </c>
      <c r="E14" s="101" t="str">
        <f>Total!E1040</f>
        <v>Edificació</v>
      </c>
      <c r="F14" s="96" t="str">
        <f>Total!F1040</f>
        <v>Control de Qualitat</v>
      </c>
      <c r="G14" s="112" t="str">
        <f>Total!G1040</f>
        <v>CQ. INV-13322</v>
      </c>
      <c r="H14" s="112" t="str">
        <f>Total!H1040</f>
        <v>Control de qualitat de les obres de nova construcció Institut 3/4 L a l'Institut Torrent dels Alous de Rubí.</v>
      </c>
      <c r="I14" s="157">
        <f>Total!I1040</f>
        <v>59201.94</v>
      </c>
    </row>
    <row r="15" spans="1:9" x14ac:dyDescent="0.2">
      <c r="A15" s="8">
        <v>14</v>
      </c>
      <c r="B15" s="101">
        <f>Total!B1041</f>
        <v>42601</v>
      </c>
      <c r="C15" s="101">
        <f>Total!C1041</f>
        <v>42632</v>
      </c>
      <c r="D15" s="112" t="s">
        <v>1092</v>
      </c>
      <c r="E15" s="101" t="str">
        <f>Total!E1041</f>
        <v>Edificació</v>
      </c>
      <c r="F15" s="96" t="str">
        <f>Total!F1041</f>
        <v>Control de Qualitat</v>
      </c>
      <c r="G15" s="112" t="str">
        <f>Total!G1041</f>
        <v>CQ. INC-07454.A</v>
      </c>
      <c r="H15" s="112" t="str">
        <f>Total!H1041</f>
        <v>Control de qualitat de les obres de nova construcció Institut nou 3/2 L de Vilafranca del Penedès.</v>
      </c>
      <c r="I15" s="157">
        <f>Total!I1041</f>
        <v>51527.13</v>
      </c>
    </row>
    <row r="16" spans="1:9" x14ac:dyDescent="0.2">
      <c r="A16" s="8">
        <v>15</v>
      </c>
      <c r="B16" s="101">
        <f>Total!B1042</f>
        <v>42601</v>
      </c>
      <c r="C16" s="101">
        <f>Total!C1042</f>
        <v>42621</v>
      </c>
      <c r="D16" s="112" t="s">
        <v>1092</v>
      </c>
      <c r="E16" s="101" t="str">
        <f>Total!E1042</f>
        <v>Obra Civil</v>
      </c>
      <c r="F16" s="96" t="str">
        <f>Total!F1042</f>
        <v>Control de Qualitat</v>
      </c>
      <c r="G16" s="112" t="str">
        <f>Total!G1042</f>
        <v>CQ. MG-14079</v>
      </c>
      <c r="H16" s="112" t="str">
        <f>Total!H1042</f>
        <v>Control de qualitat de les obres del projecte constructiu de millora local. Eixample i millora del traçat a la carretera N-141e, del pk 110,500 al 112,350. Tram: Bescanó.</v>
      </c>
      <c r="I16" s="157">
        <f>Total!I1042</f>
        <v>52844.82</v>
      </c>
    </row>
    <row r="17" spans="1:9" x14ac:dyDescent="0.2">
      <c r="A17" s="8">
        <v>16</v>
      </c>
      <c r="B17" s="101">
        <f>Total!B1043</f>
        <v>42594</v>
      </c>
      <c r="C17" s="101">
        <f>Total!C1043</f>
        <v>42639</v>
      </c>
      <c r="D17" s="112" t="s">
        <v>1092</v>
      </c>
      <c r="E17" s="101" t="str">
        <f>Total!E1043</f>
        <v>Obra Civil</v>
      </c>
      <c r="F17" s="96" t="str">
        <f>Total!F1043</f>
        <v>Projectes</v>
      </c>
      <c r="G17" s="112" t="str">
        <f>Total!G1043</f>
        <v>PC. MB-14021.1</v>
      </c>
      <c r="H17" s="112" t="str">
        <f>Total!H1043</f>
        <v>Redacció del projecte constructiu de millora local. Seguretat viària. Millora de les característiques superficials del ferm i reestudi de la secció transversal. Ctra. C-35 del pk 49,860 al pk 55,450. Tram: Vilalba Sasserra-Sant Celoni.</v>
      </c>
      <c r="I17" s="157">
        <f>Total!I1043</f>
        <v>83800</v>
      </c>
    </row>
    <row r="18" spans="1:9" x14ac:dyDescent="0.2">
      <c r="A18" s="8">
        <v>17</v>
      </c>
      <c r="B18" s="101">
        <f>Total!B1044</f>
        <v>42594</v>
      </c>
      <c r="C18" s="101">
        <f>Total!C1044</f>
        <v>42639</v>
      </c>
      <c r="D18" s="112" t="s">
        <v>1092</v>
      </c>
      <c r="E18" s="101" t="str">
        <f>Total!E1044</f>
        <v>Obra Civil</v>
      </c>
      <c r="F18" s="96" t="str">
        <f>Total!F1044</f>
        <v>Projectes</v>
      </c>
      <c r="G18" s="112" t="str">
        <f>Total!G1044</f>
        <v>PC. AG-05087.1</v>
      </c>
      <c r="H18" s="112" t="str">
        <f>Total!H1044</f>
        <v>Redacció del projecte constructiu de millora general. Condicionament de la carretera GI-633, del pk 0,000 al 6,290. Tram: Sant Julià de Ramis (cruïlla amb la N-II)-Sant Jordi Desvalls.</v>
      </c>
      <c r="I18" s="157">
        <f>Total!I1044</f>
        <v>109690</v>
      </c>
    </row>
    <row r="19" spans="1:9" x14ac:dyDescent="0.2">
      <c r="A19" s="8">
        <v>18</v>
      </c>
      <c r="B19" s="101">
        <f>Total!B1045</f>
        <v>42594</v>
      </c>
      <c r="C19" s="101">
        <f>Total!C1045</f>
        <v>42639</v>
      </c>
      <c r="D19" s="112" t="s">
        <v>1092</v>
      </c>
      <c r="E19" s="101" t="str">
        <f>Total!E1045</f>
        <v>Obra Civil</v>
      </c>
      <c r="F19" s="96" t="str">
        <f>Total!F1045</f>
        <v>Projectes</v>
      </c>
      <c r="G19" s="112" t="str">
        <f>Total!G1045</f>
        <v>PC. MG-16027</v>
      </c>
      <c r="H19" s="112" t="str">
        <f>Total!H1045</f>
        <v>Redacció del projecte constructiu de millora local. Millora de nus. Rotonda i ordenació d'accessos a la carretera GI-533, del pk 2,470 al 3,740. Tram: Vilabrareix-Aiguaviva.</v>
      </c>
      <c r="I19" s="157">
        <f>Total!I1045</f>
        <v>55000</v>
      </c>
    </row>
    <row r="20" spans="1:9" x14ac:dyDescent="0.2">
      <c r="A20" s="8">
        <v>19</v>
      </c>
      <c r="B20" s="101">
        <f>Total!B1046</f>
        <v>42594</v>
      </c>
      <c r="C20" s="101">
        <f>Total!C1046</f>
        <v>42639</v>
      </c>
      <c r="D20" s="112" t="s">
        <v>1092</v>
      </c>
      <c r="E20" s="101" t="str">
        <f>Total!E1046</f>
        <v>Obra Civil</v>
      </c>
      <c r="F20" s="96" t="str">
        <f>Total!F1046</f>
        <v>Projectes</v>
      </c>
      <c r="G20" s="112" t="str">
        <f>Total!G1046</f>
        <v>PC. MB-16021</v>
      </c>
      <c r="H20" s="112" t="str">
        <f>Total!H1046</f>
        <v>Redacció del projecte construciu de millora local. Millora de nus. Rotonda a la ctra. BV-2429, pk 21,160. Tram: Subirats.</v>
      </c>
      <c r="I20" s="157">
        <f>Total!I1046</f>
        <v>25500</v>
      </c>
    </row>
    <row r="21" spans="1:9" x14ac:dyDescent="0.2">
      <c r="A21" s="8">
        <v>20</v>
      </c>
      <c r="B21" s="101">
        <f>Total!B1047</f>
        <v>42594</v>
      </c>
      <c r="C21" s="101">
        <f>Total!C1047</f>
        <v>42639</v>
      </c>
      <c r="D21" s="112" t="s">
        <v>1092</v>
      </c>
      <c r="E21" s="101" t="str">
        <f>Total!E1047</f>
        <v>Obra Civil</v>
      </c>
      <c r="F21" s="96" t="str">
        <f>Total!F1047</f>
        <v>Projectes</v>
      </c>
      <c r="G21" s="112" t="str">
        <f>Total!G1047</f>
        <v>PC. MB-16026</v>
      </c>
      <c r="H21" s="112" t="str">
        <f>Total!H1047</f>
        <v>Redacció del projecte constructiu de millora local. Ponts i estructures. Passarel·la per a vianants sobre la carretera C-35 entre el pk 57,000 i el 58,000. Tram: Sant Celoni.</v>
      </c>
      <c r="I21" s="157">
        <f>Total!I1047</f>
        <v>58450</v>
      </c>
    </row>
    <row r="22" spans="1:9" x14ac:dyDescent="0.2">
      <c r="I22" s="126">
        <f>SUM(I2:I21)</f>
        <v>1766118.7099999997</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I18"/>
  <sheetViews>
    <sheetView workbookViewId="0">
      <selection sqref="A1:XFD1048576"/>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Total!B1012</f>
        <v>42556</v>
      </c>
      <c r="C2" s="101">
        <f>Total!C1012</f>
        <v>42576</v>
      </c>
      <c r="D2" s="112" t="s">
        <v>1092</v>
      </c>
      <c r="E2" s="101" t="str">
        <f>Total!E1012</f>
        <v>Edificació</v>
      </c>
      <c r="F2" s="96" t="str">
        <f>Total!F1012</f>
        <v>Projectes i Direccions d'Obra</v>
      </c>
      <c r="G2" s="112" t="str">
        <f>Total!G1012</f>
        <v>PE+DO. IAV-16213</v>
      </c>
      <c r="H2" s="112" t="str">
        <f>Total!H1012</f>
        <v>Redacció del projecte bàsic i d'execució i la posterior direcció d'obra de l'ampliació 4/2 Institut Rovira i Foms, a Santa Perpetua de Mogoda.</v>
      </c>
      <c r="I2" s="157">
        <f>Total!I1012</f>
        <v>63124</v>
      </c>
    </row>
    <row r="3" spans="1:9" x14ac:dyDescent="0.2">
      <c r="A3" s="8">
        <v>2</v>
      </c>
      <c r="B3" s="101">
        <f>Total!B1013</f>
        <v>42556</v>
      </c>
      <c r="C3" s="101">
        <f>Total!C1013</f>
        <v>42576</v>
      </c>
      <c r="D3" s="112" t="s">
        <v>1092</v>
      </c>
      <c r="E3" s="101" t="str">
        <f>Total!E1013</f>
        <v>Edificació</v>
      </c>
      <c r="F3" s="96" t="str">
        <f>Total!F1013</f>
        <v>Projectes i Direccions d'Obra</v>
      </c>
      <c r="G3" s="112" t="str">
        <f>Total!G1013</f>
        <v>PE+DO. PAV-16212</v>
      </c>
      <c r="H3" s="112" t="str">
        <f>Total!H1013</f>
        <v>Redacció del projecte bàsic i executiu i la posterior direcció d'obra de l'ampliació de l'Escola Purificació Salas i Xandri, per a nova construcció edifici d'educació infantil, a Sant Quirze del Vallès.</v>
      </c>
      <c r="I3" s="157">
        <f>Total!I1013</f>
        <v>63733</v>
      </c>
    </row>
    <row r="4" spans="1:9" x14ac:dyDescent="0.2">
      <c r="A4" s="8">
        <v>3</v>
      </c>
      <c r="B4" s="101">
        <f>Total!B1014</f>
        <v>42558</v>
      </c>
      <c r="C4" s="101">
        <f>Total!C1014</f>
        <v>42611</v>
      </c>
      <c r="D4" s="112" t="s">
        <v>1092</v>
      </c>
      <c r="E4" s="101" t="str">
        <f>Total!E1014</f>
        <v>Obra Civil</v>
      </c>
      <c r="F4" s="96" t="str">
        <f>Total!F1014</f>
        <v>Projectes</v>
      </c>
      <c r="G4" s="112" t="str">
        <f>Total!G1014</f>
        <v>EV. E1-TX-16222</v>
      </c>
      <c r="H4" s="112" t="str">
        <f>Total!H1014</f>
        <v>Redacció de l'estudi de caracterització de la zona d'influència de la xarxa ferroviària soterrada dels FMB i dels FGC.</v>
      </c>
      <c r="I4" s="157">
        <f>Total!I1014</f>
        <v>70000</v>
      </c>
    </row>
    <row r="5" spans="1:9" x14ac:dyDescent="0.2">
      <c r="A5" s="8">
        <v>4</v>
      </c>
      <c r="B5" s="101">
        <f>Total!B1015</f>
        <v>42558</v>
      </c>
      <c r="C5" s="101">
        <f>Total!C1015</f>
        <v>42578</v>
      </c>
      <c r="D5" s="112" t="s">
        <v>1092</v>
      </c>
      <c r="E5" s="101" t="str">
        <f>Total!E1015</f>
        <v>Edificació</v>
      </c>
      <c r="F5" s="96" t="str">
        <f>Total!F1015</f>
        <v>Projectes i Direccions d'Obra</v>
      </c>
      <c r="G5" s="112" t="str">
        <f>Total!G1015</f>
        <v>PE+DO. PNB-14333</v>
      </c>
      <c r="H5" s="112" t="str">
        <f>Total!H1015</f>
        <v>Redacció del projecte bàsic i executiu i la posterior direcció d'obra de la substitució per a la nova construcció del Parc de Bombers existent a Moià per a un edifici de tipus industrialitzat.</v>
      </c>
      <c r="I5" s="157">
        <f>Total!I1015</f>
        <v>81824</v>
      </c>
    </row>
    <row r="6" spans="1:9" x14ac:dyDescent="0.2">
      <c r="A6" s="8">
        <v>5</v>
      </c>
      <c r="B6" s="101">
        <f>Total!B1016</f>
        <v>42558</v>
      </c>
      <c r="C6" s="101">
        <f>Total!C1016</f>
        <v>42611</v>
      </c>
      <c r="D6" s="112" t="s">
        <v>1092</v>
      </c>
      <c r="E6" s="101" t="str">
        <f>Total!E1016</f>
        <v>Obra Civil</v>
      </c>
      <c r="F6" s="96" t="str">
        <f>Total!F1016</f>
        <v>Projectes</v>
      </c>
      <c r="G6" s="112" t="str">
        <f>Total!G1016</f>
        <v>EV. E1-TX-16218</v>
      </c>
      <c r="H6" s="112" t="str">
        <f>Total!H1016</f>
        <v>Redacció de l'estudi d'avaluació i orientació estratègica dels serveis regionals i de rodalia del Camp de Tarragona i de Girona de Rodalies de Catalunya.</v>
      </c>
      <c r="I6" s="157">
        <f>Total!I1016</f>
        <v>60000</v>
      </c>
    </row>
    <row r="7" spans="1:9" x14ac:dyDescent="0.2">
      <c r="A7" s="8">
        <v>6</v>
      </c>
      <c r="B7" s="101">
        <f>Total!B1017</f>
        <v>42558</v>
      </c>
      <c r="C7" s="101">
        <f>Total!C1017</f>
        <v>42611</v>
      </c>
      <c r="D7" s="112" t="s">
        <v>1092</v>
      </c>
      <c r="E7" s="101" t="str">
        <f>Total!E1017</f>
        <v>Obra Civil</v>
      </c>
      <c r="F7" s="96" t="str">
        <f>Total!F1017</f>
        <v>Projectes</v>
      </c>
      <c r="G7" s="112" t="str">
        <f>Total!G1017</f>
        <v>EV. E1-TX-14294</v>
      </c>
      <c r="H7" s="112" t="str">
        <f>Total!H1017</f>
        <v>Redacció de l'estudi d'aplicació pràctica de la proposta de normes tècniques sobre segureat contra incendis a la xarxa ferroviària soterrada de Catalunya.</v>
      </c>
      <c r="I7" s="157">
        <f>Total!I1017</f>
        <v>75000</v>
      </c>
    </row>
    <row r="8" spans="1:9" x14ac:dyDescent="0.2">
      <c r="A8" s="8">
        <v>7</v>
      </c>
      <c r="B8" s="101">
        <f>Total!B1018</f>
        <v>42558</v>
      </c>
      <c r="C8" s="101">
        <f>Total!C1018</f>
        <v>42578</v>
      </c>
      <c r="D8" s="112" t="s">
        <v>1092</v>
      </c>
      <c r="E8" s="101" t="str">
        <f>Total!E1018</f>
        <v>Edificació</v>
      </c>
      <c r="F8" s="96" t="str">
        <f>Total!F1018</f>
        <v>Projectes i Direccions d'Obra</v>
      </c>
      <c r="G8" s="112" t="str">
        <f>Total!G1018</f>
        <v>PE+DO. IAA-16230</v>
      </c>
      <c r="H8" s="112" t="str">
        <f>Total!H1018</f>
        <v>Redacció del projecte bàsic i executiu i la posterior direcció d'obra de l'ampliació Escola Gavà Mar a Gavà per a Institut-Escola.</v>
      </c>
      <c r="I8" s="157">
        <f>Total!I1018</f>
        <v>118243</v>
      </c>
    </row>
    <row r="9" spans="1:9" x14ac:dyDescent="0.2">
      <c r="A9" s="8">
        <v>8</v>
      </c>
      <c r="B9" s="101">
        <f>Total!B1019</f>
        <v>42563</v>
      </c>
      <c r="C9" s="101">
        <f>Total!C1019</f>
        <v>42613</v>
      </c>
      <c r="D9" s="112" t="s">
        <v>1092</v>
      </c>
      <c r="E9" s="101" t="str">
        <f>Total!E1019</f>
        <v>Obra Civil</v>
      </c>
      <c r="F9" s="96" t="str">
        <f>Total!F1019</f>
        <v>Projectes</v>
      </c>
      <c r="G9" s="112" t="str">
        <f>Total!G1019</f>
        <v>PB. B-TF-11225</v>
      </c>
      <c r="H9" s="112" t="str">
        <f>Total!H1019</f>
        <v>Redacció del projecte bàsic de perllongament de la línia Llobregat-Anoia dels FGC a Barcelona. Tram: Plaça Espanya-Gràcia.</v>
      </c>
      <c r="I9" s="157">
        <f>Total!I1019</f>
        <v>1631200</v>
      </c>
    </row>
    <row r="10" spans="1:9" x14ac:dyDescent="0.2">
      <c r="A10" s="8">
        <v>9</v>
      </c>
      <c r="B10" s="101">
        <f>Total!B1020</f>
        <v>42563</v>
      </c>
      <c r="C10" s="101">
        <f>Total!C1020</f>
        <v>42613</v>
      </c>
      <c r="D10" s="112" t="s">
        <v>1092</v>
      </c>
      <c r="E10" s="101" t="str">
        <f>Total!E1020</f>
        <v>Edificació</v>
      </c>
      <c r="F10" s="96" t="str">
        <f>Total!F1020</f>
        <v>Direccions d'Execució</v>
      </c>
      <c r="G10" s="112" t="str">
        <f>Total!G1020</f>
        <v>DE. HVB-15345 + HVB-16220</v>
      </c>
      <c r="H10" s="112" t="str">
        <f>Total!H1020</f>
        <v>Serveis per a la verificació de l'assegurament de la qualitat dels projectes executius i direcció d'execució de les obres "Ampliació i reforma de l'Hospital de Viladecans. i Instal·lacions de la reforma i ampliació de l'Hospital de Viladecans".</v>
      </c>
      <c r="I10" s="157">
        <f>Total!I1020</f>
        <v>707400</v>
      </c>
    </row>
    <row r="11" spans="1:9" x14ac:dyDescent="0.2">
      <c r="A11" s="8">
        <v>10</v>
      </c>
      <c r="B11" s="101">
        <f>Total!B1021</f>
        <v>42569</v>
      </c>
      <c r="C11" s="101">
        <f>Total!C1021</f>
        <v>42618</v>
      </c>
      <c r="D11" s="112" t="s">
        <v>1092</v>
      </c>
      <c r="E11" s="101" t="str">
        <f>Total!E1021</f>
        <v>Edificació</v>
      </c>
      <c r="F11" s="96" t="str">
        <f>Total!F1021</f>
        <v>Projectes i Direccions d'Obra</v>
      </c>
      <c r="G11" s="112" t="str">
        <f>Total!G1021</f>
        <v>PE+DO.JVX-14209.A</v>
      </c>
      <c r="H11" s="112" t="str">
        <f>Total!H1021</f>
        <v>Serveis per l'Assistència Tècnica per a la redacció del projecte bàsic i executiu i la posterior direcció d'obra de l'adequació del projecte de les obres RAM per a la substitució de les cobertes al Centre Penitenciari de Quatre Camins.</v>
      </c>
      <c r="I11" s="157">
        <f>Total!I1021</f>
        <v>334252</v>
      </c>
    </row>
    <row r="12" spans="1:9" x14ac:dyDescent="0.2">
      <c r="A12" s="8">
        <v>11</v>
      </c>
      <c r="B12" s="101">
        <f>Total!B1022</f>
        <v>42569</v>
      </c>
      <c r="C12" s="101">
        <f>Total!C1022</f>
        <v>42618</v>
      </c>
      <c r="D12" s="112" t="s">
        <v>1092</v>
      </c>
      <c r="E12" s="101" t="str">
        <f>Total!E1022</f>
        <v>Obra Civil</v>
      </c>
      <c r="F12" s="96" t="str">
        <f>Total!F1022</f>
        <v>Projectes</v>
      </c>
      <c r="G12" s="112" t="str">
        <f>Total!G1022</f>
        <v>PC. RB-16014</v>
      </c>
      <c r="H12" s="112" t="str">
        <f>Total!H1022</f>
        <v>Redacció del projecte constructiu de ferm. Reforçament de ferm i obres complementàries a la carretera C-31 del pk 208,570 al 215,779. Tram: Sant Adrià de Besòs-Montgat.</v>
      </c>
      <c r="I12" s="157">
        <f>Total!I1022</f>
        <v>114900</v>
      </c>
    </row>
    <row r="13" spans="1:9" x14ac:dyDescent="0.2">
      <c r="A13" s="8">
        <v>12</v>
      </c>
      <c r="B13" s="101">
        <f>Total!B1023</f>
        <v>42569</v>
      </c>
      <c r="C13" s="101">
        <f>Total!C1023</f>
        <v>42618</v>
      </c>
      <c r="D13" s="112" t="s">
        <v>1092</v>
      </c>
      <c r="E13" s="101" t="str">
        <f>Total!E1023</f>
        <v>Obra Civil</v>
      </c>
      <c r="F13" s="96" t="str">
        <f>Total!F1023</f>
        <v>Projectes</v>
      </c>
      <c r="G13" s="112" t="str">
        <f>Total!G1023</f>
        <v>EV. EP-TX-16224</v>
      </c>
      <c r="H13" s="112" t="str">
        <f>Total!H1023</f>
        <v>Redacció de l'estudi previ del nou tren-tramvia del Camp de Tarragona. Tram: Cambrils-Salou-Port Aventura-Tarragona.</v>
      </c>
      <c r="I13" s="157">
        <f>Total!I1023</f>
        <v>159329</v>
      </c>
    </row>
    <row r="14" spans="1:9" x14ac:dyDescent="0.2">
      <c r="A14" s="8">
        <v>13</v>
      </c>
      <c r="B14" s="101">
        <f>Total!B1024</f>
        <v>42570</v>
      </c>
      <c r="C14" s="101">
        <f>Total!C1024</f>
        <v>42621</v>
      </c>
      <c r="D14" s="112" t="s">
        <v>1092</v>
      </c>
      <c r="E14" s="101" t="str">
        <f>Total!E1024</f>
        <v>Edificació</v>
      </c>
      <c r="F14" s="96" t="str">
        <f>Total!F1024</f>
        <v>Projectes i Direccions d'Obra</v>
      </c>
      <c r="G14" s="112" t="str">
        <f>Total!G1024</f>
        <v>PE+DO. PAL-16214</v>
      </c>
      <c r="H14" s="112" t="str">
        <f>Total!H1024</f>
        <v>Redacció del projecte bàsic i executiu i la posterior direcció d'obra de l'ampliació de l'Escola Ramon Faus i Esteve 2,5 línies (5 aules), a Guissona.</v>
      </c>
      <c r="I14" s="157">
        <f>Total!I1024</f>
        <v>69625</v>
      </c>
    </row>
    <row r="15" spans="1:9" x14ac:dyDescent="0.2">
      <c r="A15" s="8">
        <v>14</v>
      </c>
      <c r="B15" s="101">
        <f>Total!B1025</f>
        <v>42570</v>
      </c>
      <c r="C15" s="101">
        <f>Total!C1025</f>
        <v>42618</v>
      </c>
      <c r="D15" s="112" t="s">
        <v>1092</v>
      </c>
      <c r="E15" s="101" t="str">
        <f>Total!E1025</f>
        <v>Edificació</v>
      </c>
      <c r="F15" s="96" t="str">
        <f>Total!F1025</f>
        <v>Projectes i Direccions d'Obra</v>
      </c>
      <c r="G15" s="112" t="str">
        <f>Total!G1025</f>
        <v>PE+DO. JVX-16223</v>
      </c>
      <c r="H15" s="112" t="str">
        <f>Total!H1025</f>
        <v>Redacció del projecte executiu i la posterior direcció d'obra de les obres RAM Cobertes i façanes a l'Edifici Judicial de Blanes.</v>
      </c>
      <c r="I15" s="157">
        <f>Total!I1025</f>
        <v>40675</v>
      </c>
    </row>
    <row r="16" spans="1:9" x14ac:dyDescent="0.2">
      <c r="A16" s="8">
        <v>15</v>
      </c>
      <c r="B16" s="101">
        <f>Total!B1026</f>
        <v>42569</v>
      </c>
      <c r="C16" s="101">
        <f>Total!C1026</f>
        <v>42618</v>
      </c>
      <c r="D16" s="112" t="s">
        <v>1092</v>
      </c>
      <c r="E16" s="101" t="str">
        <f>Total!E1026</f>
        <v>Obra Civil</v>
      </c>
      <c r="F16" s="96" t="str">
        <f>Total!F1026</f>
        <v>Projectes</v>
      </c>
      <c r="G16" s="112" t="str">
        <f>Total!G1026</f>
        <v>PC. MB-16016</v>
      </c>
      <c r="H16" s="112" t="str">
        <f>Total!H1026</f>
        <v>Redacció del projecte constructiu de millora local. Ponts i estructures. Pont sobre el riu Llobregat a Cabrianes. Carretera B-430, pk 0,800. Tram: Sallent.</v>
      </c>
      <c r="I16" s="157">
        <f>Total!I1026</f>
        <v>72500</v>
      </c>
    </row>
    <row r="17" spans="1:9" x14ac:dyDescent="0.2">
      <c r="A17" s="8">
        <v>16</v>
      </c>
      <c r="B17" s="101">
        <f>Total!B1027</f>
        <v>42580</v>
      </c>
      <c r="C17" s="101">
        <f>Total!C1027</f>
        <v>42632</v>
      </c>
      <c r="D17" s="112" t="s">
        <v>1092</v>
      </c>
      <c r="E17" s="101" t="str">
        <f>Total!E1027</f>
        <v>Edificació</v>
      </c>
      <c r="F17" s="96" t="str">
        <f>Total!F1027</f>
        <v>Projectes i Direccions d'Obra</v>
      </c>
      <c r="G17" s="112" t="str">
        <f>Total!G1027</f>
        <v>PE+DO.IAG-07283.A</v>
      </c>
      <c r="H17" s="112" t="str">
        <f>Total!H1027</f>
        <v>Redacció del projecte bàsic i executiu i la posterior direcció d'obra de l'ampliació i adequació de l'Institut Josep Brugulat, a Banyoles.</v>
      </c>
      <c r="I17" s="157">
        <f>Total!I1027</f>
        <v>315562</v>
      </c>
    </row>
    <row r="18" spans="1:9" x14ac:dyDescent="0.2">
      <c r="I18" s="126">
        <f>SUM(I2:I17)</f>
        <v>3977367</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I24"/>
  <sheetViews>
    <sheetView workbookViewId="0">
      <selection activeCell="I31" sqref="I31"/>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Total!B990</f>
        <v>42523</v>
      </c>
      <c r="C2" s="101">
        <f>Total!C990</f>
        <v>42541</v>
      </c>
      <c r="D2" s="112" t="s">
        <v>1092</v>
      </c>
      <c r="E2" s="101" t="str">
        <f>Total!E990</f>
        <v>Obra Civil</v>
      </c>
      <c r="F2" s="96" t="str">
        <f>Total!F990</f>
        <v>Control de Qualitat</v>
      </c>
      <c r="G2" s="112" t="str">
        <f>Total!G990</f>
        <v>CQ. TF-02699.A</v>
      </c>
      <c r="H2" s="112" t="str">
        <f>Total!H990</f>
        <v>Assistència tècnica de control de qualitat de les obres del projecte d'eixamplament d'andana direcció Sarrià de l'estació de Provença dels FGC. Projecte Actualitzat.</v>
      </c>
      <c r="I2" s="157">
        <f>Total!I990</f>
        <v>85390.38</v>
      </c>
    </row>
    <row r="3" spans="1:9" x14ac:dyDescent="0.2">
      <c r="A3" s="8">
        <v>2</v>
      </c>
      <c r="B3" s="101">
        <f>Total!B991</f>
        <v>42524</v>
      </c>
      <c r="C3" s="101">
        <f>Total!C991</f>
        <v>42541</v>
      </c>
      <c r="D3" s="112" t="s">
        <v>1092</v>
      </c>
      <c r="E3" s="101" t="str">
        <f>Total!E991</f>
        <v>Obra Civil</v>
      </c>
      <c r="F3" s="96" t="str">
        <f>Total!F991</f>
        <v>Direccions d'obra</v>
      </c>
      <c r="G3" s="112" t="str">
        <f>Total!G991</f>
        <v>CSS. TF-02699.A</v>
      </c>
      <c r="H3" s="112" t="str">
        <f>Total!H991</f>
        <v>Coordinació de seguretat i salut de les obres d'eixamplament d'andana direcció Sarrià de l'estació de Provença dels FGC. Projecte Actualitzat.</v>
      </c>
      <c r="I3" s="157">
        <f>Total!I991</f>
        <v>75000</v>
      </c>
    </row>
    <row r="4" spans="1:9" x14ac:dyDescent="0.2">
      <c r="A4" s="8">
        <v>3</v>
      </c>
      <c r="B4" s="101">
        <f>Total!B992</f>
        <v>42527</v>
      </c>
      <c r="C4" s="101">
        <f>Total!C992</f>
        <v>42543</v>
      </c>
      <c r="D4" s="112" t="s">
        <v>1092</v>
      </c>
      <c r="E4" s="101" t="str">
        <f>Total!E992</f>
        <v>Edificació</v>
      </c>
      <c r="F4" s="96" t="str">
        <f>Total!F992</f>
        <v>Direccions d'execució</v>
      </c>
      <c r="G4" s="112" t="str">
        <f>Total!G992</f>
        <v>DE. HGG-14321</v>
      </c>
      <c r="H4" s="112" t="str">
        <f>Total!H992</f>
        <v>Direcció d'execució de les obres de reforma i ampliació de les urgències de l'Hospital Doctor Josep Trueta, de Girona.</v>
      </c>
      <c r="I4" s="157">
        <f>Total!I992</f>
        <v>103500</v>
      </c>
    </row>
    <row r="5" spans="1:9" x14ac:dyDescent="0.2">
      <c r="A5" s="8">
        <v>4</v>
      </c>
      <c r="B5" s="101">
        <f>Total!B993</f>
        <v>42527</v>
      </c>
      <c r="C5" s="101">
        <f>Total!C993</f>
        <v>42543</v>
      </c>
      <c r="D5" s="112" t="s">
        <v>1092</v>
      </c>
      <c r="E5" s="101" t="str">
        <f>Total!E993</f>
        <v>Edificació</v>
      </c>
      <c r="F5" s="96" t="str">
        <f>Total!F993</f>
        <v>Direccions d'execució</v>
      </c>
      <c r="G5" s="112" t="str">
        <f>Total!G993</f>
        <v>DE. PAM-12048</v>
      </c>
      <c r="H5" s="112" t="str">
        <f>Total!H993</f>
        <v>Direcció d'execució de les obres d'adequació de la fàbrica Llobet Guri per a l'Escola infantil i primària 2 línies Doctor Carles Salicrú de Calella.</v>
      </c>
      <c r="I5" s="157">
        <f>Total!I993</f>
        <v>102805.59</v>
      </c>
    </row>
    <row r="6" spans="1:9" x14ac:dyDescent="0.2">
      <c r="A6" s="8">
        <v>5</v>
      </c>
      <c r="B6" s="101">
        <f>Total!B994</f>
        <v>42527</v>
      </c>
      <c r="C6" s="101">
        <f>Total!C994</f>
        <v>42543</v>
      </c>
      <c r="D6" s="112" t="s">
        <v>1092</v>
      </c>
      <c r="E6" s="101" t="str">
        <f>Total!E994</f>
        <v>Edificació</v>
      </c>
      <c r="F6" s="96" t="str">
        <f>Total!F994</f>
        <v>Direccions d'execució</v>
      </c>
      <c r="G6" s="112" t="str">
        <f>Total!G994</f>
        <v>CSS. HGG-14321</v>
      </c>
      <c r="H6" s="112" t="str">
        <f>Total!H994</f>
        <v>Coordinació de seguretat i salut de les obres de reforma i ampliació de les urgències de l'Hospital Doctor Josep Trueta, de Girona.</v>
      </c>
      <c r="I6" s="157">
        <f>Total!I994</f>
        <v>25900</v>
      </c>
    </row>
    <row r="7" spans="1:9" x14ac:dyDescent="0.2">
      <c r="A7" s="8">
        <v>6</v>
      </c>
      <c r="B7" s="101">
        <f>Total!B995</f>
        <v>42527</v>
      </c>
      <c r="C7" s="101">
        <f>Total!C995</f>
        <v>42543</v>
      </c>
      <c r="D7" s="112" t="s">
        <v>1092</v>
      </c>
      <c r="E7" s="101" t="str">
        <f>Total!E995</f>
        <v>Edificació</v>
      </c>
      <c r="F7" s="96" t="str">
        <f>Total!F995</f>
        <v>Direccions d'execució</v>
      </c>
      <c r="G7" s="112" t="str">
        <f>Total!G995</f>
        <v>CSS. PAM-12048</v>
      </c>
      <c r="H7" s="112" t="str">
        <f>Total!H995</f>
        <v>Coordinació de seguretat i salut de les obres d'adequació de la fàbrica Llobet Guri per a l'Escola infantil i primària 2 línies Doctor Carles Salicrú de Calella.</v>
      </c>
      <c r="I7" s="157">
        <f>Total!I995</f>
        <v>20561.12</v>
      </c>
    </row>
    <row r="8" spans="1:9" x14ac:dyDescent="0.2">
      <c r="A8" s="8">
        <v>7</v>
      </c>
      <c r="B8" s="101">
        <f>Total!B996</f>
        <v>42527</v>
      </c>
      <c r="C8" s="101">
        <f>Total!C996</f>
        <v>42543</v>
      </c>
      <c r="D8" s="112" t="s">
        <v>1092</v>
      </c>
      <c r="E8" s="101" t="str">
        <f>Total!E996</f>
        <v>Obra Civil</v>
      </c>
      <c r="F8" s="96" t="str">
        <f>Total!F996</f>
        <v>Direccions d'obra</v>
      </c>
      <c r="G8" s="112" t="str">
        <f>Total!G996</f>
        <v>IN. TF-02699.A</v>
      </c>
      <c r="H8" s="112" t="str">
        <f>Total!H996</f>
        <v>Inspecció prèvia d'edificis i estructures a les obres d'eixamplament d'andana direcció Sarrià de l'estació de Provença dels FGC. Projecte actualitzat.</v>
      </c>
      <c r="I8" s="157">
        <f>Total!I996</f>
        <v>42740</v>
      </c>
    </row>
    <row r="9" spans="1:9" x14ac:dyDescent="0.2">
      <c r="A9" s="8">
        <v>8</v>
      </c>
      <c r="B9" s="101">
        <f>Total!B997</f>
        <v>42527</v>
      </c>
      <c r="C9" s="101">
        <f>Total!C997</f>
        <v>42543</v>
      </c>
      <c r="D9" s="112" t="s">
        <v>1092</v>
      </c>
      <c r="E9" s="101" t="str">
        <f>Total!E997</f>
        <v>Edificació</v>
      </c>
      <c r="F9" s="96" t="str">
        <f>Total!F997</f>
        <v>Control de Qualitat</v>
      </c>
      <c r="G9" s="112" t="str">
        <f>Total!G997</f>
        <v>CQ. HGG-14321</v>
      </c>
      <c r="H9" s="112" t="str">
        <f>Total!H997</f>
        <v>Control de qualitat de les obres de reforma i ampliació de les urgències de l'Hospital Doctor Josep Trueta, de Girona.</v>
      </c>
      <c r="I9" s="157">
        <f>Total!I997</f>
        <v>45441.91</v>
      </c>
    </row>
    <row r="10" spans="1:9" x14ac:dyDescent="0.2">
      <c r="A10" s="8">
        <v>9</v>
      </c>
      <c r="B10" s="101">
        <f>Total!B998</f>
        <v>42527</v>
      </c>
      <c r="C10" s="101">
        <f>Total!C998</f>
        <v>42543</v>
      </c>
      <c r="D10" s="112" t="s">
        <v>1092</v>
      </c>
      <c r="E10" s="101" t="str">
        <f>Total!E998</f>
        <v>Edificació</v>
      </c>
      <c r="F10" s="96" t="str">
        <f>Total!F998</f>
        <v>Control de Qualitat</v>
      </c>
      <c r="G10" s="112" t="str">
        <f>Total!G998</f>
        <v>CQ. PAM-12048</v>
      </c>
      <c r="H10" s="112" t="str">
        <f>Total!H998</f>
        <v>Control de qualitat de les obres d'adequació de la fàbrica Llobet Guri per a l'Escola infantil i primària 2 línies Doctor Carles Salicrú de Calella.</v>
      </c>
      <c r="I10" s="157">
        <f>Total!I998</f>
        <v>36238.339999999997</v>
      </c>
    </row>
    <row r="11" spans="1:9" x14ac:dyDescent="0.2">
      <c r="A11" s="8">
        <v>10</v>
      </c>
      <c r="B11" s="101">
        <f>Total!B999</f>
        <v>42528</v>
      </c>
      <c r="C11" s="101">
        <f>Total!C999</f>
        <v>42543</v>
      </c>
      <c r="D11" s="112" t="s">
        <v>1092</v>
      </c>
      <c r="E11" s="101" t="str">
        <f>Total!E999</f>
        <v>Obra Civil</v>
      </c>
      <c r="F11" s="96" t="str">
        <f>Total!F999</f>
        <v>Direccions d'obra</v>
      </c>
      <c r="G11" s="112" t="str">
        <f>Total!G999</f>
        <v>DO. MB-06015.F3</v>
      </c>
      <c r="H11" s="112" t="str">
        <f>Total!H999</f>
        <v>Direcció de les obres de millora local. Túnels. Millora de la seguretat dels túnels de Parpers. Ctra. C-60. pk 5,740 al 7,750. Fase 3. Tram: Argentona-La Roca del Vallès.</v>
      </c>
      <c r="I11" s="157">
        <f>Total!I999</f>
        <v>21966.67</v>
      </c>
    </row>
    <row r="12" spans="1:9" x14ac:dyDescent="0.2">
      <c r="A12" s="8">
        <v>11</v>
      </c>
      <c r="B12" s="101">
        <f>Total!B1000</f>
        <v>42528</v>
      </c>
      <c r="C12" s="101">
        <f>Total!C1000</f>
        <v>42548</v>
      </c>
      <c r="D12" s="112" t="s">
        <v>1092</v>
      </c>
      <c r="E12" s="101" t="str">
        <f>Total!E1000</f>
        <v>Obra Civil</v>
      </c>
      <c r="F12" s="96" t="str">
        <f>Total!F1000</f>
        <v>Direccions d'obra</v>
      </c>
      <c r="G12" s="112" t="str">
        <f>Total!G1000</f>
        <v>ATAM. TF-02699.A</v>
      </c>
      <c r="H12" s="112" t="str">
        <f>Total!H1000</f>
        <v>Assistència tècnica ambeintal de les obres d'eixamplament d'andan direcció Sarrià de l'estació Provença dels FGC. Projecte actualitzat.</v>
      </c>
      <c r="I12" s="157">
        <f>Total!I1000</f>
        <v>30360</v>
      </c>
    </row>
    <row r="13" spans="1:9" x14ac:dyDescent="0.2">
      <c r="A13" s="8">
        <v>12</v>
      </c>
      <c r="B13" s="101">
        <f>Total!B1001</f>
        <v>42529</v>
      </c>
      <c r="C13" s="101">
        <f>Total!C1001</f>
        <v>42548</v>
      </c>
      <c r="D13" s="112" t="s">
        <v>1092</v>
      </c>
      <c r="E13" s="101" t="str">
        <f>Total!E1001</f>
        <v>Obra Civil</v>
      </c>
      <c r="F13" s="96" t="str">
        <f>Total!F1001</f>
        <v>Projectes</v>
      </c>
      <c r="G13" s="112" t="str">
        <f>Total!G1001</f>
        <v>PC. ML-15043</v>
      </c>
      <c r="H13" s="112" t="str">
        <f>Total!H1001</f>
        <v>Redacció del projecte constructiu de millora local. Millora de nus. Ordenació de cruilla a la carretera C-12, pk 147,710. Tram: Corbins.</v>
      </c>
      <c r="I13" s="157">
        <f>Total!I1001</f>
        <v>29400</v>
      </c>
    </row>
    <row r="14" spans="1:9" x14ac:dyDescent="0.2">
      <c r="A14" s="8">
        <v>13</v>
      </c>
      <c r="B14" s="101">
        <f>Total!B1002</f>
        <v>42529</v>
      </c>
      <c r="C14" s="101">
        <f>Total!C1002</f>
        <v>42548</v>
      </c>
      <c r="D14" s="112" t="s">
        <v>1092</v>
      </c>
      <c r="E14" s="101" t="str">
        <f>Total!E1002</f>
        <v>Obra Civil</v>
      </c>
      <c r="F14" s="96" t="str">
        <f>Total!F1002</f>
        <v>Projectes</v>
      </c>
      <c r="G14" s="112" t="str">
        <f>Total!G1002</f>
        <v>EI. EI-MG-16008</v>
      </c>
      <c r="H14" s="112" t="str">
        <f>Total!H1002</f>
        <v>Redacció de l'estudi informatiu de millora local. Millora de nus. Ordenació d'accessos a la carretera C-65, del pk 23,270 al pk 24,150. Tram: Llambilles.</v>
      </c>
      <c r="I14" s="157">
        <f>Total!I1002</f>
        <v>30950</v>
      </c>
    </row>
    <row r="15" spans="1:9" x14ac:dyDescent="0.2">
      <c r="A15" s="8">
        <v>14</v>
      </c>
      <c r="B15" s="101">
        <f>Total!B1003</f>
        <v>42529</v>
      </c>
      <c r="C15" s="101">
        <f>Total!C1003</f>
        <v>42548</v>
      </c>
      <c r="D15" s="112" t="s">
        <v>1092</v>
      </c>
      <c r="E15" s="101" t="str">
        <f>Total!E1003</f>
        <v>Obra Civil</v>
      </c>
      <c r="F15" s="96" t="str">
        <f>Total!F1003</f>
        <v>Projectes</v>
      </c>
      <c r="G15" s="112" t="str">
        <f>Total!G1003</f>
        <v>PC. XB-16010</v>
      </c>
      <c r="H15" s="112" t="str">
        <f>Total!H1003</f>
        <v>Redacció del projecte constructiu de millora local. Via verda a la ctra. BV-4501, del pk 2,470 (parc de l'Agulla) al pk 5,960. Tram: Manresa-Santpedor.</v>
      </c>
      <c r="I15" s="157">
        <f>Total!I1003</f>
        <v>33250</v>
      </c>
    </row>
    <row r="16" spans="1:9" x14ac:dyDescent="0.2">
      <c r="A16" s="8">
        <v>15</v>
      </c>
      <c r="B16" s="101">
        <f>Total!B1004</f>
        <v>42529</v>
      </c>
      <c r="C16" s="101">
        <f>Total!C1004</f>
        <v>42548</v>
      </c>
      <c r="D16" s="112" t="s">
        <v>1092</v>
      </c>
      <c r="E16" s="101" t="str">
        <f>Total!E1004</f>
        <v>Obra Civil</v>
      </c>
      <c r="F16" s="96" t="str">
        <f>Total!F1004</f>
        <v>Projectes</v>
      </c>
      <c r="G16" s="112" t="str">
        <f>Total!G1004</f>
        <v>PC. ME-16009</v>
      </c>
      <c r="H16" s="112" t="str">
        <f>Total!H1004</f>
        <v>Redacció del projecte constructiu de millora local. Millora de nus. Millora de la intersecció de la carretera TV-3454, al pk 13,685 amb la carretera TV-3451. Tram: Deltebre.</v>
      </c>
      <c r="I16" s="157">
        <f>Total!I1004</f>
        <v>37200</v>
      </c>
    </row>
    <row r="17" spans="1:9" x14ac:dyDescent="0.2">
      <c r="A17" s="8">
        <v>16</v>
      </c>
      <c r="B17" s="101">
        <f>Total!B1005</f>
        <v>42534</v>
      </c>
      <c r="C17" s="101">
        <f>Total!C1005</f>
        <v>42550</v>
      </c>
      <c r="D17" s="112" t="s">
        <v>1092</v>
      </c>
      <c r="E17" s="101" t="str">
        <f>Total!E1005</f>
        <v>Obra Civil</v>
      </c>
      <c r="F17" s="96" t="str">
        <f>Total!F1005</f>
        <v>Direccions d'Obra</v>
      </c>
      <c r="G17" s="112" t="str">
        <f>Total!G1005</f>
        <v>DO. TF-02676.2-C2+1</v>
      </c>
      <c r="H17" s="112" t="str">
        <f>Total!H1005</f>
        <v>Direcció conjunta de les obres del projecte complementari núm. 2 del perllongament de la línia d'FGC a Sabadell. Infraestructura. Urbanització. Tram: Inici soterrament-Sabadell Estació i de l'execució de les obres de nova estació autobusos Mollerussa</v>
      </c>
      <c r="I17" s="157">
        <f>Total!I1005</f>
        <v>74083.33</v>
      </c>
    </row>
    <row r="18" spans="1:9" x14ac:dyDescent="0.2">
      <c r="A18" s="8">
        <v>17</v>
      </c>
      <c r="B18" s="101">
        <f>Total!B1006</f>
        <v>42536</v>
      </c>
      <c r="C18" s="101">
        <f>Total!C1006</f>
        <v>42555</v>
      </c>
      <c r="D18" s="112" t="s">
        <v>1092</v>
      </c>
      <c r="E18" s="101" t="str">
        <f>Total!E1006</f>
        <v>Obra Civil</v>
      </c>
      <c r="F18" s="96" t="str">
        <f>Total!F1006</f>
        <v>Projectes</v>
      </c>
      <c r="G18" s="112" t="str">
        <f>Total!G1006</f>
        <v>PC. MA-16901</v>
      </c>
      <c r="H18" s="112" t="str">
        <f>Total!H1006</f>
        <v>Redacció del projecte de recuperació dels sistemes naturals de l'àmbit fluvial del riu Corb i del Reguer. Mesures correctores i compensatòries del sistema Segarra-Garrigues.</v>
      </c>
      <c r="I18" s="157">
        <f>Total!I1006</f>
        <v>30000</v>
      </c>
    </row>
    <row r="19" spans="1:9" x14ac:dyDescent="0.2">
      <c r="A19" s="8">
        <v>18</v>
      </c>
      <c r="B19" s="101">
        <f>Total!B1007</f>
        <v>42536</v>
      </c>
      <c r="C19" s="101">
        <f>Total!C1007</f>
        <v>42555</v>
      </c>
      <c r="D19" s="112" t="s">
        <v>1092</v>
      </c>
      <c r="E19" s="101" t="str">
        <f>Total!E1007</f>
        <v>Obra Civil</v>
      </c>
      <c r="F19" s="96" t="str">
        <f>Total!F1007</f>
        <v>Projectes</v>
      </c>
      <c r="G19" s="112" t="str">
        <f>Total!G1007</f>
        <v>IA. IA-TX-14314</v>
      </c>
      <c r="H19" s="112" t="str">
        <f>Total!H1007</f>
        <v>Redacció de l'estudi d'impacte ambiental de la nova estació Reus-Ballissens.</v>
      </c>
      <c r="I19" s="157">
        <f>Total!I1007</f>
        <v>33050</v>
      </c>
    </row>
    <row r="20" spans="1:9" x14ac:dyDescent="0.2">
      <c r="A20" s="8">
        <v>19</v>
      </c>
      <c r="B20" s="101">
        <f>Total!B1008</f>
        <v>42544</v>
      </c>
      <c r="C20" s="101">
        <f>Total!C1008</f>
        <v>42562</v>
      </c>
      <c r="D20" s="112" t="s">
        <v>1092</v>
      </c>
      <c r="E20" s="101" t="str">
        <f>Total!E1008</f>
        <v>Obra Civil</v>
      </c>
      <c r="F20" s="96" t="str">
        <f>Total!F1008</f>
        <v>Projectes</v>
      </c>
      <c r="G20" s="112" t="str">
        <f>Total!G1008</f>
        <v>EV. EA-TM-16202</v>
      </c>
      <c r="H20" s="112" t="str">
        <f>Total!H1008</f>
        <v>Redacció de l'estudi d'alternatives per a la millora de les condicions d'accessibilitat i evacuació dels intercanviadors de Sants-Estació (L3-L5 FMB/Rodalies-Llarga Distancia de Renfe), Passeig de Gràcia (L2, L3 i L4 FMB/ Rodalies-Llarga D. Renfe….</v>
      </c>
      <c r="I20" s="157">
        <f>Total!I1008</f>
        <v>65600</v>
      </c>
    </row>
    <row r="21" spans="1:9" x14ac:dyDescent="0.2">
      <c r="A21" s="8">
        <v>20</v>
      </c>
      <c r="B21" s="101">
        <f>Total!B1009</f>
        <v>42549</v>
      </c>
      <c r="C21" s="101">
        <f>Total!C1009</f>
        <v>42564</v>
      </c>
      <c r="D21" s="112" t="s">
        <v>1092</v>
      </c>
      <c r="E21" s="101" t="str">
        <f>Total!E1009</f>
        <v>Edificació</v>
      </c>
      <c r="F21" s="96" t="str">
        <f>Total!F1009</f>
        <v>Direccions d'Execució</v>
      </c>
      <c r="G21" s="112" t="str">
        <f>Total!G1009</f>
        <v>CSS. JVV-08495</v>
      </c>
      <c r="H21" s="112" t="str">
        <f>Total!H1009</f>
        <v>Assistència tècnica de coordinació de seguretat i salut de l'obra d'enderroc de l'Edifici Judicial i projete d'intervenció arqueològica a l'edifici situat al passeig Lluis Companys, s/n de Barcelona.</v>
      </c>
      <c r="I21" s="157">
        <f>Total!I1009</f>
        <v>23200</v>
      </c>
    </row>
    <row r="22" spans="1:9" x14ac:dyDescent="0.2">
      <c r="A22" s="8">
        <v>21</v>
      </c>
      <c r="B22" s="101">
        <f>Total!B1010</f>
        <v>42550</v>
      </c>
      <c r="C22" s="101">
        <f>Total!C1010</f>
        <v>42569</v>
      </c>
      <c r="D22" s="112" t="s">
        <v>1092</v>
      </c>
      <c r="E22" s="101" t="str">
        <f>Total!E1010</f>
        <v>Obra Civil</v>
      </c>
      <c r="F22" s="96" t="str">
        <f>Total!F1010</f>
        <v>Projectes</v>
      </c>
      <c r="G22" s="112" t="str">
        <f>Total!G1010</f>
        <v>PC. XB-14019</v>
      </c>
      <c r="H22" s="112" t="str">
        <f>Total!H1010</f>
        <v>Redacció del projecte contructiu de millora general. Prolongació de l'avinguda Païssos Catalans entre la carretera de Viladordis i la plaça Prat de la Riba. Tram: Manresa.</v>
      </c>
      <c r="I22" s="157">
        <f>Total!I1010</f>
        <v>91500</v>
      </c>
    </row>
    <row r="23" spans="1:9" x14ac:dyDescent="0.2">
      <c r="A23" s="8">
        <v>22</v>
      </c>
      <c r="B23" s="101">
        <f>Total!B1011</f>
        <v>42550</v>
      </c>
      <c r="C23" s="101">
        <f>Total!C1011</f>
        <v>42569</v>
      </c>
      <c r="D23" s="112" t="s">
        <v>1092</v>
      </c>
      <c r="E23" s="101" t="str">
        <f>Total!E1011</f>
        <v>Obra Civil</v>
      </c>
      <c r="F23" s="96" t="str">
        <f>Total!F1011</f>
        <v>Projectes</v>
      </c>
      <c r="G23" s="112" t="str">
        <f>Total!G1011</f>
        <v>PC. TF-02676.11</v>
      </c>
      <c r="H23" s="112" t="str">
        <f>Total!H1011</f>
        <v>Redacció del projecte contructiu de condicionament del túnel i estacions entre Sabadell Estació (provisional) i Sabadell Rambla.</v>
      </c>
      <c r="I23" s="157">
        <f>Total!I1011</f>
        <v>25500</v>
      </c>
    </row>
    <row r="24" spans="1:9" x14ac:dyDescent="0.2">
      <c r="I24" s="126">
        <f>SUM(I2:I23)</f>
        <v>1063637.3399999999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I8"/>
  <sheetViews>
    <sheetView workbookViewId="0">
      <selection activeCell="I8" sqref="I8"/>
    </sheetView>
  </sheetViews>
  <sheetFormatPr baseColWidth="10" defaultRowHeight="12.75" x14ac:dyDescent="0.2"/>
  <cols>
    <col min="1" max="1" width="5.140625" customWidth="1"/>
    <col min="4" max="4" width="17" bestFit="1" customWidth="1"/>
    <col min="6" max="6" width="15.140625" bestFit="1" customWidth="1"/>
    <col min="7" max="7" width="15.85546875" customWidth="1"/>
    <col min="8" max="8" width="65.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Total!B984</f>
        <v>42507</v>
      </c>
      <c r="C2" s="101">
        <f>Total!C984</f>
        <v>42515</v>
      </c>
      <c r="D2" s="112" t="s">
        <v>1092</v>
      </c>
      <c r="E2" s="101" t="str">
        <f>Total!E984</f>
        <v>Edificació</v>
      </c>
      <c r="F2" s="96" t="str">
        <f>Total!F984</f>
        <v>Control de Qualitat</v>
      </c>
      <c r="G2" s="112" t="str">
        <f>Total!G984</f>
        <v>CQ. RAM-16900</v>
      </c>
      <c r="H2" s="112" t="str">
        <f>Total!H984</f>
        <v>Serveis per a l'assistència tècnica de control de qualitat de les obres RAM 2016. 4 lots.</v>
      </c>
      <c r="I2" s="157">
        <f>Total!I984</f>
        <v>115047.26</v>
      </c>
    </row>
    <row r="3" spans="1:9" x14ac:dyDescent="0.2">
      <c r="A3" s="8">
        <v>2</v>
      </c>
      <c r="B3" s="101">
        <f>Total!B985</f>
        <v>42513</v>
      </c>
      <c r="C3" s="101">
        <f>Total!C985</f>
        <v>42562</v>
      </c>
      <c r="D3" s="112" t="s">
        <v>1092</v>
      </c>
      <c r="E3" s="101" t="str">
        <f>Total!E985</f>
        <v>Obra Civil</v>
      </c>
      <c r="F3" s="96" t="str">
        <f>Total!F985</f>
        <v>Projectes</v>
      </c>
      <c r="G3" s="112" t="str">
        <f>Total!G985</f>
        <v>EI. -TX-14314 i TX-14314</v>
      </c>
      <c r="H3" s="112" t="str">
        <f>Total!H985</f>
        <v>Assistència tècnica per a la redacció de l'estudi informatiu i del projecte constructiu de la nova estació Reus-Bellissens.</v>
      </c>
      <c r="I3" s="157">
        <f>Total!I985</f>
        <v>360500</v>
      </c>
    </row>
    <row r="4" spans="1:9" x14ac:dyDescent="0.2">
      <c r="A4" s="8">
        <v>3</v>
      </c>
      <c r="B4" s="101">
        <f>Total!B986</f>
        <v>42513</v>
      </c>
      <c r="C4" s="101">
        <f>Total!C986</f>
        <v>42562</v>
      </c>
      <c r="D4" s="112" t="s">
        <v>1092</v>
      </c>
      <c r="E4" s="101" t="str">
        <f>Total!E986</f>
        <v>Obra Civil</v>
      </c>
      <c r="F4" s="96" t="str">
        <f>Total!F986</f>
        <v>Projectes</v>
      </c>
      <c r="G4" s="112" t="str">
        <f>Total!G986</f>
        <v>PC. AB-14009.F3</v>
      </c>
      <c r="H4" s="112" t="str">
        <f>Total!H986</f>
        <v>Redacció del projecte constructiu de millora general. Condicionament. Ampliació de la calçada lateral sentit Terrassa a l'autopista C-58, del pk 14,500 al pk 18,800. Tram: Sabadell-Terrassa.</v>
      </c>
      <c r="I4" s="157">
        <f>Total!I986</f>
        <v>285240</v>
      </c>
    </row>
    <row r="5" spans="1:9" x14ac:dyDescent="0.2">
      <c r="A5" s="8">
        <v>4</v>
      </c>
      <c r="B5" s="101">
        <f>Total!B987</f>
        <v>42514</v>
      </c>
      <c r="C5" s="101">
        <f>Total!C987</f>
        <v>42550</v>
      </c>
      <c r="D5" s="112" t="s">
        <v>1092</v>
      </c>
      <c r="E5" s="101" t="str">
        <f>Total!E987</f>
        <v>Obra Civil</v>
      </c>
      <c r="F5" s="96" t="str">
        <f>Total!F987</f>
        <v>Projectes</v>
      </c>
      <c r="G5" s="112" t="str">
        <f>Total!G987</f>
        <v>AR-NB-07078.1.F1</v>
      </c>
      <c r="H5" s="112" t="str">
        <f>Total!H987</f>
        <v>Assistència tècnica per a la redacció de l'estudi arqueològic. Millora general. Nova carretera. Millora de l'accessibilitat a la vialitat urbana de Badalona. Calçada lateral a la C-31 sentit Barcelona, del pk 212,650 al 213,800. Fase 1 (trams 2 i 3).</v>
      </c>
      <c r="I5" s="157">
        <f>Total!I987</f>
        <v>270000</v>
      </c>
    </row>
    <row r="6" spans="1:9" x14ac:dyDescent="0.2">
      <c r="A6" s="8">
        <v>5</v>
      </c>
      <c r="B6" s="101">
        <f>Total!B988</f>
        <v>42517</v>
      </c>
      <c r="C6" s="101">
        <f>Total!C988</f>
        <v>42527</v>
      </c>
      <c r="D6" s="112" t="s">
        <v>1092</v>
      </c>
      <c r="E6" s="101" t="str">
        <f>Total!E988</f>
        <v>Edificació</v>
      </c>
      <c r="F6" s="96" t="str">
        <f>Total!F988</f>
        <v>Direccions d'Execució</v>
      </c>
      <c r="G6" s="112" t="str">
        <f>Total!G988</f>
        <v>DE. GET-14308.3</v>
      </c>
      <c r="H6" s="112" t="str">
        <f>Total!H988</f>
        <v>Direcció d'execució de les obres de Nova construcció del Pavelló Poliesportiu a la zona esportiva de Camp Clar a Tarragona. Instal·lacions.</v>
      </c>
      <c r="I6" s="157">
        <f>Total!I988</f>
        <v>54500</v>
      </c>
    </row>
    <row r="7" spans="1:9" x14ac:dyDescent="0.2">
      <c r="A7" s="8">
        <v>6</v>
      </c>
      <c r="B7" s="101">
        <f>Total!B989</f>
        <v>42517</v>
      </c>
      <c r="C7" s="101">
        <f>Total!C989</f>
        <v>42527</v>
      </c>
      <c r="D7" s="112" t="s">
        <v>1092</v>
      </c>
      <c r="E7" s="101" t="str">
        <f>Total!E989</f>
        <v>Edificació</v>
      </c>
      <c r="F7" s="96" t="str">
        <f>Total!F989</f>
        <v>Control de Qualitat</v>
      </c>
      <c r="G7" s="112" t="str">
        <f>Total!G989</f>
        <v>CQ. GET-14308.3</v>
      </c>
      <c r="H7" s="112" t="str">
        <f>Total!H989</f>
        <v>Control de qualitat de les obres de Nova construcció del Pavelló Poliesportiu a la zona esportiva de Camp Clar a Tarragona. Instal·lacions.</v>
      </c>
      <c r="I7" s="157">
        <f>Total!I989</f>
        <v>23056.400000000001</v>
      </c>
    </row>
    <row r="8" spans="1:9" x14ac:dyDescent="0.2">
      <c r="I8" s="126">
        <f>SUM(I2:I7)</f>
        <v>1108343.6599999999</v>
      </c>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I13"/>
  <sheetViews>
    <sheetView workbookViewId="0">
      <selection activeCell="I13" sqref="I13"/>
    </sheetView>
  </sheetViews>
  <sheetFormatPr baseColWidth="10" defaultRowHeight="12.75" x14ac:dyDescent="0.2"/>
  <cols>
    <col min="1" max="1" width="6.85546875" customWidth="1"/>
    <col min="4" max="4" width="17" bestFit="1" customWidth="1"/>
    <col min="6" max="6" width="15.140625" bestFit="1" customWidth="1"/>
    <col min="7" max="7" width="17.42578125" bestFit="1" customWidth="1"/>
    <col min="8" max="8" width="62.8554687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Total!B973</f>
        <v>42464</v>
      </c>
      <c r="C2" s="101">
        <f>Total!C973</f>
        <v>42480</v>
      </c>
      <c r="D2" s="112" t="s">
        <v>1092</v>
      </c>
      <c r="E2" s="101" t="str">
        <f>Total!E973</f>
        <v>Obra Civil</v>
      </c>
      <c r="F2" s="96" t="str">
        <f>Total!F973</f>
        <v>Projectes</v>
      </c>
      <c r="G2" s="112" t="str">
        <f>Total!G973</f>
        <v>PC. MG-16007</v>
      </c>
      <c r="H2" s="112" t="str">
        <f>Total!H973</f>
        <v>Redacció del projecte constructiu de millora local. Millora de nus. Rotonada i ordenació d'accessos a la ctra. C-152, pk 44,570 al 45,670. tram: La Vall d'en Bas-Les Presses.</v>
      </c>
      <c r="I2" s="157">
        <f>Total!I973</f>
        <v>29350</v>
      </c>
    </row>
    <row r="3" spans="1:9" x14ac:dyDescent="0.2">
      <c r="A3" s="8">
        <v>2</v>
      </c>
      <c r="B3" s="101">
        <f>Total!B974</f>
        <v>42464</v>
      </c>
      <c r="C3" s="101">
        <f>Total!C974</f>
        <v>42480</v>
      </c>
      <c r="D3" s="112" t="s">
        <v>1092</v>
      </c>
      <c r="E3" s="101" t="str">
        <f>Total!E974</f>
        <v>Obra Civil</v>
      </c>
      <c r="F3" s="96" t="str">
        <f>Total!F974</f>
        <v>Projectes</v>
      </c>
      <c r="G3" s="112" t="str">
        <f>Total!G974</f>
        <v>EV. AE-MB-16003</v>
      </c>
      <c r="H3" s="112" t="str">
        <f>Total!H974</f>
        <v>Redacció de l'estudi d'auditoria de seguretat viària d'actuacions en trams de la xarxa de ctres. de la Generalitat de Catalunya en l'àmbit de les carreteres C-55 i C-58 al Baix Llobregat i Bages, i C-352 al Vallès Oriental.</v>
      </c>
      <c r="I3" s="157">
        <f>Total!I974</f>
        <v>40000</v>
      </c>
    </row>
    <row r="4" spans="1:9" x14ac:dyDescent="0.2">
      <c r="A4" s="8">
        <v>3</v>
      </c>
      <c r="B4" s="101">
        <f>Total!B975</f>
        <v>42467</v>
      </c>
      <c r="C4" s="101">
        <f>Total!C975</f>
        <v>42485</v>
      </c>
      <c r="D4" s="112" t="s">
        <v>1092</v>
      </c>
      <c r="E4" s="101" t="str">
        <f>Total!E975</f>
        <v>Obra Civil</v>
      </c>
      <c r="F4" s="96" t="str">
        <f>Total!F975</f>
        <v>Projectes</v>
      </c>
      <c r="G4" s="112" t="str">
        <f>Total!G975</f>
        <v>EV. AE-MB-15045</v>
      </c>
      <c r="H4" s="112" t="str">
        <f>Total!H975</f>
        <v>Redacció de l'estudi acústic. Anàlisi de l'exposició al soroll induïda pel trànsit de l'autopista C-31, entre el pk 209,500 i el 214,000. Tram: Sant Adrià de Besós-Badalona.</v>
      </c>
      <c r="I4" s="157">
        <f>Total!I975</f>
        <v>36000</v>
      </c>
    </row>
    <row r="5" spans="1:9" x14ac:dyDescent="0.2">
      <c r="A5" s="8">
        <v>4</v>
      </c>
      <c r="B5" s="101">
        <f>Total!B976</f>
        <v>42467</v>
      </c>
      <c r="C5" s="101">
        <f>Total!C976</f>
        <v>42485</v>
      </c>
      <c r="D5" s="112" t="s">
        <v>1092</v>
      </c>
      <c r="E5" s="101" t="str">
        <f>Total!E976</f>
        <v>Obra Civil</v>
      </c>
      <c r="F5" s="96" t="str">
        <f>Total!F976</f>
        <v>Projectes</v>
      </c>
      <c r="G5" s="112" t="str">
        <f>Total!G976</f>
        <v>EV. AE-MB-15047</v>
      </c>
      <c r="H5" s="112" t="str">
        <f>Total!H976</f>
        <v>Redacció de l'estudi acústic. Anàlisi de l'exposició al soroll induïda pel trànsit de les carreteres C-58, C-58cc, C-17 i C-33, a l'entorn de Ciutat Meridiana. Tram: Barcelona.</v>
      </c>
      <c r="I5" s="157">
        <f>Total!I976</f>
        <v>19500</v>
      </c>
    </row>
    <row r="6" spans="1:9" x14ac:dyDescent="0.2">
      <c r="A6" s="8">
        <v>5</v>
      </c>
      <c r="B6" s="101">
        <f>Total!B977</f>
        <v>42468</v>
      </c>
      <c r="C6" s="101">
        <f>Total!C977</f>
        <v>42485</v>
      </c>
      <c r="D6" s="112" t="s">
        <v>1092</v>
      </c>
      <c r="E6" s="101" t="str">
        <f>Total!E977</f>
        <v>Obra Civil</v>
      </c>
      <c r="F6" s="96" t="str">
        <f>Total!F977</f>
        <v>Projectes</v>
      </c>
      <c r="G6" s="112" t="str">
        <f>Total!G977</f>
        <v>PC. MG-15046</v>
      </c>
      <c r="H6" s="112" t="str">
        <f>Total!H977</f>
        <v>Redacció del projecte constructiu de millora local. Apantallament acústic a la carretera C-66, del pk 39,690 al 43,560. Tram: Cornellà de Terri.</v>
      </c>
      <c r="I6" s="157">
        <f>Total!I977</f>
        <v>21200</v>
      </c>
    </row>
    <row r="7" spans="1:9" x14ac:dyDescent="0.2">
      <c r="A7" s="8">
        <v>6</v>
      </c>
      <c r="B7" s="101">
        <f>Total!B978</f>
        <v>42472</v>
      </c>
      <c r="C7" s="101">
        <f>Total!C978</f>
        <v>42487</v>
      </c>
      <c r="D7" s="112" t="s">
        <v>1092</v>
      </c>
      <c r="E7" s="101" t="str">
        <f>Total!E978</f>
        <v>Edificació</v>
      </c>
      <c r="F7" s="96" t="str">
        <f>Total!F978</f>
        <v>Direccions d'Execució</v>
      </c>
      <c r="G7" s="112" t="str">
        <f>Total!G978</f>
        <v>DE. IAM-13305</v>
      </c>
      <c r="H7" s="112" t="str">
        <f>Total!H978</f>
        <v>Direcció d'execució de les obres de construcció de tallers per a Cicles Formatius i restitució de pista poliesportiva a l'Institut Baix Montseny, Sant Celoni.</v>
      </c>
      <c r="I7" s="157">
        <f>Total!I978</f>
        <v>25200</v>
      </c>
    </row>
    <row r="8" spans="1:9" x14ac:dyDescent="0.2">
      <c r="A8" s="8">
        <v>7</v>
      </c>
      <c r="B8" s="101">
        <f>Total!B979</f>
        <v>42472</v>
      </c>
      <c r="C8" s="101">
        <f>Total!C979</f>
        <v>42487</v>
      </c>
      <c r="D8" s="112" t="s">
        <v>1092</v>
      </c>
      <c r="E8" s="101" t="str">
        <f>Total!E979</f>
        <v>Edificació</v>
      </c>
      <c r="F8" s="96" t="str">
        <f>Total!F979</f>
        <v>Control de Qualitat</v>
      </c>
      <c r="G8" s="112" t="str">
        <f>Total!G979</f>
        <v>CQ. IAM-13305</v>
      </c>
      <c r="H8" s="112" t="str">
        <f>Total!H979</f>
        <v>Control de qualitat de les obres de construcció de tallers per a Cicles Formatius i restitució de pista poliesportiva a l'Institut Baix Montseny, Sant Celoni.</v>
      </c>
      <c r="I8" s="157">
        <f>Total!I979</f>
        <v>17426.759999999998</v>
      </c>
    </row>
    <row r="9" spans="1:9" x14ac:dyDescent="0.2">
      <c r="A9" s="8">
        <v>8</v>
      </c>
      <c r="B9" s="101">
        <f>Total!B980</f>
        <v>42472</v>
      </c>
      <c r="C9" s="101">
        <f>Total!C980</f>
        <v>42487</v>
      </c>
      <c r="D9" s="112" t="s">
        <v>1092</v>
      </c>
      <c r="E9" s="101" t="str">
        <f>Total!E980</f>
        <v>Obra Civil</v>
      </c>
      <c r="F9" s="96" t="str">
        <f>Total!F980</f>
        <v>Direccions d'Obra</v>
      </c>
      <c r="G9" s="112" t="str">
        <f>Total!G980</f>
        <v>DO. MC-06138</v>
      </c>
      <c r="H9" s="112" t="str">
        <f>Total!H980</f>
        <v>Direc obres proj. millora local. Mesures correctores impacte acústic ctres. C-58 al pk 31,144; C-55 pk 0,107: C-234 pk 1,140; C-35 pk 51,465 i pk 68,145; C-17 pk 22,550. Tram: Vacarisses-Abrera-Gavà-Vilalba-Sasserra-Hostalric-Canovelles.</v>
      </c>
      <c r="I9" s="157">
        <f>Total!I980</f>
        <v>37200</v>
      </c>
    </row>
    <row r="10" spans="1:9" x14ac:dyDescent="0.2">
      <c r="A10" s="8">
        <v>9</v>
      </c>
      <c r="B10" s="101">
        <f>Total!B981</f>
        <v>42478</v>
      </c>
      <c r="C10" s="101">
        <f>Total!C981</f>
        <v>42529</v>
      </c>
      <c r="D10" s="112" t="s">
        <v>1092</v>
      </c>
      <c r="E10" s="101" t="str">
        <f>Total!E981</f>
        <v>Obra Civil</v>
      </c>
      <c r="F10" s="96" t="str">
        <f>Total!F981</f>
        <v>Direccions d'Obra</v>
      </c>
      <c r="G10" s="112" t="str">
        <f>Total!G981</f>
        <v>DO. TF-02699.A</v>
      </c>
      <c r="H10" s="112" t="str">
        <f>Total!H981</f>
        <v>Direcció de les obres del projecte d'eixamplament d'andana direcció Sarrià de l'estació de Provença dels FGC.</v>
      </c>
      <c r="I10" s="157">
        <f>Total!I981</f>
        <v>863513.89</v>
      </c>
    </row>
    <row r="11" spans="1:9" x14ac:dyDescent="0.2">
      <c r="A11" s="8">
        <v>10</v>
      </c>
      <c r="B11" s="101">
        <f>Total!B982</f>
        <v>42479</v>
      </c>
      <c r="C11" s="101">
        <f>Total!C982</f>
        <v>42529</v>
      </c>
      <c r="D11" s="112" t="s">
        <v>1092</v>
      </c>
      <c r="E11" s="101" t="str">
        <f>Total!E982</f>
        <v>Edificació</v>
      </c>
      <c r="F11" s="96" t="str">
        <f>Total!F982</f>
        <v>Projectes i Direccions d'Obra</v>
      </c>
      <c r="G11" s="112" t="str">
        <f>Total!G982</f>
        <v>PE+DO. HVB-16220</v>
      </c>
      <c r="H11" s="112" t="str">
        <f>Total!H982</f>
        <v>Redacció del projecte bàsic i executiu i la posterior direcci´d'obra de les instal·lacions de la reforma i ampliació de l'Hospital de Viladecans.</v>
      </c>
      <c r="I11" s="157">
        <f>Total!I982</f>
        <v>704741</v>
      </c>
    </row>
    <row r="12" spans="1:9" x14ac:dyDescent="0.2">
      <c r="A12" s="8">
        <v>11</v>
      </c>
      <c r="B12" s="101">
        <f>Total!B983</f>
        <v>42479</v>
      </c>
      <c r="C12" s="101">
        <f>Total!C983</f>
        <v>42529</v>
      </c>
      <c r="D12" s="112" t="s">
        <v>1092</v>
      </c>
      <c r="E12" s="101" t="str">
        <f>Total!E983</f>
        <v>Obra Civil</v>
      </c>
      <c r="F12" s="96" t="str">
        <f>Total!F983</f>
        <v>Direccions d'obra</v>
      </c>
      <c r="G12" s="112" t="str">
        <f>Total!G983</f>
        <v>RSC. TF-02699.A</v>
      </c>
      <c r="H12" s="112" t="str">
        <f>Total!H983</f>
        <v>Assistència tècnica per al seguiment i control de les obres del projecte d'eixamplament d'andana direcció Sarrià de l'estació de Provença dels FGC.</v>
      </c>
      <c r="I12" s="157">
        <f>Total!I983</f>
        <v>483000</v>
      </c>
    </row>
    <row r="13" spans="1:9" x14ac:dyDescent="0.2">
      <c r="I13" s="126">
        <f>SUM(I2:I12)</f>
        <v>2277131.65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BDAD1-2893-4F82-8659-E6573C1F4E76}">
  <dimension ref="A1:I34"/>
  <sheetViews>
    <sheetView workbookViewId="0">
      <selection sqref="A1:XFD1048576"/>
    </sheetView>
  </sheetViews>
  <sheetFormatPr baseColWidth="10" defaultRowHeight="12.75" x14ac:dyDescent="0.2"/>
  <cols>
    <col min="1" max="1" width="5.140625" customWidth="1"/>
    <col min="4" max="4" width="17" bestFit="1" customWidth="1"/>
    <col min="5" max="5" width="12.28515625" bestFit="1" customWidth="1"/>
    <col min="6" max="6" width="15.140625" bestFit="1" customWidth="1"/>
    <col min="7" max="7" width="30" bestFit="1" customWidth="1"/>
    <col min="8" max="8" width="65.42578125" customWidth="1"/>
    <col min="9" max="9" width="20" bestFit="1" customWidth="1"/>
  </cols>
  <sheetData>
    <row r="1" spans="1:9" x14ac:dyDescent="0.2">
      <c r="A1" s="10"/>
      <c r="B1" s="37" t="s">
        <v>57</v>
      </c>
      <c r="C1" s="2" t="s">
        <v>499</v>
      </c>
      <c r="D1" s="124" t="s">
        <v>58</v>
      </c>
      <c r="E1" s="331" t="s">
        <v>59</v>
      </c>
      <c r="F1" s="3" t="s">
        <v>60</v>
      </c>
      <c r="G1" s="123" t="s">
        <v>61</v>
      </c>
      <c r="H1" s="156" t="s">
        <v>62</v>
      </c>
      <c r="I1" s="39" t="s">
        <v>63</v>
      </c>
    </row>
    <row r="2" spans="1:9" x14ac:dyDescent="0.2">
      <c r="A2" s="8">
        <v>1</v>
      </c>
      <c r="B2" s="101">
        <f>Total!B3560</f>
        <v>44959</v>
      </c>
      <c r="C2" s="101">
        <f>Total!C3560</f>
        <v>44977</v>
      </c>
      <c r="D2" s="112" t="s">
        <v>1092</v>
      </c>
      <c r="E2" s="332" t="str">
        <f>Total!E3560</f>
        <v>Obra Civil</v>
      </c>
      <c r="F2" s="96" t="str">
        <f>Total!F3560</f>
        <v>Projectes</v>
      </c>
      <c r="G2" s="112" t="str">
        <f>Total!G3560</f>
        <v>EV. E3-MA-23900</v>
      </c>
      <c r="H2" s="112" t="str">
        <f>Total!H3560</f>
        <v>Assistència tècnica per l'estudi i seguiment. Cens de mascles de sisó en àrees pilot dels secans orientals i en els regs històrics del canalet de Tàrrega. Mesures correctores i compensatòries del regadiu del sistema Segarra-Garrigues. Campanya 2023-2024.</v>
      </c>
      <c r="I2" s="157">
        <f>Total!I3560</f>
        <v>25648.82</v>
      </c>
    </row>
    <row r="3" spans="1:9" x14ac:dyDescent="0.2">
      <c r="A3" s="8">
        <v>2</v>
      </c>
      <c r="B3" s="101">
        <f>Total!B3561</f>
        <v>44959</v>
      </c>
      <c r="C3" s="101">
        <f>Total!C3561</f>
        <v>44977</v>
      </c>
      <c r="D3" s="112" t="s">
        <v>1092</v>
      </c>
      <c r="E3" s="332" t="str">
        <f>Total!E3561</f>
        <v>Edificació</v>
      </c>
      <c r="F3" s="96" t="str">
        <f>Total!F3561</f>
        <v>Projectes i Direccions d'Obra</v>
      </c>
      <c r="G3" s="112" t="str">
        <f>Total!G3561</f>
        <v>PE+DO JVX-22245</v>
      </c>
      <c r="H3" s="112" t="str">
        <f>Total!H3561</f>
        <v>Contracte de serveis per a l'assistència tècnica per a la redacció del projecte bàsic i executiu i la posterior direcció de les obres RAM per a l'adequació de l'edifici Judicial Francesc Layret de Badalona, per ubicar-hi un NNOOJJ.</v>
      </c>
      <c r="I3" s="157">
        <f>Total!I3561</f>
        <v>70536.759999999995</v>
      </c>
    </row>
    <row r="4" spans="1:9" x14ac:dyDescent="0.2">
      <c r="A4" s="8">
        <v>3</v>
      </c>
      <c r="B4" s="101">
        <f>Total!B3562</f>
        <v>44959</v>
      </c>
      <c r="C4" s="101">
        <f>Total!C3562</f>
        <v>44986</v>
      </c>
      <c r="D4" s="112" t="s">
        <v>1092</v>
      </c>
      <c r="E4" s="332" t="str">
        <f>Total!E3562</f>
        <v>Edificació</v>
      </c>
      <c r="F4" s="96" t="str">
        <f>Total!F3562</f>
        <v>Projectes i Direccions d'Obra</v>
      </c>
      <c r="G4" s="112" t="str">
        <f>Total!G3562</f>
        <v>E1. JVX-22265</v>
      </c>
      <c r="H4" s="112" t="str">
        <f>Total!H3562</f>
        <v>Contracte de serveis per a l'assistència tècnica per a la redacció de l'Estudi de cales Centre Penitenciari Quatre Camins.</v>
      </c>
      <c r="I4" s="157">
        <f>Total!I3562</f>
        <v>160000</v>
      </c>
    </row>
    <row r="5" spans="1:9" x14ac:dyDescent="0.2">
      <c r="A5" s="8">
        <v>4</v>
      </c>
      <c r="B5" s="101">
        <f>Total!B3563</f>
        <v>44960</v>
      </c>
      <c r="C5" s="101">
        <f>Total!C3563</f>
        <v>44977</v>
      </c>
      <c r="D5" s="112" t="s">
        <v>1092</v>
      </c>
      <c r="E5" s="332" t="str">
        <f>Total!E3563</f>
        <v>Edificació</v>
      </c>
      <c r="F5" s="96" t="str">
        <f>Total!F3563</f>
        <v>Projectes</v>
      </c>
      <c r="G5" s="112" t="str">
        <f>Total!G3563</f>
        <v>PC. PC-CFT-22039</v>
      </c>
      <c r="H5" s="112" t="str">
        <f>Total!H3563</f>
        <v>Contracte de serveis per a l'assistència tècnica per a la redacció del projecte constructiu "Millora de les característiques superficials del ferm a la T-233 del PK 0+000 al 8+245 i a la TP-2311 del PK 0+367 al 10+055. Sarral - Solivella.</v>
      </c>
      <c r="I5" s="157">
        <f>Total!I3563</f>
        <v>107100</v>
      </c>
    </row>
    <row r="6" spans="1:9" x14ac:dyDescent="0.2">
      <c r="A6" s="8">
        <v>5</v>
      </c>
      <c r="B6" s="101">
        <f>Total!B3564</f>
        <v>44963</v>
      </c>
      <c r="C6" s="101">
        <f>Total!C3564</f>
        <v>44998</v>
      </c>
      <c r="D6" s="112" t="s">
        <v>1092</v>
      </c>
      <c r="E6" s="332" t="str">
        <f>Total!E3564</f>
        <v>Edificació</v>
      </c>
      <c r="F6" s="96" t="str">
        <f>Total!F3564</f>
        <v>Projectes i Direccions d'Obra</v>
      </c>
      <c r="G6" s="112" t="str">
        <f>Total!G3564</f>
        <v>PE+DO. SNV-20237</v>
      </c>
      <c r="H6" s="112" t="str">
        <f>Total!H3564</f>
        <v>Concurs de projectes per a la redacció del projecte bàsic i executiu i la posterior direcció de les obres de la nova construcció Institut Escola Sala i Badrinas de Terrassa.</v>
      </c>
      <c r="I6" s="157">
        <f>Total!I3564</f>
        <v>700963.59</v>
      </c>
    </row>
    <row r="7" spans="1:9" x14ac:dyDescent="0.2">
      <c r="A7" s="8">
        <v>6</v>
      </c>
      <c r="B7" s="101">
        <f>Total!B3565</f>
        <v>44964</v>
      </c>
      <c r="C7" s="101">
        <f>Total!C3565</f>
        <v>44991</v>
      </c>
      <c r="D7" s="112" t="s">
        <v>1092</v>
      </c>
      <c r="E7" s="332" t="str">
        <f>Total!E3565</f>
        <v>Obra Civil</v>
      </c>
      <c r="F7" s="96" t="str">
        <f>Total!F3565</f>
        <v>Direccions d'Obra</v>
      </c>
      <c r="G7" s="112" t="str">
        <f>Total!G3565</f>
        <v>CSS. TM-04310.1-AA</v>
      </c>
      <c r="H7" s="112" t="str">
        <f>Total!H3565</f>
        <v>Contracte de serveis per a l'assistència tècnica de coordinació de seguretat i salut de les obres del projecte constructiu de millora de l'accessibilitat i adaptació a la normativa de l'intercanviador de l'estació del Clot (L1 i L2 d'FMB i RENFE). Fase 1.</v>
      </c>
      <c r="I7" s="157">
        <f>Total!I3565</f>
        <v>44483.02</v>
      </c>
    </row>
    <row r="8" spans="1:9" x14ac:dyDescent="0.2">
      <c r="A8" s="8">
        <v>7</v>
      </c>
      <c r="B8" s="101">
        <f>Total!B3566</f>
        <v>44964</v>
      </c>
      <c r="C8" s="101">
        <f>Total!C3566</f>
        <v>44991</v>
      </c>
      <c r="D8" s="112" t="s">
        <v>1092</v>
      </c>
      <c r="E8" s="332" t="str">
        <f>Total!E3566</f>
        <v>Obra Civil</v>
      </c>
      <c r="F8" s="96" t="str">
        <f>Total!F3566</f>
        <v>Direccions d'Obra</v>
      </c>
      <c r="G8" s="112" t="str">
        <f>Total!G3566</f>
        <v>CSS. XL-15022</v>
      </c>
      <c r="H8" s="112" t="str">
        <f>Total!H3566</f>
        <v>Contracte serveis per a l'assistència tècnica de coordinació de seguretat i salut de les obres de Via ciclista a l'entorn de la C-13 del PK 128+700 al 131+550. Sort - Rialp.</v>
      </c>
      <c r="I8" s="157">
        <f>Total!I3566</f>
        <v>12793.32</v>
      </c>
    </row>
    <row r="9" spans="1:9" x14ac:dyDescent="0.2">
      <c r="A9" s="8">
        <v>8</v>
      </c>
      <c r="B9" s="101">
        <f>Total!B3567</f>
        <v>44965</v>
      </c>
      <c r="C9" s="101">
        <f>Total!C3567</f>
        <v>44626</v>
      </c>
      <c r="D9" s="112" t="s">
        <v>1092</v>
      </c>
      <c r="E9" s="332" t="str">
        <f>Total!E3567</f>
        <v>Obra Civil</v>
      </c>
      <c r="F9" s="96" t="str">
        <f>Total!F3567</f>
        <v>Direccions d'Obra</v>
      </c>
      <c r="G9" s="112" t="str">
        <f>Total!G3567</f>
        <v>CSS. PC-AIC-19030.F1</v>
      </c>
      <c r="H9" s="112" t="str">
        <f>Total!H3567</f>
        <v>Contracte de serveis per a l'assistència tècnica de coordinació de seguretat i salut de les obres de la instal·lació de marquesines a parades dels serveis de transport interurbà de viatgers per carretera a diversos indrets de Catalunya. Fase 1.</v>
      </c>
      <c r="I9" s="157">
        <f>Total!I3567</f>
        <v>12720</v>
      </c>
    </row>
    <row r="10" spans="1:9" x14ac:dyDescent="0.2">
      <c r="A10" s="8">
        <v>9</v>
      </c>
      <c r="B10" s="101">
        <f>Total!B3568</f>
        <v>44966</v>
      </c>
      <c r="C10" s="101">
        <f>Total!C3568</f>
        <v>44986</v>
      </c>
      <c r="D10" s="112" t="s">
        <v>1092</v>
      </c>
      <c r="E10" s="332" t="str">
        <f>Total!E3568</f>
        <v>Obra Civil</v>
      </c>
      <c r="F10" s="96" t="str">
        <f>Total!F3568</f>
        <v>Projectes</v>
      </c>
      <c r="G10" s="112" t="str">
        <f>Total!G3568</f>
        <v>EC. EC23</v>
      </c>
      <c r="H10" s="112" t="str">
        <f>Total!H3568</f>
        <v>Contracte de serveis per a l'assistència tècnica per a la realització dels treballs de cartografia corresponents als estudis i projectes d'obra civil que són encarregats pels departaments de la Generalitat.</v>
      </c>
      <c r="I10" s="157">
        <f>Total!I3568</f>
        <v>200000</v>
      </c>
    </row>
    <row r="11" spans="1:9" x14ac:dyDescent="0.2">
      <c r="A11" s="8">
        <v>10</v>
      </c>
      <c r="B11" s="101">
        <f>Total!B3569</f>
        <v>44966</v>
      </c>
      <c r="C11" s="101">
        <f>Total!C3569</f>
        <v>44991</v>
      </c>
      <c r="D11" s="112" t="s">
        <v>1092</v>
      </c>
      <c r="E11" s="332" t="str">
        <f>Total!E3569</f>
        <v>Obra Civil</v>
      </c>
      <c r="F11" s="96" t="str">
        <f>Total!F3569</f>
        <v>Projectes</v>
      </c>
      <c r="G11" s="112" t="str">
        <f>Total!G3569</f>
        <v>PC. PC-XIL-22014</v>
      </c>
      <c r="H11" s="112" t="str">
        <f>Total!H3569</f>
        <v>Contracte de serveis per a l'assistència tècnica per a la redacció del projecte constructiu del condicionament del Camí de Torrebesses a Castelldans de la C-12 al PK 116+600 a la C-233 al PK 49+560. Torrebesses - Castelldans.</v>
      </c>
      <c r="I11" s="157">
        <f>Total!I3569</f>
        <v>177660</v>
      </c>
    </row>
    <row r="12" spans="1:9" x14ac:dyDescent="0.2">
      <c r="A12" s="8">
        <v>11</v>
      </c>
      <c r="B12" s="101">
        <f>Total!B3570</f>
        <v>44967</v>
      </c>
      <c r="C12" s="101">
        <f>Total!C3570</f>
        <v>45000</v>
      </c>
      <c r="D12" s="112" t="s">
        <v>1092</v>
      </c>
      <c r="E12" s="332" t="str">
        <f>Total!E3570</f>
        <v>Edificació</v>
      </c>
      <c r="F12" s="96" t="str">
        <f>Total!F3570</f>
        <v>Projectes i Direccions d'Obra</v>
      </c>
      <c r="G12" s="112" t="str">
        <f>Total!G3570</f>
        <v>PE+DO. PNC-21251</v>
      </c>
      <c r="H12" s="112" t="str">
        <f>Total!H3570</f>
        <v>Concurs de projectes per a la redacció del projecte bàsic i executiu i la posterior direcció de les obres de la nova construcció Escola 2L a l'Escola Montcau de Gelida.</v>
      </c>
      <c r="I12" s="157">
        <f>Total!I3570</f>
        <v>567163.92000000004</v>
      </c>
    </row>
    <row r="13" spans="1:9" x14ac:dyDescent="0.2">
      <c r="A13" s="8">
        <v>12</v>
      </c>
      <c r="B13" s="101">
        <f>Total!B3571</f>
        <v>44967</v>
      </c>
      <c r="C13" s="101">
        <f>Total!C3571</f>
        <v>44986</v>
      </c>
      <c r="D13" s="112" t="s">
        <v>1092</v>
      </c>
      <c r="E13" s="332" t="str">
        <f>Total!E3571</f>
        <v>Obra Civil</v>
      </c>
      <c r="F13" s="96" t="str">
        <f>Total!F3571</f>
        <v>Direccions d'Obra</v>
      </c>
      <c r="G13" s="112" t="str">
        <f>Total!G3571</f>
        <v>CSS. RAE-21201</v>
      </c>
      <c r="H13" s="112" t="str">
        <f>Total!H3571</f>
        <v>Contracte de serveis per a l'assistència tècnica de coordinació de seguretat i salut de les obres del projecte constructiu de restauració ambiental de l'activitat extractiva "Can Magí Vidal" a El Montmell. Baix Penedès.</v>
      </c>
      <c r="I13" s="157">
        <f>Total!I3571</f>
        <v>3589.3</v>
      </c>
    </row>
    <row r="14" spans="1:9" x14ac:dyDescent="0.2">
      <c r="A14" s="8">
        <v>13</v>
      </c>
      <c r="B14" s="101">
        <f>Total!B3572</f>
        <v>44967</v>
      </c>
      <c r="C14" s="101">
        <f>Total!C3572</f>
        <v>44986</v>
      </c>
      <c r="D14" s="112" t="s">
        <v>1092</v>
      </c>
      <c r="E14" s="332" t="str">
        <f>Total!E3572</f>
        <v>Obra Civil</v>
      </c>
      <c r="F14" s="96" t="str">
        <f>Total!F3572</f>
        <v>Direccions d'Obra</v>
      </c>
      <c r="G14" s="112" t="str">
        <f>Total!G3572</f>
        <v>DO. RAE-21201</v>
      </c>
      <c r="H14" s="112" t="str">
        <f>Total!H3572</f>
        <v>Contracte de serveis per a la direcció de les obres del projecte constructiu de restauració ambiental de l'activitat extractiva "Can Magí Vidal" a El Montmell. Baix Penedès.</v>
      </c>
      <c r="I14" s="157">
        <f>Total!I3572</f>
        <v>14075.08</v>
      </c>
    </row>
    <row r="15" spans="1:9" x14ac:dyDescent="0.2">
      <c r="A15" s="8">
        <v>14</v>
      </c>
      <c r="B15" s="101">
        <f>Total!B3573</f>
        <v>44967</v>
      </c>
      <c r="C15" s="101">
        <f>Total!C3573</f>
        <v>44998</v>
      </c>
      <c r="D15" s="112" t="s">
        <v>1092</v>
      </c>
      <c r="E15" s="332" t="str">
        <f>Total!E3573</f>
        <v>Obra Civil</v>
      </c>
      <c r="F15" s="96" t="str">
        <f>Total!F3573</f>
        <v>Direccions d'Obra</v>
      </c>
      <c r="G15" s="112" t="str">
        <f>Total!G3573</f>
        <v>CSS. TF-11225.F1.2</v>
      </c>
      <c r="H15" s="112" t="str">
        <f>Total!H3573</f>
        <v>Contracte de serveis per a l'assistència tècnica de coordinació de seguretat i salut de les obres de Perllongament de la línia Llobregat ¿ Anoia d'FGC a Barcelona. Plaça Espanya - Gràcia. Infraestructura.</v>
      </c>
      <c r="I15" s="157">
        <f>Total!I3573</f>
        <v>2294523.5499999998</v>
      </c>
    </row>
    <row r="16" spans="1:9" x14ac:dyDescent="0.2">
      <c r="A16" s="8">
        <v>15</v>
      </c>
      <c r="B16" s="101">
        <f>Total!B3574</f>
        <v>44967</v>
      </c>
      <c r="C16" s="101">
        <f>Total!C3574</f>
        <v>44986</v>
      </c>
      <c r="D16" s="112" t="s">
        <v>1092</v>
      </c>
      <c r="E16" s="332" t="str">
        <f>Total!E3574</f>
        <v>Obra Civil</v>
      </c>
      <c r="F16" s="96" t="str">
        <f>Total!F3574</f>
        <v>Control de Qualitat</v>
      </c>
      <c r="G16" s="112" t="str">
        <f>Total!G3574</f>
        <v>CQ. RAE-21201</v>
      </c>
      <c r="H16" s="112" t="str">
        <f>Total!H3574</f>
        <v>Contracte de serveis per a l'assistència tècnica de control de qualitat de les obres del projecte constructiu de restauració ambiental de l'activitat extractiva "Can Magí Vidal" a El Montmell. Baix Penedès.</v>
      </c>
      <c r="I16" s="157">
        <f>Total!I3574</f>
        <v>3274.49</v>
      </c>
    </row>
    <row r="17" spans="1:9" x14ac:dyDescent="0.2">
      <c r="A17" s="8">
        <v>16</v>
      </c>
      <c r="B17" s="101">
        <f>Total!B3575</f>
        <v>44967</v>
      </c>
      <c r="C17" s="101">
        <f>Total!C3575</f>
        <v>44991</v>
      </c>
      <c r="D17" s="112" t="s">
        <v>1092</v>
      </c>
      <c r="E17" s="332" t="str">
        <f>Total!E3575</f>
        <v>Obra Civil</v>
      </c>
      <c r="F17" s="96" t="str">
        <f>Total!F3575</f>
        <v>Projectes</v>
      </c>
      <c r="G17" s="112" t="str">
        <f>Total!G3575</f>
        <v>PC. PC-CGL-22060</v>
      </c>
      <c r="H17" s="112" t="str">
        <f>Total!H3575</f>
        <v>Redacció del projecte constructiu de la millora de l'eficiència energètica, reducció d'emissions i autogeneració d'energia solar de túnels a la C-14 del PK 145+100 al 152+050. Peramola - Coll de Nargó.</v>
      </c>
      <c r="I17" s="157">
        <f>Total!I3575</f>
        <v>40900</v>
      </c>
    </row>
    <row r="18" spans="1:9" x14ac:dyDescent="0.2">
      <c r="A18" s="8">
        <v>17</v>
      </c>
      <c r="B18" s="101">
        <f>Total!B3576</f>
        <v>44967</v>
      </c>
      <c r="C18" s="101">
        <f>Total!C3576</f>
        <v>44998</v>
      </c>
      <c r="D18" s="112" t="s">
        <v>1092</v>
      </c>
      <c r="E18" s="332" t="str">
        <f>Total!E3576</f>
        <v>Edificació</v>
      </c>
      <c r="F18" s="96" t="str">
        <f>Total!F3576</f>
        <v>Projectes i Direccions d'Obra</v>
      </c>
      <c r="G18" s="112" t="str">
        <f>Total!G3576</f>
        <v>PE+DO JVX-22246</v>
      </c>
      <c r="H18" s="112" t="str">
        <f>Total!H3576</f>
        <v>Assistència tècnica per a la redacció del projecte bàsic i executiu i la posterior direcció de les obres RAM de reforma del sistema de ventilació, climatització, coberta, i l'adequació de l'edifici Judicial de Reus, per ubicar-hi un N NOOJJ.</v>
      </c>
      <c r="I18" s="157">
        <f>Total!I3576</f>
        <v>410306.38</v>
      </c>
    </row>
    <row r="19" spans="1:9" x14ac:dyDescent="0.2">
      <c r="A19" s="8">
        <v>18</v>
      </c>
      <c r="B19" s="101">
        <f>Total!B3577</f>
        <v>44970</v>
      </c>
      <c r="C19" s="101">
        <f>Total!C3577</f>
        <v>44991</v>
      </c>
      <c r="D19" s="112" t="s">
        <v>1092</v>
      </c>
      <c r="E19" s="332" t="str">
        <f>Total!E3577</f>
        <v>Obra Civil</v>
      </c>
      <c r="F19" s="96" t="str">
        <f>Total!F3577</f>
        <v>Direccions d'Obra</v>
      </c>
      <c r="G19" s="112" t="str">
        <f>Total!G3577</f>
        <v>ATAM. TM-04310.1-AA</v>
      </c>
      <c r="H19" s="112" t="str">
        <f>Total!H3577</f>
        <v>Contracte de serveis per a l'assistència tècnica ambiental de les obres del projecte constructiu de millora de l'accessibilitat i adaptació a la normativa de l'intercanviador de l'estació del Clot (L1 i L2 d'FMB i RENFE). Fase 1.</v>
      </c>
      <c r="I19" s="157">
        <f>Total!I3577</f>
        <v>30720.48</v>
      </c>
    </row>
    <row r="20" spans="1:9" x14ac:dyDescent="0.2">
      <c r="A20" s="8">
        <v>19</v>
      </c>
      <c r="B20" s="101">
        <f>Total!B3578</f>
        <v>44970</v>
      </c>
      <c r="C20" s="101">
        <f>Total!C3578</f>
        <v>44986</v>
      </c>
      <c r="D20" s="112" t="s">
        <v>1092</v>
      </c>
      <c r="E20" s="332" t="str">
        <f>Total!E3578</f>
        <v>Obra Civil</v>
      </c>
      <c r="F20" s="96" t="str">
        <f>Total!F3578</f>
        <v>Projectes</v>
      </c>
      <c r="G20" s="112" t="str">
        <f>Total!G3578</f>
        <v>IA. XL-09052.A1</v>
      </c>
      <c r="H20" s="112" t="str">
        <f>Total!H3578</f>
        <v>Contracte de serveis per a l'assistència tècnica per a la redacció de l'estudi d'impacte ambiental: "Connexió de la LP-2015 al PK 1+000 amb la C-233 al PK 82+500. Bellpuig".</v>
      </c>
      <c r="I20" s="157">
        <f>Total!I3578</f>
        <v>14000</v>
      </c>
    </row>
    <row r="21" spans="1:9" x14ac:dyDescent="0.2">
      <c r="A21" s="8">
        <v>20</v>
      </c>
      <c r="B21" s="101">
        <f>Total!B3579</f>
        <v>44970</v>
      </c>
      <c r="C21" s="101">
        <f>Total!C3579</f>
        <v>44998</v>
      </c>
      <c r="D21" s="112" t="s">
        <v>1092</v>
      </c>
      <c r="E21" s="332" t="str">
        <f>Total!E3579</f>
        <v>Edificació</v>
      </c>
      <c r="F21" s="96" t="str">
        <f>Total!F3579</f>
        <v>Projectes i Direccions d'Obra</v>
      </c>
      <c r="G21" s="112" t="str">
        <f>Total!G3579</f>
        <v>PE+DO PNG-20229</v>
      </c>
      <c r="H21" s="112" t="str">
        <f>Total!H3579</f>
        <v>Concurs de projecte per a la redacció del projecte bàsic i executiu i la posterior direcció de les obres de Nova construcció Escola 1L sense gimnàs Alzines Balladores de Sant Feliu de Buixalleu.</v>
      </c>
      <c r="I21" s="157">
        <f>Total!I3579</f>
        <v>273935.26</v>
      </c>
    </row>
    <row r="22" spans="1:9" x14ac:dyDescent="0.2">
      <c r="A22" s="8">
        <v>21</v>
      </c>
      <c r="B22" s="101">
        <f>Total!B3580</f>
        <v>44972</v>
      </c>
      <c r="C22" s="101">
        <f>Total!C3580</f>
        <v>44991</v>
      </c>
      <c r="D22" s="112" t="s">
        <v>1092</v>
      </c>
      <c r="E22" s="332" t="str">
        <f>Total!E3580</f>
        <v>Obra Civil</v>
      </c>
      <c r="F22" s="96" t="str">
        <f>Total!F3580</f>
        <v>Projectes</v>
      </c>
      <c r="G22" s="112" t="str">
        <f>Total!G3580</f>
        <v>PC. PC-CPL-22036</v>
      </c>
      <c r="H22" s="112" t="str">
        <f>Total!H3580</f>
        <v>Contracte de serveis per a l'assistència tècnica per a la redacció del projecte constructiu de rotonda a la intersecció de la C-451 al PK 47+000 amb l'LV-3002. Llobera.</v>
      </c>
      <c r="I22" s="157">
        <f>Total!I3580</f>
        <v>33500</v>
      </c>
    </row>
    <row r="23" spans="1:9" x14ac:dyDescent="0.2">
      <c r="A23" s="8">
        <v>22</v>
      </c>
      <c r="B23" s="101">
        <f>Total!B3581</f>
        <v>44972</v>
      </c>
      <c r="C23" s="101">
        <f>Total!C3581</f>
        <v>44991</v>
      </c>
      <c r="D23" s="112" t="s">
        <v>1092</v>
      </c>
      <c r="E23" s="332" t="str">
        <f>Total!E3581</f>
        <v>Obra Civil</v>
      </c>
      <c r="F23" s="96" t="str">
        <f>Total!F3581</f>
        <v>Projectes</v>
      </c>
      <c r="G23" s="112" t="str">
        <f>Total!G3581</f>
        <v>PC. PAP-22336</v>
      </c>
      <c r="H23" s="112" t="str">
        <f>Total!H3581</f>
        <v>Contracte de serveis per a l'assistència tècnica per a la redacció del projecte constructiu de restauració ambiental de la cua del pantà de Borén del Parc Natural de l'Alt Pirineu.</v>
      </c>
      <c r="I23" s="157">
        <f>Total!I3581</f>
        <v>16957.5</v>
      </c>
    </row>
    <row r="24" spans="1:9" x14ac:dyDescent="0.2">
      <c r="A24" s="8">
        <v>23</v>
      </c>
      <c r="B24" s="101">
        <f>Total!B3582</f>
        <v>44972</v>
      </c>
      <c r="C24" s="101">
        <f>Total!C3582</f>
        <v>44986</v>
      </c>
      <c r="D24" s="112" t="s">
        <v>1092</v>
      </c>
      <c r="E24" s="332" t="str">
        <f>Total!E3582</f>
        <v>Obra Civil</v>
      </c>
      <c r="F24" s="96" t="str">
        <f>Total!F3582</f>
        <v>Direccions d'Obra</v>
      </c>
      <c r="G24" s="112" t="str">
        <f>Total!G3582</f>
        <v>DO. MR-05919.7 (Fase 1)</v>
      </c>
      <c r="H24" s="112" t="str">
        <f>Total!H3582</f>
        <v>Direcció de les obres del projecte constructiu del regadiu Xerta-Sénia. Xarxa de reg de la Zona 1 i posada en servei del posterior manteniment de la captació, de la impulsió, del canal executat i del bombament del Sector 1. Fase 1.</v>
      </c>
      <c r="I24" s="157">
        <f>Total!I3582</f>
        <v>101072.4</v>
      </c>
    </row>
    <row r="25" spans="1:9" x14ac:dyDescent="0.2">
      <c r="A25" s="8">
        <v>24</v>
      </c>
      <c r="B25" s="101">
        <f>Total!B3583</f>
        <v>44973</v>
      </c>
      <c r="C25" s="101">
        <f>Total!C3583</f>
        <v>44991</v>
      </c>
      <c r="D25" s="112" t="s">
        <v>1092</v>
      </c>
      <c r="E25" s="332" t="str">
        <f>Total!E3583</f>
        <v>Obra Civil</v>
      </c>
      <c r="F25" s="96" t="str">
        <f>Total!F3583</f>
        <v>Projectes</v>
      </c>
      <c r="G25" s="112" t="str">
        <f>Total!G3583</f>
        <v>PC. PC-CGB-22064</v>
      </c>
      <c r="H25" s="112" t="str">
        <f>Total!H3583</f>
        <v>Assistència tècnica per a la redacció del projecte constructiu: "Millora de l'eficiència energètica, reducció d'emissions i autogeneració d'energia solar del túnel de Parpers a la C-60 del PK 5+500 al 7+900. Argentona - La Roca del Vallés".</v>
      </c>
      <c r="I25" s="157">
        <f>Total!I3583</f>
        <v>40000</v>
      </c>
    </row>
    <row r="26" spans="1:9" x14ac:dyDescent="0.2">
      <c r="A26" s="8">
        <v>25</v>
      </c>
      <c r="B26" s="101">
        <f>Total!B3584</f>
        <v>44973</v>
      </c>
      <c r="C26" s="101">
        <f>Total!C3584</f>
        <v>44998</v>
      </c>
      <c r="D26" s="112" t="s">
        <v>1092</v>
      </c>
      <c r="E26" s="332" t="str">
        <f>Total!E3584</f>
        <v>Obra Civil</v>
      </c>
      <c r="F26" s="96" t="str">
        <f>Total!F3584</f>
        <v>Projectes</v>
      </c>
      <c r="G26" s="112" t="str">
        <f>Total!G3584</f>
        <v>EV. E1-MA-23900</v>
      </c>
      <c r="H26" s="112" t="str">
        <f>Total!H3584</f>
        <v>Contracte de serveis per a l'assistència tècnica per al seguiment de les finques gestionades als Secans Orientals. Mesures correctores i compensatòries del regadiu del sistema Segarra-Garrigues. Campanya 2023-2024.</v>
      </c>
      <c r="I26" s="157">
        <f>Total!I3584</f>
        <v>49201.11</v>
      </c>
    </row>
    <row r="27" spans="1:9" x14ac:dyDescent="0.2">
      <c r="A27" s="8">
        <v>26</v>
      </c>
      <c r="B27" s="101">
        <f>Total!B3585</f>
        <v>44973</v>
      </c>
      <c r="C27" s="101">
        <f>Total!C3585</f>
        <v>44991</v>
      </c>
      <c r="D27" s="112" t="s">
        <v>1092</v>
      </c>
      <c r="E27" s="332" t="str">
        <f>Total!E3585</f>
        <v>Obra Civil</v>
      </c>
      <c r="F27" s="96" t="str">
        <f>Total!F3585</f>
        <v>Direccions d'Obra</v>
      </c>
      <c r="G27" s="112" t="str">
        <f>Total!G3585</f>
        <v>DO. RAE-21216</v>
      </c>
      <c r="H27" s="112" t="str">
        <f>Total!H3585</f>
        <v>Contracte de serveis per a la direcció d'obres de projecte constructiu de restauració ambiental de l'activitat extractiva "Pla de Bàscara" a Bàscara. Alt Empordà.</v>
      </c>
      <c r="I27" s="157">
        <f>Total!I3585</f>
        <v>4980.07</v>
      </c>
    </row>
    <row r="28" spans="1:9" x14ac:dyDescent="0.2">
      <c r="A28" s="8">
        <v>27</v>
      </c>
      <c r="B28" s="101">
        <f>Total!B3586</f>
        <v>44973</v>
      </c>
      <c r="C28" s="101">
        <f>Total!C3586</f>
        <v>44991</v>
      </c>
      <c r="D28" s="112" t="s">
        <v>1092</v>
      </c>
      <c r="E28" s="332" t="str">
        <f>Total!E3586</f>
        <v>Obra Civil</v>
      </c>
      <c r="F28" s="96" t="str">
        <f>Total!F3586</f>
        <v>Control de Qualitat</v>
      </c>
      <c r="G28" s="112" t="str">
        <f>Total!G3586</f>
        <v>CQ. RAE-21216</v>
      </c>
      <c r="H28" s="112" t="str">
        <f>Total!H3586</f>
        <v>Contracte de serveis per a l'assistència tècnica pel control de qualitat de restauració ambiental de l'activitat extractiva "Pla de Bàscara" a Bàscara. Alt Empordà.</v>
      </c>
      <c r="I28" s="157">
        <f>Total!I3586</f>
        <v>893.36</v>
      </c>
    </row>
    <row r="29" spans="1:9" x14ac:dyDescent="0.2">
      <c r="A29" s="8">
        <v>28</v>
      </c>
      <c r="B29" s="101">
        <f>Total!B3587</f>
        <v>44974</v>
      </c>
      <c r="C29" s="101">
        <f>Total!C3587</f>
        <v>45005</v>
      </c>
      <c r="D29" s="112" t="s">
        <v>1092</v>
      </c>
      <c r="E29" s="332" t="str">
        <f>Total!E3587</f>
        <v>Obra Civil</v>
      </c>
      <c r="F29" s="96" t="str">
        <f>Total!F3587</f>
        <v>Direccions d'Obra</v>
      </c>
      <c r="G29" s="112" t="str">
        <f>Total!G3587</f>
        <v>DO.TM-00509.4B+4C</v>
      </c>
      <c r="H29" s="112" t="str">
        <f>Total!H3587</f>
        <v>Direcció conjunta obres "Proj. constructiu L9 del Metro de Barcelona. Tram 3r. Zona Universitària-Sarera Meridiana. Estacions Prat de la Riba, Sarrià, Mandri i pous de ventilació" i "Proj. constructiu L9 Metro de Barcelona. Tram 3r. Zona Universitària-...</v>
      </c>
      <c r="I29" s="157">
        <f>Total!I3587</f>
        <v>3731114</v>
      </c>
    </row>
    <row r="30" spans="1:9" x14ac:dyDescent="0.2">
      <c r="A30" s="8">
        <v>29</v>
      </c>
      <c r="B30" s="101">
        <f>Total!B3588</f>
        <v>44977</v>
      </c>
      <c r="C30" s="101">
        <f>Total!C3588</f>
        <v>44993</v>
      </c>
      <c r="D30" s="112" t="s">
        <v>1092</v>
      </c>
      <c r="E30" s="332" t="str">
        <f>Total!E3588</f>
        <v>Obra Civil</v>
      </c>
      <c r="F30" s="96" t="str">
        <f>Total!F3588</f>
        <v>Projectes</v>
      </c>
      <c r="G30" s="112" t="str">
        <f>Total!G3588</f>
        <v>PC. PC-CPL-21077</v>
      </c>
      <c r="H30" s="112" t="str">
        <f>Total!H3588</f>
        <v>Contracte de serveis per a l'assistència tècnica per a la redacció del projecte constructiu: "Construcció d'un carril central de girs a esquerres al PK 130+230 de la C-14. Pinell del Solsonès (parròquia Madrona)".</v>
      </c>
      <c r="I30" s="157">
        <f>Total!I3588</f>
        <v>31500</v>
      </c>
    </row>
    <row r="31" spans="1:9" x14ac:dyDescent="0.2">
      <c r="A31" s="8">
        <v>30</v>
      </c>
      <c r="B31" s="101">
        <f>Total!B3589</f>
        <v>44980</v>
      </c>
      <c r="C31" s="101">
        <f>Total!C3589</f>
        <v>45000</v>
      </c>
      <c r="D31" s="112" t="s">
        <v>1092</v>
      </c>
      <c r="E31" s="332" t="str">
        <f>Total!E3589</f>
        <v>Edificació</v>
      </c>
      <c r="F31" s="96" t="str">
        <f>Total!F3589</f>
        <v>Control de Qualitat</v>
      </c>
      <c r="G31" s="112" t="str">
        <f>Total!G3589</f>
        <v>CQ. JVX-19282</v>
      </c>
      <c r="H31" s="112" t="str">
        <f>Total!H3589</f>
        <v>Contracte de serveis per a l'assistència tècnica de Control de Qualitat de les obres Ram adequació espais sales escorcoll i cel·les de contenció en centres d'execució penal.</v>
      </c>
      <c r="I31" s="157">
        <f>Total!I3589</f>
        <v>8376.19</v>
      </c>
    </row>
    <row r="32" spans="1:9" x14ac:dyDescent="0.2">
      <c r="A32" s="8">
        <v>31</v>
      </c>
      <c r="B32" s="101">
        <f>Total!B3590</f>
        <v>44980</v>
      </c>
      <c r="C32" s="101">
        <f>Total!C3590</f>
        <v>45000</v>
      </c>
      <c r="D32" s="112" t="s">
        <v>1092</v>
      </c>
      <c r="E32" s="332" t="str">
        <f>Total!E3590</f>
        <v>Edificació</v>
      </c>
      <c r="F32" s="96" t="str">
        <f>Total!F3590</f>
        <v>Control de Qualitat</v>
      </c>
      <c r="G32" s="112" t="str">
        <f>Total!G3590</f>
        <v>CQ. JVX-21238</v>
      </c>
      <c r="H32" s="112" t="str">
        <f>Total!H3590</f>
        <v>Contracte de serveis per a l'assistència tècnica de Control de Qualitat de les obres de Modernització dels sistemes de climatització, ventilació, intrusió, PDCI, CCTV i megafonia de l'edifici l'EATAV de Lleida ubicat al carrer del Canyeret, 26.</v>
      </c>
      <c r="I32" s="157">
        <f>Total!I3590</f>
        <v>4351.5</v>
      </c>
    </row>
    <row r="33" spans="1:9" x14ac:dyDescent="0.2">
      <c r="A33" s="8">
        <v>32</v>
      </c>
      <c r="B33" s="101">
        <f>Total!B3591</f>
        <v>44985</v>
      </c>
      <c r="C33" s="101">
        <f>Total!C3591</f>
        <v>45005</v>
      </c>
      <c r="D33" s="112" t="s">
        <v>1092</v>
      </c>
      <c r="E33" s="332" t="str">
        <f>Total!E3591</f>
        <v>Edificació</v>
      </c>
      <c r="F33" s="96" t="str">
        <f>Total!F3591</f>
        <v>Projectes</v>
      </c>
      <c r="G33" s="112" t="str">
        <f>Total!G3591</f>
        <v>E1. VGB-22332</v>
      </c>
      <c r="H33" s="112" t="str">
        <f>Total!H3591</f>
        <v>Contracte de serveis per a l'assistència tècnica per a la redacció de l'estudi del programa funcional per a l'execució dels edificis prefabricats de les noves bases dels agents rurals.</v>
      </c>
      <c r="I33" s="157">
        <f>Total!I3591</f>
        <v>45000</v>
      </c>
    </row>
    <row r="34" spans="1:9" x14ac:dyDescent="0.2">
      <c r="I34" s="126">
        <f>SUM(I2:I33)</f>
        <v>9231340.1000000015</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I13"/>
  <sheetViews>
    <sheetView workbookViewId="0">
      <selection activeCell="I13" sqref="I13"/>
    </sheetView>
  </sheetViews>
  <sheetFormatPr baseColWidth="10" defaultRowHeight="12.75" x14ac:dyDescent="0.2"/>
  <cols>
    <col min="1" max="1" width="6.85546875" customWidth="1"/>
    <col min="4" max="4" width="17" bestFit="1" customWidth="1"/>
    <col min="6" max="6" width="15.140625" bestFit="1" customWidth="1"/>
    <col min="7" max="7" width="17.42578125" bestFit="1" customWidth="1"/>
    <col min="8" max="8" width="62.8554687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Total!B962</f>
        <v>42430</v>
      </c>
      <c r="C2" s="101">
        <f>Total!C962</f>
        <v>42459</v>
      </c>
      <c r="D2" s="112" t="s">
        <v>1092</v>
      </c>
      <c r="E2" s="101" t="str">
        <f>Total!E962</f>
        <v>Obra Civil</v>
      </c>
      <c r="F2" s="96" t="str">
        <f>Total!F962</f>
        <v>Projectes</v>
      </c>
      <c r="G2" s="112" t="str">
        <f>Total!G962</f>
        <v>PC. ME-15057</v>
      </c>
      <c r="H2" s="112" t="str">
        <f>Total!H962</f>
        <v>Redacció del projecte constructiu de millora local. Millora de nus. Millora d'intersecció a la carretera C-12, pk 79,490. tram: Ascó.</v>
      </c>
      <c r="I2" s="157">
        <f>Total!I962</f>
        <v>37150</v>
      </c>
    </row>
    <row r="3" spans="1:9" x14ac:dyDescent="0.2">
      <c r="A3" s="8">
        <v>2</v>
      </c>
      <c r="B3" s="101">
        <f>Total!B963</f>
        <v>42430</v>
      </c>
      <c r="C3" s="101">
        <f>Total!C963</f>
        <v>42459</v>
      </c>
      <c r="D3" s="112" t="s">
        <v>1092</v>
      </c>
      <c r="E3" s="101" t="str">
        <f>Total!E963</f>
        <v>Obra Civil</v>
      </c>
      <c r="F3" s="96" t="str">
        <f>Total!F963</f>
        <v>Projectes</v>
      </c>
      <c r="G3" s="112" t="str">
        <f>Total!G963</f>
        <v>PC. ML-15051</v>
      </c>
      <c r="H3" s="112" t="str">
        <f>Total!H963</f>
        <v>Redacció del projecte constructiu de millora local. Seguretat viària. Mesures correctores d'allaus. Ctra. C-28, del pk 46,800 al 48,100, pk 51,000 i del pk 53,000 al 54,000. Tram: Variant dels Avets-Cap del Port de la Bonaigua (Alt Àneu).</v>
      </c>
      <c r="I3" s="157">
        <f>Total!I963</f>
        <v>75450</v>
      </c>
    </row>
    <row r="4" spans="1:9" x14ac:dyDescent="0.2">
      <c r="A4" s="8">
        <v>3</v>
      </c>
      <c r="B4" s="101">
        <f>Total!B964</f>
        <v>42436</v>
      </c>
      <c r="C4" s="101">
        <f>Total!C964</f>
        <v>42487</v>
      </c>
      <c r="D4" s="112" t="s">
        <v>1092</v>
      </c>
      <c r="E4" s="101" t="str">
        <f>Total!E964</f>
        <v>Edificació</v>
      </c>
      <c r="F4" s="96" t="str">
        <f>Total!F964</f>
        <v>Projectes i Direccions d'Obra</v>
      </c>
      <c r="G4" s="112" t="str">
        <f>Total!G964</f>
        <v>PE+DO. CAP-16204</v>
      </c>
      <c r="H4" s="112" t="str">
        <f>Total!H964</f>
        <v>Redacció del projecte bàsic i executiu i la posterior direcció d'obra del nou Centre d'Atenció Primària de La Seu d'Urgell.</v>
      </c>
      <c r="I4" s="157">
        <f>Total!I964</f>
        <v>238341</v>
      </c>
    </row>
    <row r="5" spans="1:9" x14ac:dyDescent="0.2">
      <c r="A5" s="8">
        <v>4</v>
      </c>
      <c r="B5" s="101">
        <f>Total!B965</f>
        <v>42443</v>
      </c>
      <c r="C5" s="101">
        <f>Total!C965</f>
        <v>42492</v>
      </c>
      <c r="D5" s="112" t="s">
        <v>1092</v>
      </c>
      <c r="E5" s="101" t="str">
        <f>Total!E965</f>
        <v>Obra Civil</v>
      </c>
      <c r="F5" s="96" t="str">
        <f>Total!F965</f>
        <v>Projectes</v>
      </c>
      <c r="G5" s="112" t="str">
        <f>Total!G965</f>
        <v>PC. VB-03120-A1</v>
      </c>
      <c r="H5" s="112" t="str">
        <f>Total!H965</f>
        <v>Redacció del projecte constructiu de millora general. Variant de la carretera C-59, del pk 20,000 al 25,000. tram: Sant Feliu de Codines.</v>
      </c>
      <c r="I5" s="157">
        <f>Total!I965</f>
        <v>482200</v>
      </c>
    </row>
    <row r="6" spans="1:9" x14ac:dyDescent="0.2">
      <c r="A6" s="8">
        <v>5</v>
      </c>
      <c r="B6" s="101">
        <f>Total!B966</f>
        <v>42446</v>
      </c>
      <c r="C6" s="101">
        <f>Total!C966</f>
        <v>42464</v>
      </c>
      <c r="D6" s="112" t="s">
        <v>1092</v>
      </c>
      <c r="E6" s="101" t="str">
        <f>Total!E966</f>
        <v>Obra Civil</v>
      </c>
      <c r="F6" s="96" t="str">
        <f>Total!F966</f>
        <v>Projectes</v>
      </c>
      <c r="G6" s="112" t="str">
        <f>Total!G966</f>
        <v>PC. TM-02609.22</v>
      </c>
      <c r="H6" s="112" t="str">
        <f>Total!H966</f>
        <v>Redacció del projecte de l'alimentació provisional de L9 des de Zona Franca (Interconnexió elèctrica amb SER Sagrera.</v>
      </c>
      <c r="I6" s="157">
        <f>Total!I966</f>
        <v>62500</v>
      </c>
    </row>
    <row r="7" spans="1:9" x14ac:dyDescent="0.2">
      <c r="A7" s="8">
        <v>6</v>
      </c>
      <c r="B7" s="101">
        <f>Total!B967</f>
        <v>42447</v>
      </c>
      <c r="C7" s="101">
        <f>Total!C967</f>
        <v>42464</v>
      </c>
      <c r="D7" s="112" t="s">
        <v>1092</v>
      </c>
      <c r="E7" s="101" t="str">
        <f>Total!E967</f>
        <v>Obra Civil</v>
      </c>
      <c r="F7" s="96" t="str">
        <f>Total!F967</f>
        <v>Projectes</v>
      </c>
      <c r="G7" s="112" t="str">
        <f>Total!G967</f>
        <v>EP. EP45</v>
      </c>
      <c r="H7" s="112" t="str">
        <f>Total!H967</f>
        <v>Serveis per a l'assistència tècnica per a la realització dels treballs de topografia corresponents als estudis i projectes d'obra civil i d'edificació a les comarques de Tarragona i Lleida.</v>
      </c>
      <c r="I7" s="157">
        <f>Total!I967</f>
        <v>40000</v>
      </c>
    </row>
    <row r="8" spans="1:9" x14ac:dyDescent="0.2">
      <c r="A8" s="8">
        <v>7</v>
      </c>
      <c r="B8" s="101">
        <f>Total!B968</f>
        <v>42447</v>
      </c>
      <c r="C8" s="101">
        <f>Total!C968</f>
        <v>42464</v>
      </c>
      <c r="D8" s="112" t="s">
        <v>1092</v>
      </c>
      <c r="E8" s="101" t="str">
        <f>Total!E968</f>
        <v>Obra Civil</v>
      </c>
      <c r="F8" s="96" t="str">
        <f>Total!F968</f>
        <v>Projectes</v>
      </c>
      <c r="G8" s="112" t="str">
        <f>Total!G968</f>
        <v>EP. EP44</v>
      </c>
      <c r="H8" s="112" t="str">
        <f>Total!H968</f>
        <v>Serveis per a l'assistència tècnica per a la realització dels treballs de topografia corresponents als estudis i projectes d'obra civil i d'edificació a les comarques de Barcelona i Girona.</v>
      </c>
      <c r="I8" s="157">
        <f>Total!I968</f>
        <v>186000</v>
      </c>
    </row>
    <row r="9" spans="1:9" x14ac:dyDescent="0.2">
      <c r="A9" s="8">
        <v>8</v>
      </c>
      <c r="B9" s="101">
        <f>Total!B969</f>
        <v>42459</v>
      </c>
      <c r="C9" s="101">
        <f>Total!C969</f>
        <v>42478</v>
      </c>
      <c r="D9" s="112" t="s">
        <v>1092</v>
      </c>
      <c r="E9" s="101" t="str">
        <f>Total!E969</f>
        <v>Edificació</v>
      </c>
      <c r="F9" s="96" t="str">
        <f>Total!F969</f>
        <v>Control de Qualitat</v>
      </c>
      <c r="G9" s="112" t="str">
        <f>Total!G969</f>
        <v>CQ. CLT-12917</v>
      </c>
      <c r="H9" s="112" t="str">
        <f>Total!H969</f>
        <v>Control de qualitat de les obres de construcció del Consultori Local de La Canonja.</v>
      </c>
      <c r="I9" s="157">
        <f>Total!I969</f>
        <v>21071.37</v>
      </c>
    </row>
    <row r="10" spans="1:9" x14ac:dyDescent="0.2">
      <c r="A10" s="8">
        <v>9</v>
      </c>
      <c r="B10" s="101">
        <f>Total!B970</f>
        <v>42460</v>
      </c>
      <c r="C10" s="101">
        <f>Total!C970</f>
        <v>42478</v>
      </c>
      <c r="D10" s="112" t="s">
        <v>1092</v>
      </c>
      <c r="E10" s="101" t="str">
        <f>Total!E970</f>
        <v>Obra Civil</v>
      </c>
      <c r="F10" s="96" t="str">
        <f>Total!F970</f>
        <v>Projectes</v>
      </c>
      <c r="G10" s="112" t="str">
        <f>Total!G970</f>
        <v>PC. TX-15358</v>
      </c>
      <c r="H10" s="112" t="str">
        <f>Total!H970</f>
        <v>Redacció del projecte constructiu de millora local. Via peatonal i ciclista a la carretera GI-524, del pk 3,400 (Can Blanc) al pk 6,500 (àrea d'aparcament del volcà de Santa Margarida). Tram: Santa Pau.</v>
      </c>
      <c r="I10" s="157">
        <f>Total!I970</f>
        <v>37150</v>
      </c>
    </row>
    <row r="11" spans="1:9" x14ac:dyDescent="0.2">
      <c r="A11" s="8">
        <v>10</v>
      </c>
      <c r="B11" s="101">
        <f>Total!B971</f>
        <v>42460</v>
      </c>
      <c r="C11" s="101">
        <f>Total!C971</f>
        <v>42478</v>
      </c>
      <c r="D11" s="112" t="s">
        <v>1092</v>
      </c>
      <c r="E11" s="101" t="str">
        <f>Total!E971</f>
        <v>Obra Civil</v>
      </c>
      <c r="F11" s="96" t="str">
        <f>Total!F971</f>
        <v>Projectes</v>
      </c>
      <c r="G11" s="112" t="str">
        <f>Total!G971</f>
        <v>PC. MB-15056</v>
      </c>
      <c r="H11" s="112" t="str">
        <f>Total!H971</f>
        <v>Redacció del projecte constructiu de millora local. Millora de nus. Rotonda a la carretera BV-2244, pk 1,320. Tram: Sant Sadurní d'Anoia.</v>
      </c>
      <c r="I11" s="157">
        <f>Total!I971</f>
        <v>25500</v>
      </c>
    </row>
    <row r="12" spans="1:9" x14ac:dyDescent="0.2">
      <c r="A12" s="8">
        <v>11</v>
      </c>
      <c r="B12" s="101">
        <f>Total!B972</f>
        <v>42460</v>
      </c>
      <c r="C12" s="101">
        <f>Total!C972</f>
        <v>42478</v>
      </c>
      <c r="D12" s="112" t="s">
        <v>1092</v>
      </c>
      <c r="E12" s="101" t="str">
        <f>Total!E972</f>
        <v>Obra Civil</v>
      </c>
      <c r="F12" s="96" t="str">
        <f>Total!F972</f>
        <v>Projectes</v>
      </c>
      <c r="G12" s="112" t="str">
        <f>Total!G972</f>
        <v>PC. AB-14009.F2</v>
      </c>
      <c r="H12" s="112" t="str">
        <f>Total!H972</f>
        <v>Redacció del projecte constructiu de millora general. Condicionament. Nous carrisl de trenat a la calçada sentit Barcelona de l'autopista C-58, entre el nus de Sant Pau a Sabadell i l'autopista B-30 del pk 9,000-10,400. Tr: Badia del Vallès-Sabadell.</v>
      </c>
      <c r="I12" s="157">
        <f>Total!I972</f>
        <v>171300</v>
      </c>
    </row>
    <row r="13" spans="1:9" x14ac:dyDescent="0.2">
      <c r="I13" s="126">
        <f>SUM(I2:I12)</f>
        <v>1376662.37</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I34"/>
  <sheetViews>
    <sheetView workbookViewId="0">
      <selection activeCell="I34" sqref="I34"/>
    </sheetView>
  </sheetViews>
  <sheetFormatPr baseColWidth="10" defaultRowHeight="12.75" x14ac:dyDescent="0.2"/>
  <cols>
    <col min="1" max="1" width="6.85546875" customWidth="1"/>
    <col min="4" max="4" width="17" bestFit="1" customWidth="1"/>
    <col min="6" max="6" width="15.140625" bestFit="1" customWidth="1"/>
    <col min="7" max="7" width="17.42578125" bestFit="1" customWidth="1"/>
    <col min="8" max="8" width="62.8554687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Total!B927</f>
        <v>42401</v>
      </c>
      <c r="C2" s="101">
        <f>Total!C927</f>
        <v>42417</v>
      </c>
      <c r="D2" s="112" t="s">
        <v>1092</v>
      </c>
      <c r="E2" s="101" t="str">
        <f>Total!E927</f>
        <v>Obra Civil</v>
      </c>
      <c r="F2" s="96" t="str">
        <f>Total!F927</f>
        <v>Projectes</v>
      </c>
      <c r="G2" s="112" t="str">
        <f>Total!G927</f>
        <v>PC. TF-02676.12</v>
      </c>
      <c r="H2" s="112" t="str">
        <f>Total!H927</f>
        <v>Redacció del projecte constructiu de millora de l'accés de les cotxeres de Ca n'Oriac.</v>
      </c>
      <c r="I2" s="157">
        <f>Total!I927</f>
        <v>25500</v>
      </c>
    </row>
    <row r="3" spans="1:9" x14ac:dyDescent="0.2">
      <c r="A3" s="8">
        <v>2</v>
      </c>
      <c r="B3" s="101">
        <f>Total!B928</f>
        <v>42401</v>
      </c>
      <c r="C3" s="101">
        <f>Total!C928</f>
        <v>42417</v>
      </c>
      <c r="D3" s="112" t="s">
        <v>1092</v>
      </c>
      <c r="E3" s="101" t="str">
        <f>Total!E928</f>
        <v>Obra Civil</v>
      </c>
      <c r="F3" s="96" t="str">
        <f>Total!F928</f>
        <v>Projectes</v>
      </c>
      <c r="G3" s="112" t="str">
        <f>Total!G928</f>
        <v>PC. TX-07266</v>
      </c>
      <c r="H3" s="112" t="str">
        <f>Total!H928</f>
        <v>Redacció del projecte constructiu d'integració urbana de la línia ferroviària Lleida-La Pobla al municipi de Balaguer.</v>
      </c>
      <c r="I3" s="157">
        <f>Total!I928</f>
        <v>90300</v>
      </c>
    </row>
    <row r="4" spans="1:9" x14ac:dyDescent="0.2">
      <c r="A4" s="8">
        <v>4</v>
      </c>
      <c r="B4" s="101">
        <f>Total!B932</f>
        <v>42402</v>
      </c>
      <c r="C4" s="101">
        <f>Total!C932</f>
        <v>42422</v>
      </c>
      <c r="D4" s="112" t="s">
        <v>1092</v>
      </c>
      <c r="E4" s="101" t="str">
        <f>Total!E932</f>
        <v>Edificació</v>
      </c>
      <c r="F4" s="96" t="str">
        <f>Total!F932</f>
        <v>Direccions d'Execució</v>
      </c>
      <c r="G4" s="112" t="str">
        <f>Total!G932</f>
        <v>DE. INM-09325.A</v>
      </c>
      <c r="H4" s="112" t="str">
        <f>Total!H932</f>
        <v>Direcció d'execució de les obres d'actualització de nova construcció Institut 3/0 línies de l'Institut de Pineda de Mar.</v>
      </c>
      <c r="I4" s="157">
        <f>Total!I932</f>
        <v>95680.38</v>
      </c>
    </row>
    <row r="5" spans="1:9" x14ac:dyDescent="0.2">
      <c r="A5" s="8">
        <v>5</v>
      </c>
      <c r="B5" s="101">
        <f>Total!B933</f>
        <v>42402</v>
      </c>
      <c r="C5" s="101">
        <f>Total!C933</f>
        <v>42422</v>
      </c>
      <c r="D5" s="112" t="s">
        <v>1092</v>
      </c>
      <c r="E5" s="101" t="str">
        <f>Total!E933</f>
        <v>Edificació</v>
      </c>
      <c r="F5" s="96" t="str">
        <f>Total!F933</f>
        <v>Control de Qualitat</v>
      </c>
      <c r="G5" s="112" t="str">
        <f>Total!G933</f>
        <v>CQ. INM-09325.A</v>
      </c>
      <c r="H5" s="112" t="str">
        <f>Total!H933</f>
        <v>Control de qualitat de les obres d'actualització de nova construcció Institut 3/0 línies de l'Institut de Pineda de Mar.</v>
      </c>
      <c r="I5" s="157">
        <f>Total!I933</f>
        <v>49686.54</v>
      </c>
    </row>
    <row r="6" spans="1:9" x14ac:dyDescent="0.2">
      <c r="A6" s="8">
        <v>6</v>
      </c>
      <c r="B6" s="101">
        <f>Total!B934</f>
        <v>42402</v>
      </c>
      <c r="C6" s="101">
        <f>Total!C934</f>
        <v>42422</v>
      </c>
      <c r="D6" s="112" t="s">
        <v>1092</v>
      </c>
      <c r="E6" s="101" t="str">
        <f>Total!E934</f>
        <v>Edificació</v>
      </c>
      <c r="F6" s="96" t="str">
        <f>Total!F934</f>
        <v>Direccions d'Obra</v>
      </c>
      <c r="G6" s="112" t="str">
        <f>Total!G934</f>
        <v>DO. INM-09325.A</v>
      </c>
      <c r="H6" s="112" t="str">
        <f>Total!H934</f>
        <v>Direcció de les obres d'actualització de nova construcció Institut 3/0 línies de l'Institut de Pineda de Mar.</v>
      </c>
      <c r="I6" s="157">
        <f>Total!I934</f>
        <v>90341.99</v>
      </c>
    </row>
    <row r="7" spans="1:9" x14ac:dyDescent="0.2">
      <c r="A7" s="8">
        <v>7</v>
      </c>
      <c r="B7" s="101">
        <f>Total!B935</f>
        <v>42402</v>
      </c>
      <c r="C7" s="101">
        <f>Total!C935</f>
        <v>42422</v>
      </c>
      <c r="D7" s="112" t="s">
        <v>1092</v>
      </c>
      <c r="E7" s="101" t="str">
        <f>Total!E935</f>
        <v>Edificació</v>
      </c>
      <c r="F7" s="96" t="str">
        <f>Total!F935</f>
        <v>Direccions d'Execució</v>
      </c>
      <c r="G7" s="112" t="str">
        <f>Total!G935</f>
        <v>CSS. PNH-13301</v>
      </c>
      <c r="H7" s="112" t="str">
        <f>Total!H935</f>
        <v>Assistència tècnica de coordinació de seguretat i salut de les obres de nova construcció Escola 1 línia a l'Escola Emili Teixidor de Roda de Ter.</v>
      </c>
      <c r="I7" s="157">
        <f>Total!I935</f>
        <v>16327</v>
      </c>
    </row>
    <row r="8" spans="1:9" x14ac:dyDescent="0.2">
      <c r="A8" s="8">
        <v>8</v>
      </c>
      <c r="B8" s="101">
        <f>Total!B936</f>
        <v>42403</v>
      </c>
      <c r="C8" s="101">
        <f>Total!C936</f>
        <v>42422</v>
      </c>
      <c r="D8" s="112" t="s">
        <v>1092</v>
      </c>
      <c r="E8" s="101" t="str">
        <f>Total!E936</f>
        <v>Edificació</v>
      </c>
      <c r="F8" s="96" t="str">
        <f>Total!F936</f>
        <v>Direccions d'Execució</v>
      </c>
      <c r="G8" s="112" t="str">
        <f>Total!G936</f>
        <v>CSS. PNH-13306</v>
      </c>
      <c r="H8" s="112" t="str">
        <f>Total!H936</f>
        <v>Assistència tècnica de coordinació de seguretat i salut de les obres de nova construcció Escola 1 línia a l'Escola Soler de Viladrell a Sant Celoni.</v>
      </c>
      <c r="I8" s="157">
        <f>Total!I936</f>
        <v>16369</v>
      </c>
    </row>
    <row r="9" spans="1:9" x14ac:dyDescent="0.2">
      <c r="A9" s="8">
        <v>9</v>
      </c>
      <c r="B9" s="101">
        <f>Total!B937</f>
        <v>42403</v>
      </c>
      <c r="C9" s="101">
        <f>Total!C937</f>
        <v>42422</v>
      </c>
      <c r="D9" s="112" t="s">
        <v>1092</v>
      </c>
      <c r="E9" s="101" t="str">
        <f>Total!E937</f>
        <v>Edificació</v>
      </c>
      <c r="F9" s="96" t="str">
        <f>Total!F937</f>
        <v>Direccions d'Execució</v>
      </c>
      <c r="G9" s="112" t="str">
        <f>Total!G937</f>
        <v>CSS. INM-09325.A</v>
      </c>
      <c r="H9" s="112" t="str">
        <f>Total!H937</f>
        <v>Assistència tècnica de coordinació de seguretat i salut de les obres d'actualització de nova construcció Institut 3/0 línies de l'Institut de Pineda de Mar.</v>
      </c>
      <c r="I9" s="157">
        <f>Total!I937</f>
        <v>19136.080000000002</v>
      </c>
    </row>
    <row r="10" spans="1:9" x14ac:dyDescent="0.2">
      <c r="A10" s="8">
        <v>10</v>
      </c>
      <c r="B10" s="101">
        <f>Total!B938</f>
        <v>42404</v>
      </c>
      <c r="C10" s="101">
        <f>Total!C938</f>
        <v>42422</v>
      </c>
      <c r="D10" s="112" t="s">
        <v>1092</v>
      </c>
      <c r="E10" s="101" t="str">
        <f>Total!E938</f>
        <v>Obra Civil</v>
      </c>
      <c r="F10" s="96" t="str">
        <f>Total!F938</f>
        <v>Control de Qualitat</v>
      </c>
      <c r="G10" s="112" t="str">
        <f>Total!G938</f>
        <v>CQ. NB-07078.1.F1</v>
      </c>
      <c r="H10" s="112" t="str">
        <f>Total!H938</f>
        <v>Control de qualitat de les obres del projecte de millora general. Nova carretera. Millora de l'accessibilitat a la vialitat urbana de Badalona. Calçada lateral a la C-31 sentit Barcelona, del pk 212,650 al 213,800. Fase 1(trams 2 i 3). Tram: Badalona</v>
      </c>
      <c r="I10" s="157">
        <f>Total!I938</f>
        <v>44037.45</v>
      </c>
    </row>
    <row r="11" spans="1:9" x14ac:dyDescent="0.2">
      <c r="A11" s="8">
        <v>11</v>
      </c>
      <c r="B11" s="101">
        <f>Total!B939</f>
        <v>42404</v>
      </c>
      <c r="C11" s="101">
        <f>Total!C939</f>
        <v>42424</v>
      </c>
      <c r="D11" s="112" t="s">
        <v>1092</v>
      </c>
      <c r="E11" s="101" t="str">
        <f>Total!E939</f>
        <v>Obra Civil</v>
      </c>
      <c r="F11" s="96" t="str">
        <f>Total!F939</f>
        <v>Projectes</v>
      </c>
      <c r="G11" s="112" t="str">
        <f>Total!G939</f>
        <v>EV. AE-MT-15024</v>
      </c>
      <c r="H11" s="112" t="str">
        <f>Total!H939</f>
        <v>Redacció de l'estudi d'avaluació de seguretat viària. Condicionament urbà de la carretera C-31, del pk 141 al 146. Tram: Calafell-Cunit.</v>
      </c>
      <c r="I11" s="157">
        <f>Total!I939</f>
        <v>20800</v>
      </c>
    </row>
    <row r="12" spans="1:9" x14ac:dyDescent="0.2">
      <c r="A12" s="8">
        <v>12</v>
      </c>
      <c r="B12" s="101">
        <f>Total!B940</f>
        <v>42404</v>
      </c>
      <c r="C12" s="101">
        <f>Total!C940</f>
        <v>42424</v>
      </c>
      <c r="D12" s="112" t="s">
        <v>1092</v>
      </c>
      <c r="E12" s="101" t="str">
        <f>Total!E940</f>
        <v>Obra Civil</v>
      </c>
      <c r="F12" s="96" t="str">
        <f>Total!F940</f>
        <v>Projectes</v>
      </c>
      <c r="G12" s="112" t="str">
        <f>Total!G940</f>
        <v>PC. XT-15006</v>
      </c>
      <c r="H12" s="112" t="str">
        <f>Total!H940</f>
        <v>Redacció del projecte constructiu de millora local. Via verda. Pista bici paral·lela a la carretera T-323, del pk 0,000 al 5,050. Tram: Mont-roig del Camp.</v>
      </c>
      <c r="I12" s="157">
        <f>Total!I940</f>
        <v>34200</v>
      </c>
    </row>
    <row r="13" spans="1:9" x14ac:dyDescent="0.2">
      <c r="A13" s="8">
        <v>13</v>
      </c>
      <c r="B13" s="101">
        <f>Total!B941</f>
        <v>42408</v>
      </c>
      <c r="C13" s="101">
        <f>Total!C941</f>
        <v>42424</v>
      </c>
      <c r="D13" s="112" t="s">
        <v>1092</v>
      </c>
      <c r="E13" s="101" t="str">
        <f>Total!E941</f>
        <v>Edificació</v>
      </c>
      <c r="F13" s="96" t="str">
        <f>Total!F941</f>
        <v>Direccions d'Obra</v>
      </c>
      <c r="G13" s="112" t="str">
        <f>Total!G941</f>
        <v>DO. IAG-09265</v>
      </c>
      <c r="H13" s="112" t="str">
        <f>Total!H941</f>
        <v>Direcció de les obres de reforma i ampliació d'institut a 3/2 línies mes cicles formatius a l'Institut Montsortiu d'Arbúcies.</v>
      </c>
      <c r="I13" s="157">
        <f>Total!I941</f>
        <v>108717.43</v>
      </c>
    </row>
    <row r="14" spans="1:9" x14ac:dyDescent="0.2">
      <c r="A14" s="8">
        <v>14</v>
      </c>
      <c r="B14" s="101">
        <f>Total!B942</f>
        <v>42408</v>
      </c>
      <c r="C14" s="101">
        <f>Total!C942</f>
        <v>42424</v>
      </c>
      <c r="D14" s="112" t="s">
        <v>1092</v>
      </c>
      <c r="E14" s="101" t="str">
        <f>Total!E942</f>
        <v>Edificació</v>
      </c>
      <c r="F14" s="96" t="str">
        <f>Total!F942</f>
        <v>Direccions d'Execució</v>
      </c>
      <c r="G14" s="112" t="str">
        <f>Total!G942</f>
        <v>DE. IAG-09265</v>
      </c>
      <c r="H14" s="112" t="str">
        <f>Total!H942</f>
        <v>Direcció d'execució de les obres de reforma i ampliació d'institut a 3/2 línies mes cicles formatius a l'Institut Montsortiu d'Arbúcies.</v>
      </c>
      <c r="I14" s="157">
        <f>Total!I942</f>
        <v>115141.64</v>
      </c>
    </row>
    <row r="15" spans="1:9" x14ac:dyDescent="0.2">
      <c r="A15" s="8">
        <v>15</v>
      </c>
      <c r="B15" s="101">
        <f>Total!B943</f>
        <v>42408</v>
      </c>
      <c r="C15" s="101">
        <f>Total!C943</f>
        <v>42424</v>
      </c>
      <c r="D15" s="112" t="s">
        <v>1092</v>
      </c>
      <c r="E15" s="101" t="str">
        <f>Total!E943</f>
        <v>Edificació</v>
      </c>
      <c r="F15" s="96" t="str">
        <f>Total!F943</f>
        <v>Control de Qualitat</v>
      </c>
      <c r="G15" s="112" t="str">
        <f>Total!G943</f>
        <v>CQ. IAG-09265</v>
      </c>
      <c r="H15" s="112" t="str">
        <f>Total!H943</f>
        <v>Control de qualitat de les obres de reforma i ampliació d'institut a 3/2 línies mes cicles formatius a l'Institut Montsortiu d'Arbúcies.</v>
      </c>
      <c r="I15" s="157">
        <f>Total!I943</f>
        <v>70695.59</v>
      </c>
    </row>
    <row r="16" spans="1:9" x14ac:dyDescent="0.2">
      <c r="A16" s="8">
        <v>16</v>
      </c>
      <c r="B16" s="101">
        <f>Total!B944</f>
        <v>42408</v>
      </c>
      <c r="C16" s="101">
        <f>Total!C944</f>
        <v>42424</v>
      </c>
      <c r="D16" s="112" t="s">
        <v>1092</v>
      </c>
      <c r="E16" s="101" t="str">
        <f>Total!E944</f>
        <v>Edificació</v>
      </c>
      <c r="F16" s="96" t="str">
        <f>Total!F944</f>
        <v>Direccions d'Execució</v>
      </c>
      <c r="G16" s="112" t="str">
        <f>Total!G944</f>
        <v>CSS.IAG-09265</v>
      </c>
      <c r="H16" s="112" t="str">
        <f>Total!H944</f>
        <v>Coordinació de seguretat i salut de les obres de reforma i ampliació d'institut a 3/2 línies mes cicles formatius a l'Institut Montsortiu d'Arbúcies.</v>
      </c>
      <c r="I16" s="157">
        <f>Total!I944</f>
        <v>28785.41</v>
      </c>
    </row>
    <row r="17" spans="1:9" x14ac:dyDescent="0.2">
      <c r="A17" s="8">
        <v>17</v>
      </c>
      <c r="B17" s="101">
        <f>Total!B945</f>
        <v>42409</v>
      </c>
      <c r="C17" s="101">
        <f>Total!C945</f>
        <v>42429</v>
      </c>
      <c r="D17" s="112" t="s">
        <v>1092</v>
      </c>
      <c r="E17" s="101" t="str">
        <f>Total!E945</f>
        <v>Obra Civil</v>
      </c>
      <c r="F17" s="96" t="str">
        <f>Total!F945</f>
        <v>Projectes</v>
      </c>
      <c r="G17" s="112" t="str">
        <f>Total!G945</f>
        <v>PC. MB-15055</v>
      </c>
      <c r="H17" s="112" t="str">
        <f>Total!H945</f>
        <v>Redacció del projecte constructiu de millora local. Seguretat viària. Millora de les característiques superficials del ferm i reestudi de la secció transversal. Carretera C-55, del pk 11,400 al 18,500. Tram: Collbató-Castellbell i el Vilar.</v>
      </c>
      <c r="I17" s="157">
        <f>Total!I945</f>
        <v>110670</v>
      </c>
    </row>
    <row r="18" spans="1:9" x14ac:dyDescent="0.2">
      <c r="A18" s="8">
        <v>18</v>
      </c>
      <c r="B18" s="101">
        <f>Total!B946</f>
        <v>42409</v>
      </c>
      <c r="C18" s="101">
        <f>Total!C946</f>
        <v>42429</v>
      </c>
      <c r="D18" s="112" t="s">
        <v>1092</v>
      </c>
      <c r="E18" s="101" t="str">
        <f>Total!E946</f>
        <v>Obra Civil</v>
      </c>
      <c r="F18" s="96" t="str">
        <f>Total!F946</f>
        <v>Projectes</v>
      </c>
      <c r="G18" s="112" t="str">
        <f>Total!G946</f>
        <v>PC. MB-15054</v>
      </c>
      <c r="H18" s="112" t="str">
        <f>Total!H946</f>
        <v>Redacció del projecte constructiu de millora local. Seguretat viària. Millora de les característiques superficials del ferm i reestudi de la secció transversal. Ctra. C-55, del pk 5,075 al 9,360. Tram: Olesa de Montserrat-Collbató.</v>
      </c>
      <c r="I18" s="157">
        <f>Total!I946</f>
        <v>85820</v>
      </c>
    </row>
    <row r="19" spans="1:9" x14ac:dyDescent="0.2">
      <c r="A19" s="8">
        <v>19</v>
      </c>
      <c r="B19" s="101">
        <f>Total!B947</f>
        <v>42409</v>
      </c>
      <c r="C19" s="101">
        <f>Total!C947</f>
        <v>42429</v>
      </c>
      <c r="D19" s="112" t="s">
        <v>1092</v>
      </c>
      <c r="E19" s="101" t="str">
        <f>Total!E947</f>
        <v>Obra Civil</v>
      </c>
      <c r="F19" s="96" t="str">
        <f>Total!F947</f>
        <v>Projectes</v>
      </c>
      <c r="G19" s="112" t="str">
        <f>Total!G947</f>
        <v>PC. MB-15053</v>
      </c>
      <c r="H19" s="112" t="str">
        <f>Total!H947</f>
        <v>Redacció del projecte constructiu de millora local. Seguretat viària. Millora de les característiques superficials del ferm i reestudi de la secció transversal. Ctra. C-55, del pk 0,380 al 5,075. Tram: Abrera-Olesa de Montserrat.</v>
      </c>
      <c r="I19" s="157">
        <f>Total!I947</f>
        <v>91850</v>
      </c>
    </row>
    <row r="20" spans="1:9" x14ac:dyDescent="0.2">
      <c r="A20" s="8">
        <v>20</v>
      </c>
      <c r="B20" s="101">
        <f>Total!B948</f>
        <v>42409</v>
      </c>
      <c r="C20" s="101">
        <f>Total!C948</f>
        <v>42429</v>
      </c>
      <c r="D20" s="112" t="s">
        <v>1092</v>
      </c>
      <c r="E20" s="101" t="str">
        <f>Total!E948</f>
        <v>Obra Civil</v>
      </c>
      <c r="F20" s="96" t="str">
        <f>Total!F948</f>
        <v>Projectes</v>
      </c>
      <c r="G20" s="112" t="str">
        <f>Total!G948</f>
        <v>PC. MB-07109-A1</v>
      </c>
      <c r="H20" s="112" t="str">
        <f>Total!H948</f>
        <v>Redacció del projecte constructiu de millora local. Implantació d'un tercer carril a la ctra. C-55 del pk 9,360 a 11,400. Tram: Collbató.</v>
      </c>
      <c r="I20" s="157">
        <f>Total!I948</f>
        <v>53400</v>
      </c>
    </row>
    <row r="21" spans="1:9" x14ac:dyDescent="0.2">
      <c r="A21" s="8">
        <v>21</v>
      </c>
      <c r="B21" s="101">
        <f>Total!B949</f>
        <v>42411</v>
      </c>
      <c r="C21" s="101">
        <f>Total!C949</f>
        <v>42429</v>
      </c>
      <c r="D21" s="112" t="s">
        <v>1092</v>
      </c>
      <c r="E21" s="101" t="str">
        <f>Total!E949</f>
        <v>Obra Civil</v>
      </c>
      <c r="F21" s="96" t="str">
        <f>Total!F949</f>
        <v>Projectes</v>
      </c>
      <c r="G21" s="112" t="str">
        <f>Total!G949</f>
        <v>IA. TR-09414</v>
      </c>
      <c r="H21" s="112" t="str">
        <f>Total!H949</f>
        <v>Redacció de l'estudi d'impacte ambiental del projecte de condicionament i millora de la xarxa de distribució del reg del Molí de Pals.</v>
      </c>
      <c r="I21" s="157">
        <f>Total!I949</f>
        <v>37291.199999999997</v>
      </c>
    </row>
    <row r="22" spans="1:9" x14ac:dyDescent="0.2">
      <c r="A22" s="8">
        <v>22</v>
      </c>
      <c r="B22" s="101">
        <f>Total!B950</f>
        <v>42411</v>
      </c>
      <c r="C22" s="101">
        <f>Total!C950</f>
        <v>42429</v>
      </c>
      <c r="D22" s="112" t="s">
        <v>1092</v>
      </c>
      <c r="E22" s="101" t="str">
        <f>Total!E950</f>
        <v>Obra Civil</v>
      </c>
      <c r="F22" s="96" t="str">
        <f>Total!F950</f>
        <v>Projectes</v>
      </c>
      <c r="G22" s="112" t="str">
        <f>Total!G950</f>
        <v>IA. TR-10020</v>
      </c>
      <c r="H22" s="112" t="str">
        <f>Total!H950</f>
        <v>Redacció de l'estudi d'impacte ambiental del projecte de condicionament i millora de la xarxa de distribució del reg de la comunitat de regants de la presa de Colomers.</v>
      </c>
      <c r="I22" s="157">
        <f>Total!I950</f>
        <v>35305.599999999999</v>
      </c>
    </row>
    <row r="23" spans="1:9" x14ac:dyDescent="0.2">
      <c r="A23" s="8">
        <v>23</v>
      </c>
      <c r="B23" s="101">
        <f>Total!B951</f>
        <v>42415</v>
      </c>
      <c r="C23" s="101">
        <f>Total!C951</f>
        <v>42431</v>
      </c>
      <c r="D23" s="112" t="s">
        <v>1092</v>
      </c>
      <c r="E23" s="101" t="str">
        <f>Total!E951</f>
        <v>Obra Civil</v>
      </c>
      <c r="F23" s="96" t="str">
        <f>Total!F951</f>
        <v>Projectes</v>
      </c>
      <c r="G23" s="112" t="str">
        <f>Total!G951</f>
        <v>EI. EI-NB-15065</v>
      </c>
      <c r="H23" s="112" t="str">
        <f>Total!H951</f>
        <v>Redacció de l'estudi informatiu de millora general. Nova carretera. Nou accés a Igualada sud des de la carretera C-37 al pk 64,400. Tram: Vilanova del Camí-Igualada.</v>
      </c>
      <c r="I23" s="157">
        <f>Total!I951</f>
        <v>56800</v>
      </c>
    </row>
    <row r="24" spans="1:9" x14ac:dyDescent="0.2">
      <c r="A24" s="8">
        <v>24</v>
      </c>
      <c r="B24" s="101">
        <f>Total!B952</f>
        <v>42415</v>
      </c>
      <c r="C24" s="101">
        <f>Total!C952</f>
        <v>42431</v>
      </c>
      <c r="D24" s="112" t="s">
        <v>1092</v>
      </c>
      <c r="E24" s="101" t="str">
        <f>Total!E952</f>
        <v>Obra Civil</v>
      </c>
      <c r="F24" s="96" t="str">
        <f>Total!F952</f>
        <v>Projectes</v>
      </c>
      <c r="G24" s="112" t="str">
        <f>Total!G952</f>
        <v>PC. VB-01055</v>
      </c>
      <c r="H24" s="112" t="str">
        <f>Total!H952</f>
        <v>Redacció del projecte constructiu de millora general. Variant de Sagàs. Carretera C-62, del pk 23,000 al 25,600. Tram: Santa Maria de Merlès-Sagàs.</v>
      </c>
      <c r="I24" s="157">
        <f>Total!I952</f>
        <v>163600</v>
      </c>
    </row>
    <row r="25" spans="1:9" x14ac:dyDescent="0.2">
      <c r="A25" s="8">
        <v>25</v>
      </c>
      <c r="B25" s="101">
        <f>Total!B953</f>
        <v>42415</v>
      </c>
      <c r="C25" s="101">
        <f>Total!C953</f>
        <v>42438</v>
      </c>
      <c r="D25" s="112" t="s">
        <v>1092</v>
      </c>
      <c r="E25" s="101" t="str">
        <f>Total!E953</f>
        <v>Edificació</v>
      </c>
      <c r="F25" s="96" t="str">
        <f>Total!F953</f>
        <v>Projectes i Direccions d'Obra</v>
      </c>
      <c r="G25" s="112" t="str">
        <f>Total!G953</f>
        <v>PE+DO. HHB-15356</v>
      </c>
      <c r="H25" s="112" t="str">
        <f>Total!H953</f>
        <v>Redacció del projecte bàsic i executiu i la posterior direcció de les obres del nou accès ambulatori i reforma del soterrani 2 per a consultes externes de l'Àrea Maternoinfantil de l'Hospital Vall d'Hebron, de Barcelona.</v>
      </c>
      <c r="I25" s="157">
        <f>Total!I953</f>
        <v>206626</v>
      </c>
    </row>
    <row r="26" spans="1:9" x14ac:dyDescent="0.2">
      <c r="A26" s="8">
        <v>26</v>
      </c>
      <c r="B26" s="101">
        <f>Total!B954</f>
        <v>42416</v>
      </c>
      <c r="C26" s="101">
        <f>Total!C954</f>
        <v>42436</v>
      </c>
      <c r="D26" s="112" t="s">
        <v>1092</v>
      </c>
      <c r="E26" s="101" t="str">
        <f>Total!E954</f>
        <v>Edificació</v>
      </c>
      <c r="F26" s="96" t="str">
        <f>Total!F954</f>
        <v>Direccions d'Execució</v>
      </c>
      <c r="G26" s="112" t="str">
        <f>Total!G954</f>
        <v>DE. PGM-14318</v>
      </c>
      <c r="H26" s="112" t="str">
        <f>Total!H954</f>
        <v>Direcció d'execució de les obres de reforma, ampliació i millora del Parc de Bombers existent a Vilafranca del Penedès. Fase 1 i Fase 2.</v>
      </c>
      <c r="I26" s="157">
        <f>Total!I954</f>
        <v>21500</v>
      </c>
    </row>
    <row r="27" spans="1:9" x14ac:dyDescent="0.2">
      <c r="A27" s="8">
        <v>27</v>
      </c>
      <c r="B27" s="101">
        <f>Total!B955</f>
        <v>42417</v>
      </c>
      <c r="C27" s="101">
        <f>Total!C955</f>
        <v>42436</v>
      </c>
      <c r="D27" s="112" t="s">
        <v>1092</v>
      </c>
      <c r="E27" s="101" t="str">
        <f>Total!E955</f>
        <v>Obra Civil</v>
      </c>
      <c r="F27" s="96" t="str">
        <f>Total!F955</f>
        <v>Direccions d'Obra</v>
      </c>
      <c r="G27" s="112" t="str">
        <f>Total!G955</f>
        <v>DO. TF-13290</v>
      </c>
      <c r="H27" s="112" t="str">
        <f>Total!H955</f>
        <v>Direcció de les obres del projecte d'adaptació a la normativa i millora de l'accessibilitat de l'estació de Putxet dels FGC. Remodelació d'accessos a vestíbul i andanes per a l'execució d'itineraris adaptats.</v>
      </c>
      <c r="I27" s="157">
        <f>Total!I955</f>
        <v>103555.56</v>
      </c>
    </row>
    <row r="28" spans="1:9" x14ac:dyDescent="0.2">
      <c r="A28" s="8">
        <v>28</v>
      </c>
      <c r="B28" s="101">
        <f>Total!B956</f>
        <v>42417</v>
      </c>
      <c r="C28" s="101">
        <f>Total!C956</f>
        <v>42443</v>
      </c>
      <c r="D28" s="112" t="s">
        <v>1092</v>
      </c>
      <c r="E28" s="101" t="str">
        <f>Total!E956</f>
        <v>Obra Civil</v>
      </c>
      <c r="F28" s="96" t="str">
        <f>Total!F956</f>
        <v>Projectes</v>
      </c>
      <c r="G28" s="112" t="str">
        <f>Total!G956</f>
        <v>IA. NB-15065</v>
      </c>
      <c r="H28" s="112" t="str">
        <f>Total!H956</f>
        <v>Redacció de l'estudi d'impacte ambiental de millora general. Nova carretera. Nou accés a Igualada sud des de la carretera C-37, al pk 64,400. Tram: Vilanova del Camí - Igualada.</v>
      </c>
      <c r="I28" s="157">
        <f>Total!I956</f>
        <v>21900</v>
      </c>
    </row>
    <row r="29" spans="1:9" x14ac:dyDescent="0.2">
      <c r="A29" s="8">
        <v>29</v>
      </c>
      <c r="B29" s="101">
        <f>Total!B957</f>
        <v>42423</v>
      </c>
      <c r="C29" s="101">
        <f>Total!C957</f>
        <v>42450</v>
      </c>
      <c r="D29" s="112" t="s">
        <v>1092</v>
      </c>
      <c r="E29" s="101" t="str">
        <f>Total!E957</f>
        <v>Obra Civil</v>
      </c>
      <c r="F29" s="96" t="str">
        <f>Total!F957</f>
        <v>Projectes</v>
      </c>
      <c r="G29" s="112" t="str">
        <f>Total!G957</f>
        <v>PC. ME-15041</v>
      </c>
      <c r="H29" s="112" t="str">
        <f>Total!H957</f>
        <v>Redacció del projecte constructiu de millora local. Seguretat viària. Reordenació dels accessos a la ctra. C-12, entre el pk 21,200 i el 23,400. Tram: Tortosa-Aldover.</v>
      </c>
      <c r="I29" s="157">
        <f>Total!I957</f>
        <v>25500</v>
      </c>
    </row>
    <row r="30" spans="1:9" x14ac:dyDescent="0.2">
      <c r="A30" s="8">
        <v>30</v>
      </c>
      <c r="B30" s="101">
        <f>Total!B958</f>
        <v>42423</v>
      </c>
      <c r="C30" s="101">
        <f>Total!C958</f>
        <v>42450</v>
      </c>
      <c r="D30" s="112" t="s">
        <v>1092</v>
      </c>
      <c r="E30" s="101" t="str">
        <f>Total!E958</f>
        <v>Obra Civil</v>
      </c>
      <c r="F30" s="96" t="str">
        <f>Total!F958</f>
        <v>Projectes</v>
      </c>
      <c r="G30" s="112" t="str">
        <f>Total!G958</f>
        <v>PC. ME-15042</v>
      </c>
      <c r="H30" s="112" t="str">
        <f>Total!H958</f>
        <v>Redacció del projecte constructiu de millora local. Travesseres. Millora de la travessera d'Alcanar. Ctra. TP-3318, del pk 6,800 al 7,595, i TV-3321a, del pk 0,000 al 0,560. Tram: Alcanar.</v>
      </c>
      <c r="I30" s="157">
        <f>Total!I958</f>
        <v>25500</v>
      </c>
    </row>
    <row r="31" spans="1:9" x14ac:dyDescent="0.2">
      <c r="A31" s="8">
        <v>31</v>
      </c>
      <c r="B31" s="101">
        <f>Total!B959</f>
        <v>42429</v>
      </c>
      <c r="C31" s="101">
        <f>Total!C959</f>
        <v>42450</v>
      </c>
      <c r="D31" s="112" t="s">
        <v>1092</v>
      </c>
      <c r="E31" s="101" t="str">
        <f>Total!E959</f>
        <v>Edificació</v>
      </c>
      <c r="F31" s="96" t="str">
        <f>Total!F959</f>
        <v>Projectes</v>
      </c>
      <c r="G31" s="112" t="str">
        <f>Total!G959</f>
        <v>EG. EG14</v>
      </c>
      <c r="H31" s="112" t="str">
        <f>Total!H959</f>
        <v>Assistència tècnica per a la realització dels informes preliminars dels emplaçaments dels projectes d'edificació encarregats per Servei Català de Salut.</v>
      </c>
      <c r="I31" s="157">
        <f>Total!I959</f>
        <v>32000</v>
      </c>
    </row>
    <row r="32" spans="1:9" x14ac:dyDescent="0.2">
      <c r="A32" s="8">
        <v>32</v>
      </c>
      <c r="B32" s="101">
        <f>Total!B960</f>
        <v>42429</v>
      </c>
      <c r="C32" s="101">
        <f>Total!C960</f>
        <v>42450</v>
      </c>
      <c r="D32" s="112" t="s">
        <v>1092</v>
      </c>
      <c r="E32" s="101" t="str">
        <f>Total!E960</f>
        <v>Edificació</v>
      </c>
      <c r="F32" s="96" t="str">
        <f>Total!F960</f>
        <v>Projectes</v>
      </c>
      <c r="G32" s="112" t="str">
        <f>Total!G960</f>
        <v>EG. EG15</v>
      </c>
      <c r="H32" s="112" t="str">
        <f>Total!H960</f>
        <v>Assistència tècnica per a la realització dels informes preliminars dels emplaçaments dels projectes d'edificació.</v>
      </c>
      <c r="I32" s="157">
        <f>Total!I960</f>
        <v>80000</v>
      </c>
    </row>
    <row r="33" spans="1:9" x14ac:dyDescent="0.2">
      <c r="A33" s="8">
        <v>33</v>
      </c>
      <c r="B33" s="101">
        <f>Total!B961</f>
        <v>42429</v>
      </c>
      <c r="C33" s="101">
        <f>Total!C961</f>
        <v>42445</v>
      </c>
      <c r="D33" s="112" t="s">
        <v>1092</v>
      </c>
      <c r="E33" s="101" t="str">
        <f>Total!E961</f>
        <v>Obra Civil</v>
      </c>
      <c r="F33" s="96" t="str">
        <f>Total!F961</f>
        <v>Control de Qualitat</v>
      </c>
      <c r="G33" s="112" t="str">
        <f>Total!G961</f>
        <v>CQ. TF-13290</v>
      </c>
      <c r="H33" s="112" t="str">
        <f>Total!H961</f>
        <v>Assistència tècnica de control de qualitat de les obres del projecte d'adaptació a la normativa i millora de l'accessibilitat de l'estació de Putxet dels FGC. Remodelació d'accessos a vestíbul i andanes per a l'execució d'itineraris adaptats.</v>
      </c>
      <c r="I33" s="157">
        <f>Total!I961</f>
        <v>17176.349999999999</v>
      </c>
    </row>
    <row r="34" spans="1:9" x14ac:dyDescent="0.2">
      <c r="I34" s="126">
        <f>SUM(I2:I33)</f>
        <v>1994213.2200000004</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19"/>
  <sheetViews>
    <sheetView topLeftCell="B1" workbookViewId="0">
      <selection activeCell="I19" sqref="I19"/>
    </sheetView>
  </sheetViews>
  <sheetFormatPr baseColWidth="10" defaultRowHeight="12.75" x14ac:dyDescent="0.2"/>
  <cols>
    <col min="1" max="1" width="6.85546875" customWidth="1"/>
    <col min="4" max="4" width="17" bestFit="1" customWidth="1"/>
    <col min="6" max="6" width="15.140625" bestFit="1" customWidth="1"/>
    <col min="7" max="7" width="17.42578125" bestFit="1" customWidth="1"/>
    <col min="8" max="8" width="62.8554687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Total!B912</f>
        <v>42373</v>
      </c>
      <c r="C2" s="101">
        <f>Total!C912</f>
        <v>42422</v>
      </c>
      <c r="D2" s="112" t="s">
        <v>1092</v>
      </c>
      <c r="E2" s="101" t="str">
        <f>Total!E912</f>
        <v>Edificació</v>
      </c>
      <c r="F2" s="96" t="str">
        <f>Total!F912</f>
        <v>Projectes i Direccions d'Obra</v>
      </c>
      <c r="G2" s="112" t="str">
        <f>Total!G912</f>
        <v>PE+DO. GET-14308-C1</v>
      </c>
      <c r="H2" s="112" t="str">
        <f>Total!H912</f>
        <v>Redacció del projecte bàsic i executiu i la posterior direcció d'obra del projecte per a les obres complementàries al Poliesportiu de la zona esportiva de Camp Clar a Tarragona, per la compartimentació horitzontal interior, urbanització exterior …</v>
      </c>
      <c r="I2" s="157">
        <f>Total!I912</f>
        <v>375714.29</v>
      </c>
    </row>
    <row r="3" spans="1:9" x14ac:dyDescent="0.2">
      <c r="A3" s="8">
        <v>2</v>
      </c>
      <c r="B3" s="101">
        <f>Total!B913</f>
        <v>42373</v>
      </c>
      <c r="C3" s="101">
        <f>Total!C913</f>
        <v>42389</v>
      </c>
      <c r="D3" s="112" t="s">
        <v>1092</v>
      </c>
      <c r="E3" s="101" t="str">
        <f>Total!E913</f>
        <v>Obra Civil</v>
      </c>
      <c r="F3" s="96" t="str">
        <f>Total!F913</f>
        <v>Projectes</v>
      </c>
      <c r="G3" s="112" t="str">
        <f>Total!G913</f>
        <v>IA. IA-NG-15068</v>
      </c>
      <c r="H3" s="112" t="str">
        <f>Total!H913</f>
        <v>Redacció de l'estudi d'impacte ambeintal de millora general. Nova carretrera C-32. Tram: Lloret de Mar-Tossa de Mar.</v>
      </c>
      <c r="I3" s="157">
        <f>Total!I913</f>
        <v>106370</v>
      </c>
    </row>
    <row r="4" spans="1:9" x14ac:dyDescent="0.2">
      <c r="A4" s="8">
        <v>3</v>
      </c>
      <c r="B4" s="101">
        <f>Total!B914</f>
        <v>42373</v>
      </c>
      <c r="C4" s="101">
        <f>Total!C914</f>
        <v>42422</v>
      </c>
      <c r="D4" s="112" t="s">
        <v>1092</v>
      </c>
      <c r="E4" s="101" t="str">
        <f>Total!E914</f>
        <v>Obra Civil</v>
      </c>
      <c r="F4" s="96" t="str">
        <f>Total!F914</f>
        <v>Projectes</v>
      </c>
      <c r="G4" s="112" t="str">
        <f>Total!G914</f>
        <v>EI. EI-NG-15068/PC. NG-15068</v>
      </c>
      <c r="H4" s="112" t="str">
        <f>Total!H914</f>
        <v>Redacció de l'estudi informatiu i del projecte constructiu de millora general. Nova carretera C-32. Tram: Lloret de Mar-Tossa de Mar.</v>
      </c>
      <c r="I4" s="157">
        <f>Total!I914</f>
        <v>1391000</v>
      </c>
    </row>
    <row r="5" spans="1:9" x14ac:dyDescent="0.2">
      <c r="A5" s="8">
        <v>4</v>
      </c>
      <c r="B5" s="101">
        <f>Total!B915</f>
        <v>42380</v>
      </c>
      <c r="C5" s="101">
        <f>Total!C915</f>
        <v>42396</v>
      </c>
      <c r="D5" s="112" t="s">
        <v>1092</v>
      </c>
      <c r="E5" s="101" t="str">
        <f>Total!E915</f>
        <v>Edificació</v>
      </c>
      <c r="F5" s="96" t="str">
        <f>Total!F915</f>
        <v>Control de Qualitat</v>
      </c>
      <c r="G5" s="112" t="str">
        <f>Total!G915</f>
        <v>CQ. PNH-13301</v>
      </c>
      <c r="H5" s="112" t="str">
        <f>Total!H915</f>
        <v>Control de qualitat de les obres de nova construcció Escola 1 Línia a l'Escola Emili Teixidor de Roda de Ter.</v>
      </c>
      <c r="I5" s="157">
        <f>Total!I915</f>
        <v>40685.32</v>
      </c>
    </row>
    <row r="6" spans="1:9" x14ac:dyDescent="0.2">
      <c r="A6" s="8">
        <v>5</v>
      </c>
      <c r="B6" s="101">
        <f>Total!B916</f>
        <v>42381</v>
      </c>
      <c r="C6" s="101">
        <f>Total!C916</f>
        <v>42401</v>
      </c>
      <c r="D6" s="112" t="s">
        <v>1092</v>
      </c>
      <c r="E6" s="101" t="str">
        <f>Total!E916</f>
        <v>Obra Civil</v>
      </c>
      <c r="F6" s="96" t="str">
        <f>Total!F916</f>
        <v>Control de Qualitat</v>
      </c>
      <c r="G6" s="112" t="str">
        <f>Total!G916</f>
        <v>CQ. TF-05518.3.1</v>
      </c>
      <c r="H6" s="112" t="str">
        <f>Total!H916</f>
        <v>Control de qualitat de les obres del projecte d'adaptació a la normativa i millora de l'accessiblilitat de l'estació de Sarrià dels FGC. Ampliació d'andana i instal.lació d'ascensors.</v>
      </c>
      <c r="I6" s="157">
        <f>Total!I916</f>
        <v>24177.02</v>
      </c>
    </row>
    <row r="7" spans="1:9" x14ac:dyDescent="0.2">
      <c r="A7" s="8">
        <v>6</v>
      </c>
      <c r="B7" s="101">
        <f>Total!B917</f>
        <v>42381</v>
      </c>
      <c r="C7" s="101">
        <f>Total!C917</f>
        <v>42401</v>
      </c>
      <c r="D7" s="112" t="s">
        <v>1092</v>
      </c>
      <c r="E7" s="101" t="str">
        <f>Total!E917</f>
        <v>Edificació</v>
      </c>
      <c r="F7" s="96" t="str">
        <f>Total!F917</f>
        <v>Direccions d'Execució</v>
      </c>
      <c r="G7" s="112" t="str">
        <f>Total!G917</f>
        <v>DE. PNH-13301</v>
      </c>
      <c r="H7" s="112" t="str">
        <f>Total!H917</f>
        <v>Direcció d'execució de les obres de nova construcció Escola 1 línia a l'Escola Emili Teixidor de Roda de Ter.</v>
      </c>
      <c r="I7" s="157">
        <f>Total!I917</f>
        <v>81635</v>
      </c>
    </row>
    <row r="8" spans="1:9" x14ac:dyDescent="0.2">
      <c r="A8" s="8">
        <v>7</v>
      </c>
      <c r="B8" s="101">
        <f>Total!B918</f>
        <v>42381</v>
      </c>
      <c r="C8" s="101">
        <f>Total!C918</f>
        <v>42401</v>
      </c>
      <c r="D8" s="112" t="s">
        <v>1092</v>
      </c>
      <c r="E8" s="101" t="str">
        <f>Total!E918</f>
        <v>Edificació</v>
      </c>
      <c r="F8" s="96" t="str">
        <f>Total!F918</f>
        <v>Control de Qualitat</v>
      </c>
      <c r="G8" s="112" t="str">
        <f>Total!G918</f>
        <v>CQ. GET-14308</v>
      </c>
      <c r="H8" s="112" t="str">
        <f>Total!H918</f>
        <v>Control de qualitat de les obres de construcció d'un poliesportiu a la zona esportiva de Camp Clar a Tarragona.</v>
      </c>
      <c r="I8" s="157">
        <f>Total!I918</f>
        <v>124138.17</v>
      </c>
    </row>
    <row r="9" spans="1:9" x14ac:dyDescent="0.2">
      <c r="A9" s="8">
        <v>8</v>
      </c>
      <c r="B9" s="101">
        <f>Total!B919</f>
        <v>42382</v>
      </c>
      <c r="C9" s="101">
        <f>Total!C919</f>
        <v>42401</v>
      </c>
      <c r="D9" s="112" t="s">
        <v>1092</v>
      </c>
      <c r="E9" s="101" t="str">
        <f>Total!E919</f>
        <v>Obra Civil</v>
      </c>
      <c r="F9" s="96" t="str">
        <f>Total!F919</f>
        <v>Direccions d'Obra</v>
      </c>
      <c r="G9" s="112" t="str">
        <f>Total!G919</f>
        <v>DO. TF-05518.3.1</v>
      </c>
      <c r="H9" s="112" t="str">
        <f>Total!H919</f>
        <v>Direcció de les obres del projecte d'adaptació a la normativa i millora de l'accessibilitat de l'estació de Sarrià dels FGC. Ampliació d'andana i instal·lació d'ascensors.</v>
      </c>
      <c r="I9" s="157">
        <f>Total!I919</f>
        <v>147583.32999999999</v>
      </c>
    </row>
    <row r="10" spans="1:9" x14ac:dyDescent="0.2">
      <c r="A10" s="8">
        <v>9</v>
      </c>
      <c r="B10" s="101">
        <f>Total!B920</f>
        <v>42383</v>
      </c>
      <c r="C10" s="101">
        <f>Total!C920</f>
        <v>42401</v>
      </c>
      <c r="D10" s="112" t="s">
        <v>1092</v>
      </c>
      <c r="E10" s="101" t="str">
        <f>Total!E920</f>
        <v>Obra Civil</v>
      </c>
      <c r="F10" s="96" t="str">
        <f>Total!F920</f>
        <v>Projectes</v>
      </c>
      <c r="G10" s="112" t="str">
        <f>Total!G920</f>
        <v>PC. CP-06001</v>
      </c>
      <c r="H10" s="112" t="str">
        <f>Total!H920</f>
        <v>Redacció del desglossat del projecte d'obra de concentració parcel·lària. TM d'Arbeca, Omellons i la Floresta.</v>
      </c>
      <c r="I10" s="157">
        <f>Total!I920</f>
        <v>50000</v>
      </c>
    </row>
    <row r="11" spans="1:9" x14ac:dyDescent="0.2">
      <c r="A11" s="8">
        <v>10</v>
      </c>
      <c r="B11" s="101">
        <f>Total!B921</f>
        <v>42388</v>
      </c>
      <c r="C11" s="101">
        <f>Total!C921</f>
        <v>42408</v>
      </c>
      <c r="D11" s="112" t="s">
        <v>1092</v>
      </c>
      <c r="E11" s="101" t="str">
        <f>Total!E921</f>
        <v>Edificació</v>
      </c>
      <c r="F11" s="96" t="str">
        <f>Total!F921</f>
        <v>Projectes i Direccions d'Obra</v>
      </c>
      <c r="G11" s="112" t="str">
        <f>Total!G921</f>
        <v>PE+DO. PGM -15353</v>
      </c>
      <c r="H11" s="112" t="str">
        <f>Total!H921</f>
        <v>Redacció del projecte bàsic i executiu i la posterior direcció d'obra de l'adequació, reforma i millora del Parc de Bombers de Balaguer.</v>
      </c>
      <c r="I11" s="157">
        <f>Total!I921</f>
        <v>69410</v>
      </c>
    </row>
    <row r="12" spans="1:9" x14ac:dyDescent="0.2">
      <c r="A12" s="8">
        <v>11</v>
      </c>
      <c r="B12" s="101">
        <f>Total!B922</f>
        <v>42388</v>
      </c>
      <c r="C12" s="101">
        <f>Total!C922</f>
        <v>42408</v>
      </c>
      <c r="D12" s="112" t="s">
        <v>1092</v>
      </c>
      <c r="E12" s="101" t="str">
        <f>Total!E922</f>
        <v>Edificació</v>
      </c>
      <c r="F12" s="96" t="str">
        <f>Total!F922</f>
        <v>Projectes i Direccions d'Obra</v>
      </c>
      <c r="G12" s="112" t="str">
        <f>Total!G922</f>
        <v>PE+DO. PGM -15352</v>
      </c>
      <c r="H12" s="112" t="str">
        <f>Total!H922</f>
        <v>Redacció del projecte bàsic i executiu i la posterior direcció d'obra de l'adequació, reforma i millora del Parc de Bombers de Girona.</v>
      </c>
      <c r="I12" s="157">
        <f>Total!I922</f>
        <v>97289</v>
      </c>
    </row>
    <row r="13" spans="1:9" x14ac:dyDescent="0.2">
      <c r="A13" s="8">
        <v>12</v>
      </c>
      <c r="B13" s="101">
        <f>Total!B923</f>
        <v>42391</v>
      </c>
      <c r="C13" s="101">
        <f>Total!C923</f>
        <v>42443</v>
      </c>
      <c r="D13" s="112" t="s">
        <v>1092</v>
      </c>
      <c r="E13" s="101" t="str">
        <f>Total!E923</f>
        <v>Edificació</v>
      </c>
      <c r="F13" s="96" t="str">
        <f>Total!F923</f>
        <v>Projectes i Direccions d'Obra</v>
      </c>
      <c r="G13" s="112" t="str">
        <f>Total!G923</f>
        <v>PE+DO. BSV-14291</v>
      </c>
      <c r="H13" s="112" t="str">
        <f>Total!H923</f>
        <v>Assistència tècnica per a la redacció del Projecte bàsic i executiu i la posterior direcció d'obra de la rehabilitació i reforç estructural de les plantes 1 i 4 de la Residència i centre de dia per a gent gran La Mercè, a Tarragona.</v>
      </c>
      <c r="I13" s="157">
        <f>Total!I923</f>
        <v>323203</v>
      </c>
    </row>
    <row r="14" spans="1:9" x14ac:dyDescent="0.2">
      <c r="A14" s="8">
        <v>13</v>
      </c>
      <c r="B14" s="101">
        <f>Total!B924</f>
        <v>42391</v>
      </c>
      <c r="C14" s="101">
        <f>Total!C924</f>
        <v>42443</v>
      </c>
      <c r="D14" s="112" t="s">
        <v>1092</v>
      </c>
      <c r="E14" s="101" t="str">
        <f>Total!E924</f>
        <v>Obra Civil</v>
      </c>
      <c r="F14" s="96" t="str">
        <f>Total!F924</f>
        <v>Projectes</v>
      </c>
      <c r="G14" s="112" t="str">
        <f>Total!G924</f>
        <v>PC. AB-14009.F1</v>
      </c>
      <c r="H14" s="112" t="str">
        <f>Total!H924</f>
        <v>Serveis per l'assistència tècnica per a la redacció del projecte constructiu de millora general. Condicionament i ampliació a 3 carrils a l'autopista C-58, sentit Barcelona, del PK 12+600al 16+750 sentit Terrassa, del PK 15+800 AL 17 +000.</v>
      </c>
      <c r="I14" s="157">
        <f>Total!I924</f>
        <v>297690</v>
      </c>
    </row>
    <row r="15" spans="1:9" x14ac:dyDescent="0.2">
      <c r="A15" s="8">
        <v>14</v>
      </c>
      <c r="B15" s="101">
        <f>Total!B925</f>
        <v>42394</v>
      </c>
      <c r="C15" s="101">
        <f>Total!C925</f>
        <v>42443</v>
      </c>
      <c r="D15" s="112" t="s">
        <v>1092</v>
      </c>
      <c r="E15" s="101" t="str">
        <f>Total!E925</f>
        <v>Edificació</v>
      </c>
      <c r="F15" s="96" t="str">
        <f>Total!F925</f>
        <v>Projectes i Direccions d'Obra</v>
      </c>
      <c r="G15" s="112" t="str">
        <f>Total!G925</f>
        <v>PE+DO. INC-08226.A</v>
      </c>
      <c r="H15" s="112" t="str">
        <f>Total!H925</f>
        <v>Contracte de serveis per a l'assistència tècnica per a la redacció del projecte bàsic i executiu i la posterior direcció d'obra de l'adequació del projecte de nova construcció de l'Institut Ventura Gassol a Badalona a nous criteris funcionals d'un In</v>
      </c>
      <c r="I15" s="157">
        <f>Total!I925</f>
        <v>326007</v>
      </c>
    </row>
    <row r="16" spans="1:9" x14ac:dyDescent="0.2">
      <c r="A16" s="8">
        <v>15</v>
      </c>
      <c r="B16" s="101">
        <f>Total!B926</f>
        <v>42391</v>
      </c>
      <c r="C16" s="101">
        <f>Total!C926</f>
        <v>42408</v>
      </c>
      <c r="D16" s="112" t="s">
        <v>1092</v>
      </c>
      <c r="E16" s="101" t="str">
        <f>Total!E926</f>
        <v>Obra Civil</v>
      </c>
      <c r="F16" s="96" t="str">
        <f>Total!F926</f>
        <v>Projectes</v>
      </c>
      <c r="G16" s="112" t="str">
        <f>Total!G926</f>
        <v>PC. AB-06081-A1.F1</v>
      </c>
      <c r="H16" s="112" t="str">
        <f>Total!H926</f>
        <v>Redacció de projecte constructiu de millora general. Condicionament. Reestudi de la secció transversal. Carretera C-352. Pk 20,640 al 22,740. Tram: La Roca del Vallès - Les Franqueses del Vallès.</v>
      </c>
      <c r="I16" s="157">
        <f>Total!I926</f>
        <v>30000</v>
      </c>
    </row>
    <row r="17" spans="1:9" x14ac:dyDescent="0.2">
      <c r="A17" s="8">
        <v>16</v>
      </c>
      <c r="B17" s="101">
        <f>Total!B930</f>
        <v>42398</v>
      </c>
      <c r="C17" s="101">
        <f>Total!C930</f>
        <v>42415</v>
      </c>
      <c r="D17" s="112" t="s">
        <v>1092</v>
      </c>
      <c r="E17" s="101" t="str">
        <f>Total!E930</f>
        <v>Edificació</v>
      </c>
      <c r="F17" s="96" t="str">
        <f>Total!F930</f>
        <v>Direccions d'Execució</v>
      </c>
      <c r="G17" s="112" t="str">
        <f>Total!G930</f>
        <v>DE. PNM-13306</v>
      </c>
      <c r="H17" s="112" t="str">
        <f>Total!H930</f>
        <v>Direcció d'execució de les obres de la nova construcció Escola 1 línia a l'Escola Soler de Vilardell a Sant Celoni.</v>
      </c>
      <c r="I17" s="157">
        <f>Total!I930</f>
        <v>81845</v>
      </c>
    </row>
    <row r="18" spans="1:9" x14ac:dyDescent="0.2">
      <c r="A18" s="8">
        <v>17</v>
      </c>
      <c r="B18" s="101">
        <f>Total!B931</f>
        <v>42398</v>
      </c>
      <c r="C18" s="101">
        <f>Total!C931</f>
        <v>42415</v>
      </c>
      <c r="D18" s="112" t="s">
        <v>1092</v>
      </c>
      <c r="E18" s="101" t="str">
        <f>Total!E931</f>
        <v>Edificació</v>
      </c>
      <c r="F18" s="96" t="str">
        <f>Total!F931</f>
        <v>Control de Qualitat</v>
      </c>
      <c r="G18" s="112" t="str">
        <f>Total!G931</f>
        <v>CQ. PNM-13306</v>
      </c>
      <c r="H18" s="112" t="str">
        <f>Total!H931</f>
        <v>Control de qualitat de les obres de nova construcció Escola 1 línia a l'Escola Soler de Vilardell a Sant Celoni.</v>
      </c>
      <c r="I18" s="157">
        <f>Total!I931</f>
        <v>42153.62</v>
      </c>
    </row>
    <row r="19" spans="1:9" x14ac:dyDescent="0.2">
      <c r="I19" s="126">
        <f>SUM(I2:I18)</f>
        <v>3608900.7500000005</v>
      </c>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12"/>
  <sheetViews>
    <sheetView workbookViewId="0">
      <selection sqref="A1:I12"/>
    </sheetView>
  </sheetViews>
  <sheetFormatPr baseColWidth="10" defaultRowHeight="12.75" x14ac:dyDescent="0.2"/>
  <cols>
    <col min="1" max="1" width="6.42578125" customWidth="1"/>
    <col min="4" max="4" width="17" bestFit="1" customWidth="1"/>
    <col min="5" max="5" width="10.7109375" customWidth="1"/>
    <col min="6" max="6" width="16.5703125" customWidth="1"/>
    <col min="7" max="7" width="17.5703125" bestFit="1" customWidth="1"/>
    <col min="8" max="8" width="58"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Total!B902</f>
        <v>42339</v>
      </c>
      <c r="C2" s="101">
        <f>Total!C902</f>
        <v>42359</v>
      </c>
      <c r="D2" s="112" t="s">
        <v>1092</v>
      </c>
      <c r="E2" s="101" t="str">
        <f>Total!E902</f>
        <v>Obra Civil</v>
      </c>
      <c r="F2" s="96" t="str">
        <f>Total!F902</f>
        <v>Direccions d'obra</v>
      </c>
      <c r="G2" s="112" t="str">
        <f>Total!G902</f>
        <v>DO. NB-07078.1-F1</v>
      </c>
      <c r="H2" s="112" t="str">
        <f>Total!H902</f>
        <v>Direcció de les obres del projecte de millora general. Nova carretera. Millora de l'accessibilitat a la vialitat urbana de Barcelona. Calçada lateral a la C-31 sentit BCN, del pk 212,650 al 213,800. Document separata de la Fase 1 (trams 2 i 3).</v>
      </c>
      <c r="I2" s="157">
        <f>Total!I902</f>
        <v>88500</v>
      </c>
    </row>
    <row r="3" spans="1:9" x14ac:dyDescent="0.2">
      <c r="A3" s="8">
        <v>2</v>
      </c>
      <c r="B3" s="101">
        <f>Total!B903</f>
        <v>42340</v>
      </c>
      <c r="C3" s="101">
        <f>Total!C903</f>
        <v>42373</v>
      </c>
      <c r="D3" s="112" t="s">
        <v>1092</v>
      </c>
      <c r="E3" s="101" t="str">
        <f>Total!E903</f>
        <v>Obra Civil</v>
      </c>
      <c r="F3" s="96" t="str">
        <f>Total!F903</f>
        <v>Direccions d'obra</v>
      </c>
      <c r="G3" s="112" t="str">
        <f>Total!G903</f>
        <v>E1-UPA-15009</v>
      </c>
      <c r="H3" s="112" t="str">
        <f>Total!H903</f>
        <v>Redacció de l'estudi de connectivitat i permeabilització territorial del PEIN Punta La Mora. Tarragona.</v>
      </c>
      <c r="I3" s="157">
        <f>Total!I903</f>
        <v>20200</v>
      </c>
    </row>
    <row r="4" spans="1:9" x14ac:dyDescent="0.2">
      <c r="A4" s="8">
        <v>3</v>
      </c>
      <c r="B4" s="101">
        <f>Total!B904</f>
        <v>42340</v>
      </c>
      <c r="C4" s="101">
        <f>Total!C904</f>
        <v>42359</v>
      </c>
      <c r="D4" s="112" t="s">
        <v>1092</v>
      </c>
      <c r="E4" s="101" t="str">
        <f>Total!E904</f>
        <v>Obra Civil</v>
      </c>
      <c r="F4" s="96" t="str">
        <f>Total!F904</f>
        <v>Projectes</v>
      </c>
      <c r="G4" s="112" t="str">
        <f>Total!G904</f>
        <v>PC. UPA-15334.A1</v>
      </c>
      <c r="H4" s="112" t="str">
        <f>Total!H904</f>
        <v>Redacció del projecte actualitzat. Restitució del medi a l'entorn fluvial de l'assut del Riu Fluvià, a l'alçada de Ventalló i recuperació de l'antic meandre. Tram: Ventalló - Torroella de Fluvià.</v>
      </c>
      <c r="I4" s="157">
        <f>Total!I904</f>
        <v>24000</v>
      </c>
    </row>
    <row r="5" spans="1:9" x14ac:dyDescent="0.2">
      <c r="A5" s="8">
        <v>4</v>
      </c>
      <c r="B5" s="101">
        <f>Total!B905</f>
        <v>42340</v>
      </c>
      <c r="C5" s="101">
        <f>Total!C905</f>
        <v>42359</v>
      </c>
      <c r="D5" s="112" t="s">
        <v>1092</v>
      </c>
      <c r="E5" s="101" t="str">
        <f>Total!E905</f>
        <v>Obra Civil</v>
      </c>
      <c r="F5" s="96" t="str">
        <f>Total!F905</f>
        <v>Direccions d'obra</v>
      </c>
      <c r="G5" s="112" t="str">
        <f>Total!G905</f>
        <v>E1-UPA-15005</v>
      </c>
      <c r="H5" s="112" t="str">
        <f>Total!H905</f>
        <v>Redacció de l'estudi ambiental per a la recuperació ecològica de la finca Los Castillejos. Arbolí, Alforja, la Febró i Vilaplana.</v>
      </c>
      <c r="I5" s="157">
        <f>Total!I905</f>
        <v>35000</v>
      </c>
    </row>
    <row r="6" spans="1:9" x14ac:dyDescent="0.2">
      <c r="A6" s="8">
        <v>5</v>
      </c>
      <c r="B6" s="101">
        <f>Total!B906</f>
        <v>42340</v>
      </c>
      <c r="C6" s="101">
        <f>Total!C906</f>
        <v>42359</v>
      </c>
      <c r="D6" s="112" t="s">
        <v>1092</v>
      </c>
      <c r="E6" s="101" t="str">
        <f>Total!E906</f>
        <v>Edificació</v>
      </c>
      <c r="F6" s="96" t="str">
        <f>Total!F906</f>
        <v>Direccions d'execució</v>
      </c>
      <c r="G6" s="112" t="str">
        <f>Total!G906</f>
        <v>DE. HGG-14321</v>
      </c>
      <c r="H6" s="112" t="str">
        <f>Total!H906</f>
        <v>Verificació de l'assegurament de la qualitat del projecte executiu i direcció d'execució de les obres d'Ampliació i reforma de les urgències de l'Hospital Doctor Josep Trueta de Girona.</v>
      </c>
      <c r="I6" s="157">
        <f>Total!I906</f>
        <v>82000</v>
      </c>
    </row>
    <row r="7" spans="1:9" x14ac:dyDescent="0.2">
      <c r="A7" s="8">
        <v>6</v>
      </c>
      <c r="B7" s="101">
        <f>Total!B907</f>
        <v>42348</v>
      </c>
      <c r="C7" s="101">
        <f>Total!C907</f>
        <v>42373</v>
      </c>
      <c r="D7" s="112" t="s">
        <v>1092</v>
      </c>
      <c r="E7" s="101" t="str">
        <f>Total!E907</f>
        <v>Obra Civil</v>
      </c>
      <c r="F7" s="96" t="str">
        <f>Total!F907</f>
        <v>Projectes</v>
      </c>
      <c r="G7" s="112" t="str">
        <f>Total!G907</f>
        <v>PC. XG-15036</v>
      </c>
      <c r="H7" s="112" t="str">
        <f>Total!H907</f>
        <v>Redacció del projecte constructiu de millora local. Via verda. Via ciclista de l'estació de Riells i Viabrea-Breda al nucli de Breda per la carretera GI-552, del pk 2,000 al 4,000. Tram: Riells i Viabrea - Breda.</v>
      </c>
      <c r="I7" s="157">
        <f>Total!I907</f>
        <v>32900</v>
      </c>
    </row>
    <row r="8" spans="1:9" x14ac:dyDescent="0.2">
      <c r="A8" s="8">
        <v>7</v>
      </c>
      <c r="B8" s="101">
        <f>Total!B908</f>
        <v>42356</v>
      </c>
      <c r="C8" s="101">
        <f>Total!C908</f>
        <v>42373</v>
      </c>
      <c r="D8" s="112" t="s">
        <v>1092</v>
      </c>
      <c r="E8" s="101" t="str">
        <f>Total!E908</f>
        <v>Obra Civil</v>
      </c>
      <c r="F8" s="96" t="str">
        <f>Total!F908</f>
        <v>Projectes</v>
      </c>
      <c r="G8" s="112" t="str">
        <f>Total!G908</f>
        <v>EV.AE-MB-15030</v>
      </c>
      <c r="H8" s="112" t="str">
        <f>Total!H908</f>
        <v>Redacció de l'estudi: Auditoria de seguretat viària d'actuacions en trams de la xarxa de carreteres de la Generalitat de Catalunya en l'àmbit de les carreteres C-16 al Berguedà i C-55 al Bages.</v>
      </c>
      <c r="I8" s="157">
        <f>Total!I908</f>
        <v>17820</v>
      </c>
    </row>
    <row r="9" spans="1:9" x14ac:dyDescent="0.2">
      <c r="A9" s="8">
        <v>8</v>
      </c>
      <c r="B9" s="101">
        <f>Total!B909</f>
        <v>42356</v>
      </c>
      <c r="C9" s="101">
        <f>Total!C909</f>
        <v>42408</v>
      </c>
      <c r="D9" s="112" t="s">
        <v>1092</v>
      </c>
      <c r="E9" s="101" t="str">
        <f>Total!E909</f>
        <v>Edificació</v>
      </c>
      <c r="F9" s="96" t="str">
        <f>Total!F909</f>
        <v>Projectes i Direccions d'Obra</v>
      </c>
      <c r="G9" s="112" t="str">
        <f>Total!G909</f>
        <v>PE+DO. CAP-15348</v>
      </c>
      <c r="H9" s="112" t="str">
        <f>Total!H909</f>
        <v>Redacció del projecte bàsic i executiu i la posterior direcció d'obra de la construcció del Centre d'Atenció Primària Santa Eulàlia, a l'Hospitalet de Llobregat.</v>
      </c>
      <c r="I9" s="157">
        <f>Total!I909</f>
        <v>280867</v>
      </c>
    </row>
    <row r="10" spans="1:9" x14ac:dyDescent="0.2">
      <c r="A10" s="8">
        <v>9</v>
      </c>
      <c r="B10" s="101">
        <f>Total!B910</f>
        <v>42356</v>
      </c>
      <c r="C10" s="101">
        <f>Total!C910</f>
        <v>42408</v>
      </c>
      <c r="D10" s="112" t="s">
        <v>1092</v>
      </c>
      <c r="E10" s="101" t="str">
        <f>Total!E910</f>
        <v>Edificació</v>
      </c>
      <c r="F10" s="96" t="str">
        <f>Total!F910</f>
        <v>Projectes i Direccions d'Obra</v>
      </c>
      <c r="G10" s="112" t="str">
        <f>Total!G910</f>
        <v>PE+DO. CAP-15346</v>
      </c>
      <c r="H10" s="112" t="str">
        <f>Total!H910</f>
        <v>Redacció del projecte bàsic i executiu i la posterior direcció d'obra de la construcció del Centre d'Atenció Primària Cotet, de Premià de Dalt.</v>
      </c>
      <c r="I10" s="157">
        <f>Total!I910</f>
        <v>216321</v>
      </c>
    </row>
    <row r="11" spans="1:9" x14ac:dyDescent="0.2">
      <c r="A11" s="8">
        <v>10</v>
      </c>
      <c r="B11" s="101">
        <f>Total!B911</f>
        <v>42356</v>
      </c>
      <c r="C11" s="101">
        <f>Total!C911</f>
        <v>42373</v>
      </c>
      <c r="D11" s="112" t="s">
        <v>1092</v>
      </c>
      <c r="E11" s="101" t="str">
        <f>Total!E911</f>
        <v>Obra Civil</v>
      </c>
      <c r="F11" s="96" t="str">
        <f>Total!F911</f>
        <v>Projectes</v>
      </c>
      <c r="G11" s="112" t="str">
        <f>Total!G911</f>
        <v>EV.AE-MB-15031</v>
      </c>
      <c r="H11" s="112" t="str">
        <f>Total!H911</f>
        <v>Redacció de l'estudi: Auditoria de seguretat viària d'actuacions en trams de la xarxa de carreteres de la Generalitat de Catalunya en l'àmbit de les carreteres C-58 al Vallès Occidental i Bages.</v>
      </c>
      <c r="I11" s="157">
        <f>Total!I911</f>
        <v>17820</v>
      </c>
    </row>
    <row r="12" spans="1:9" x14ac:dyDescent="0.2">
      <c r="I12" s="126">
        <f>SUM(I2:I11)</f>
        <v>815428</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I13"/>
  <sheetViews>
    <sheetView workbookViewId="0">
      <selection sqref="A1:XFD1048576"/>
    </sheetView>
  </sheetViews>
  <sheetFormatPr baseColWidth="10" defaultRowHeight="12.75" x14ac:dyDescent="0.2"/>
  <cols>
    <col min="1" max="1" width="6.42578125" customWidth="1"/>
    <col min="4" max="4" width="17" bestFit="1" customWidth="1"/>
    <col min="5" max="5" width="10.7109375" customWidth="1"/>
    <col min="6" max="6" width="25.28515625" bestFit="1" customWidth="1"/>
    <col min="7" max="7" width="17.5703125" bestFit="1" customWidth="1"/>
    <col min="8" max="8" width="58"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Total!B891</f>
        <v>42311</v>
      </c>
      <c r="C2" s="101">
        <f>Total!C891</f>
        <v>42331</v>
      </c>
      <c r="D2" s="112" t="s">
        <v>1092</v>
      </c>
      <c r="E2" s="101" t="str">
        <f>Total!E891</f>
        <v>Edificació</v>
      </c>
      <c r="F2" s="96" t="str">
        <f>Total!F891</f>
        <v>Direccions d'Execució</v>
      </c>
      <c r="G2" s="112" t="str">
        <f>Total!G891</f>
        <v>DE. INH-14297</v>
      </c>
      <c r="H2" s="112" t="str">
        <f>Total!H891</f>
        <v>Serveis per a la verificació de l'assegurament de la qualitat del projecte executiu i direcció d'execució de les obres de Nova construcció 30+ espais per administració per CFA i EOI de la Secció d'Intitut Serra de Noet a Berga.</v>
      </c>
      <c r="I2" s="157">
        <f>Total!I891</f>
        <v>117839</v>
      </c>
    </row>
    <row r="3" spans="1:9" x14ac:dyDescent="0.2">
      <c r="A3" s="8">
        <v>2</v>
      </c>
      <c r="B3" s="101">
        <f>Total!B892</f>
        <v>42321</v>
      </c>
      <c r="C3" s="101">
        <f>Total!C892</f>
        <v>42338</v>
      </c>
      <c r="D3" s="112" t="s">
        <v>1092</v>
      </c>
      <c r="E3" s="101" t="str">
        <f>Total!E892</f>
        <v>Edificació</v>
      </c>
      <c r="F3" s="96" t="str">
        <f>Total!F892</f>
        <v>Direccions d'Execució</v>
      </c>
      <c r="G3" s="112" t="str">
        <f>Total!G892</f>
        <v>DE. CAP-13319</v>
      </c>
      <c r="H3" s="112" t="str">
        <f>Total!H892</f>
        <v>Direcció d'execució de les obres de Nova construcció del CAP Figueres 2, a Figueres.</v>
      </c>
      <c r="I3" s="157">
        <f>Total!I892</f>
        <v>75000</v>
      </c>
    </row>
    <row r="4" spans="1:9" x14ac:dyDescent="0.2">
      <c r="A4" s="8">
        <v>3</v>
      </c>
      <c r="B4" s="101">
        <f>Total!B893</f>
        <v>42321</v>
      </c>
      <c r="C4" s="101">
        <f>Total!C893</f>
        <v>42338</v>
      </c>
      <c r="D4" s="112" t="s">
        <v>1092</v>
      </c>
      <c r="E4" s="101" t="str">
        <f>Total!E893</f>
        <v>Edificació</v>
      </c>
      <c r="F4" s="96" t="str">
        <f>Total!F893</f>
        <v>Direccions d'obra</v>
      </c>
      <c r="G4" s="112" t="str">
        <f>Total!G893</f>
        <v>DO. CAP-13319</v>
      </c>
      <c r="H4" s="112" t="str">
        <f>Total!H893</f>
        <v>Direcció d'obra de construcció Nova construcció del CAP Figueres 2, a Figueres.</v>
      </c>
      <c r="I4" s="157">
        <f>Total!I893</f>
        <v>50000</v>
      </c>
    </row>
    <row r="5" spans="1:9" x14ac:dyDescent="0.2">
      <c r="A5" s="8">
        <v>4</v>
      </c>
      <c r="B5" s="101">
        <f>Total!B894</f>
        <v>42321</v>
      </c>
      <c r="C5" s="101" t="str">
        <f>Total!C894</f>
        <v>30/11/015</v>
      </c>
      <c r="D5" s="112" t="s">
        <v>1092</v>
      </c>
      <c r="E5" s="101" t="str">
        <f>Total!E894</f>
        <v>Edificació</v>
      </c>
      <c r="F5" s="96" t="str">
        <f>Total!F894</f>
        <v>Direccions d'execució</v>
      </c>
      <c r="G5" s="112" t="str">
        <f>Total!G894</f>
        <v>CSS. CAP-13319</v>
      </c>
      <c r="H5" s="112" t="str">
        <f>Total!H894</f>
        <v>Coordinació de Seguretat i Salut de les obres de Nova construcció del CAP Figueres 2, a Figueres.</v>
      </c>
      <c r="I5" s="157">
        <f>Total!I894</f>
        <v>18750</v>
      </c>
    </row>
    <row r="6" spans="1:9" x14ac:dyDescent="0.2">
      <c r="A6" s="8">
        <v>5</v>
      </c>
      <c r="B6" s="101">
        <f>Total!B895</f>
        <v>42321</v>
      </c>
      <c r="C6" s="101">
        <f>Total!C895</f>
        <v>42338</v>
      </c>
      <c r="D6" s="112" t="s">
        <v>1092</v>
      </c>
      <c r="E6" s="101" t="str">
        <f>Total!E895</f>
        <v>Edificació</v>
      </c>
      <c r="F6" s="96" t="str">
        <f>Total!F895</f>
        <v>Control de Qualitat</v>
      </c>
      <c r="G6" s="112" t="str">
        <f>Total!G895</f>
        <v>CQ. CAP-13319</v>
      </c>
      <c r="H6" s="112" t="str">
        <f>Total!H895</f>
        <v>Control de qualitat de les obres de Nova construcció del CAP Figueres 2, a Figueres.</v>
      </c>
      <c r="I6" s="157">
        <f>Total!I895</f>
        <v>43383.68</v>
      </c>
    </row>
    <row r="7" spans="1:9" x14ac:dyDescent="0.2">
      <c r="A7" s="8">
        <v>6</v>
      </c>
      <c r="B7" s="101">
        <f>Total!B896</f>
        <v>42325</v>
      </c>
      <c r="C7" s="101">
        <f>Total!C896</f>
        <v>42342</v>
      </c>
      <c r="D7" s="112" t="s">
        <v>1092</v>
      </c>
      <c r="E7" s="101" t="str">
        <f>Total!E896</f>
        <v>Obra Civil</v>
      </c>
      <c r="F7" s="96" t="str">
        <f>Total!F896</f>
        <v>Direccions d'obra</v>
      </c>
      <c r="G7" s="112" t="str">
        <f>Total!G896</f>
        <v>DO. + CSS. VL-02137.1-C1</v>
      </c>
      <c r="H7" s="112" t="str">
        <f>Total!H896</f>
        <v>Direcció d'obra i la coordinació de seguretat i salut de les obres de millora  local. Plantacions. Mesures correctores d'Impacte ambiental a la variant de la ctra. C-13 del pk 13,100 al 20,000. Tram: Vilanova de la Barca-Térmens.</v>
      </c>
      <c r="I7" s="157">
        <f>Total!I896</f>
        <v>25351.11</v>
      </c>
    </row>
    <row r="8" spans="1:9" x14ac:dyDescent="0.2">
      <c r="A8" s="8">
        <v>7</v>
      </c>
      <c r="B8" s="101">
        <f>Total!B897</f>
        <v>42326</v>
      </c>
      <c r="C8" s="101">
        <f>Total!C897</f>
        <v>42342</v>
      </c>
      <c r="D8" s="112" t="s">
        <v>1092</v>
      </c>
      <c r="E8" s="101" t="str">
        <f>Total!E897</f>
        <v>Obra Civil</v>
      </c>
      <c r="F8" s="96" t="str">
        <f>Total!F897</f>
        <v>Control de Qualitat</v>
      </c>
      <c r="G8" s="112" t="str">
        <f>Total!G897</f>
        <v>CQ. TF-02676.9</v>
      </c>
      <c r="H8" s="112" t="str">
        <f>Total!H897</f>
        <v>Control de qualitat de les obres del projecte de perllongament de la línia d'FGC a Sabadell. Arquitectura i instal·lacions de l'estació Ca N'Oriach i de les cotxeres.</v>
      </c>
      <c r="I8" s="157">
        <f>Total!I897</f>
        <v>81966.009999999995</v>
      </c>
    </row>
    <row r="9" spans="1:9" x14ac:dyDescent="0.2">
      <c r="A9" s="8">
        <v>8</v>
      </c>
      <c r="B9" s="101">
        <f>Total!B898</f>
        <v>42326</v>
      </c>
      <c r="C9" s="101">
        <f>Total!C898</f>
        <v>42342</v>
      </c>
      <c r="D9" s="112" t="s">
        <v>1092</v>
      </c>
      <c r="E9" s="101" t="str">
        <f>Total!E898</f>
        <v>Obra Civil</v>
      </c>
      <c r="F9" s="96" t="str">
        <f>Total!F898</f>
        <v>Direccions d'obra</v>
      </c>
      <c r="G9" s="112" t="str">
        <f>Total!G898</f>
        <v>DO. TF-05518.3.2</v>
      </c>
      <c r="H9" s="112" t="str">
        <f>Total!H898</f>
        <v>Direcció d'obres d'adaptació a la normativa i millora de l'accessiblilitat de l'estació de Sarrià dels FGC.</v>
      </c>
      <c r="I9" s="157">
        <f>Total!I898</f>
        <v>55825</v>
      </c>
    </row>
    <row r="10" spans="1:9" x14ac:dyDescent="0.2">
      <c r="A10" s="8">
        <v>9</v>
      </c>
      <c r="B10" s="101">
        <f>Total!B899</f>
        <v>42331</v>
      </c>
      <c r="C10" s="101">
        <f>Total!C899</f>
        <v>42347</v>
      </c>
      <c r="D10" s="112" t="s">
        <v>1092</v>
      </c>
      <c r="E10" s="101" t="str">
        <f>Total!E899</f>
        <v>Obra Civil</v>
      </c>
      <c r="F10" s="96" t="str">
        <f>Total!F899</f>
        <v>Projectes</v>
      </c>
      <c r="G10" s="112" t="str">
        <f>Total!G899</f>
        <v>TA. TA-AB-15032</v>
      </c>
      <c r="H10" s="112" t="str">
        <f>Total!H899</f>
        <v>Redacció del projecte de traçat de millora general. Condicionament. Millora del nivell de servei a la carretera C-17, entre l'autopista AP-7 i la carretera BV-1432, pk 14,500 al 21,000. Tram: Parets del Vallès - Lliçà d'Amunt.</v>
      </c>
      <c r="I10" s="157">
        <f>Total!I899</f>
        <v>117100</v>
      </c>
    </row>
    <row r="11" spans="1:9" x14ac:dyDescent="0.2">
      <c r="A11" s="8">
        <v>10</v>
      </c>
      <c r="B11" s="101">
        <f>Total!B900</f>
        <v>42338</v>
      </c>
      <c r="C11" s="101">
        <f>Total!C900</f>
        <v>42354</v>
      </c>
      <c r="D11" s="112" t="s">
        <v>1092</v>
      </c>
      <c r="E11" s="101" t="str">
        <f>Total!E900</f>
        <v>Obra Civil</v>
      </c>
      <c r="F11" s="96" t="str">
        <f>Total!F900</f>
        <v>Projectes</v>
      </c>
      <c r="G11" s="112" t="str">
        <f>Total!G900</f>
        <v>EV. E12-TM-02609</v>
      </c>
      <c r="H11" s="112" t="str">
        <f>Total!H900</f>
        <v>Redacció de l'estudi dels requeriments d'evacuació i ventilació de les provisionalitats de la L9 del metro de Barcelona per a la posada en servei de 2016.</v>
      </c>
      <c r="I11" s="157">
        <f>Total!I900</f>
        <v>60000</v>
      </c>
    </row>
    <row r="12" spans="1:9" x14ac:dyDescent="0.2">
      <c r="A12" s="8">
        <v>11</v>
      </c>
      <c r="B12" s="101">
        <f>Total!B901</f>
        <v>42338</v>
      </c>
      <c r="C12" s="101">
        <f>Total!C901</f>
        <v>42354</v>
      </c>
      <c r="D12" s="112" t="s">
        <v>1092</v>
      </c>
      <c r="E12" s="101" t="str">
        <f>Total!E901</f>
        <v>Obra Civil</v>
      </c>
      <c r="F12" s="96" t="str">
        <f>Total!F901</f>
        <v>Projectes</v>
      </c>
      <c r="G12" s="112" t="str">
        <f>Total!G901</f>
        <v>PC. TA-10034-A1</v>
      </c>
      <c r="H12" s="112" t="str">
        <f>Total!H901</f>
        <v>Redacció del projecte constructiu. Projecte actualitzat. Nova estació d'autobusos a Falset.</v>
      </c>
      <c r="I12" s="157">
        <f>Total!I901</f>
        <v>31150</v>
      </c>
    </row>
    <row r="13" spans="1:9" x14ac:dyDescent="0.2">
      <c r="I13" s="126">
        <f>SUM(I2:I12)</f>
        <v>676364.80000000005</v>
      </c>
    </row>
  </sheetData>
  <pageMargins left="0.7" right="0.7" top="0.75" bottom="0.75" header="0.3" footer="0.3"/>
  <pageSetup paperSize="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I12"/>
  <sheetViews>
    <sheetView workbookViewId="0">
      <selection sqref="A1:I12"/>
    </sheetView>
  </sheetViews>
  <sheetFormatPr baseColWidth="10" defaultRowHeight="12.75" x14ac:dyDescent="0.2"/>
  <cols>
    <col min="1" max="1" width="3.140625" customWidth="1"/>
    <col min="2" max="2" width="12.42578125" bestFit="1" customWidth="1"/>
    <col min="3" max="3" width="15.28515625" bestFit="1" customWidth="1"/>
    <col min="4" max="4" width="17" bestFit="1" customWidth="1"/>
    <col min="6" max="6" width="19.42578125" bestFit="1" customWidth="1"/>
    <col min="7" max="7" width="17.140625" bestFit="1" customWidth="1"/>
    <col min="8" max="8" width="53.1406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Total!B881</f>
        <v>42278</v>
      </c>
      <c r="C2" s="101">
        <f>Total!C881</f>
        <v>42296</v>
      </c>
      <c r="D2" s="112" t="s">
        <v>1092</v>
      </c>
      <c r="E2" s="101" t="str">
        <f>Total!E881</f>
        <v>Edificació</v>
      </c>
      <c r="F2" s="96" t="str">
        <f>Total!F881</f>
        <v>Projectes i Direccions d'Obra</v>
      </c>
      <c r="G2" s="112" t="str">
        <f>Total!G881</f>
        <v>PE+DO. CLT-12915</v>
      </c>
      <c r="H2" s="112" t="str">
        <f>Total!H881</f>
        <v>Redacció del porjecte bàsic i executiu i la posterior direcció d'obra del nou Consultori Local Els Pallaresos.</v>
      </c>
      <c r="I2" s="130">
        <v>106028</v>
      </c>
    </row>
    <row r="3" spans="1:9" x14ac:dyDescent="0.2">
      <c r="A3" s="8">
        <v>2</v>
      </c>
      <c r="B3" s="101">
        <f>Total!B882</f>
        <v>42279</v>
      </c>
      <c r="C3" s="101">
        <f>Total!C882</f>
        <v>42296</v>
      </c>
      <c r="D3" s="112" t="s">
        <v>1092</v>
      </c>
      <c r="E3" s="101" t="str">
        <f>Total!E882</f>
        <v>Obra Civil</v>
      </c>
      <c r="F3" s="96" t="str">
        <f>Total!F882</f>
        <v>Projectes</v>
      </c>
      <c r="G3" s="112" t="str">
        <f>Total!G882</f>
        <v>AT. UPA-14015.2</v>
      </c>
      <c r="H3" s="112" t="str">
        <f>Total!H882</f>
        <v>Assistència tècnica per als treballs de restauració de les praderies de posidònia, afectades per la presència de morts de fondeig a l'espai Natura 2000 Massís de Cadiretes i Litoral del Baix Empordà.</v>
      </c>
      <c r="I3" s="130">
        <v>78490</v>
      </c>
    </row>
    <row r="4" spans="1:9" x14ac:dyDescent="0.2">
      <c r="A4" s="8">
        <v>3</v>
      </c>
      <c r="B4" s="101">
        <f>Total!B883</f>
        <v>42279</v>
      </c>
      <c r="C4" s="101">
        <f>Total!C883</f>
        <v>42296</v>
      </c>
      <c r="D4" s="112" t="s">
        <v>1092</v>
      </c>
      <c r="E4" s="101" t="str">
        <f>Total!E883</f>
        <v>Obra Civil</v>
      </c>
      <c r="F4" s="96" t="str">
        <f>Total!F883</f>
        <v>Projectes</v>
      </c>
      <c r="G4" s="112" t="str">
        <f>Total!G883</f>
        <v>E9-MA-15900</v>
      </c>
      <c r="H4" s="112" t="str">
        <f>Total!H883</f>
        <v>Assistència tècnica per al seguiment de les xarxes de control d'aigües subterrànies, superficials i de drenatge del reg Segarra-Garrigues. DIA 2010: Campanya 2015-2016.</v>
      </c>
      <c r="I4" s="130">
        <v>170051.7</v>
      </c>
    </row>
    <row r="5" spans="1:9" x14ac:dyDescent="0.2">
      <c r="A5" s="8">
        <v>4</v>
      </c>
      <c r="B5" s="101">
        <f>Total!B884</f>
        <v>42286</v>
      </c>
      <c r="C5" s="101">
        <f>Total!C884</f>
        <v>42296</v>
      </c>
      <c r="D5" s="112" t="s">
        <v>1092</v>
      </c>
      <c r="E5" s="101" t="str">
        <f>Total!E884</f>
        <v>Obra Civil</v>
      </c>
      <c r="F5" s="96" t="str">
        <f>Total!F884</f>
        <v>Projectes</v>
      </c>
      <c r="G5" s="112" t="str">
        <f>Total!G884</f>
        <v>PC. TX-15342</v>
      </c>
      <c r="H5" s="112" t="str">
        <f>Total!H884</f>
        <v>Redacció del projecte constructiu nova canalització d'aigües. Endegament del Barranc de Barenys. Pla Parcial Urbanístic Sector 03. T.M. de Salou.</v>
      </c>
      <c r="I5" s="130">
        <v>60500</v>
      </c>
    </row>
    <row r="6" spans="1:9" x14ac:dyDescent="0.2">
      <c r="A6" s="8">
        <v>5</v>
      </c>
      <c r="B6" s="101">
        <f>Total!B885</f>
        <v>42296</v>
      </c>
      <c r="C6" s="101">
        <f>Total!C885</f>
        <v>42312</v>
      </c>
      <c r="D6" s="112" t="s">
        <v>1092</v>
      </c>
      <c r="E6" s="101" t="str">
        <f>Total!E885</f>
        <v>Edificació</v>
      </c>
      <c r="F6" s="96" t="str">
        <f>Total!F885</f>
        <v>Direccions d'Execució</v>
      </c>
      <c r="G6" s="112" t="str">
        <f>Total!G885</f>
        <v>CSS. GET-14308</v>
      </c>
      <c r="H6" s="112" t="str">
        <f>Total!H885</f>
        <v>Assistència tècnica per a la coordinació de seguretat i salut de les obres de construcció d'un poliesportiu a la zona esportiva de Camp Clar a Tarragona.</v>
      </c>
      <c r="I6" s="130">
        <v>32500</v>
      </c>
    </row>
    <row r="7" spans="1:9" x14ac:dyDescent="0.2">
      <c r="A7" s="8">
        <v>6</v>
      </c>
      <c r="B7" s="101">
        <f>Total!B886</f>
        <v>42297</v>
      </c>
      <c r="C7" s="101">
        <f>Total!C886</f>
        <v>42347</v>
      </c>
      <c r="D7" s="112" t="s">
        <v>1092</v>
      </c>
      <c r="E7" s="101" t="str">
        <f>Total!E886</f>
        <v>Edificació</v>
      </c>
      <c r="F7" s="96" t="str">
        <f>Total!F886</f>
        <v>Direccions d'Execució</v>
      </c>
      <c r="G7" s="112" t="str">
        <f>Total!G886</f>
        <v>DE. CAP-13320</v>
      </c>
      <c r="H7" s="112" t="str">
        <f>Total!H886</f>
        <v>Serveis per a la verificació de l'assegurament de la qualitat del projecte executiu i direcció d'execució de les obres de Nova construcció del Centre de Salut. Servei d'Urgències i CMA a Granollers.</v>
      </c>
      <c r="I7" s="130">
        <v>325000</v>
      </c>
    </row>
    <row r="8" spans="1:9" x14ac:dyDescent="0.2">
      <c r="A8" s="8">
        <v>7</v>
      </c>
      <c r="B8" s="101">
        <f>Total!B887</f>
        <v>42305</v>
      </c>
      <c r="C8" s="101">
        <f>Total!C887</f>
        <v>42352</v>
      </c>
      <c r="D8" s="112" t="s">
        <v>1092</v>
      </c>
      <c r="E8" s="101" t="str">
        <f>Total!E887</f>
        <v>Obra Civil</v>
      </c>
      <c r="F8" s="96" t="str">
        <f>Total!F887</f>
        <v>Direccions d'obra</v>
      </c>
      <c r="G8" s="112" t="str">
        <f>Total!G887</f>
        <v>DO. TF-02676.9</v>
      </c>
      <c r="H8" s="112" t="str">
        <f>Total!H887</f>
        <v>Direcció de les obres del projecte de perllongament de la línia d'FGC a Sabadell. Arquitectura i instal·lacions de l'estació Ca N'Oriach i de les cotxeres.</v>
      </c>
      <c r="I8" s="130">
        <v>462422.22</v>
      </c>
    </row>
    <row r="9" spans="1:9" x14ac:dyDescent="0.2">
      <c r="A9" s="8">
        <v>8</v>
      </c>
      <c r="B9" s="101">
        <f>Total!B888</f>
        <v>42305</v>
      </c>
      <c r="C9" s="101">
        <f>Total!C888</f>
        <v>42324</v>
      </c>
      <c r="D9" s="112" t="s">
        <v>1092</v>
      </c>
      <c r="E9" s="101" t="str">
        <f>Total!E888</f>
        <v>Edificació</v>
      </c>
      <c r="F9" s="96" t="str">
        <f>Total!F888</f>
        <v>Control de Qualitat</v>
      </c>
      <c r="G9" s="112" t="str">
        <f>Total!G888</f>
        <v>CQ. CAP-12914</v>
      </c>
      <c r="H9" s="112" t="str">
        <f>Total!H888</f>
        <v>Control de qualitat de les obres del nou Centre d'Atenció Primària de Sant Pere de Ribes.</v>
      </c>
      <c r="I9" s="130">
        <v>34270.42</v>
      </c>
    </row>
    <row r="10" spans="1:9" x14ac:dyDescent="0.2">
      <c r="A10" s="8">
        <v>9</v>
      </c>
      <c r="B10" s="101">
        <f>Total!B889</f>
        <v>42305</v>
      </c>
      <c r="C10" s="101">
        <f>Total!C889</f>
        <v>42324</v>
      </c>
      <c r="D10" s="112" t="s">
        <v>1092</v>
      </c>
      <c r="E10" s="101" t="str">
        <f>Total!E889</f>
        <v>Edificació</v>
      </c>
      <c r="F10" s="96" t="str">
        <f>Total!F889</f>
        <v>Direccions d'Execució</v>
      </c>
      <c r="G10" s="112" t="str">
        <f>Total!G889</f>
        <v>CSS. CAP-12914</v>
      </c>
      <c r="H10" s="112" t="str">
        <f>Total!H889</f>
        <v>Coordinació de seguretat i salut de les obres del nou Centre d'Atenció Primària de Sant Pere de Ribes.</v>
      </c>
      <c r="I10" s="130">
        <v>17500</v>
      </c>
    </row>
    <row r="11" spans="1:9" x14ac:dyDescent="0.2">
      <c r="A11" s="8">
        <v>10</v>
      </c>
      <c r="B11" s="101">
        <f>Total!B890</f>
        <v>42305</v>
      </c>
      <c r="C11" s="101">
        <f>Total!C890</f>
        <v>42324</v>
      </c>
      <c r="D11" s="112" t="s">
        <v>1092</v>
      </c>
      <c r="E11" s="101" t="str">
        <f>Total!E890</f>
        <v>Edificació</v>
      </c>
      <c r="F11" s="96" t="str">
        <f>Total!F890</f>
        <v>Direccions d'Execució</v>
      </c>
      <c r="G11" s="112" t="str">
        <f>Total!G890</f>
        <v>DE. CAP-12914</v>
      </c>
      <c r="H11" s="112" t="str">
        <f>Total!H890</f>
        <v>Direcció d'execució de les obres de construcció del nou CAP a Sant Pere de Ribes.</v>
      </c>
      <c r="I11" s="130">
        <v>68200</v>
      </c>
    </row>
    <row r="12" spans="1:9" x14ac:dyDescent="0.2">
      <c r="I12" s="126">
        <f>SUM(I2:I11)</f>
        <v>1354962.3399999999</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15"/>
  <sheetViews>
    <sheetView workbookViewId="0">
      <selection activeCell="I15" sqref="I15"/>
    </sheetView>
  </sheetViews>
  <sheetFormatPr baseColWidth="10" defaultRowHeight="12.75" x14ac:dyDescent="0.2"/>
  <cols>
    <col min="1" max="1" width="4.7109375" customWidth="1"/>
    <col min="4" max="4" width="17" bestFit="1" customWidth="1"/>
    <col min="5" max="5" width="9" bestFit="1" customWidth="1"/>
    <col min="6" max="6" width="25.28515625" bestFit="1" customWidth="1"/>
    <col min="7" max="7" width="17.28515625" bestFit="1" customWidth="1"/>
    <col min="8" max="8" width="53.425781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Total!B868</f>
        <v>42250</v>
      </c>
      <c r="C2" s="101">
        <f>Total!C868</f>
        <v>42270</v>
      </c>
      <c r="D2" s="112" t="s">
        <v>1092</v>
      </c>
      <c r="E2" s="101" t="str">
        <f>Total!E868</f>
        <v>Edificació</v>
      </c>
      <c r="F2" s="96" t="str">
        <f>Total!F868</f>
        <v>Direccions d'Execució</v>
      </c>
      <c r="G2" s="112" t="str">
        <f>Total!G868</f>
        <v>DE. HBB-11233-C1</v>
      </c>
      <c r="H2" s="112" t="str">
        <f>Total!H868</f>
        <v>Direcció execució obres del projecte compl. núm. 1  Servei de Neonatologia i Unitat d'Hospitalització d'Obstetrícia de l'Hospital Germans Trias i Pujol, Badalona. Remodelació àrea administrativa ICO i hospital de dia transtorns alimentació.</v>
      </c>
      <c r="I2" s="130">
        <v>32000</v>
      </c>
    </row>
    <row r="3" spans="1:9" x14ac:dyDescent="0.2">
      <c r="A3" s="8">
        <v>2</v>
      </c>
      <c r="B3" s="101">
        <f>Total!B869</f>
        <v>42250</v>
      </c>
      <c r="C3" s="101">
        <f>Total!C869</f>
        <v>42270</v>
      </c>
      <c r="D3" s="112" t="s">
        <v>1092</v>
      </c>
      <c r="E3" s="101" t="str">
        <f>Total!E869</f>
        <v>Obra Civil</v>
      </c>
      <c r="F3" s="96" t="str">
        <f>Total!F869</f>
        <v>Direccions d'Obra</v>
      </c>
      <c r="G3" s="112" t="str">
        <f>Total!G869</f>
        <v>ATAM. VT-13007+1</v>
      </c>
      <c r="H3" s="112" t="str">
        <f>Total!H869</f>
        <v>Assistència tècnica ambiental conjunta de les obres de "Millora general. Variant Connexió de la ctra. C-37, pk 5,800 amb la N-420, pk 17,450. Tram: Valls. I "Millora general. Condicionament. Ctra. T-350, pk 0,0-2,759. Tram: Sta. Bàrbara-Masdenverge.</v>
      </c>
      <c r="I3" s="130">
        <v>23527</v>
      </c>
    </row>
    <row r="4" spans="1:9" x14ac:dyDescent="0.2">
      <c r="A4" s="8">
        <v>3</v>
      </c>
      <c r="B4" s="101">
        <f>Total!B870</f>
        <v>42254</v>
      </c>
      <c r="C4" s="101">
        <f>Total!C870</f>
        <v>42270</v>
      </c>
      <c r="D4" s="112" t="s">
        <v>1092</v>
      </c>
      <c r="E4" s="101" t="str">
        <f>Total!E870</f>
        <v>Obra Civil</v>
      </c>
      <c r="F4" s="96" t="str">
        <f>Total!F870</f>
        <v>Control de Qualitat</v>
      </c>
      <c r="G4" s="112" t="str">
        <f>Total!G870</f>
        <v>CQ. CQC-2015.1</v>
      </c>
      <c r="H4" s="112" t="str">
        <f>Total!H870</f>
        <v>Contracte de serveis per a l'assistència de control de qualitat d'actuacions d'obra civil amb inici previst durant l'any 20105.</v>
      </c>
      <c r="I4" s="130">
        <v>147028.21</v>
      </c>
    </row>
    <row r="5" spans="1:9" x14ac:dyDescent="0.2">
      <c r="A5" s="8">
        <v>4</v>
      </c>
      <c r="B5" s="101">
        <f>Total!B871</f>
        <v>42257</v>
      </c>
      <c r="C5" s="101">
        <f>Total!C871</f>
        <v>42275</v>
      </c>
      <c r="D5" s="112" t="s">
        <v>1092</v>
      </c>
      <c r="E5" s="101" t="str">
        <f>Total!E871</f>
        <v>Obra Civil</v>
      </c>
      <c r="F5" s="96" t="str">
        <f>Total!F871</f>
        <v>Direccions d'Obra</v>
      </c>
      <c r="G5" s="112" t="str">
        <f>Total!G871</f>
        <v>DO. AE-12057</v>
      </c>
      <c r="H5" s="112" t="str">
        <f>Total!H871</f>
        <v>Direcció de les obres del projecte de millora general. Condicionament. Ctra. T-350, pk 0,000 al 2,759. Tram: Santa Bàrbara-Masdenverge.</v>
      </c>
      <c r="I5" s="130">
        <v>60111.11</v>
      </c>
    </row>
    <row r="6" spans="1:9" x14ac:dyDescent="0.2">
      <c r="A6" s="8">
        <v>5</v>
      </c>
      <c r="B6" s="101">
        <f>Total!B872</f>
        <v>42257</v>
      </c>
      <c r="C6" s="101">
        <f>Total!C872</f>
        <v>42275</v>
      </c>
      <c r="D6" s="112" t="s">
        <v>1092</v>
      </c>
      <c r="E6" s="101" t="str">
        <f>Total!E872</f>
        <v>Obra Civil</v>
      </c>
      <c r="F6" s="96" t="str">
        <f>Total!F872</f>
        <v>Direccions d'Obra</v>
      </c>
      <c r="G6" s="112" t="str">
        <f>Total!G872</f>
        <v>DO. VT-13007</v>
      </c>
      <c r="H6" s="112" t="str">
        <f>Total!H872</f>
        <v>Direcció de les obres del projecte de millora general. Variant. Connexió de la ctra. C-37, pk 5,800, amb la N-240, pk 17,450. Tram: Valls.</v>
      </c>
      <c r="I6" s="130">
        <v>81138.89</v>
      </c>
    </row>
    <row r="7" spans="1:9" x14ac:dyDescent="0.2">
      <c r="A7" s="8">
        <v>6</v>
      </c>
      <c r="B7" s="101">
        <f>Total!B873</f>
        <v>42261</v>
      </c>
      <c r="C7" s="101">
        <f>Total!C873</f>
        <v>42282</v>
      </c>
      <c r="D7" s="112" t="s">
        <v>1092</v>
      </c>
      <c r="E7" s="101" t="str">
        <f>Total!E873</f>
        <v>Obra Civil</v>
      </c>
      <c r="F7" s="96" t="str">
        <f>Total!F873</f>
        <v>Control de Qualitat</v>
      </c>
      <c r="G7" s="112" t="str">
        <f>Total!G873</f>
        <v>CQ. TF-02676.3A.3</v>
      </c>
      <c r="H7" s="112" t="str">
        <f>Total!H873</f>
        <v>Control de qualitat de les obres del projecte de perllongament de la línia d'FGC a Sabadell. Superestructura de via i catenària. Tram: Plaça Espanya-Cotxeres.</v>
      </c>
      <c r="I7" s="130">
        <v>73530.100000000006</v>
      </c>
    </row>
    <row r="8" spans="1:9" x14ac:dyDescent="0.2">
      <c r="A8" s="8">
        <v>7</v>
      </c>
      <c r="B8" s="101">
        <f>Total!B874</f>
        <v>42268</v>
      </c>
      <c r="C8" s="101">
        <f>Total!C874</f>
        <v>42317</v>
      </c>
      <c r="D8" s="112" t="s">
        <v>1092</v>
      </c>
      <c r="E8" s="101" t="str">
        <f>Total!E874</f>
        <v>Edificació</v>
      </c>
      <c r="F8" s="96" t="str">
        <f>Total!F874</f>
        <v>Projectes i Direccions d'Obra</v>
      </c>
      <c r="G8" s="112" t="str">
        <f>Total!G874</f>
        <v>PE+DO. INL-10083</v>
      </c>
      <c r="H8" s="112" t="str">
        <f>Total!H874</f>
        <v>Redacció del projecte bàsic i executiu i la posterior direcció d'obra de la nova construcció Institut 4/2 Joan Solà, a Torrefarrera. (2V).</v>
      </c>
      <c r="I8" s="130">
        <v>400670</v>
      </c>
    </row>
    <row r="9" spans="1:9" x14ac:dyDescent="0.2">
      <c r="A9" s="8">
        <v>8</v>
      </c>
      <c r="B9" s="101">
        <f>Total!B875</f>
        <v>42269</v>
      </c>
      <c r="C9" s="101">
        <f>Total!C875</f>
        <v>42291</v>
      </c>
      <c r="D9" s="112" t="s">
        <v>1092</v>
      </c>
      <c r="E9" s="101" t="str">
        <f>Total!E875</f>
        <v>Obra Civil</v>
      </c>
      <c r="F9" s="96" t="str">
        <f>Total!F875</f>
        <v>Direccions d'Obra</v>
      </c>
      <c r="G9" s="112" t="str">
        <f>Total!G875</f>
        <v>DO. MB-05004-A1</v>
      </c>
      <c r="H9" s="112" t="str">
        <f>Total!H875</f>
        <v>Direcció de les obres del projecte de millora local. Millora de nus. Millora de la connexió de l'AP-7 i la C-33 amb la carretera C-17, del pk 14,700 al 15,100. Tram: Parests del Vallès.</v>
      </c>
      <c r="I9" s="130">
        <v>23688.89</v>
      </c>
    </row>
    <row r="10" spans="1:9" x14ac:dyDescent="0.2">
      <c r="A10" s="8">
        <v>9</v>
      </c>
      <c r="B10" s="101">
        <f>Total!B876</f>
        <v>42275</v>
      </c>
      <c r="C10" s="101">
        <f>Total!C876</f>
        <v>42291</v>
      </c>
      <c r="D10" s="112" t="s">
        <v>1092</v>
      </c>
      <c r="E10" s="101" t="str">
        <f>Total!E876</f>
        <v>Edificació</v>
      </c>
      <c r="F10" s="96" t="str">
        <f>Total!F876</f>
        <v>Projectes i Direccions d'Obra</v>
      </c>
      <c r="G10" s="112" t="str">
        <f>Total!G876</f>
        <v>PE+DO. PAA-15309</v>
      </c>
      <c r="H10" s="112" t="str">
        <f>Total!H876</f>
        <v>Redacció del projecte bàsic i executiu i la posterior direcció d'obra de l'ampliació i adequació a 1 línia de primària a l'Escola Cau de la Guineu (fase 1) a Corbera de Llobregat.</v>
      </c>
      <c r="I10" s="130">
        <v>143702</v>
      </c>
    </row>
    <row r="11" spans="1:9" x14ac:dyDescent="0.2">
      <c r="A11" s="8">
        <v>10</v>
      </c>
      <c r="B11" s="101">
        <f>Total!B877</f>
        <v>42275</v>
      </c>
      <c r="C11" s="101">
        <f>Total!C877</f>
        <v>42298</v>
      </c>
      <c r="D11" s="112" t="s">
        <v>1092</v>
      </c>
      <c r="E11" s="101" t="str">
        <f>Total!E877</f>
        <v>Edificació</v>
      </c>
      <c r="F11" s="96" t="str">
        <f>Total!F877</f>
        <v>Control de Qualitat</v>
      </c>
      <c r="G11" s="112" t="str">
        <f>Total!G877</f>
        <v>CQ. PNM-13310</v>
      </c>
      <c r="H11" s="112" t="str">
        <f>Total!H877</f>
        <v>Control de qualitat de les obres de reconversió antiga edificació (fàbrica Can Fàbregas del Paper) per a Nova construcció escola 2 línies a l'Escola Angeleta Ferrer, a Mataró.</v>
      </c>
      <c r="I11" s="130">
        <v>63815.56</v>
      </c>
    </row>
    <row r="12" spans="1:9" x14ac:dyDescent="0.2">
      <c r="A12" s="8">
        <v>11</v>
      </c>
      <c r="B12" s="101">
        <f>Total!B878</f>
        <v>42275</v>
      </c>
      <c r="C12" s="101">
        <f>Total!C878</f>
        <v>42298</v>
      </c>
      <c r="D12" s="112" t="s">
        <v>1092</v>
      </c>
      <c r="E12" s="101" t="str">
        <f>Total!E878</f>
        <v>Edificació</v>
      </c>
      <c r="F12" s="96" t="str">
        <f>Total!F878</f>
        <v>Direccions d'Execució</v>
      </c>
      <c r="G12" s="112" t="str">
        <f>Total!G878</f>
        <v>CSS. PNM-13310</v>
      </c>
      <c r="H12" s="112" t="str">
        <f>Total!H878</f>
        <v>Coordinació de seguretat i salut de les obres de reconversió antiga edificació (fàbrica Can Fàbregas del Paper) per a Nova construcció escola 2 línies a l'Escola Angeleta Ferrer, a Mataró.</v>
      </c>
      <c r="I12" s="130">
        <v>26000</v>
      </c>
    </row>
    <row r="13" spans="1:9" x14ac:dyDescent="0.2">
      <c r="A13" s="8">
        <v>12</v>
      </c>
      <c r="B13" s="101">
        <f>Total!B879</f>
        <v>42276</v>
      </c>
      <c r="C13" s="101">
        <f>Total!C879</f>
        <v>42291</v>
      </c>
      <c r="D13" s="112" t="s">
        <v>1092</v>
      </c>
      <c r="E13" s="101" t="str">
        <f>Total!E879</f>
        <v>Obra Civil</v>
      </c>
      <c r="F13" s="96" t="str">
        <f>Total!F879</f>
        <v>Direccions d'Obra</v>
      </c>
      <c r="G13" s="112" t="str">
        <f>Total!G879</f>
        <v>CSS. TF-02676.3A.3/TF-02676.9</v>
      </c>
      <c r="H13" s="112" t="str">
        <f>Total!H879</f>
        <v>Coord. Seg. salut conjunta de les obres "Projecte de perllongament de la línia d'FGC a Sabadell". Superestructura de via i catenària. Tram: Pl. Espanya-Cotxeres. TF-02676.3A.3 i projecte perllongament línia FGC a Sabadell. Arquitectura  i instal.</v>
      </c>
      <c r="I13" s="130">
        <v>153750.01</v>
      </c>
    </row>
    <row r="14" spans="1:9" x14ac:dyDescent="0.2">
      <c r="A14" s="8">
        <v>13</v>
      </c>
      <c r="B14" s="101">
        <f>Total!B880</f>
        <v>42277</v>
      </c>
      <c r="C14" s="101">
        <f>Total!C880</f>
        <v>42296</v>
      </c>
      <c r="D14" s="112" t="s">
        <v>1092</v>
      </c>
      <c r="E14" s="101" t="str">
        <f>Total!E880</f>
        <v>Obra Civil</v>
      </c>
      <c r="F14" s="96" t="str">
        <f>Total!F880</f>
        <v>Direccions d'Obra</v>
      </c>
      <c r="G14" s="112" t="str">
        <f>Total!G880</f>
        <v>DO. MB-15028</v>
      </c>
      <c r="H14" s="112" t="str">
        <f>Total!H880</f>
        <v>Direcció de les obres dels sistemes de control per a la implantació d'un peatge tancat virtual, a diversos enllaços de l'autopista C-16 entre Terrassa i Manresa.</v>
      </c>
      <c r="I14" s="130">
        <v>88711.11</v>
      </c>
    </row>
    <row r="15" spans="1:9" x14ac:dyDescent="0.2">
      <c r="I15" s="126">
        <f>SUM(I2:I14)</f>
        <v>1317672.8800000001</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I5"/>
  <sheetViews>
    <sheetView workbookViewId="0">
      <selection sqref="A1:XFD5"/>
    </sheetView>
  </sheetViews>
  <sheetFormatPr baseColWidth="10" defaultRowHeight="12.75" x14ac:dyDescent="0.2"/>
  <cols>
    <col min="1" max="1" width="5" customWidth="1"/>
    <col min="2" max="2" width="12.42578125" bestFit="1" customWidth="1"/>
    <col min="3" max="3" width="14.5703125" customWidth="1"/>
    <col min="4" max="4" width="17" bestFit="1" customWidth="1"/>
    <col min="5" max="5" width="9" bestFit="1" customWidth="1"/>
    <col min="8" max="8" width="67.8554687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Total!B865</f>
        <v>42220</v>
      </c>
      <c r="C2" s="101">
        <f>Total!C865</f>
        <v>42270</v>
      </c>
      <c r="D2" s="112" t="s">
        <v>1092</v>
      </c>
      <c r="E2" s="101" t="str">
        <f>Total!E865</f>
        <v>Edificació</v>
      </c>
      <c r="F2" s="96" t="str">
        <f>Total!F865</f>
        <v>Projectes i Direccions d'Obra</v>
      </c>
      <c r="G2" s="112" t="str">
        <f>Total!G865</f>
        <v>PE+DO. IAA-13208</v>
      </c>
      <c r="H2" s="112" t="str">
        <f>Total!H865</f>
        <v>Redacció del projecte bàsic i executiu i la posterior direcció de les obres de la reconversió de la nau Can Bertrand per a la nova construcció de l'Institut d'Hoteleria del Baix Llobregat a Sant Feliu de Llobregat.</v>
      </c>
      <c r="I2" s="130">
        <v>297505</v>
      </c>
    </row>
    <row r="3" spans="1:9" x14ac:dyDescent="0.2">
      <c r="A3" s="8">
        <v>2</v>
      </c>
      <c r="B3" s="101">
        <f>Total!B866</f>
        <v>42235</v>
      </c>
      <c r="C3" s="101">
        <f>Total!C866</f>
        <v>42284</v>
      </c>
      <c r="D3" s="112" t="s">
        <v>1092</v>
      </c>
      <c r="E3" s="101" t="str">
        <f>Total!E866</f>
        <v>Obra Civil</v>
      </c>
      <c r="F3" s="96" t="str">
        <f>Total!F866</f>
        <v>Direccions d'Obra</v>
      </c>
      <c r="G3" s="112" t="str">
        <f>Total!G866</f>
        <v>DO. TF-02676.3A.3</v>
      </c>
      <c r="H3" s="112" t="str">
        <f>Total!H866</f>
        <v>Direcció de les obres del projecte de perllongament de la línia d'FGC a Sabadell. Superestructura de via i catenària. Tram: Plaça Espanya-Cotxeres.</v>
      </c>
      <c r="I3" s="130">
        <v>281666.67</v>
      </c>
    </row>
    <row r="4" spans="1:9" x14ac:dyDescent="0.2">
      <c r="A4" s="8">
        <v>3</v>
      </c>
      <c r="B4" s="101">
        <f>Total!B867</f>
        <v>42247</v>
      </c>
      <c r="C4" s="101">
        <f>Total!C867</f>
        <v>42296</v>
      </c>
      <c r="D4" s="112" t="s">
        <v>1092</v>
      </c>
      <c r="E4" s="101" t="str">
        <f>Total!E867</f>
        <v>Edificació</v>
      </c>
      <c r="F4" s="96" t="str">
        <f>Total!F867</f>
        <v>Direccions d'Execució</v>
      </c>
      <c r="G4" s="112" t="str">
        <f>Total!G867</f>
        <v>DE. GET-14308</v>
      </c>
      <c r="H4" s="112" t="str">
        <f>Total!H867</f>
        <v>Serveis per a la verificació de l'assegurament de la qualitat del projecte executiu i direcció d'execució de les obres de construcció d'un poliesportiu a la zona esportiva de Camp Clar a Tarragona, i la conservació i manteniment del poliesportiu….</v>
      </c>
      <c r="I4" s="130">
        <v>275000</v>
      </c>
    </row>
    <row r="5" spans="1:9" x14ac:dyDescent="0.2">
      <c r="I5" s="126">
        <f>SUM(I2:I4)</f>
        <v>854171.66999999993</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57"/>
  <sheetViews>
    <sheetView workbookViewId="0">
      <selection activeCell="B56" sqref="B56"/>
    </sheetView>
  </sheetViews>
  <sheetFormatPr baseColWidth="10" defaultRowHeight="12.75" x14ac:dyDescent="0.2"/>
  <cols>
    <col min="1" max="1" width="4.28515625" customWidth="1"/>
    <col min="2" max="2" width="12.42578125" bestFit="1" customWidth="1"/>
    <col min="4" max="4" width="17" bestFit="1" customWidth="1"/>
    <col min="7" max="7" width="14.140625" bestFit="1" customWidth="1"/>
    <col min="8" max="8" width="61" customWidth="1"/>
    <col min="9" max="9" width="20.7109375"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Total!B810</f>
        <v>42191</v>
      </c>
      <c r="C2" s="101">
        <f>Total!C810</f>
        <v>42207</v>
      </c>
      <c r="D2" s="112" t="s">
        <v>1092</v>
      </c>
      <c r="E2" s="101" t="str">
        <f>Total!E810</f>
        <v>Obra Civil</v>
      </c>
      <c r="F2" s="96" t="str">
        <f>Total!F810</f>
        <v>Projectes</v>
      </c>
      <c r="G2" s="112" t="str">
        <f>Total!G810</f>
        <v>PC. TA-08433.1</v>
      </c>
      <c r="H2" s="112" t="str">
        <f>Total!H810</f>
        <v>Serveis per a l'assistència tècnica per a la redacció del projecte constructiu de la nova estació d'autobusos de Mollerussa.</v>
      </c>
      <c r="I2" s="130">
        <v>37500</v>
      </c>
    </row>
    <row r="3" spans="1:9" x14ac:dyDescent="0.2">
      <c r="A3" s="8">
        <v>2</v>
      </c>
      <c r="B3" s="101">
        <f>Total!B811</f>
        <v>42191</v>
      </c>
      <c r="C3" s="101">
        <f>Total!C811</f>
        <v>42207</v>
      </c>
      <c r="D3" s="112" t="s">
        <v>1092</v>
      </c>
      <c r="E3" s="101" t="str">
        <f>Total!E811</f>
        <v>Obra Civil</v>
      </c>
      <c r="F3" s="96" t="str">
        <f>Total!F811</f>
        <v>Projectes</v>
      </c>
      <c r="G3" s="112" t="str">
        <f>Total!G811</f>
        <v>PC. ML-14043</v>
      </c>
      <c r="H3" s="112" t="str">
        <f>Total!H811</f>
        <v>Serveis per a l'assistència tècnica per a la redacció del porjecte constructiu de millora local. Elements de seguretat viària. Barreres antiallaus a la ctra. C-28 als pk 38,400 al 38,550, del 40,100 al 40,250, 40,800 al 42,000. Tram: Baquèira-Tonyon.</v>
      </c>
      <c r="I3" s="130">
        <v>76800</v>
      </c>
    </row>
    <row r="4" spans="1:9" x14ac:dyDescent="0.2">
      <c r="A4" s="8">
        <v>3</v>
      </c>
      <c r="B4" s="101">
        <f>Total!B812</f>
        <v>42193</v>
      </c>
      <c r="C4" s="101">
        <f>Total!C812</f>
        <v>42212</v>
      </c>
      <c r="D4" s="112" t="s">
        <v>1092</v>
      </c>
      <c r="E4" s="101" t="str">
        <f>Total!E812</f>
        <v>Edificació</v>
      </c>
      <c r="F4" s="96" t="str">
        <f>Total!F812</f>
        <v>Direccions d'execució</v>
      </c>
      <c r="G4" s="112" t="str">
        <f>Total!G812</f>
        <v>DE. ECO-15219</v>
      </c>
      <c r="H4" s="112" t="str">
        <f>Total!H812</f>
        <v>Direcció d'execució de les obres d'adequació de l'edifici T, d'oficines, situat al passeig de la Zona Franca, 46 de Barcelona.</v>
      </c>
      <c r="I4" s="130">
        <v>50500</v>
      </c>
    </row>
    <row r="5" spans="1:9" x14ac:dyDescent="0.2">
      <c r="A5" s="8">
        <v>4</v>
      </c>
      <c r="B5" s="101">
        <f>Total!B813</f>
        <v>42193</v>
      </c>
      <c r="C5" s="101">
        <f>Total!C813</f>
        <v>42212</v>
      </c>
      <c r="D5" s="112" t="s">
        <v>1092</v>
      </c>
      <c r="E5" s="101" t="str">
        <f>Total!E813</f>
        <v>Edificació</v>
      </c>
      <c r="F5" s="96" t="str">
        <f>Total!F813</f>
        <v>Direccions d'obra</v>
      </c>
      <c r="G5" s="112" t="str">
        <f>Total!G813</f>
        <v>DO. ECO-15219</v>
      </c>
      <c r="H5" s="112" t="str">
        <f>Total!H813</f>
        <v>Direcció de les obres d'adequació de l'edifici T, d'oficines, situat al passeig de la Zona Franca, 46 de Barcelona.</v>
      </c>
      <c r="I5" s="130">
        <v>33000</v>
      </c>
    </row>
    <row r="6" spans="1:9" x14ac:dyDescent="0.2">
      <c r="A6" s="8">
        <v>5</v>
      </c>
      <c r="B6" s="101">
        <f>Total!B814</f>
        <v>42193</v>
      </c>
      <c r="C6" s="101">
        <f>Total!C814</f>
        <v>42212</v>
      </c>
      <c r="D6" s="112" t="s">
        <v>1092</v>
      </c>
      <c r="E6" s="101" t="str">
        <f>Total!E814</f>
        <v>Edificació</v>
      </c>
      <c r="F6" s="96" t="str">
        <f>Total!F814</f>
        <v>Control de Qualitat</v>
      </c>
      <c r="G6" s="112" t="str">
        <f>Total!G814</f>
        <v>CQ. ECO-152192</v>
      </c>
      <c r="H6" s="112" t="str">
        <f>Total!H814</f>
        <v>Control de qualita de les obres d'adequació de l'edifici T, d'oficines, situat al passeig de la Zona Franca, 46 de Barcelona.</v>
      </c>
      <c r="I6" s="130">
        <v>41018.26</v>
      </c>
    </row>
    <row r="7" spans="1:9" x14ac:dyDescent="0.2">
      <c r="A7" s="8">
        <v>6</v>
      </c>
      <c r="B7" s="101">
        <f>Total!B815</f>
        <v>42194</v>
      </c>
      <c r="C7" s="101">
        <f>Total!C815</f>
        <v>42247</v>
      </c>
      <c r="D7" s="112" t="s">
        <v>1092</v>
      </c>
      <c r="E7" s="101" t="str">
        <f>Total!E815</f>
        <v>Obra Civil</v>
      </c>
      <c r="F7" s="96" t="str">
        <f>Total!F815</f>
        <v>Projectes</v>
      </c>
      <c r="G7" s="112" t="str">
        <f>Total!G815</f>
        <v>PC. MG-08128.2</v>
      </c>
      <c r="H7" s="112" t="str">
        <f>Total!H815</f>
        <v>Redacció del projecte constructiu de millora loca. Eixamplament i reforç del ferm. Ctra. C-25, del pk 240,100 al 242,100. Tram: Riudellots de la Selva-Campllong.</v>
      </c>
      <c r="I7" s="130">
        <v>46700</v>
      </c>
    </row>
    <row r="8" spans="1:9" x14ac:dyDescent="0.2">
      <c r="A8" s="8">
        <v>7</v>
      </c>
      <c r="B8" s="101">
        <f>Total!B816</f>
        <v>42194</v>
      </c>
      <c r="C8" s="101">
        <f>Total!C816</f>
        <v>42247</v>
      </c>
      <c r="D8" s="112" t="s">
        <v>1092</v>
      </c>
      <c r="E8" s="101" t="str">
        <f>Total!E816</f>
        <v>Obra Civil</v>
      </c>
      <c r="F8" s="96" t="str">
        <f>Total!F816</f>
        <v>Projectes</v>
      </c>
      <c r="G8" s="112" t="str">
        <f>Total!G816</f>
        <v>PC. MT-14080</v>
      </c>
      <c r="H8" s="112" t="str">
        <f>Total!H816</f>
        <v>Redacció del projecte constructiu de millora local. Millora de la intersecció de la C-31, al pk 137,400, amb l'antiga C-246a. Tram: Calafell.</v>
      </c>
      <c r="I8" s="130">
        <v>19700</v>
      </c>
    </row>
    <row r="9" spans="1:9" x14ac:dyDescent="0.2">
      <c r="A9" s="8">
        <v>8</v>
      </c>
      <c r="B9" s="101">
        <f>Total!B817</f>
        <v>42194</v>
      </c>
      <c r="C9" s="101">
        <f>Total!C817</f>
        <v>42247</v>
      </c>
      <c r="D9" s="112" t="s">
        <v>1092</v>
      </c>
      <c r="E9" s="101" t="str">
        <f>Total!E817</f>
        <v>Obra Civil</v>
      </c>
      <c r="F9" s="96" t="str">
        <f>Total!F817</f>
        <v>Projectes</v>
      </c>
      <c r="G9" s="112" t="str">
        <f>Total!G817</f>
        <v>PC. ML-14044</v>
      </c>
      <c r="H9" s="112" t="str">
        <f>Total!H817</f>
        <v>Redacció del projecte constructiu de millora local. Seguretat viària. Ordenació de la travessera del Pi de Sant Just i tancament de rodones. Ctra. C-55 del pk 75,770 al 77,350. Tram: El Pi de Sant Just (Olius).</v>
      </c>
      <c r="I9" s="130">
        <v>37500</v>
      </c>
    </row>
    <row r="10" spans="1:9" x14ac:dyDescent="0.2">
      <c r="A10" s="8">
        <v>9</v>
      </c>
      <c r="B10" s="101">
        <f>Total!B818</f>
        <v>42194</v>
      </c>
      <c r="C10" s="101">
        <f>Total!C818</f>
        <v>42247</v>
      </c>
      <c r="D10" s="112" t="s">
        <v>1092</v>
      </c>
      <c r="E10" s="101" t="str">
        <f>Total!E818</f>
        <v>Obra Civil</v>
      </c>
      <c r="F10" s="96" t="str">
        <f>Total!F818</f>
        <v>Projectes</v>
      </c>
      <c r="G10" s="112" t="str">
        <f>Total!G818</f>
        <v>EV. EP-MC-15004</v>
      </c>
      <c r="H10" s="112" t="str">
        <f>Total!H818</f>
        <v>Redac. Estudi previ millora local. Seg. Viària. Millora seg. Viària de la xarxa de ctres. De la Generalitat de Catalunya mitjançant l'elaboració d'un Pla d'implantació de Separadors de Fluxos de Trànsit en ctres. Convencionals calçada única.</v>
      </c>
      <c r="I10" s="130">
        <v>110000</v>
      </c>
    </row>
    <row r="11" spans="1:9" x14ac:dyDescent="0.2">
      <c r="A11" s="8">
        <v>10</v>
      </c>
      <c r="B11" s="101">
        <f>Total!B819</f>
        <v>42194</v>
      </c>
      <c r="C11" s="101">
        <f>Total!C819</f>
        <v>42247</v>
      </c>
      <c r="D11" s="112" t="s">
        <v>1092</v>
      </c>
      <c r="E11" s="101" t="str">
        <f>Total!E819</f>
        <v>Obra Civil</v>
      </c>
      <c r="F11" s="96" t="str">
        <f>Total!F819</f>
        <v>Projectes</v>
      </c>
      <c r="G11" s="112" t="str">
        <f>Total!G819</f>
        <v>PC. ML-14045</v>
      </c>
      <c r="H11" s="112" t="str">
        <f>Total!H819</f>
        <v>Redacció del projecte constructiu de millora local. Seguretat viària. Viseres antiallaus a la ctra. C-28, pk 39,550 (RUDA 14) I 40,450 (RUDA 49). Tram: Baquèira-Vall de Ruda (Naut Aran).</v>
      </c>
      <c r="I11" s="130">
        <v>88850</v>
      </c>
    </row>
    <row r="12" spans="1:9" x14ac:dyDescent="0.2">
      <c r="A12" s="8">
        <v>11</v>
      </c>
      <c r="B12" s="101">
        <f>Total!B820</f>
        <v>42194</v>
      </c>
      <c r="C12" s="101">
        <f>Total!C820</f>
        <v>42247</v>
      </c>
      <c r="D12" s="112" t="s">
        <v>1092</v>
      </c>
      <c r="E12" s="101" t="str">
        <f>Total!E820</f>
        <v>Obra Civil</v>
      </c>
      <c r="F12" s="96" t="str">
        <f>Total!F820</f>
        <v>Projectes</v>
      </c>
      <c r="G12" s="112" t="str">
        <f>Total!G820</f>
        <v>EV. EA-TX-15282</v>
      </c>
      <c r="H12" s="112" t="str">
        <f>Total!H820</f>
        <v>Redacció de l'estudi d'alternatives de la Nova Estació Intermodal del Baix Llobregat al Prat de Llobregat.</v>
      </c>
      <c r="I12" s="130">
        <v>30000</v>
      </c>
    </row>
    <row r="13" spans="1:9" x14ac:dyDescent="0.2">
      <c r="A13" s="8">
        <v>12</v>
      </c>
      <c r="B13" s="101">
        <f>Total!B821</f>
        <v>42195</v>
      </c>
      <c r="C13" s="101">
        <f>Total!C821</f>
        <v>42247</v>
      </c>
      <c r="D13" s="112" t="s">
        <v>1092</v>
      </c>
      <c r="E13" s="101" t="str">
        <f>Total!E821</f>
        <v>Obra Civil</v>
      </c>
      <c r="F13" s="96" t="str">
        <f>Total!F821</f>
        <v>Direccions d'Obra</v>
      </c>
      <c r="G13" s="112" t="str">
        <f>Total!G821</f>
        <v>DO. TA-11227</v>
      </c>
      <c r="H13" s="112" t="str">
        <f>Total!H821</f>
        <v>Direcció d'obres de la nova estació d'autobusos sobre l'estació de l'AVE a Girona. Arquitectura i instal·lacions.</v>
      </c>
      <c r="I13" s="130">
        <v>371111.11</v>
      </c>
    </row>
    <row r="14" spans="1:9" x14ac:dyDescent="0.2">
      <c r="A14" s="8">
        <v>13</v>
      </c>
      <c r="B14" s="101">
        <f>Total!B822</f>
        <v>42199</v>
      </c>
      <c r="C14" s="101">
        <f>Total!C822</f>
        <v>42249</v>
      </c>
      <c r="D14" s="112" t="s">
        <v>1092</v>
      </c>
      <c r="E14" s="101" t="str">
        <f>Total!E822</f>
        <v>Obra Civil</v>
      </c>
      <c r="F14" s="96" t="str">
        <f>Total!F822</f>
        <v>Projectes</v>
      </c>
      <c r="G14" s="112" t="str">
        <f>Total!G822</f>
        <v>PC. VL-04001</v>
      </c>
      <c r="H14" s="112" t="str">
        <f>Total!H822</f>
        <v>Redacció del projecte constructiu de millora general. Variant de Bellcaire d'Urgell. Ctra. C-53 del pk 134,335 al 139,000. Tram: Bellcaire d'Urgell.</v>
      </c>
      <c r="I14" s="130">
        <v>350000</v>
      </c>
    </row>
    <row r="15" spans="1:9" x14ac:dyDescent="0.2">
      <c r="A15" s="8">
        <v>14</v>
      </c>
      <c r="B15" s="101">
        <f>Total!B823</f>
        <v>42199</v>
      </c>
      <c r="C15" s="101">
        <f>Total!C823</f>
        <v>42249</v>
      </c>
      <c r="D15" s="112" t="s">
        <v>1092</v>
      </c>
      <c r="E15" s="101" t="str">
        <f>Total!E823</f>
        <v>Obra Civil</v>
      </c>
      <c r="F15" s="96" t="str">
        <f>Total!F823</f>
        <v>Projectes</v>
      </c>
      <c r="G15" s="112" t="str">
        <f>Total!G823</f>
        <v>PC. VL-04002</v>
      </c>
      <c r="H15" s="112" t="str">
        <f>Total!H823</f>
        <v>Redacció del projecte constructiu de millora general. Variant de Tornabous i la Fuliola. Ctra. C-53 del pk 119,750 al 128,000. Tram: Tornabous-La Fuliola.</v>
      </c>
      <c r="I15" s="130">
        <v>360000</v>
      </c>
    </row>
    <row r="16" spans="1:9" x14ac:dyDescent="0.2">
      <c r="A16" s="8">
        <v>15</v>
      </c>
      <c r="B16" s="101">
        <f>Total!B824</f>
        <v>42199</v>
      </c>
      <c r="C16" s="101">
        <f>Total!C824</f>
        <v>42249</v>
      </c>
      <c r="D16" s="112" t="s">
        <v>1092</v>
      </c>
      <c r="E16" s="101" t="str">
        <f>Total!E824</f>
        <v>Obra Civil</v>
      </c>
      <c r="F16" s="96" t="str">
        <f>Total!F824</f>
        <v>Projectes</v>
      </c>
      <c r="G16" s="112" t="str">
        <f>Total!G824</f>
        <v>PC. TF-09408.1</v>
      </c>
      <c r="H16" s="112" t="str">
        <f>Total!H824</f>
        <v>Redacció del projecte constructiu del projecte actualitzat. Perllongament del soterrament de la línia d'FGC a Sabadell des de la Rambla Ibèria fins al Passeig de Can Feu.</v>
      </c>
      <c r="I16" s="130">
        <v>248500</v>
      </c>
    </row>
    <row r="17" spans="1:9" x14ac:dyDescent="0.2">
      <c r="A17" s="8">
        <v>16</v>
      </c>
      <c r="B17" s="101">
        <f>Total!B825</f>
        <v>42198</v>
      </c>
      <c r="C17" s="101">
        <f>Total!C825</f>
        <v>42249</v>
      </c>
      <c r="D17" s="112" t="s">
        <v>1092</v>
      </c>
      <c r="E17" s="101" t="str">
        <f>Total!E825</f>
        <v>Obra Civil</v>
      </c>
      <c r="F17" s="96" t="str">
        <f>Total!F825</f>
        <v>Projectes</v>
      </c>
      <c r="G17" s="112" t="str">
        <f>Total!G825</f>
        <v>EV. EP-VB-15008</v>
      </c>
      <c r="H17" s="112" t="str">
        <f>Total!H825</f>
        <v>Redacció de l'estudi previ de millora general. Vairant de Sentmenat i Caldes de Montbui, entre el pk 31,200 de la Ctra. C-1415a. C-1413a i el pk 13 de la C-59. Tram: Sentmenat i Caldes de Montbui.</v>
      </c>
      <c r="I17" s="130">
        <v>54500</v>
      </c>
    </row>
    <row r="18" spans="1:9" x14ac:dyDescent="0.2">
      <c r="A18" s="8">
        <v>17</v>
      </c>
      <c r="B18" s="101">
        <f>Total!B826</f>
        <v>42198</v>
      </c>
      <c r="C18" s="101">
        <f>Total!C826</f>
        <v>42247</v>
      </c>
      <c r="D18" s="112" t="s">
        <v>1092</v>
      </c>
      <c r="E18" s="101" t="str">
        <f>Total!E826</f>
        <v>Edificació</v>
      </c>
      <c r="F18" s="96" t="str">
        <f>Total!F826</f>
        <v>Control de Qualitat</v>
      </c>
      <c r="G18" s="112" t="str">
        <f>Total!G826</f>
        <v>CQ. UPC-15329</v>
      </c>
      <c r="H18" s="112" t="str">
        <f>Total!H826</f>
        <v>Control de qualitat de les obres de nova construcció del centre de processament de dades (CPD) i d'espais annexos al Campus Diagonal Besòs.</v>
      </c>
      <c r="I18" s="130">
        <v>25238.69</v>
      </c>
    </row>
    <row r="19" spans="1:9" x14ac:dyDescent="0.2">
      <c r="A19" s="8">
        <v>18</v>
      </c>
      <c r="B19" s="101">
        <f>Total!B827</f>
        <v>42198</v>
      </c>
      <c r="C19" s="101">
        <f>Total!C827</f>
        <v>42249</v>
      </c>
      <c r="D19" s="112" t="s">
        <v>1092</v>
      </c>
      <c r="E19" s="101" t="str">
        <f>Total!E827</f>
        <v>Obra Civil</v>
      </c>
      <c r="F19" s="96" t="str">
        <f>Total!F827</f>
        <v>Projectes</v>
      </c>
      <c r="G19" s="112" t="str">
        <f>Total!G827</f>
        <v>PC. MB-15011</v>
      </c>
      <c r="H19" s="112" t="str">
        <f>Total!H827</f>
        <v>Redacció del projecte constructiu de millora local. Millora de nus. Rotonda a la intersecció de la ctra. BV-4511, pk 3,475, amb el carrer Sakura, accés polígon industrial Pla de Santa Anna. Tram: Sant Fruitós de Bages.</v>
      </c>
      <c r="I19" s="130">
        <v>21500</v>
      </c>
    </row>
    <row r="20" spans="1:9" x14ac:dyDescent="0.2">
      <c r="A20" s="8">
        <v>19</v>
      </c>
      <c r="B20" s="101">
        <f>Total!B828</f>
        <v>42198</v>
      </c>
      <c r="C20" s="101">
        <f>Total!C828</f>
        <v>42249</v>
      </c>
      <c r="D20" s="112" t="s">
        <v>1092</v>
      </c>
      <c r="E20" s="101" t="str">
        <f>Total!E828</f>
        <v>Obra Civil</v>
      </c>
      <c r="F20" s="96" t="str">
        <f>Total!F828</f>
        <v>Projectes</v>
      </c>
      <c r="G20" s="112" t="str">
        <f>Total!G828</f>
        <v>PC. ME-14004</v>
      </c>
      <c r="H20" s="112" t="str">
        <f>Total!H828</f>
        <v>Redacció del projecte constructiu de millora local. Millora de nus. Millora de la intersecció de l'Eix de l'Ebre (C-12) amb la ctra. N-420. Ctra. C-12, pk 63,470. Tram: Mòra la Nova.</v>
      </c>
      <c r="I20" s="130">
        <v>31300</v>
      </c>
    </row>
    <row r="21" spans="1:9" x14ac:dyDescent="0.2">
      <c r="A21" s="8">
        <v>20</v>
      </c>
      <c r="B21" s="101">
        <f>Total!B829</f>
        <v>42198</v>
      </c>
      <c r="C21" s="101">
        <f>Total!C829</f>
        <v>42249</v>
      </c>
      <c r="D21" s="112" t="s">
        <v>1092</v>
      </c>
      <c r="E21" s="101" t="str">
        <f>Total!E829</f>
        <v>Obra Civil</v>
      </c>
      <c r="F21" s="96" t="str">
        <f>Total!F829</f>
        <v>Projectes</v>
      </c>
      <c r="G21" s="112" t="str">
        <f>Total!G829</f>
        <v>PC. RE-14063</v>
      </c>
      <c r="H21" s="112" t="str">
        <f>Total!H829</f>
        <v>Redacció del projecte constructiu de Ferm. Reforçament del ferm i obres complementàries a la ctra. TV-3316, del pk 0,000 al 2,435. Tram: Alcanar.</v>
      </c>
      <c r="I21" s="130">
        <v>21600</v>
      </c>
    </row>
    <row r="22" spans="1:9" x14ac:dyDescent="0.2">
      <c r="A22" s="8">
        <v>21</v>
      </c>
      <c r="B22" s="101">
        <f>Total!B830</f>
        <v>42198</v>
      </c>
      <c r="C22" s="101">
        <f>Total!C830</f>
        <v>42249</v>
      </c>
      <c r="D22" s="112" t="s">
        <v>1092</v>
      </c>
      <c r="E22" s="101" t="str">
        <f>Total!E830</f>
        <v>Obra Civil</v>
      </c>
      <c r="F22" s="96" t="str">
        <f>Total!F830</f>
        <v>Projectes</v>
      </c>
      <c r="G22" s="112" t="str">
        <f>Total!G830</f>
        <v>PC. AE-14061</v>
      </c>
      <c r="H22" s="112" t="str">
        <f>Total!H830</f>
        <v>Redacció del projecte constructiu de millora general. Condicionament de la ctra. TV-3405, entre el pk 0,000 i el 5,231. Tram: Amposta.</v>
      </c>
      <c r="I22" s="130">
        <v>142450</v>
      </c>
    </row>
    <row r="23" spans="1:9" x14ac:dyDescent="0.2">
      <c r="A23" s="8">
        <v>22</v>
      </c>
      <c r="B23" s="101">
        <f>Total!B831</f>
        <v>42198</v>
      </c>
      <c r="C23" s="101">
        <f>Total!C831</f>
        <v>42249</v>
      </c>
      <c r="D23" s="112" t="s">
        <v>1092</v>
      </c>
      <c r="E23" s="101" t="str">
        <f>Total!E831</f>
        <v>Obra Civil</v>
      </c>
      <c r="F23" s="96" t="str">
        <f>Total!F831</f>
        <v>Projectes</v>
      </c>
      <c r="G23" s="112" t="str">
        <f>Total!G831</f>
        <v>PC. MC-14006</v>
      </c>
      <c r="H23" s="112" t="str">
        <f>Total!H831</f>
        <v>Redacció del projecte constructiu de millora local. Seguretat viària. Estudi i implantació de millores en seguretat viària per a motoristes a la xarxa de ctres. De la Generalitat. Any. 2014.</v>
      </c>
      <c r="I23" s="130">
        <v>75000</v>
      </c>
    </row>
    <row r="24" spans="1:9" x14ac:dyDescent="0.2">
      <c r="A24" s="8">
        <v>23</v>
      </c>
      <c r="B24" s="101">
        <f>Total!B832</f>
        <v>42199</v>
      </c>
      <c r="C24" s="101">
        <f>Total!C832</f>
        <v>42249</v>
      </c>
      <c r="D24" s="112" t="s">
        <v>1092</v>
      </c>
      <c r="E24" s="101" t="str">
        <f>Total!E832</f>
        <v>Edificació</v>
      </c>
      <c r="F24" s="96" t="str">
        <f>Total!F832</f>
        <v>Direccions d'Obra</v>
      </c>
      <c r="G24" s="112" t="str">
        <f>Total!G832</f>
        <v>DO. UPC-15329</v>
      </c>
      <c r="H24" s="112" t="str">
        <f>Total!H832</f>
        <v>Direcció de les obres de nova construcció del centre de processament de dades (CPD) i d'espais annexos al Campus Diagonal Besòs.</v>
      </c>
      <c r="I24" s="130">
        <v>46612</v>
      </c>
    </row>
    <row r="25" spans="1:9" x14ac:dyDescent="0.2">
      <c r="A25" s="8">
        <v>24</v>
      </c>
      <c r="B25" s="101">
        <f>Total!B833</f>
        <v>42199</v>
      </c>
      <c r="C25" s="101">
        <f>Total!C833</f>
        <v>42249</v>
      </c>
      <c r="D25" s="112" t="s">
        <v>1092</v>
      </c>
      <c r="E25" s="101" t="str">
        <f>Total!E833</f>
        <v>Edificació</v>
      </c>
      <c r="F25" s="96" t="str">
        <f>Total!F833</f>
        <v>Direccions d'Execució</v>
      </c>
      <c r="G25" s="112" t="str">
        <f>Total!G833</f>
        <v>DE. UPC-15329</v>
      </c>
      <c r="H25" s="112" t="str">
        <f>Total!H833</f>
        <v>Direcció d'execució de les obres de nova construcció del centre de processament de dades (CPD) i d'espais annexos al Campus Diagonal Besòs.</v>
      </c>
      <c r="I25" s="130">
        <v>50948</v>
      </c>
    </row>
    <row r="26" spans="1:9" x14ac:dyDescent="0.2">
      <c r="A26" s="8">
        <v>25</v>
      </c>
      <c r="B26" s="101">
        <f>Total!B834</f>
        <v>42201</v>
      </c>
      <c r="C26" s="101">
        <f>Total!C834</f>
        <v>42240</v>
      </c>
      <c r="D26" s="112" t="s">
        <v>1092</v>
      </c>
      <c r="E26" s="101" t="str">
        <f>Total!E834</f>
        <v>Edificació</v>
      </c>
      <c r="F26" s="96" t="str">
        <f>Total!F834</f>
        <v>Direccions d'Execució</v>
      </c>
      <c r="G26" s="112" t="str">
        <f>Total!G834</f>
        <v>DE. ECO-13201</v>
      </c>
      <c r="H26" s="112" t="str">
        <f>Total!H834</f>
        <v>Direcció d'execució de les obres de reforma de l'edifici situat a Via Laietana, 60 per ubicar-hi la seu de la Sindicatura de Comtes, a Barcelona.</v>
      </c>
      <c r="I26" s="130">
        <v>60000</v>
      </c>
    </row>
    <row r="27" spans="1:9" x14ac:dyDescent="0.2">
      <c r="A27" s="8">
        <v>26</v>
      </c>
      <c r="B27" s="101">
        <f>Total!B835</f>
        <v>42201</v>
      </c>
      <c r="C27" s="101">
        <f>Total!C835</f>
        <v>42240</v>
      </c>
      <c r="D27" s="112" t="s">
        <v>1092</v>
      </c>
      <c r="E27" s="101" t="str">
        <f>Total!E835</f>
        <v>Edificació</v>
      </c>
      <c r="F27" s="96" t="str">
        <f>Total!F835</f>
        <v>Control de Qualitat</v>
      </c>
      <c r="G27" s="112" t="str">
        <f>Total!G835</f>
        <v>CQ. ECO-13201</v>
      </c>
      <c r="H27" s="112" t="str">
        <f>Total!H835</f>
        <v>Control de qualitat de les obres de reforma de l'edifici situat a Via Laietana, 60 per ubicar-hi la seu de la Sindicatura de Comptes, a Barcelona.</v>
      </c>
      <c r="I27" s="130">
        <v>23957.34</v>
      </c>
    </row>
    <row r="28" spans="1:9" x14ac:dyDescent="0.2">
      <c r="A28" s="8">
        <v>27</v>
      </c>
      <c r="B28" s="101">
        <f>Total!B836</f>
        <v>42201</v>
      </c>
      <c r="C28" s="101">
        <f>Total!C836</f>
        <v>42261</v>
      </c>
      <c r="D28" s="112" t="s">
        <v>1092</v>
      </c>
      <c r="E28" s="101" t="str">
        <f>Total!E836</f>
        <v>Obra Civil</v>
      </c>
      <c r="F28" s="96" t="str">
        <f>Total!F836</f>
        <v>Projectes</v>
      </c>
      <c r="G28" s="112" t="str">
        <f>Total!G836</f>
        <v>PC. MB-15013</v>
      </c>
      <c r="H28" s="112" t="str">
        <f>Total!H836</f>
        <v>Redacció del porjecte constructiu de millora local. Apantallament acústic. Ctra. C-17 entre el pk 27,400 i el 33,450 (TM la Garriga) i entre el pk 34,700 i el 39,950 (TM Tagamanent). Tram: La Garriga-Tagamanent.</v>
      </c>
      <c r="I28" s="130">
        <v>40000</v>
      </c>
    </row>
    <row r="29" spans="1:9" x14ac:dyDescent="0.2">
      <c r="A29" s="8">
        <v>28</v>
      </c>
      <c r="B29" s="101">
        <f>Total!B837</f>
        <v>42200</v>
      </c>
      <c r="C29" s="101">
        <f>Total!C837</f>
        <v>42254</v>
      </c>
      <c r="D29" s="112" t="s">
        <v>1092</v>
      </c>
      <c r="E29" s="101" t="str">
        <f>Total!E837</f>
        <v>Obra Civil</v>
      </c>
      <c r="F29" s="96" t="str">
        <f>Total!F837</f>
        <v>Projectes</v>
      </c>
      <c r="G29" s="112" t="str">
        <f>Total!G837</f>
        <v>PC. MG-08128.2</v>
      </c>
      <c r="H29" s="112" t="str">
        <f>Total!H837</f>
        <v>Redacció del projecte constructiu de millora local. Eixamplament i reforç del ferm. Ctra. C-25, del pk 238,000 al 240,100. Tram: Riudellots de la Selva.</v>
      </c>
      <c r="I29" s="130">
        <v>33400</v>
      </c>
    </row>
    <row r="30" spans="1:9" x14ac:dyDescent="0.2">
      <c r="A30" s="8">
        <v>29</v>
      </c>
      <c r="B30" s="101">
        <f>Total!B838</f>
        <v>42200</v>
      </c>
      <c r="C30" s="101">
        <f>Total!C838</f>
        <v>42254</v>
      </c>
      <c r="D30" s="112" t="s">
        <v>1092</v>
      </c>
      <c r="E30" s="101" t="str">
        <f>Total!E838</f>
        <v>Obra Civil</v>
      </c>
      <c r="F30" s="96" t="str">
        <f>Total!F838</f>
        <v>Projectes</v>
      </c>
      <c r="G30" s="112" t="str">
        <f>Total!G838</f>
        <v>PC. ML-14030</v>
      </c>
      <c r="H30" s="112" t="str">
        <f>Total!H838</f>
        <v>Redacció del projecte constructiu de millora local. Millora de nus. Ctra. C-14 del pk 142,390 al 142,420. Tram: Oliana.</v>
      </c>
      <c r="I30" s="130">
        <v>33250</v>
      </c>
    </row>
    <row r="31" spans="1:9" x14ac:dyDescent="0.2">
      <c r="A31" s="8">
        <v>30</v>
      </c>
      <c r="B31" s="101">
        <f>Total!B839</f>
        <v>42200</v>
      </c>
      <c r="C31" s="101">
        <f>Total!C839</f>
        <v>42254</v>
      </c>
      <c r="D31" s="112" t="s">
        <v>1092</v>
      </c>
      <c r="E31" s="101" t="str">
        <f>Total!E839</f>
        <v>Obra Civil</v>
      </c>
      <c r="F31" s="96" t="str">
        <f>Total!F839</f>
        <v>Projectes</v>
      </c>
      <c r="G31" s="112" t="str">
        <f>Total!G839</f>
        <v>PC. MB-14040</v>
      </c>
      <c r="H31" s="112" t="str">
        <f>Total!H839</f>
        <v>Redacció del projecte constructiu de millora local. Mesures correctores. Reparació del tram de la C-17 entre el pk 43,050 al 43,550. Tram: Centelles-Seva.</v>
      </c>
      <c r="I31" s="130">
        <v>59200</v>
      </c>
    </row>
    <row r="32" spans="1:9" x14ac:dyDescent="0.2">
      <c r="A32" s="8">
        <v>31</v>
      </c>
      <c r="B32" s="101">
        <f>Total!B840</f>
        <v>42200</v>
      </c>
      <c r="C32" s="101">
        <f>Total!C840</f>
        <v>42254</v>
      </c>
      <c r="D32" s="112" t="s">
        <v>1092</v>
      </c>
      <c r="E32" s="101" t="str">
        <f>Total!E840</f>
        <v>Obra Civil</v>
      </c>
      <c r="F32" s="96" t="str">
        <f>Total!F840</f>
        <v>Projectes</v>
      </c>
      <c r="G32" s="112" t="str">
        <f>Total!G840</f>
        <v>PC. VL-04003</v>
      </c>
      <c r="H32" s="112" t="str">
        <f>Total!H840</f>
        <v>Redacció del projecte constructiu de millora general. Variant d'Anglesola. Ctra. C-53 del pk 115,960 al 118,100. Tram: Anglesola.</v>
      </c>
      <c r="I32" s="130">
        <v>170000</v>
      </c>
    </row>
    <row r="33" spans="1:9" x14ac:dyDescent="0.2">
      <c r="A33" s="8">
        <v>32</v>
      </c>
      <c r="B33" s="101">
        <f>Total!B841</f>
        <v>42200</v>
      </c>
      <c r="C33" s="101">
        <f>Total!C841</f>
        <v>42254</v>
      </c>
      <c r="D33" s="112" t="s">
        <v>1092</v>
      </c>
      <c r="E33" s="101" t="str">
        <f>Total!E841</f>
        <v>Obra Civil</v>
      </c>
      <c r="F33" s="96" t="str">
        <f>Total!F841</f>
        <v>Projectes</v>
      </c>
      <c r="G33" s="112" t="str">
        <f>Total!G841</f>
        <v>PC. MG-15015</v>
      </c>
      <c r="H33" s="112" t="str">
        <f>Total!H841</f>
        <v>Redacció del projecte constructiu de millora local. Seguretat viària. Millora de les característiques superficials del ferm i reestudi de la secció transversal. Ctra. C-66 pk 41,900 al 55,800. Tram: Cornellà de Terri-Sant Ferriol.</v>
      </c>
      <c r="I33" s="130">
        <v>82800</v>
      </c>
    </row>
    <row r="34" spans="1:9" x14ac:dyDescent="0.2">
      <c r="A34" s="8">
        <v>33</v>
      </c>
      <c r="B34" s="101">
        <f>Total!B842</f>
        <v>42202</v>
      </c>
      <c r="C34" s="101">
        <f>Total!C842</f>
        <v>42261</v>
      </c>
      <c r="D34" s="112" t="s">
        <v>1092</v>
      </c>
      <c r="E34" s="101" t="str">
        <f>Total!E842</f>
        <v>Obra Civil</v>
      </c>
      <c r="F34" s="96" t="str">
        <f>Total!F842</f>
        <v>Direccions d'Obra</v>
      </c>
      <c r="G34" s="112" t="str">
        <f>Total!G842</f>
        <v>CSS. TF-02676.5</v>
      </c>
      <c r="H34" s="112" t="str">
        <f>Total!H842</f>
        <v>Coordinació de seguretat i salut de les obres del projecte de perllongament de la línia d'FGC a Sabadell. Arquitectura i instal.lacions de les estacions Eix Macià i Plaça Espanya.</v>
      </c>
      <c r="I34" s="130">
        <v>141200</v>
      </c>
    </row>
    <row r="35" spans="1:9" x14ac:dyDescent="0.2">
      <c r="A35" s="8">
        <v>34</v>
      </c>
      <c r="B35" s="101">
        <f>Total!B843</f>
        <v>42202</v>
      </c>
      <c r="C35" s="101">
        <f>Total!C843</f>
        <v>42261</v>
      </c>
      <c r="D35" s="112" t="s">
        <v>1092</v>
      </c>
      <c r="E35" s="101" t="str">
        <f>Total!E843</f>
        <v>Obra Civil</v>
      </c>
      <c r="F35" s="96" t="str">
        <f>Total!F843</f>
        <v>Projectes</v>
      </c>
      <c r="G35" s="112" t="str">
        <f>Total!G843</f>
        <v>ATI. TF-02676-F1</v>
      </c>
      <c r="H35" s="112" t="str">
        <f>Total!H843</f>
        <v>Assistència tècnica per a l'execució de les tasques de seguretat/safety de les obres del perllongament dels FGC a Sabadell.</v>
      </c>
      <c r="I35" s="130">
        <v>148720</v>
      </c>
    </row>
    <row r="36" spans="1:9" x14ac:dyDescent="0.2">
      <c r="A36" s="8">
        <v>35</v>
      </c>
      <c r="B36" s="101">
        <f>Total!B844</f>
        <v>42202</v>
      </c>
      <c r="C36" s="101">
        <f>Total!C844</f>
        <v>42261</v>
      </c>
      <c r="D36" s="112" t="s">
        <v>1092</v>
      </c>
      <c r="E36" s="101" t="str">
        <f>Total!E844</f>
        <v>Edificació</v>
      </c>
      <c r="F36" s="96" t="str">
        <f>Total!F844</f>
        <v>Projectes</v>
      </c>
      <c r="G36" s="112" t="str">
        <f>Total!G844</f>
        <v>EV. EG13</v>
      </c>
      <c r="H36" s="112" t="str">
        <f>Total!H844</f>
        <v>Assistència  técnica per a la realització dels informes preliminars dels emplaçaments dels projectes d'edificació.</v>
      </c>
      <c r="I36" s="130">
        <v>80000</v>
      </c>
    </row>
    <row r="37" spans="1:9" x14ac:dyDescent="0.2">
      <c r="A37" s="8">
        <v>36</v>
      </c>
      <c r="B37" s="101">
        <f>Total!B845</f>
        <v>42205</v>
      </c>
      <c r="C37" s="101">
        <f>Total!C845</f>
        <v>42261</v>
      </c>
      <c r="D37" s="112" t="s">
        <v>1092</v>
      </c>
      <c r="E37" s="101" t="str">
        <f>Total!E845</f>
        <v>Obra Civil</v>
      </c>
      <c r="F37" s="96" t="str">
        <f>Total!F845</f>
        <v>Projectes</v>
      </c>
      <c r="G37" s="112" t="str">
        <f>Total!G845</f>
        <v>EV. EP-XC-15021</v>
      </c>
      <c r="H37" s="112" t="str">
        <f>Total!H845</f>
        <v>Redacció de l'estudi previ. Millora local. Carril bici al llarg del Maresme. Tram: Badalona-Blanes.</v>
      </c>
      <c r="I37" s="130">
        <v>50000</v>
      </c>
    </row>
    <row r="38" spans="1:9" x14ac:dyDescent="0.2">
      <c r="A38" s="8">
        <v>37</v>
      </c>
      <c r="B38" s="101">
        <f>Total!B846</f>
        <v>42206</v>
      </c>
      <c r="C38" s="101">
        <f>Total!C846</f>
        <v>42240</v>
      </c>
      <c r="D38" s="112" t="s">
        <v>1092</v>
      </c>
      <c r="E38" s="101" t="str">
        <f>Total!E846</f>
        <v>Obra Civil</v>
      </c>
      <c r="F38" s="96" t="str">
        <f>Total!F846</f>
        <v>Direccions d'Obra</v>
      </c>
      <c r="G38" s="112" t="str">
        <f>Total!G846</f>
        <v>DO. TF-02676.8</v>
      </c>
      <c r="H38" s="112" t="str">
        <f>Total!H846</f>
        <v>Direcció de les obres de perllongament de la línia d'FGC a Sabadell. Urbanització Parc del Nord. Moviments de terres.</v>
      </c>
      <c r="I38" s="130">
        <v>71777.78</v>
      </c>
    </row>
    <row r="39" spans="1:9" x14ac:dyDescent="0.2">
      <c r="A39" s="8">
        <v>38</v>
      </c>
      <c r="B39" s="101">
        <f>Total!B847</f>
        <v>42206</v>
      </c>
      <c r="C39" s="101">
        <f>Total!C847</f>
        <v>42240</v>
      </c>
      <c r="D39" s="112" t="s">
        <v>1092</v>
      </c>
      <c r="E39" s="101" t="str">
        <f>Total!E847</f>
        <v>Obra Civil</v>
      </c>
      <c r="F39" s="96" t="str">
        <f>Total!F847</f>
        <v>Direccions d'Obra</v>
      </c>
      <c r="G39" s="112" t="str">
        <f>Total!G847</f>
        <v>DO. MG-05701-A2</v>
      </c>
      <c r="H39" s="112" t="str">
        <f>Total!H847</f>
        <v>Direcció de les obres de millora local. Ponst i estructures. Rehabilitació del pont de la carretera C-66z sobre el riu Fluvià. Pk 58,190 al 58,400. Tram: Besalú.</v>
      </c>
      <c r="I39" s="130">
        <v>34422.22</v>
      </c>
    </row>
    <row r="40" spans="1:9" x14ac:dyDescent="0.2">
      <c r="A40" s="8">
        <v>39</v>
      </c>
      <c r="B40" s="101">
        <f>Total!B848</f>
        <v>42207</v>
      </c>
      <c r="C40" s="101">
        <f>Total!C848</f>
        <v>42254</v>
      </c>
      <c r="D40" s="112" t="s">
        <v>1092</v>
      </c>
      <c r="E40" s="101" t="str">
        <f>Total!E848</f>
        <v>Edificació</v>
      </c>
      <c r="F40" s="96" t="str">
        <f>Total!F848</f>
        <v>Direccions d'Execució</v>
      </c>
      <c r="G40" s="112" t="str">
        <f>Total!G848</f>
        <v>DE. XMA-15245</v>
      </c>
      <c r="H40" s="112" t="str">
        <f>Total!H848</f>
        <v>Direcció d'execució de les obres RAM 2015, als Serveis Territorials al Baix Llobregat (V), a l'Institut de Pallejà.</v>
      </c>
      <c r="I40" s="130">
        <v>23378</v>
      </c>
    </row>
    <row r="41" spans="1:9" x14ac:dyDescent="0.2">
      <c r="A41" s="8">
        <v>40</v>
      </c>
      <c r="B41" s="101">
        <f>Total!B849</f>
        <v>42207</v>
      </c>
      <c r="C41" s="101">
        <f>Total!C849</f>
        <v>42263</v>
      </c>
      <c r="D41" s="112" t="s">
        <v>1092</v>
      </c>
      <c r="E41" s="101" t="str">
        <f>Total!E849</f>
        <v>Edificació</v>
      </c>
      <c r="F41" s="96" t="str">
        <f>Total!F849</f>
        <v>Projectes</v>
      </c>
      <c r="G41" s="112" t="str">
        <f>Total!G849</f>
        <v>PM. PNL-09318-M1</v>
      </c>
      <c r="H41" s="112" t="str">
        <f>Total!H849</f>
        <v>Redacció del projecte modificat núm. 1 de les obres de nova construcció (6 unitats) de l'Escola El Timó de Sidamon (El Pla de l'Urgell).</v>
      </c>
      <c r="I41" s="130">
        <v>22250</v>
      </c>
    </row>
    <row r="42" spans="1:9" x14ac:dyDescent="0.2">
      <c r="A42" s="8">
        <v>41</v>
      </c>
      <c r="B42" s="101">
        <f>Total!B850</f>
        <v>42208</v>
      </c>
      <c r="C42" s="101">
        <f>Total!C850</f>
        <v>42263</v>
      </c>
      <c r="D42" s="112" t="s">
        <v>1092</v>
      </c>
      <c r="E42" s="101" t="str">
        <f>Total!E850</f>
        <v>Edificació</v>
      </c>
      <c r="F42" s="96" t="str">
        <f>Total!F850</f>
        <v>Projectes i Direccions d'Obra</v>
      </c>
      <c r="G42" s="112" t="str">
        <f>Total!G850</f>
        <v>PE+DO. INA-11213.1</v>
      </c>
      <c r="H42" s="112" t="str">
        <f>Total!H850</f>
        <v>Redacció del projecte bàsic i executiu i la posterior direcció de les obres de l'ampliació - adequació - renovació Institut Santa Coloma de Cervelló 4/2 (1a fase) a Sta. Coloma de Cervelló. (1V)</v>
      </c>
      <c r="I42" s="130">
        <v>124441</v>
      </c>
    </row>
    <row r="43" spans="1:9" x14ac:dyDescent="0.2">
      <c r="A43" s="8">
        <v>42</v>
      </c>
      <c r="B43" s="101">
        <f>Total!B851</f>
        <v>42208</v>
      </c>
      <c r="C43" s="101">
        <f>Total!C851</f>
        <v>42275</v>
      </c>
      <c r="D43" s="112" t="s">
        <v>1092</v>
      </c>
      <c r="E43" s="101" t="str">
        <f>Total!E851</f>
        <v>Edificació</v>
      </c>
      <c r="F43" s="96" t="str">
        <f>Total!F851</f>
        <v>Projectes i Direccions d'Obra</v>
      </c>
      <c r="G43" s="112" t="str">
        <f>Total!G851</f>
        <v>PE+DO. PAE-14336</v>
      </c>
      <c r="H43" s="112" t="str">
        <f>Total!H851</f>
        <v>Redacció del projecte bàsic i executiu i la posterior direcció de les obres de la reforma de l'Escola Lluis Viñas i Viñoles, a Mora d'Ebre. (1V)</v>
      </c>
      <c r="I43" s="130">
        <v>92358</v>
      </c>
    </row>
    <row r="44" spans="1:9" x14ac:dyDescent="0.2">
      <c r="A44" s="8">
        <v>43</v>
      </c>
      <c r="B44" s="101">
        <f>Total!B852</f>
        <v>42208</v>
      </c>
      <c r="C44" s="101">
        <f>Total!C852</f>
        <v>42275</v>
      </c>
      <c r="D44" s="112" t="s">
        <v>1092</v>
      </c>
      <c r="E44" s="101" t="str">
        <f>Total!E852</f>
        <v>Edificació</v>
      </c>
      <c r="F44" s="96" t="str">
        <f>Total!F852</f>
        <v>Projectes i Direccions d'Obra</v>
      </c>
      <c r="G44" s="112" t="str">
        <f>Total!G852</f>
        <v>PE+DO. JJB-15301</v>
      </c>
      <c r="H44" s="112" t="str">
        <f>Total!H852</f>
        <v>Redacció del projecte bàsic i executiu i la posterior direcció d'obra de la reforma interior de l'Edifici Judicial al carrer Prim, a Badalona. (1v).</v>
      </c>
      <c r="I44" s="130">
        <v>116844</v>
      </c>
    </row>
    <row r="45" spans="1:9" x14ac:dyDescent="0.2">
      <c r="A45" s="8">
        <v>44</v>
      </c>
      <c r="B45" s="101">
        <f>Total!B853</f>
        <v>42209</v>
      </c>
      <c r="C45" s="101">
        <f>Total!C853</f>
        <v>42268</v>
      </c>
      <c r="D45" s="112" t="s">
        <v>1092</v>
      </c>
      <c r="E45" s="101" t="str">
        <f>Total!E853</f>
        <v>Edificació</v>
      </c>
      <c r="F45" s="96" t="str">
        <f>Total!F853</f>
        <v>Direccions d'Execució</v>
      </c>
      <c r="G45" s="112" t="str">
        <f>Total!G853</f>
        <v>DE. CAP-13318</v>
      </c>
      <c r="H45" s="112" t="str">
        <f>Total!H853</f>
        <v>Direcció d'execució de les obres d'adequació d'espais al Centre d'Atenció Primària Rambla Marina, de l'Hospitalet de llobregat.</v>
      </c>
      <c r="I45" s="130">
        <v>25500</v>
      </c>
    </row>
    <row r="46" spans="1:9" x14ac:dyDescent="0.2">
      <c r="A46" s="8">
        <v>45</v>
      </c>
      <c r="B46" s="101">
        <f>Total!B854</f>
        <v>42212</v>
      </c>
      <c r="C46" s="101">
        <f>Total!C854</f>
        <v>42263</v>
      </c>
      <c r="D46" s="112" t="s">
        <v>1092</v>
      </c>
      <c r="E46" s="101" t="str">
        <f>Total!E854</f>
        <v>Edificació</v>
      </c>
      <c r="F46" s="96" t="str">
        <f>Total!F854</f>
        <v>Projectes i Direccions d'Obra</v>
      </c>
      <c r="G46" s="112" t="str">
        <f>Total!G854</f>
        <v>PE+DO. PNL-07357.A</v>
      </c>
      <c r="H46" s="112" t="str">
        <f>Total!H854</f>
        <v>Redacció del projecte bàsic i executiu i la posterior direcció d'obra de l'adequació del projecte de l'escola de 2 a 1,5 línies, a Almenar.</v>
      </c>
      <c r="I46" s="130">
        <v>186704</v>
      </c>
    </row>
    <row r="47" spans="1:9" x14ac:dyDescent="0.2">
      <c r="A47" s="8">
        <v>46</v>
      </c>
      <c r="B47" s="101">
        <f>Total!B855</f>
        <v>42212</v>
      </c>
      <c r="C47" s="101">
        <f>Total!C855</f>
        <v>42254</v>
      </c>
      <c r="D47" s="112" t="s">
        <v>1092</v>
      </c>
      <c r="E47" s="101" t="str">
        <f>Total!E855</f>
        <v>Edificació</v>
      </c>
      <c r="F47" s="96" t="str">
        <f>Total!F855</f>
        <v>Direccions d'Obra</v>
      </c>
      <c r="G47" s="112" t="str">
        <f>Total!G855</f>
        <v>DO. XMA-15245</v>
      </c>
      <c r="H47" s="112" t="str">
        <f>Total!H855</f>
        <v>Direcció d'obra de les obres RAM 2015, als Serveis Territorials al Baix Llobregat (V), a l'Institut Pallejà.</v>
      </c>
      <c r="I47" s="130">
        <v>21389</v>
      </c>
    </row>
    <row r="48" spans="1:9" x14ac:dyDescent="0.2">
      <c r="A48" s="8">
        <v>47</v>
      </c>
      <c r="B48" s="101">
        <f>Total!B856</f>
        <v>42213</v>
      </c>
      <c r="C48" s="101">
        <f>Total!C856</f>
        <v>42268</v>
      </c>
      <c r="D48" s="112" t="s">
        <v>1092</v>
      </c>
      <c r="E48" s="101" t="str">
        <f>Total!E856</f>
        <v>Obra Civil</v>
      </c>
      <c r="F48" s="96" t="str">
        <f>Total!F856</f>
        <v>Direccions d'Obra</v>
      </c>
      <c r="G48" s="112" t="str">
        <f>Total!G856</f>
        <v>DO. TA-08433.2</v>
      </c>
      <c r="H48" s="112" t="str">
        <f>Total!H856</f>
        <v>Direcció de les obres del projecte constructiu de pas inferior d'accés a la nova estació d'autobusos de Mollerussa.</v>
      </c>
      <c r="I48" s="130">
        <v>33916.67</v>
      </c>
    </row>
    <row r="49" spans="1:9" x14ac:dyDescent="0.2">
      <c r="A49" s="8">
        <v>48</v>
      </c>
      <c r="B49" s="101">
        <f>Total!B857</f>
        <v>42213</v>
      </c>
      <c r="C49" s="101">
        <f>Total!C857</f>
        <v>42268</v>
      </c>
      <c r="D49" s="112" t="s">
        <v>1092</v>
      </c>
      <c r="E49" s="101" t="str">
        <f>Total!E857</f>
        <v>Edificació</v>
      </c>
      <c r="F49" s="96" t="str">
        <f>Total!F857</f>
        <v>Control de Qualitat</v>
      </c>
      <c r="G49" s="112" t="str">
        <f>Total!G857</f>
        <v>CQ. HHB-14323</v>
      </c>
      <c r="H49" s="112" t="str">
        <f>Total!H857</f>
        <v>Control de qualitat de les obres del projecte de connexió d'escomesa elèctrica de l'Hospital Universitari Vall d'Hebron de Barcelona.</v>
      </c>
      <c r="I49" s="130">
        <v>34074.959999999999</v>
      </c>
    </row>
    <row r="50" spans="1:9" x14ac:dyDescent="0.2">
      <c r="A50" s="8">
        <v>49</v>
      </c>
      <c r="B50" s="101">
        <f>Total!B858</f>
        <v>42213</v>
      </c>
      <c r="C50" s="101">
        <f>Total!C858</f>
        <v>42268</v>
      </c>
      <c r="D50" s="112" t="s">
        <v>1092</v>
      </c>
      <c r="E50" s="101" t="str">
        <f>Total!E858</f>
        <v>Edificació</v>
      </c>
      <c r="F50" s="96" t="str">
        <f>Total!F858</f>
        <v>Direccions d'Execució</v>
      </c>
      <c r="G50" s="112" t="str">
        <f>Total!G858</f>
        <v>DE. HHB-14323</v>
      </c>
      <c r="H50" s="112" t="str">
        <f>Total!H858</f>
        <v>Direcció d'execució de les obres de connexió d'escomesa elèctrica de l'Hospital Universitari Vall d'Hebron de Barcelona.</v>
      </c>
      <c r="I50" s="130">
        <v>53500</v>
      </c>
    </row>
    <row r="51" spans="1:9" x14ac:dyDescent="0.2">
      <c r="A51" s="8">
        <v>50</v>
      </c>
      <c r="B51" s="101">
        <f>Total!B859</f>
        <v>42214</v>
      </c>
      <c r="C51" s="101">
        <f>Total!C859</f>
        <v>42268</v>
      </c>
      <c r="D51" s="112" t="s">
        <v>1092</v>
      </c>
      <c r="E51" s="101" t="str">
        <f>Total!E859</f>
        <v>Obra Civil</v>
      </c>
      <c r="F51" s="96" t="str">
        <f>Total!F859</f>
        <v>Projectes</v>
      </c>
      <c r="G51" s="112" t="str">
        <f>Total!G859</f>
        <v>PC. MA-15901</v>
      </c>
      <c r="H51" s="112" t="str">
        <f>Total!H859</f>
        <v>Redacció del projecte de recuperació dels sistemes naturals de l'àmbit fluvial del riu Ondara i Cercavins. TTMM de Granyanella, Tàrrega i Verdú. Mesures correctores i compensatòries del regadiu del sist. Segarra-Garrigues.</v>
      </c>
      <c r="I51" s="130">
        <v>30000</v>
      </c>
    </row>
    <row r="52" spans="1:9" x14ac:dyDescent="0.2">
      <c r="A52" s="8">
        <v>51</v>
      </c>
      <c r="B52" s="101">
        <f>Total!B860</f>
        <v>42214</v>
      </c>
      <c r="C52" s="101">
        <f>Total!C860</f>
        <v>42277</v>
      </c>
      <c r="D52" s="112" t="s">
        <v>1092</v>
      </c>
      <c r="E52" s="101" t="str">
        <f>Total!E860</f>
        <v>Edificació</v>
      </c>
      <c r="F52" s="96" t="str">
        <f>Total!F860</f>
        <v>Direccions d'Execució</v>
      </c>
      <c r="G52" s="112" t="str">
        <f>Total!G860</f>
        <v>CSS. PNG-10080</v>
      </c>
      <c r="H52" s="112" t="str">
        <f>Total!H860</f>
        <v>Coordinació de seguretat i salut de les obres de nova construcció de l'Escola Vayreda, Roses, 2 línies Infantil i Primària .</v>
      </c>
      <c r="I52" s="130">
        <v>26000</v>
      </c>
    </row>
    <row r="53" spans="1:9" x14ac:dyDescent="0.2">
      <c r="A53" s="8">
        <v>52</v>
      </c>
      <c r="B53" s="101">
        <f>Total!B861</f>
        <v>42214</v>
      </c>
      <c r="C53" s="101">
        <f>Total!C861</f>
        <v>42277</v>
      </c>
      <c r="D53" s="112" t="s">
        <v>1092</v>
      </c>
      <c r="E53" s="101" t="str">
        <f>Total!E861</f>
        <v>Edificació</v>
      </c>
      <c r="F53" s="96" t="str">
        <f>Total!F861</f>
        <v>Control de Qualitat</v>
      </c>
      <c r="G53" s="112" t="str">
        <f>Total!G861</f>
        <v>CQ. PNG-10080</v>
      </c>
      <c r="H53" s="112" t="str">
        <f>Total!H861</f>
        <v>Control de qualitat de les obres de nova construcció de l'Escola Vayreda, Roses, 2 línies Infantil i Primària.</v>
      </c>
      <c r="I53" s="130">
        <v>45892.51</v>
      </c>
    </row>
    <row r="54" spans="1:9" x14ac:dyDescent="0.2">
      <c r="A54" s="8">
        <v>53</v>
      </c>
      <c r="B54" s="101">
        <f>Total!B862</f>
        <v>42215</v>
      </c>
      <c r="C54" s="101">
        <f>Total!C862</f>
        <v>42270</v>
      </c>
      <c r="D54" s="112" t="s">
        <v>1092</v>
      </c>
      <c r="E54" s="101" t="str">
        <f>Total!E862</f>
        <v>Obra Civil</v>
      </c>
      <c r="F54" s="96" t="str">
        <f>Total!F862</f>
        <v>Direccions d'Obra</v>
      </c>
      <c r="G54" s="112" t="str">
        <f>Total!G862</f>
        <v>CSS. PRL-15001</v>
      </c>
      <c r="H54" s="112" t="str">
        <f>Total!H862</f>
        <v>Serveis per a la supervisió de la prevenció de riscos laborals i de la coordinació de seguretat i salut de les obres de la L9.</v>
      </c>
      <c r="I54" s="130">
        <v>65000</v>
      </c>
    </row>
    <row r="55" spans="1:9" x14ac:dyDescent="0.2">
      <c r="A55" s="8">
        <v>54</v>
      </c>
      <c r="B55" s="101">
        <f>Total!B863</f>
        <v>42216</v>
      </c>
      <c r="C55" s="101">
        <f>Total!C863</f>
        <v>42268</v>
      </c>
      <c r="D55" s="112" t="s">
        <v>1092</v>
      </c>
      <c r="E55" s="101" t="str">
        <f>Total!E863</f>
        <v>Edificació</v>
      </c>
      <c r="F55" s="96" t="str">
        <f>Total!F863</f>
        <v>Projectes i Direccions d'Obra</v>
      </c>
      <c r="G55" s="112" t="str">
        <f>Total!G863</f>
        <v>PE+DO. JNP-15331</v>
      </c>
      <c r="H55" s="112" t="str">
        <f>Total!H863</f>
        <v>Contracte de serveis per a l'assistència tècnica per a la redacció de l'avanprojecte, projectes bàsic i executiu, i la posterior direcció d'obra de la nova construcció del Centre Penitenciari de Preventius a Barcelona.</v>
      </c>
      <c r="I55" s="130">
        <v>4157167.14</v>
      </c>
    </row>
    <row r="56" spans="1:9" x14ac:dyDescent="0.2">
      <c r="A56" s="8">
        <v>55</v>
      </c>
      <c r="B56" s="101">
        <f>Total!B864</f>
        <v>42216</v>
      </c>
      <c r="C56" s="101">
        <f>Total!C864</f>
        <v>42270</v>
      </c>
      <c r="D56" s="112" t="s">
        <v>1092</v>
      </c>
      <c r="E56" s="101" t="str">
        <f>Total!E864</f>
        <v>Obra Civil</v>
      </c>
      <c r="F56" s="96" t="str">
        <f>Total!F864</f>
        <v>Control de Qualitat</v>
      </c>
      <c r="G56" s="112" t="str">
        <f>Total!G864</f>
        <v>CQ. TM-00509.47</v>
      </c>
      <c r="H56" s="112" t="str">
        <f>Total!H864</f>
        <v>Control de qualitat de les obres del projecte de condicionament de l'accés a l'estació Aeroport T2 i altres treballs per a la posada en servei del tram Aeroport T1-Zona Universitària.</v>
      </c>
      <c r="I56" s="130">
        <v>19855.990000000002</v>
      </c>
    </row>
    <row r="57" spans="1:9" x14ac:dyDescent="0.2">
      <c r="I57" s="126">
        <f>SUM(I2:I56)</f>
        <v>8477326.6699999999</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I13"/>
  <sheetViews>
    <sheetView workbookViewId="0">
      <selection sqref="A1:XFD13"/>
    </sheetView>
  </sheetViews>
  <sheetFormatPr baseColWidth="10" defaultRowHeight="12.75" x14ac:dyDescent="0.2"/>
  <cols>
    <col min="1" max="1" width="3" bestFit="1" customWidth="1"/>
    <col min="4" max="4" width="17" bestFit="1" customWidth="1"/>
    <col min="5" max="5" width="9.28515625" customWidth="1"/>
    <col min="6" max="6" width="14.7109375" customWidth="1"/>
    <col min="7" max="7" width="21" bestFit="1" customWidth="1"/>
    <col min="8" max="8" width="61.140625" customWidth="1"/>
    <col min="9" max="9" width="20" bestFit="1" customWidth="1"/>
  </cols>
  <sheetData>
    <row r="1" spans="1:9" x14ac:dyDescent="0.2">
      <c r="A1" s="10"/>
      <c r="B1" s="37" t="s">
        <v>57</v>
      </c>
      <c r="C1" s="2" t="s">
        <v>499</v>
      </c>
      <c r="D1" s="124" t="s">
        <v>58</v>
      </c>
      <c r="E1" s="3" t="s">
        <v>59</v>
      </c>
      <c r="F1" s="3" t="s">
        <v>60</v>
      </c>
      <c r="G1" s="123" t="s">
        <v>61</v>
      </c>
      <c r="H1" s="156" t="s">
        <v>62</v>
      </c>
      <c r="I1" s="39" t="s">
        <v>63</v>
      </c>
    </row>
    <row r="2" spans="1:9" x14ac:dyDescent="0.2">
      <c r="A2" s="8">
        <v>1</v>
      </c>
      <c r="B2" s="101">
        <f>Total!B799</f>
        <v>42158</v>
      </c>
      <c r="C2" s="101">
        <f>Total!C799</f>
        <v>42177</v>
      </c>
      <c r="D2" s="112" t="s">
        <v>1092</v>
      </c>
      <c r="E2" s="101" t="str">
        <f>Total!E799</f>
        <v>Obra Civil</v>
      </c>
      <c r="F2" s="96" t="str">
        <f>Total!F799</f>
        <v>Direcció d'obra</v>
      </c>
      <c r="G2" s="112" t="str">
        <f>Total!G799</f>
        <v>DO. MB-13009</v>
      </c>
      <c r="H2" s="112" t="str">
        <f>Total!H799</f>
        <v>Contracte de serv. per a la direcció de les obres del projecte constructiu de millora local. Seguretat viària. Millora de les característiques superficials del ferm i reestudi de la secció transversal. Ctra. C-16. OK 97+138 AL 112+630. Tm: Berga-Bag</v>
      </c>
      <c r="I2" s="130">
        <v>99088.89</v>
      </c>
    </row>
    <row r="3" spans="1:9" x14ac:dyDescent="0.2">
      <c r="A3" s="8">
        <v>2</v>
      </c>
      <c r="B3" s="101">
        <f>Total!B800</f>
        <v>42158</v>
      </c>
      <c r="C3" s="101">
        <f>Total!C800</f>
        <v>42177</v>
      </c>
      <c r="D3" s="112" t="s">
        <v>1092</v>
      </c>
      <c r="E3" s="101" t="str">
        <f>Total!E800</f>
        <v>Obra Civil</v>
      </c>
      <c r="F3" s="96" t="str">
        <f>Total!F800</f>
        <v>Control de Qualitat</v>
      </c>
      <c r="G3" s="112" t="str">
        <f>Total!G800</f>
        <v>CQ. MB-13010</v>
      </c>
      <c r="H3" s="112" t="str">
        <f>Total!H800</f>
        <v>Contracte de serveis per a l'assistència tècnica de control de qualitat de les obres del projecte constructiu de millora local. Seguretat viària. Millora de les carácterístiques superficials del ferm i reestudi de la secció transversal. Ctra. C-58.</v>
      </c>
      <c r="I3" s="130">
        <v>37637.83</v>
      </c>
    </row>
    <row r="4" spans="1:9" x14ac:dyDescent="0.2">
      <c r="A4" s="8">
        <v>3</v>
      </c>
      <c r="B4" s="101">
        <f>Total!B801</f>
        <v>42158</v>
      </c>
      <c r="C4" s="101">
        <f>Total!C801</f>
        <v>42177</v>
      </c>
      <c r="D4" s="112" t="s">
        <v>1092</v>
      </c>
      <c r="E4" s="101" t="str">
        <f>Total!E801</f>
        <v>Obra Civil</v>
      </c>
      <c r="F4" s="96" t="str">
        <f>Total!F801</f>
        <v>Control de Qualitat</v>
      </c>
      <c r="G4" s="112" t="str">
        <f>Total!G801</f>
        <v>CQ. MB-13013</v>
      </c>
      <c r="H4" s="112" t="str">
        <f>Total!H801</f>
        <v>Contracte de serv. per a l'assistència tècnica de control de qualitat de les obres del projecte constructiu de millora local. Seg. viària. Millora de les característiques superficials del ferm i reestudi de la secció transversal. C-58 Vacarisses-Cas.</v>
      </c>
      <c r="I4" s="130">
        <v>41149.57</v>
      </c>
    </row>
    <row r="5" spans="1:9" x14ac:dyDescent="0.2">
      <c r="A5" s="8">
        <v>4</v>
      </c>
      <c r="B5" s="101">
        <f>Total!B802</f>
        <v>42158</v>
      </c>
      <c r="C5" s="101">
        <f>Total!C802</f>
        <v>42177</v>
      </c>
      <c r="D5" s="112" t="s">
        <v>1092</v>
      </c>
      <c r="E5" s="101" t="str">
        <f>Total!E802</f>
        <v>Obra Civil</v>
      </c>
      <c r="F5" s="96" t="str">
        <f>Total!F802</f>
        <v>Control de Qualitat</v>
      </c>
      <c r="G5" s="112" t="str">
        <f>Total!G802</f>
        <v>CQ. MB-13009</v>
      </c>
      <c r="H5" s="112" t="str">
        <f>Total!H802</f>
        <v>Contracte de serv. per a l'assistència tècnica de control de qualitat de les obres del projecte constructiu de millora local. Seguretat viària. Millora de les característiques superf. del ferm i reestudi de la secció transversal. C-16. T.m.Berga-Bagà</v>
      </c>
      <c r="I5" s="130">
        <v>32320.39</v>
      </c>
    </row>
    <row r="6" spans="1:9" x14ac:dyDescent="0.2">
      <c r="A6" s="8">
        <v>5</v>
      </c>
      <c r="B6" s="101">
        <f>Total!B803</f>
        <v>42163</v>
      </c>
      <c r="C6" s="101">
        <f>Total!C803</f>
        <v>42184</v>
      </c>
      <c r="D6" s="112" t="s">
        <v>1092</v>
      </c>
      <c r="E6" s="101" t="str">
        <f>Total!E803</f>
        <v>Obra Civil</v>
      </c>
      <c r="F6" s="96" t="str">
        <f>Total!F803</f>
        <v>Control de Qualitat</v>
      </c>
      <c r="G6" s="112" t="str">
        <f>Total!G803</f>
        <v>CQ. TA-11227</v>
      </c>
      <c r="H6" s="112" t="str">
        <f>Total!H803</f>
        <v>Control de qualitat de les obres del projecte de nova estació d'autobusos sobre l'estació de l'AVE a Girona. Arquitectura i instal·lacions.</v>
      </c>
      <c r="I6" s="130">
        <v>102672.32000000001</v>
      </c>
    </row>
    <row r="7" spans="1:9" x14ac:dyDescent="0.2">
      <c r="A7" s="8">
        <v>6</v>
      </c>
      <c r="B7" s="101">
        <f>Total!B804</f>
        <v>42163</v>
      </c>
      <c r="C7" s="101">
        <f>Total!C804</f>
        <v>42184</v>
      </c>
      <c r="D7" s="112" t="s">
        <v>1092</v>
      </c>
      <c r="E7" s="101" t="str">
        <f>Total!E804</f>
        <v>Obra Civil</v>
      </c>
      <c r="F7" s="96" t="str">
        <f>Total!F804</f>
        <v>Control de Qualitat</v>
      </c>
      <c r="G7" s="112" t="str">
        <f>Total!G804</f>
        <v>CQ. TF-02676.5</v>
      </c>
      <c r="H7" s="112" t="str">
        <f>Total!H804</f>
        <v>Control de qualitat de les obres de perllongament de la línia d'FGC a Sabadell. Arquitectura i instal·lacions de les estacions Eix Macià i Plaça Espanya.</v>
      </c>
      <c r="I7" s="130">
        <v>157544.51</v>
      </c>
    </row>
    <row r="8" spans="1:9" x14ac:dyDescent="0.2">
      <c r="A8" s="8">
        <v>7</v>
      </c>
      <c r="B8" s="101">
        <f>Total!B805</f>
        <v>42163</v>
      </c>
      <c r="C8" s="101">
        <f>Total!C805</f>
        <v>42184</v>
      </c>
      <c r="D8" s="112" t="s">
        <v>1092</v>
      </c>
      <c r="E8" s="101" t="str">
        <f>Total!E805</f>
        <v>Obra Civil</v>
      </c>
      <c r="F8" s="96" t="str">
        <f>Total!F805</f>
        <v>Control de Qualitat</v>
      </c>
      <c r="G8" s="112" t="str">
        <f>Total!G805</f>
        <v>CQ. TF-02676.6.2</v>
      </c>
      <c r="H8" s="112" t="str">
        <f>Total!H805</f>
        <v>Control de qualitat de les obres de perllongament de la línia d'FGC a Sabadell. Alimentació elèctrica, comunicacions i instal·lacions no ferroviàries del túnel. Tram: Plaça major-Cotxeres.</v>
      </c>
      <c r="I8" s="130">
        <v>95847.92</v>
      </c>
    </row>
    <row r="9" spans="1:9" x14ac:dyDescent="0.2">
      <c r="A9" s="8">
        <v>8</v>
      </c>
      <c r="B9" s="101">
        <f>Total!B806</f>
        <v>42163</v>
      </c>
      <c r="C9" s="101">
        <f>Total!C806</f>
        <v>42184</v>
      </c>
      <c r="D9" s="112" t="s">
        <v>1092</v>
      </c>
      <c r="E9" s="101" t="str">
        <f>Total!E806</f>
        <v>Obra Civil</v>
      </c>
      <c r="F9" s="96" t="str">
        <f>Total!F806</f>
        <v>Control de Qualitat</v>
      </c>
      <c r="G9" s="112" t="str">
        <f>Total!G806</f>
        <v>CQ. TF-02676.3A2</v>
      </c>
      <c r="H9" s="112" t="str">
        <f>Total!H806</f>
        <v>Control de qualitat de les obres de perllongament de la línia d'FGC a Sabadell. Superestructura de via i catenària. Tram: Plaça Major-Plaça Espanya.</v>
      </c>
      <c r="I9" s="130">
        <v>89535.09</v>
      </c>
    </row>
    <row r="10" spans="1:9" x14ac:dyDescent="0.2">
      <c r="A10" s="8">
        <v>9</v>
      </c>
      <c r="B10" s="101">
        <f>Total!B807</f>
        <v>42165</v>
      </c>
      <c r="C10" s="101">
        <f>Total!C807</f>
        <v>42184</v>
      </c>
      <c r="D10" s="112" t="s">
        <v>1092</v>
      </c>
      <c r="E10" s="101" t="str">
        <f>Total!E807</f>
        <v>Obra Civil</v>
      </c>
      <c r="F10" s="96" t="str">
        <f>Total!F807</f>
        <v>Direccions d'0bra</v>
      </c>
      <c r="G10" s="112" t="str">
        <f>Total!G807</f>
        <v>ATAM. TA-11227-1</v>
      </c>
      <c r="H10" s="112" t="str">
        <f>Total!H807</f>
        <v>Assistència tècnica ambiental conjunta de les obres: Nova estació d'autobusos sobre l'estació de l'Ave a Girona. Arquitectura i instal·lacions i Execució de les obres de millora local. Millora de nus. Nou enllaç entre l'Eix Transversal (pk 189,700)</v>
      </c>
      <c r="I10" s="130">
        <v>32740</v>
      </c>
    </row>
    <row r="11" spans="1:9" x14ac:dyDescent="0.2">
      <c r="A11" s="8">
        <v>10</v>
      </c>
      <c r="B11" s="101">
        <f>Total!B808</f>
        <v>42167</v>
      </c>
      <c r="C11" s="101">
        <f>Total!C808</f>
        <v>42184</v>
      </c>
      <c r="D11" s="112" t="s">
        <v>1092</v>
      </c>
      <c r="E11" s="101" t="str">
        <f>Total!E808</f>
        <v>Obra Civil</v>
      </c>
      <c r="F11" s="96" t="str">
        <f>Total!F808</f>
        <v>Projectes</v>
      </c>
      <c r="G11" s="112" t="str">
        <f>Total!G808</f>
        <v>E6-DAR-15000</v>
      </c>
      <c r="H11" s="112" t="str">
        <f>Total!H808</f>
        <v>Assistència tècnica per a la promoció i la divulgació entre els regant dels nous sistemes de regadiu Segarra-Garrigues, així com per a la difusió de la resta d'infraestructures de regadiu que hi ha a Catalunya durant el segon semestre de 2015.</v>
      </c>
      <c r="I11" s="130">
        <v>80000</v>
      </c>
    </row>
    <row r="12" spans="1:9" x14ac:dyDescent="0.2">
      <c r="A12" s="8">
        <v>11</v>
      </c>
      <c r="B12" s="101">
        <f>Total!B809</f>
        <v>42171</v>
      </c>
      <c r="C12" s="101">
        <f>Total!C809</f>
        <v>42187</v>
      </c>
      <c r="D12" s="112" t="s">
        <v>1092</v>
      </c>
      <c r="E12" s="101" t="str">
        <f>Total!E809</f>
        <v>Edificació</v>
      </c>
      <c r="F12" s="96" t="str">
        <f>Total!F809</f>
        <v>Control de Qualitat</v>
      </c>
      <c r="G12" s="112" t="str">
        <f>Total!G809</f>
        <v>CQ. RAM-15900</v>
      </c>
      <c r="H12" s="112" t="str">
        <f>Total!H809</f>
        <v>Assistència tència de control de qualitat de les obres RAM 2015.</v>
      </c>
      <c r="I12" s="130">
        <v>114259.51</v>
      </c>
    </row>
    <row r="13" spans="1:9" x14ac:dyDescent="0.2">
      <c r="I13" s="126">
        <f>SUM(I2:I12)</f>
        <v>882796.03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E8B20C4BBF2504B93EDF4F315318076" ma:contentTypeVersion="3" ma:contentTypeDescription="Crear nuevo documento." ma:contentTypeScope="" ma:versionID="20c35b5a7b868fbc194cdafeb7c754b2">
  <xsd:schema xmlns:xsd="http://www.w3.org/2001/XMLSchema" xmlns:xs="http://www.w3.org/2001/XMLSchema" xmlns:p="http://schemas.microsoft.com/office/2006/metadata/properties" xmlns:ns3="2452cda2-01ea-4d51-a2f8-5cf0b00d0bb8" targetNamespace="http://schemas.microsoft.com/office/2006/metadata/properties" ma:root="true" ma:fieldsID="9dc1a80a1112519755357ccfdf82cfbf" ns3:_="">
    <xsd:import namespace="2452cda2-01ea-4d51-a2f8-5cf0b00d0bb8"/>
    <xsd:element name="properties">
      <xsd:complexType>
        <xsd:sequence>
          <xsd:element name="documentManagement">
            <xsd:complexType>
              <xsd:all>
                <xsd:element ref="ns3:MediaServiceMetadata" minOccurs="0"/>
                <xsd:element ref="ns3:MediaServiceFastMetadata"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52cda2-01ea-4d51-a2f8-5cf0b00d0b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94D6FA-2D3A-4C07-8EC8-216ADD80AB04}">
  <ds:schemaRefs>
    <ds:schemaRef ds:uri="http://schemas.microsoft.com/sharepoint/v3/contenttype/forms"/>
  </ds:schemaRefs>
</ds:datastoreItem>
</file>

<file path=customXml/itemProps2.xml><?xml version="1.0" encoding="utf-8"?>
<ds:datastoreItem xmlns:ds="http://schemas.openxmlformats.org/officeDocument/2006/customXml" ds:itemID="{160CE73D-63CD-4385-8EBF-52699FA9A8AA}">
  <ds:schemaRefs>
    <ds:schemaRef ds:uri="http://purl.org/dc/elements/1.1/"/>
    <ds:schemaRef ds:uri="http://purl.org/dc/dcmitype/"/>
    <ds:schemaRef ds:uri="http://schemas.microsoft.com/office/2006/documentManagement/types"/>
    <ds:schemaRef ds:uri="2452cda2-01ea-4d51-a2f8-5cf0b00d0bb8"/>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 ds:uri="http://purl.org/dc/terms/"/>
  </ds:schemaRefs>
</ds:datastoreItem>
</file>

<file path=customXml/itemProps3.xml><?xml version="1.0" encoding="utf-8"?>
<ds:datastoreItem xmlns:ds="http://schemas.openxmlformats.org/officeDocument/2006/customXml" ds:itemID="{B441BA91-74B7-43D0-8DD7-00E8844138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52cda2-01ea-4d51-a2f8-5cf0b00d0b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165</vt:i4>
      </vt:variant>
    </vt:vector>
  </HeadingPairs>
  <TitlesOfParts>
    <vt:vector size="165" baseType="lpstr">
      <vt:lpstr>Total</vt:lpstr>
      <vt:lpstr>Nº Anuncis Mensual</vt:lpstr>
      <vt:lpstr>Nº Adjudicacions Definitives</vt:lpstr>
      <vt:lpstr>Nº Anuncis Sumatori</vt:lpstr>
      <vt:lpstr>Juny 23</vt:lpstr>
      <vt:lpstr>Maig 23</vt:lpstr>
      <vt:lpstr>Abril 23</vt:lpstr>
      <vt:lpstr>Març 23</vt:lpstr>
      <vt:lpstr>Febrer 23</vt:lpstr>
      <vt:lpstr>Gener 23</vt:lpstr>
      <vt:lpstr>Desembre 22</vt:lpstr>
      <vt:lpstr>Novembre 22</vt:lpstr>
      <vt:lpstr>Octubre 22</vt:lpstr>
      <vt:lpstr>Setembre 22</vt:lpstr>
      <vt:lpstr>Agost 22</vt:lpstr>
      <vt:lpstr>Juliol 22</vt:lpstr>
      <vt:lpstr>Juny 22</vt:lpstr>
      <vt:lpstr>Maig 22</vt:lpstr>
      <vt:lpstr>Abril 22</vt:lpstr>
      <vt:lpstr>Març 22</vt:lpstr>
      <vt:lpstr>Febrer 22</vt:lpstr>
      <vt:lpstr>Gener 22</vt:lpstr>
      <vt:lpstr>Desembre 21</vt:lpstr>
      <vt:lpstr>Novembre 21</vt:lpstr>
      <vt:lpstr>Octubre 21</vt:lpstr>
      <vt:lpstr>Setembre 21</vt:lpstr>
      <vt:lpstr>Agost 21</vt:lpstr>
      <vt:lpstr>Juliol 21</vt:lpstr>
      <vt:lpstr>Juny 2021</vt:lpstr>
      <vt:lpstr>Maig 2021</vt:lpstr>
      <vt:lpstr>Abril 2021</vt:lpstr>
      <vt:lpstr>Març 2021</vt:lpstr>
      <vt:lpstr>Febrer 2021</vt:lpstr>
      <vt:lpstr>Gener 2021</vt:lpstr>
      <vt:lpstr>Desembre 2020</vt:lpstr>
      <vt:lpstr>Novembre 2020</vt:lpstr>
      <vt:lpstr>Octubre 2020</vt:lpstr>
      <vt:lpstr>Setembre 2020</vt:lpstr>
      <vt:lpstr>Agost 2020</vt:lpstr>
      <vt:lpstr>Juliol 2020</vt:lpstr>
      <vt:lpstr>Juny 2020</vt:lpstr>
      <vt:lpstr>Maig 2020</vt:lpstr>
      <vt:lpstr>Abril 2020</vt:lpstr>
      <vt:lpstr>Març 2020</vt:lpstr>
      <vt:lpstr>Febrer 2020</vt:lpstr>
      <vt:lpstr>Gener 2020</vt:lpstr>
      <vt:lpstr>Desembre 19</vt:lpstr>
      <vt:lpstr>Novembre 19</vt:lpstr>
      <vt:lpstr>Octubre 19</vt:lpstr>
      <vt:lpstr>Setembre 19</vt:lpstr>
      <vt:lpstr>Agost 19</vt:lpstr>
      <vt:lpstr>Juliol 19</vt:lpstr>
      <vt:lpstr>Juny 19</vt:lpstr>
      <vt:lpstr>Maig 19</vt:lpstr>
      <vt:lpstr>Abril 19</vt:lpstr>
      <vt:lpstr>Març 19</vt:lpstr>
      <vt:lpstr>Febrer 19</vt:lpstr>
      <vt:lpstr>Gener 19</vt:lpstr>
      <vt:lpstr>Desembre 18</vt:lpstr>
      <vt:lpstr>Novembre 18</vt:lpstr>
      <vt:lpstr>Octubre 18</vt:lpstr>
      <vt:lpstr>Setembre 18</vt:lpstr>
      <vt:lpstr>Agost 18</vt:lpstr>
      <vt:lpstr>Juliol 18</vt:lpstr>
      <vt:lpstr>Juny 18</vt:lpstr>
      <vt:lpstr>Març 18</vt:lpstr>
      <vt:lpstr>Febrer 18</vt:lpstr>
      <vt:lpstr>Gener 18</vt:lpstr>
      <vt:lpstr>Desembre 17</vt:lpstr>
      <vt:lpstr>Novembre 17</vt:lpstr>
      <vt:lpstr>Octubre 17</vt:lpstr>
      <vt:lpstr>Setembre 17</vt:lpstr>
      <vt:lpstr>Agost 17</vt:lpstr>
      <vt:lpstr>Juliol 17</vt:lpstr>
      <vt:lpstr>Juny 17</vt:lpstr>
      <vt:lpstr>Maig 17</vt:lpstr>
      <vt:lpstr>Abril 17</vt:lpstr>
      <vt:lpstr>Març 17</vt:lpstr>
      <vt:lpstr>Febrer 17</vt:lpstr>
      <vt:lpstr>Gener 17</vt:lpstr>
      <vt:lpstr>Desembre 16</vt:lpstr>
      <vt:lpstr>Novembre 16</vt:lpstr>
      <vt:lpstr>Octubre 16</vt:lpstr>
      <vt:lpstr>Setembre 16</vt:lpstr>
      <vt:lpstr>Agost 16</vt:lpstr>
      <vt:lpstr>Juliol 16</vt:lpstr>
      <vt:lpstr>Juny 16</vt:lpstr>
      <vt:lpstr>Maig 16</vt:lpstr>
      <vt:lpstr>Abril 16</vt:lpstr>
      <vt:lpstr>Març 16</vt:lpstr>
      <vt:lpstr>Febrer 16</vt:lpstr>
      <vt:lpstr>Gener 16</vt:lpstr>
      <vt:lpstr>Desembre 15</vt:lpstr>
      <vt:lpstr>Novembre 15</vt:lpstr>
      <vt:lpstr>Octubre 15</vt:lpstr>
      <vt:lpstr>Setembre 15</vt:lpstr>
      <vt:lpstr>Agost 15</vt:lpstr>
      <vt:lpstr>Juliol 15</vt:lpstr>
      <vt:lpstr>Juny 15</vt:lpstr>
      <vt:lpstr>Maig 15</vt:lpstr>
      <vt:lpstr>Abril 15</vt:lpstr>
      <vt:lpstr>Març 15</vt:lpstr>
      <vt:lpstr>Febrer 15</vt:lpstr>
      <vt:lpstr>Gener 15</vt:lpstr>
      <vt:lpstr>Desembre 14</vt:lpstr>
      <vt:lpstr>Novembre 14</vt:lpstr>
      <vt:lpstr>Octubre 14</vt:lpstr>
      <vt:lpstr>Setembre 14</vt:lpstr>
      <vt:lpstr>Agost 14</vt:lpstr>
      <vt:lpstr>Juliol 14</vt:lpstr>
      <vt:lpstr>Juny 14</vt:lpstr>
      <vt:lpstr>Maig 14</vt:lpstr>
      <vt:lpstr>Abril 14</vt:lpstr>
      <vt:lpstr>Març 14</vt:lpstr>
      <vt:lpstr>Febrer 14</vt:lpstr>
      <vt:lpstr>Gener 14</vt:lpstr>
      <vt:lpstr>Des13</vt:lpstr>
      <vt:lpstr>Nov13</vt:lpstr>
      <vt:lpstr>Oct13</vt:lpstr>
      <vt:lpstr>Set13</vt:lpstr>
      <vt:lpstr>Agost13</vt:lpstr>
      <vt:lpstr>Juliol13</vt:lpstr>
      <vt:lpstr>Juny13</vt:lpstr>
      <vt:lpstr>Maig13</vt:lpstr>
      <vt:lpstr>Abril13</vt:lpstr>
      <vt:lpstr>Febrer13</vt:lpstr>
      <vt:lpstr>Gener13</vt:lpstr>
      <vt:lpstr>Desembre12</vt:lpstr>
      <vt:lpstr>Novembre12</vt:lpstr>
      <vt:lpstr>Octubre12</vt:lpstr>
      <vt:lpstr>Setembre12</vt:lpstr>
      <vt:lpstr>Agost12</vt:lpstr>
      <vt:lpstr>Juliol12</vt:lpstr>
      <vt:lpstr>Juny12</vt:lpstr>
      <vt:lpstr>Maig12</vt:lpstr>
      <vt:lpstr>Abril12</vt:lpstr>
      <vt:lpstr>Març12</vt:lpstr>
      <vt:lpstr>Febrer12</vt:lpstr>
      <vt:lpstr>Gener12</vt:lpstr>
      <vt:lpstr>Desembre11</vt:lpstr>
      <vt:lpstr>Novembre11</vt:lpstr>
      <vt:lpstr>Octubre11</vt:lpstr>
      <vt:lpstr>Setembre11</vt:lpstr>
      <vt:lpstr>Agost11</vt:lpstr>
      <vt:lpstr>Juliol11</vt:lpstr>
      <vt:lpstr>Juny11</vt:lpstr>
      <vt:lpstr>Maig11</vt:lpstr>
      <vt:lpstr>Abril11</vt:lpstr>
      <vt:lpstr>Març11</vt:lpstr>
      <vt:lpstr>Febrer11</vt:lpstr>
      <vt:lpstr>Gener11</vt:lpstr>
      <vt:lpstr>Desembre10</vt:lpstr>
      <vt:lpstr>Novembre10</vt:lpstr>
      <vt:lpstr>Octubre10</vt:lpstr>
      <vt:lpstr>Setembre10</vt:lpstr>
      <vt:lpstr>Agost10</vt:lpstr>
      <vt:lpstr>Juliol10</vt:lpstr>
      <vt:lpstr>Juny10</vt:lpstr>
      <vt:lpstr>Maig10</vt:lpstr>
      <vt:lpstr>Abril10</vt:lpstr>
      <vt:lpstr>Març10</vt:lpstr>
      <vt:lpstr>Febrer10</vt:lpstr>
      <vt:lpstr>Gener10</vt:lpstr>
      <vt:lpstr>Desembre09</vt:lpstr>
      <vt:lpstr>Novembre09</vt:lpstr>
    </vt:vector>
  </TitlesOfParts>
  <Company>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mònica</dc:creator>
  <cp:lastModifiedBy>rgil_ccoc</cp:lastModifiedBy>
  <cp:lastPrinted>2016-07-15T09:45:28Z</cp:lastPrinted>
  <dcterms:created xsi:type="dcterms:W3CDTF">2009-11-03T08:06:55Z</dcterms:created>
  <dcterms:modified xsi:type="dcterms:W3CDTF">2023-06-22T07:57:02Z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0x0101009E8B20C4BBF2504B93EDF4F315318076</vt:lpwstr>
  </property>
</Properties>
</file>